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\Documents\GitHub\vniifk\eb\Зайцева\"/>
    </mc:Choice>
  </mc:AlternateContent>
  <bookViews>
    <workbookView xWindow="0" yWindow="0" windowWidth="27870" windowHeight="13020" tabRatio="741" activeTab="3"/>
  </bookViews>
  <sheets>
    <sheet name="XML" sheetId="20" r:id="rId1"/>
    <sheet name="RegNumbers" sheetId="21" r:id="rId2"/>
    <sheet name="OKEI" sheetId="22" r:id="rId3"/>
    <sheet name="Учр" sheetId="23" r:id="rId4"/>
    <sheet name="Свод 2020" sheetId="2" r:id="rId5"/>
    <sheet name="Свод 2021 " sheetId="18" r:id="rId6"/>
    <sheet name="Свод 2022" sheetId="19" r:id="rId7"/>
    <sheet name="Для расчета ЗП" sheetId="15" state="hidden" r:id="rId8"/>
    <sheet name="Лист1" sheetId="14" state="hidden" r:id="rId9"/>
    <sheet name="2020" sheetId="1" r:id="rId10"/>
    <sheet name="Коэф. выравнивания" sheetId="13" state="hidden" r:id="rId11"/>
    <sheet name="выравнивание" sheetId="12" state="hidden" r:id="rId12"/>
    <sheet name="Нормативы" sheetId="3" r:id="rId13"/>
    <sheet name="Территориальный кк" sheetId="4" r:id="rId14"/>
  </sheets>
  <externalReferences>
    <externalReference r:id="rId15"/>
  </externalReferences>
  <definedNames>
    <definedName name="_xlnm._FilterDatabase" localSheetId="9" hidden="1">'2020'!$A$3:$AVQ$460</definedName>
    <definedName name="_xlnm._FilterDatabase" localSheetId="11" hidden="1">выравнивание!$A$2:$AE$272</definedName>
    <definedName name="_xlnm.Print_Area" localSheetId="4">'Свод 2020'!$A$1:$AH$46</definedName>
    <definedName name="_xlnm.Print_Area" localSheetId="5">'Свод 2021 '!$A$1:$AD$28</definedName>
    <definedName name="_xlnm.Print_Area" localSheetId="6">'Свод 2022'!$A$1:$AD$27</definedName>
  </definedNames>
  <calcPr calcId="152511" fullPrecision="0"/>
</workbook>
</file>

<file path=xl/calcChain.xml><?xml version="1.0" encoding="utf-8"?>
<calcChain xmlns="http://schemas.openxmlformats.org/spreadsheetml/2006/main">
  <c r="I25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9" i="2"/>
  <c r="J25" i="2" s="1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9" i="2"/>
  <c r="T25" i="2"/>
  <c r="T441" i="1"/>
  <c r="S441" i="1"/>
  <c r="AO441" i="1" l="1"/>
  <c r="AL441" i="1"/>
  <c r="AK441" i="1"/>
  <c r="AJ441" i="1"/>
  <c r="AI441" i="1"/>
  <c r="AH441" i="1"/>
  <c r="AG441" i="1"/>
  <c r="AF441" i="1"/>
  <c r="AE441" i="1"/>
  <c r="AD441" i="1"/>
  <c r="AC441" i="1"/>
  <c r="AB441" i="1"/>
  <c r="Z441" i="1"/>
  <c r="X441" i="1"/>
  <c r="U441" i="1"/>
  <c r="T384" i="1"/>
  <c r="S384" i="1"/>
  <c r="T383" i="1"/>
  <c r="S383" i="1"/>
  <c r="T382" i="1"/>
  <c r="S382" i="1"/>
  <c r="T381" i="1"/>
  <c r="S381" i="1"/>
  <c r="T380" i="1"/>
  <c r="S380" i="1"/>
  <c r="T367" i="1"/>
  <c r="S367" i="1"/>
  <c r="T366" i="1"/>
  <c r="S366" i="1"/>
  <c r="T353" i="1"/>
  <c r="S353" i="1"/>
  <c r="AO144" i="1"/>
  <c r="AL144" i="1"/>
  <c r="AK144" i="1"/>
  <c r="AJ144" i="1"/>
  <c r="AI144" i="1"/>
  <c r="AH144" i="1"/>
  <c r="AG144" i="1"/>
  <c r="AF144" i="1"/>
  <c r="AE144" i="1"/>
  <c r="AD144" i="1"/>
  <c r="AC144" i="1"/>
  <c r="AB144" i="1"/>
  <c r="Z144" i="1"/>
  <c r="X144" i="1"/>
  <c r="U144" i="1"/>
  <c r="AO384" i="1"/>
  <c r="AO383" i="1"/>
  <c r="AO382" i="1"/>
  <c r="AO381" i="1"/>
  <c r="AO380" i="1"/>
  <c r="AL380" i="1"/>
  <c r="AK380" i="1"/>
  <c r="AJ380" i="1"/>
  <c r="AI380" i="1"/>
  <c r="AH380" i="1"/>
  <c r="AG380" i="1"/>
  <c r="AF380" i="1"/>
  <c r="AE380" i="1"/>
  <c r="AD380" i="1"/>
  <c r="AC380" i="1"/>
  <c r="AB380" i="1"/>
  <c r="Z380" i="1"/>
  <c r="X380" i="1"/>
  <c r="U380" i="1"/>
  <c r="AO366" i="1"/>
  <c r="AL366" i="1"/>
  <c r="AK366" i="1"/>
  <c r="AJ366" i="1"/>
  <c r="AI366" i="1"/>
  <c r="AH366" i="1"/>
  <c r="AG366" i="1"/>
  <c r="AF366" i="1"/>
  <c r="AE366" i="1"/>
  <c r="AD366" i="1"/>
  <c r="AC366" i="1"/>
  <c r="AB366" i="1"/>
  <c r="Z366" i="1"/>
  <c r="X366" i="1"/>
  <c r="U366" i="1"/>
  <c r="AO354" i="1"/>
  <c r="AL354" i="1"/>
  <c r="AK354" i="1"/>
  <c r="AJ354" i="1"/>
  <c r="AI354" i="1"/>
  <c r="AH354" i="1"/>
  <c r="AG354" i="1"/>
  <c r="AF354" i="1"/>
  <c r="AE354" i="1"/>
  <c r="AD354" i="1"/>
  <c r="AC354" i="1"/>
  <c r="AB354" i="1"/>
  <c r="Z354" i="1"/>
  <c r="X354" i="1"/>
  <c r="U354" i="1"/>
  <c r="AO353" i="1"/>
  <c r="BK353" i="1" s="1"/>
  <c r="CG353" i="1" s="1"/>
  <c r="AO312" i="1"/>
  <c r="AO311" i="1"/>
  <c r="AO310" i="1"/>
  <c r="AL310" i="1"/>
  <c r="AK310" i="1"/>
  <c r="AJ310" i="1"/>
  <c r="AI310" i="1"/>
  <c r="AH310" i="1"/>
  <c r="AG310" i="1"/>
  <c r="AF310" i="1"/>
  <c r="AE310" i="1"/>
  <c r="AD310" i="1"/>
  <c r="AC310" i="1"/>
  <c r="AB310" i="1"/>
  <c r="Z310" i="1"/>
  <c r="X310" i="1"/>
  <c r="U310" i="1"/>
  <c r="AO309" i="1"/>
  <c r="AL309" i="1"/>
  <c r="AK309" i="1"/>
  <c r="AJ309" i="1"/>
  <c r="AI309" i="1"/>
  <c r="AH309" i="1"/>
  <c r="AG309" i="1"/>
  <c r="AF309" i="1"/>
  <c r="AE309" i="1"/>
  <c r="AD309" i="1"/>
  <c r="AC309" i="1"/>
  <c r="AB309" i="1"/>
  <c r="Z309" i="1"/>
  <c r="X309" i="1"/>
  <c r="U309" i="1"/>
  <c r="AO308" i="1"/>
  <c r="AL308" i="1"/>
  <c r="AK308" i="1"/>
  <c r="AJ308" i="1"/>
  <c r="AI308" i="1"/>
  <c r="AH308" i="1"/>
  <c r="AG308" i="1"/>
  <c r="AF308" i="1"/>
  <c r="AE308" i="1"/>
  <c r="AD308" i="1"/>
  <c r="AC308" i="1"/>
  <c r="AB308" i="1"/>
  <c r="Z308" i="1"/>
  <c r="X308" i="1"/>
  <c r="U308" i="1"/>
  <c r="AO307" i="1"/>
  <c r="AL307" i="1"/>
  <c r="AK307" i="1"/>
  <c r="AJ307" i="1"/>
  <c r="AI307" i="1"/>
  <c r="AH307" i="1"/>
  <c r="AG307" i="1"/>
  <c r="AF307" i="1"/>
  <c r="AE307" i="1"/>
  <c r="AD307" i="1"/>
  <c r="AC307" i="1"/>
  <c r="AB307" i="1"/>
  <c r="Z307" i="1"/>
  <c r="X307" i="1"/>
  <c r="U307" i="1"/>
  <c r="AO306" i="1"/>
  <c r="AL306" i="1"/>
  <c r="AK306" i="1"/>
  <c r="AJ306" i="1"/>
  <c r="AI306" i="1"/>
  <c r="AH306" i="1"/>
  <c r="AG306" i="1"/>
  <c r="AF306" i="1"/>
  <c r="AE306" i="1"/>
  <c r="AD306" i="1"/>
  <c r="AC306" i="1"/>
  <c r="AB306" i="1"/>
  <c r="Z306" i="1"/>
  <c r="X306" i="1"/>
  <c r="U306" i="1"/>
  <c r="AO286" i="1"/>
  <c r="AL286" i="1"/>
  <c r="AK286" i="1"/>
  <c r="AJ286" i="1"/>
  <c r="AI286" i="1"/>
  <c r="AH286" i="1"/>
  <c r="AG286" i="1"/>
  <c r="AF286" i="1"/>
  <c r="AE286" i="1"/>
  <c r="AD286" i="1"/>
  <c r="AC286" i="1"/>
  <c r="AB286" i="1"/>
  <c r="Z286" i="1"/>
  <c r="X286" i="1"/>
  <c r="U286" i="1"/>
  <c r="AO279" i="1"/>
  <c r="AL279" i="1"/>
  <c r="AK279" i="1"/>
  <c r="AJ279" i="1"/>
  <c r="AI279" i="1"/>
  <c r="AH279" i="1"/>
  <c r="AG279" i="1"/>
  <c r="AF279" i="1"/>
  <c r="AE279" i="1"/>
  <c r="AD279" i="1"/>
  <c r="AC279" i="1"/>
  <c r="AB279" i="1"/>
  <c r="Z279" i="1"/>
  <c r="X279" i="1"/>
  <c r="U279" i="1"/>
  <c r="AO278" i="1"/>
  <c r="AL278" i="1"/>
  <c r="AK278" i="1"/>
  <c r="AJ278" i="1"/>
  <c r="AI278" i="1"/>
  <c r="AH278" i="1"/>
  <c r="AG278" i="1"/>
  <c r="AF278" i="1"/>
  <c r="AE278" i="1"/>
  <c r="AD278" i="1"/>
  <c r="AC278" i="1"/>
  <c r="AB278" i="1"/>
  <c r="Z278" i="1"/>
  <c r="X278" i="1"/>
  <c r="U278" i="1"/>
  <c r="AO246" i="1"/>
  <c r="AL246" i="1"/>
  <c r="AK246" i="1"/>
  <c r="AJ246" i="1"/>
  <c r="AI246" i="1"/>
  <c r="AH246" i="1"/>
  <c r="AG246" i="1"/>
  <c r="AF246" i="1"/>
  <c r="AE246" i="1"/>
  <c r="AD246" i="1"/>
  <c r="AC246" i="1"/>
  <c r="AB246" i="1"/>
  <c r="Z246" i="1"/>
  <c r="X246" i="1"/>
  <c r="U246" i="1"/>
  <c r="AO233" i="1"/>
  <c r="AL233" i="1"/>
  <c r="AK233" i="1"/>
  <c r="AJ233" i="1"/>
  <c r="AI233" i="1"/>
  <c r="AH233" i="1"/>
  <c r="AG233" i="1"/>
  <c r="AF233" i="1"/>
  <c r="AE233" i="1"/>
  <c r="AD233" i="1"/>
  <c r="AC233" i="1"/>
  <c r="AB233" i="1"/>
  <c r="Z233" i="1"/>
  <c r="X233" i="1"/>
  <c r="U233" i="1"/>
  <c r="AO208" i="1"/>
  <c r="AL208" i="1"/>
  <c r="AK208" i="1"/>
  <c r="AJ208" i="1"/>
  <c r="AI208" i="1"/>
  <c r="AH208" i="1"/>
  <c r="AG208" i="1"/>
  <c r="AF208" i="1"/>
  <c r="AE208" i="1"/>
  <c r="AD208" i="1"/>
  <c r="AC208" i="1"/>
  <c r="AB208" i="1"/>
  <c r="Z208" i="1"/>
  <c r="X208" i="1"/>
  <c r="U208" i="1"/>
  <c r="AO198" i="1"/>
  <c r="AL198" i="1"/>
  <c r="AK198" i="1"/>
  <c r="AJ198" i="1"/>
  <c r="AI198" i="1"/>
  <c r="AH198" i="1"/>
  <c r="AG198" i="1"/>
  <c r="AF198" i="1"/>
  <c r="AE198" i="1"/>
  <c r="AD198" i="1"/>
  <c r="AC198" i="1"/>
  <c r="AB198" i="1"/>
  <c r="Z198" i="1"/>
  <c r="X198" i="1"/>
  <c r="U198" i="1"/>
  <c r="AO190" i="1"/>
  <c r="AL190" i="1"/>
  <c r="AK190" i="1"/>
  <c r="AJ190" i="1"/>
  <c r="AI190" i="1"/>
  <c r="AH190" i="1"/>
  <c r="AG190" i="1"/>
  <c r="AF190" i="1"/>
  <c r="AE190" i="1"/>
  <c r="AD190" i="1"/>
  <c r="AC190" i="1"/>
  <c r="AB190" i="1"/>
  <c r="Z190" i="1"/>
  <c r="X190" i="1"/>
  <c r="U190" i="1"/>
  <c r="AO189" i="1"/>
  <c r="AL189" i="1"/>
  <c r="AK189" i="1"/>
  <c r="AJ189" i="1"/>
  <c r="AI189" i="1"/>
  <c r="AH189" i="1"/>
  <c r="AG189" i="1"/>
  <c r="AF189" i="1"/>
  <c r="AE189" i="1"/>
  <c r="AD189" i="1"/>
  <c r="AC189" i="1"/>
  <c r="AB189" i="1"/>
  <c r="Z189" i="1"/>
  <c r="X189" i="1"/>
  <c r="U189" i="1"/>
  <c r="AO182" i="1"/>
  <c r="AO165" i="1"/>
  <c r="AL165" i="1"/>
  <c r="AK165" i="1"/>
  <c r="AJ165" i="1"/>
  <c r="AI165" i="1"/>
  <c r="AH165" i="1"/>
  <c r="AG165" i="1"/>
  <c r="AF165" i="1"/>
  <c r="AE165" i="1"/>
  <c r="AD165" i="1"/>
  <c r="AC165" i="1"/>
  <c r="AB165" i="1"/>
  <c r="Z165" i="1"/>
  <c r="X165" i="1"/>
  <c r="U165" i="1"/>
  <c r="AO160" i="1"/>
  <c r="AL160" i="1"/>
  <c r="AK160" i="1"/>
  <c r="AJ160" i="1"/>
  <c r="AI160" i="1"/>
  <c r="AH160" i="1"/>
  <c r="AG160" i="1"/>
  <c r="AF160" i="1"/>
  <c r="AE160" i="1"/>
  <c r="AD160" i="1"/>
  <c r="AC160" i="1"/>
  <c r="AB160" i="1"/>
  <c r="Z160" i="1"/>
  <c r="Y160" i="1"/>
  <c r="X160" i="1"/>
  <c r="U160" i="1"/>
  <c r="X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 s="1"/>
  <c r="AN96" i="1" s="1"/>
  <c r="AO60" i="1"/>
  <c r="AL60" i="1"/>
  <c r="AM60" i="1" s="1"/>
  <c r="AK60" i="1"/>
  <c r="AJ60" i="1"/>
  <c r="AI60" i="1"/>
  <c r="AH60" i="1"/>
  <c r="AG60" i="1"/>
  <c r="AF60" i="1"/>
  <c r="AE60" i="1"/>
  <c r="AD60" i="1"/>
  <c r="AC60" i="1"/>
  <c r="AB60" i="1"/>
  <c r="Z60" i="1"/>
  <c r="X60" i="1"/>
  <c r="U60" i="1"/>
  <c r="AO59" i="1"/>
  <c r="AL59" i="1"/>
  <c r="AM59" i="1" s="1"/>
  <c r="AK59" i="1"/>
  <c r="AJ59" i="1"/>
  <c r="AI59" i="1"/>
  <c r="AH59" i="1"/>
  <c r="AG59" i="1"/>
  <c r="AF59" i="1"/>
  <c r="AE59" i="1"/>
  <c r="AD59" i="1"/>
  <c r="AC59" i="1"/>
  <c r="AB59" i="1"/>
  <c r="Z59" i="1"/>
  <c r="X59" i="1"/>
  <c r="U59" i="1"/>
  <c r="AO58" i="1"/>
  <c r="AL58" i="1"/>
  <c r="AM58" i="1" s="1"/>
  <c r="AK58" i="1"/>
  <c r="AJ58" i="1"/>
  <c r="AI58" i="1"/>
  <c r="AH58" i="1"/>
  <c r="AG58" i="1"/>
  <c r="AF58" i="1"/>
  <c r="AE58" i="1"/>
  <c r="AD58" i="1"/>
  <c r="AC58" i="1"/>
  <c r="AB58" i="1"/>
  <c r="Z58" i="1"/>
  <c r="X58" i="1"/>
  <c r="U58" i="1"/>
  <c r="AO57" i="1"/>
  <c r="AL57" i="1"/>
  <c r="AM57" i="1" s="1"/>
  <c r="AK57" i="1"/>
  <c r="AJ57" i="1"/>
  <c r="AI57" i="1"/>
  <c r="AH57" i="1"/>
  <c r="AG57" i="1"/>
  <c r="AF57" i="1"/>
  <c r="AE57" i="1"/>
  <c r="AD57" i="1"/>
  <c r="AC57" i="1"/>
  <c r="AB57" i="1"/>
  <c r="Z57" i="1"/>
  <c r="X57" i="1"/>
  <c r="U57" i="1"/>
  <c r="AO5" i="1"/>
  <c r="AL5" i="1"/>
  <c r="AM5" i="1" s="1"/>
  <c r="AK5" i="1"/>
  <c r="AJ5" i="1"/>
  <c r="AI5" i="1"/>
  <c r="AH5" i="1"/>
  <c r="AG5" i="1"/>
  <c r="AF5" i="1"/>
  <c r="AE5" i="1"/>
  <c r="AD5" i="1"/>
  <c r="AC5" i="1"/>
  <c r="AB5" i="1"/>
  <c r="Z5" i="1"/>
  <c r="X5" i="1"/>
  <c r="AT5" i="1" s="1"/>
  <c r="U5" i="1"/>
  <c r="V5" i="1" s="1"/>
  <c r="W5" i="1" s="1"/>
  <c r="AO6" i="1"/>
  <c r="AO7" i="1"/>
  <c r="AL7" i="1"/>
  <c r="AK7" i="1"/>
  <c r="AJ7" i="1"/>
  <c r="AI7" i="1"/>
  <c r="AH7" i="1"/>
  <c r="AG7" i="1"/>
  <c r="AF7" i="1"/>
  <c r="AE7" i="1"/>
  <c r="AD7" i="1"/>
  <c r="AC7" i="1"/>
  <c r="AB7" i="1"/>
  <c r="Z7" i="1"/>
  <c r="Y7" i="1"/>
  <c r="X7" i="1"/>
  <c r="AT7" i="1" s="1"/>
  <c r="U7" i="1"/>
  <c r="H25" i="2"/>
  <c r="G25" i="2"/>
  <c r="AVP353" i="1" l="1"/>
  <c r="DC353" i="1"/>
  <c r="AA366" i="1"/>
  <c r="AP366" i="1" s="1"/>
  <c r="AA144" i="1"/>
  <c r="AP144" i="1" s="1"/>
  <c r="AA441" i="1"/>
  <c r="AP441" i="1" s="1"/>
  <c r="AA7" i="1"/>
  <c r="AP7" i="1" s="1"/>
  <c r="AA5" i="1"/>
  <c r="AP5" i="1" s="1"/>
  <c r="AA57" i="1"/>
  <c r="AP57" i="1" s="1"/>
  <c r="AA58" i="1"/>
  <c r="AP58" i="1" s="1"/>
  <c r="AA59" i="1"/>
  <c r="AP59" i="1" s="1"/>
  <c r="AA60" i="1"/>
  <c r="AP60" i="1" s="1"/>
  <c r="AA96" i="1"/>
  <c r="AA165" i="1"/>
  <c r="AP165" i="1" s="1"/>
  <c r="AA189" i="1"/>
  <c r="AP189" i="1" s="1"/>
  <c r="AA190" i="1"/>
  <c r="AP190" i="1" s="1"/>
  <c r="AA198" i="1"/>
  <c r="AP198" i="1" s="1"/>
  <c r="AA208" i="1"/>
  <c r="AP208" i="1" s="1"/>
  <c r="AA233" i="1"/>
  <c r="AP233" i="1" s="1"/>
  <c r="AA246" i="1"/>
  <c r="AP246" i="1" s="1"/>
  <c r="AA278" i="1"/>
  <c r="AP278" i="1" s="1"/>
  <c r="AA279" i="1"/>
  <c r="AP279" i="1" s="1"/>
  <c r="AA286" i="1"/>
  <c r="AP286" i="1" s="1"/>
  <c r="AA306" i="1"/>
  <c r="AP306" i="1" s="1"/>
  <c r="AA307" i="1"/>
  <c r="AP307" i="1" s="1"/>
  <c r="AA308" i="1"/>
  <c r="AP308" i="1" s="1"/>
  <c r="AA309" i="1"/>
  <c r="AP309" i="1" s="1"/>
  <c r="AA310" i="1"/>
  <c r="AP310" i="1" s="1"/>
  <c r="AA354" i="1"/>
  <c r="AP354" i="1" s="1"/>
  <c r="AA380" i="1"/>
  <c r="AP380" i="1" s="1"/>
  <c r="AM144" i="1"/>
  <c r="AN144" i="1" s="1"/>
  <c r="AM441" i="1"/>
  <c r="AN441" i="1" s="1"/>
  <c r="V441" i="1"/>
  <c r="W441" i="1" s="1"/>
  <c r="V144" i="1"/>
  <c r="W144" i="1" s="1"/>
  <c r="AM7" i="1"/>
  <c r="AN7" i="1" s="1"/>
  <c r="AN5" i="1"/>
  <c r="AN57" i="1"/>
  <c r="AN58" i="1"/>
  <c r="AN59" i="1"/>
  <c r="AN60" i="1"/>
  <c r="AA160" i="1"/>
  <c r="AP160" i="1" s="1"/>
  <c r="AM160" i="1"/>
  <c r="AN160" i="1" s="1"/>
  <c r="AM165" i="1"/>
  <c r="AN165" i="1" s="1"/>
  <c r="AM189" i="1"/>
  <c r="AN189" i="1" s="1"/>
  <c r="AM190" i="1"/>
  <c r="AN190" i="1" s="1"/>
  <c r="AM198" i="1"/>
  <c r="AN198" i="1" s="1"/>
  <c r="AM208" i="1"/>
  <c r="AN208" i="1" s="1"/>
  <c r="AM233" i="1"/>
  <c r="AN233" i="1" s="1"/>
  <c r="AM246" i="1"/>
  <c r="AN246" i="1" s="1"/>
  <c r="AM278" i="1"/>
  <c r="AN278" i="1" s="1"/>
  <c r="AM279" i="1"/>
  <c r="AN279" i="1" s="1"/>
  <c r="AM286" i="1"/>
  <c r="AN286" i="1" s="1"/>
  <c r="AM306" i="1"/>
  <c r="AN306" i="1" s="1"/>
  <c r="AM307" i="1"/>
  <c r="AN307" i="1" s="1"/>
  <c r="AM308" i="1"/>
  <c r="AN308" i="1" s="1"/>
  <c r="AM309" i="1"/>
  <c r="AN309" i="1" s="1"/>
  <c r="AM310" i="1"/>
  <c r="AN310" i="1" s="1"/>
  <c r="AM354" i="1"/>
  <c r="AN354" i="1" s="1"/>
  <c r="AM366" i="1"/>
  <c r="AN366" i="1" s="1"/>
  <c r="AM380" i="1"/>
  <c r="AN380" i="1" s="1"/>
  <c r="V380" i="1"/>
  <c r="W380" i="1" s="1"/>
  <c r="V366" i="1"/>
  <c r="W366" i="1" s="1"/>
  <c r="V354" i="1"/>
  <c r="W354" i="1" s="1"/>
  <c r="V306" i="1"/>
  <c r="W306" i="1" s="1"/>
  <c r="V307" i="1"/>
  <c r="W307" i="1" s="1"/>
  <c r="V308" i="1"/>
  <c r="W308" i="1" s="1"/>
  <c r="V309" i="1"/>
  <c r="W309" i="1" s="1"/>
  <c r="V310" i="1"/>
  <c r="W310" i="1" s="1"/>
  <c r="V286" i="1"/>
  <c r="W286" i="1" s="1"/>
  <c r="V278" i="1"/>
  <c r="W278" i="1" s="1"/>
  <c r="V279" i="1"/>
  <c r="W279" i="1" s="1"/>
  <c r="V246" i="1"/>
  <c r="W246" i="1" s="1"/>
  <c r="V233" i="1"/>
  <c r="W233" i="1" s="1"/>
  <c r="V208" i="1"/>
  <c r="W208" i="1" s="1"/>
  <c r="V198" i="1"/>
  <c r="W198" i="1" s="1"/>
  <c r="V190" i="1"/>
  <c r="W190" i="1" s="1"/>
  <c r="V189" i="1"/>
  <c r="W189" i="1" s="1"/>
  <c r="V165" i="1"/>
  <c r="W165" i="1" s="1"/>
  <c r="V160" i="1"/>
  <c r="W160" i="1" s="1"/>
  <c r="V57" i="1"/>
  <c r="W57" i="1" s="1"/>
  <c r="V58" i="1"/>
  <c r="W58" i="1" s="1"/>
  <c r="V59" i="1"/>
  <c r="W59" i="1" s="1"/>
  <c r="V60" i="1"/>
  <c r="W60" i="1" s="1"/>
  <c r="V7" i="1"/>
  <c r="W7" i="1" s="1"/>
  <c r="AO10" i="1" l="1"/>
  <c r="BK10" i="1" s="1"/>
  <c r="CG10" i="1" s="1"/>
  <c r="AL10" i="1"/>
  <c r="AK10" i="1"/>
  <c r="BG10" i="1" s="1"/>
  <c r="CC10" i="1" s="1"/>
  <c r="AJ10" i="1"/>
  <c r="BF10" i="1" s="1"/>
  <c r="CB10" i="1" s="1"/>
  <c r="AI10" i="1"/>
  <c r="BE10" i="1" s="1"/>
  <c r="CA10" i="1" s="1"/>
  <c r="AH10" i="1"/>
  <c r="BD10" i="1" s="1"/>
  <c r="BZ10" i="1" s="1"/>
  <c r="AG10" i="1"/>
  <c r="BC10" i="1" s="1"/>
  <c r="BY10" i="1" s="1"/>
  <c r="AF10" i="1"/>
  <c r="BB10" i="1" s="1"/>
  <c r="AE10" i="1"/>
  <c r="BA10" i="1" s="1"/>
  <c r="BW10" i="1" s="1"/>
  <c r="AD10" i="1"/>
  <c r="AZ10" i="1" s="1"/>
  <c r="BV10" i="1" s="1"/>
  <c r="AC10" i="1"/>
  <c r="AY10" i="1" s="1"/>
  <c r="BU10" i="1" s="1"/>
  <c r="AB10" i="1"/>
  <c r="AX10" i="1" s="1"/>
  <c r="BT10" i="1" s="1"/>
  <c r="Z10" i="1"/>
  <c r="AV10" i="1" s="1"/>
  <c r="BR10" i="1" s="1"/>
  <c r="X10" i="1"/>
  <c r="AT10" i="1" s="1"/>
  <c r="BP10" i="1" s="1"/>
  <c r="U10" i="1"/>
  <c r="T10" i="1"/>
  <c r="S10" i="1"/>
  <c r="BX10" i="1" l="1"/>
  <c r="V10" i="1"/>
  <c r="W10" i="1" s="1"/>
  <c r="AQ10" i="1"/>
  <c r="AVC10" i="1"/>
  <c r="CP10" i="1"/>
  <c r="AVE10" i="1"/>
  <c r="CR10" i="1"/>
  <c r="AVG10" i="1"/>
  <c r="CT10" i="1"/>
  <c r="AVI10" i="1"/>
  <c r="CV10" i="1"/>
  <c r="AVK10" i="1"/>
  <c r="CX10" i="1"/>
  <c r="AM10" i="1"/>
  <c r="AN10" i="1" s="1"/>
  <c r="BH10" i="1"/>
  <c r="AUY10" i="1"/>
  <c r="CL10" i="1"/>
  <c r="AVA10" i="1"/>
  <c r="CN10" i="1"/>
  <c r="AVD10" i="1"/>
  <c r="CQ10" i="1"/>
  <c r="AVF10" i="1"/>
  <c r="CS10" i="1"/>
  <c r="AVH10" i="1"/>
  <c r="CU10" i="1"/>
  <c r="AVJ10" i="1"/>
  <c r="CW10" i="1"/>
  <c r="AVL10" i="1"/>
  <c r="CY10" i="1"/>
  <c r="AVP10" i="1"/>
  <c r="DC10" i="1"/>
  <c r="AA10" i="1"/>
  <c r="AW10" i="1" s="1"/>
  <c r="BS10" i="1" s="1"/>
  <c r="CO10" i="1" s="1"/>
  <c r="AVF443" i="1"/>
  <c r="AVF442" i="1"/>
  <c r="AVF441" i="1"/>
  <c r="AVF440" i="1"/>
  <c r="AVF439" i="1"/>
  <c r="AVF438" i="1"/>
  <c r="AVF437" i="1"/>
  <c r="AVF436" i="1"/>
  <c r="AVF435" i="1"/>
  <c r="AVF434" i="1"/>
  <c r="AVF433" i="1"/>
  <c r="AVF431" i="1"/>
  <c r="AVF430" i="1"/>
  <c r="AVF429" i="1"/>
  <c r="AVF428" i="1"/>
  <c r="AVF427" i="1"/>
  <c r="AVF426" i="1"/>
  <c r="AVF425" i="1"/>
  <c r="AVE443" i="1"/>
  <c r="AVE442" i="1"/>
  <c r="AVE441" i="1"/>
  <c r="AVE440" i="1"/>
  <c r="AVE439" i="1"/>
  <c r="AVE438" i="1"/>
  <c r="AVE437" i="1"/>
  <c r="AVE436" i="1"/>
  <c r="AVE435" i="1"/>
  <c r="AVE434" i="1"/>
  <c r="AVE433" i="1"/>
  <c r="AVE431" i="1"/>
  <c r="AVE430" i="1"/>
  <c r="AVE429" i="1"/>
  <c r="AVE428" i="1"/>
  <c r="AVE427" i="1"/>
  <c r="AVE426" i="1"/>
  <c r="AVE425" i="1"/>
  <c r="AVD443" i="1"/>
  <c r="AVD442" i="1"/>
  <c r="AVD441" i="1"/>
  <c r="AVD440" i="1"/>
  <c r="AVD439" i="1"/>
  <c r="AVD438" i="1"/>
  <c r="AVD437" i="1"/>
  <c r="AVD436" i="1"/>
  <c r="AVD435" i="1"/>
  <c r="AVD434" i="1"/>
  <c r="AVD433" i="1"/>
  <c r="AVD431" i="1"/>
  <c r="AVD430" i="1"/>
  <c r="AVD429" i="1"/>
  <c r="AVD428" i="1"/>
  <c r="AVD427" i="1"/>
  <c r="AVD426" i="1"/>
  <c r="AVD425" i="1"/>
  <c r="AVC443" i="1"/>
  <c r="AVC442" i="1"/>
  <c r="AVC441" i="1"/>
  <c r="AVC440" i="1"/>
  <c r="AVC439" i="1"/>
  <c r="AVC438" i="1"/>
  <c r="AVC437" i="1"/>
  <c r="AVC436" i="1"/>
  <c r="AVC435" i="1"/>
  <c r="AVC434" i="1"/>
  <c r="AVC433" i="1"/>
  <c r="AVC431" i="1"/>
  <c r="AVC430" i="1"/>
  <c r="AVC429" i="1"/>
  <c r="AVC428" i="1"/>
  <c r="AVC427" i="1"/>
  <c r="AVC426" i="1"/>
  <c r="AVC425" i="1"/>
  <c r="AP10" i="1" l="1"/>
  <c r="CD10" i="1"/>
  <c r="BI10" i="1"/>
  <c r="BJ10" i="1" s="1"/>
  <c r="BL10" i="1"/>
  <c r="BM10" i="1"/>
  <c r="AR10" i="1"/>
  <c r="AS10" i="1" s="1"/>
  <c r="AVB10" i="1"/>
  <c r="AVB426" i="1"/>
  <c r="AVB430" i="1"/>
  <c r="AVB435" i="1"/>
  <c r="AVB439" i="1"/>
  <c r="AVB443" i="1"/>
  <c r="AVB436" i="1"/>
  <c r="AVB440" i="1"/>
  <c r="AVB425" i="1"/>
  <c r="AVB438" i="1"/>
  <c r="AVB428" i="1"/>
  <c r="AVB434" i="1"/>
  <c r="AVB429" i="1"/>
  <c r="AVB442" i="1"/>
  <c r="AVB433" i="1"/>
  <c r="AVB437" i="1"/>
  <c r="AVB441" i="1"/>
  <c r="AVB427" i="1"/>
  <c r="AVB431" i="1"/>
  <c r="AUW65" i="1"/>
  <c r="AUX65" i="1" s="1"/>
  <c r="AUW72" i="1"/>
  <c r="AUX72" i="1" s="1"/>
  <c r="AUW76" i="1"/>
  <c r="AUX76" i="1" s="1"/>
  <c r="AUW78" i="1"/>
  <c r="AUX78" i="1" s="1"/>
  <c r="AUW88" i="1"/>
  <c r="AUX88" i="1" s="1"/>
  <c r="AUW89" i="1"/>
  <c r="AUX89" i="1" s="1"/>
  <c r="AUW91" i="1"/>
  <c r="AUX91" i="1" s="1"/>
  <c r="AUW93" i="1"/>
  <c r="AUX93" i="1" s="1"/>
  <c r="AUW94" i="1"/>
  <c r="AUX94" i="1" s="1"/>
  <c r="AUW118" i="1"/>
  <c r="AUX118" i="1" s="1"/>
  <c r="AUW129" i="1"/>
  <c r="AUX129" i="1" s="1"/>
  <c r="AUW131" i="1"/>
  <c r="AUX131" i="1" s="1"/>
  <c r="AUW132" i="1"/>
  <c r="AUX132" i="1" s="1"/>
  <c r="AUW164" i="1"/>
  <c r="AUX164" i="1" s="1"/>
  <c r="AUW170" i="1"/>
  <c r="AUX170" i="1" s="1"/>
  <c r="AUW201" i="1"/>
  <c r="AUX201" i="1" s="1"/>
  <c r="AUW219" i="1"/>
  <c r="AUX219" i="1" s="1"/>
  <c r="AUW220" i="1"/>
  <c r="AUX220" i="1" s="1"/>
  <c r="AUW228" i="1"/>
  <c r="AUX228" i="1" s="1"/>
  <c r="AUW245" i="1"/>
  <c r="AUX245" i="1" s="1"/>
  <c r="AUW267" i="1"/>
  <c r="AUX267" i="1" s="1"/>
  <c r="AUW303" i="1"/>
  <c r="AUX303" i="1" s="1"/>
  <c r="AUW333" i="1"/>
  <c r="AUX333" i="1" s="1"/>
  <c r="AUW334" i="1"/>
  <c r="AUX334" i="1" s="1"/>
  <c r="AUW335" i="1"/>
  <c r="AUX335" i="1" s="1"/>
  <c r="AUW341" i="1"/>
  <c r="AUX341" i="1" s="1"/>
  <c r="AUW342" i="1"/>
  <c r="AUX342" i="1" s="1"/>
  <c r="AUW343" i="1"/>
  <c r="AUX343" i="1" s="1"/>
  <c r="AUW355" i="1"/>
  <c r="AUX355" i="1" s="1"/>
  <c r="AUW369" i="1"/>
  <c r="AUX369" i="1" s="1"/>
  <c r="AUW375" i="1"/>
  <c r="AUX375" i="1" s="1"/>
  <c r="AUW378" i="1"/>
  <c r="AUX378" i="1" s="1"/>
  <c r="AUW398" i="1"/>
  <c r="AUX398" i="1" s="1"/>
  <c r="AUW415" i="1"/>
  <c r="AUX415" i="1" s="1"/>
  <c r="AUW422" i="1"/>
  <c r="AUX422" i="1" s="1"/>
  <c r="AUW432" i="1"/>
  <c r="AUX432" i="1" s="1"/>
  <c r="AUW444" i="1"/>
  <c r="AUX444" i="1" s="1"/>
  <c r="AQ441" i="1"/>
  <c r="BH441" i="1"/>
  <c r="AT441" i="1"/>
  <c r="BP441" i="1" s="1"/>
  <c r="AUY441" i="1" s="1"/>
  <c r="AV441" i="1"/>
  <c r="BR441" i="1" s="1"/>
  <c r="AVA441" i="1" s="1"/>
  <c r="AX441" i="1"/>
  <c r="AY441" i="1"/>
  <c r="AZ441" i="1"/>
  <c r="BA441" i="1"/>
  <c r="BB441" i="1"/>
  <c r="BX441" i="1" s="1"/>
  <c r="AVG441" i="1" s="1"/>
  <c r="BC441" i="1"/>
  <c r="BY441" i="1" s="1"/>
  <c r="AVH441" i="1" s="1"/>
  <c r="BD441" i="1"/>
  <c r="BZ441" i="1" s="1"/>
  <c r="AVI441" i="1" s="1"/>
  <c r="BE441" i="1"/>
  <c r="CA441" i="1" s="1"/>
  <c r="AVJ441" i="1" s="1"/>
  <c r="BF441" i="1"/>
  <c r="CB441" i="1" s="1"/>
  <c r="AVK441" i="1" s="1"/>
  <c r="BG441" i="1"/>
  <c r="CC441" i="1" s="1"/>
  <c r="AVL441" i="1" s="1"/>
  <c r="BK441" i="1"/>
  <c r="CG441" i="1" s="1"/>
  <c r="AVP441" i="1" s="1"/>
  <c r="BK380" i="1"/>
  <c r="CG380" i="1" s="1"/>
  <c r="AVP380" i="1" s="1"/>
  <c r="BK381" i="1"/>
  <c r="CG381" i="1" s="1"/>
  <c r="AVP381" i="1" s="1"/>
  <c r="BK382" i="1"/>
  <c r="CG382" i="1" s="1"/>
  <c r="AVP382" i="1" s="1"/>
  <c r="BH380" i="1"/>
  <c r="BG380" i="1"/>
  <c r="CC380" i="1" s="1"/>
  <c r="AVL380" i="1" s="1"/>
  <c r="BF380" i="1"/>
  <c r="CB380" i="1" s="1"/>
  <c r="AVK380" i="1" s="1"/>
  <c r="BE380" i="1"/>
  <c r="CA380" i="1" s="1"/>
  <c r="AVJ380" i="1" s="1"/>
  <c r="BD380" i="1"/>
  <c r="BZ380" i="1" s="1"/>
  <c r="AVI380" i="1" s="1"/>
  <c r="BC380" i="1"/>
  <c r="BY380" i="1" s="1"/>
  <c r="AVH380" i="1" s="1"/>
  <c r="BB380" i="1"/>
  <c r="BA380" i="1"/>
  <c r="BW380" i="1" s="1"/>
  <c r="AVF380" i="1" s="1"/>
  <c r="AZ380" i="1"/>
  <c r="BV380" i="1" s="1"/>
  <c r="AVE380" i="1" s="1"/>
  <c r="AY380" i="1"/>
  <c r="BU380" i="1" s="1"/>
  <c r="AVD380" i="1" s="1"/>
  <c r="AX380" i="1"/>
  <c r="BT380" i="1" s="1"/>
  <c r="AVC380" i="1" s="1"/>
  <c r="AV380" i="1"/>
  <c r="BR380" i="1" s="1"/>
  <c r="AVA380" i="1" s="1"/>
  <c r="AT380" i="1"/>
  <c r="BP380" i="1" s="1"/>
  <c r="AUY380" i="1" s="1"/>
  <c r="AQ380" i="1"/>
  <c r="BK384" i="1"/>
  <c r="CG384" i="1" s="1"/>
  <c r="AVP384" i="1" s="1"/>
  <c r="BK383" i="1"/>
  <c r="CG383" i="1" s="1"/>
  <c r="AVP383" i="1" s="1"/>
  <c r="BK366" i="1"/>
  <c r="CG366" i="1" s="1"/>
  <c r="AVP366" i="1" s="1"/>
  <c r="BH366" i="1"/>
  <c r="BG366" i="1"/>
  <c r="CC366" i="1" s="1"/>
  <c r="AVL366" i="1" s="1"/>
  <c r="BF366" i="1"/>
  <c r="CB366" i="1" s="1"/>
  <c r="AVK366" i="1" s="1"/>
  <c r="BE366" i="1"/>
  <c r="CA366" i="1" s="1"/>
  <c r="AVJ366" i="1" s="1"/>
  <c r="BD366" i="1"/>
  <c r="BZ366" i="1" s="1"/>
  <c r="AVI366" i="1" s="1"/>
  <c r="BC366" i="1"/>
  <c r="BY366" i="1" s="1"/>
  <c r="AVH366" i="1" s="1"/>
  <c r="BB366" i="1"/>
  <c r="BA366" i="1"/>
  <c r="BW366" i="1" s="1"/>
  <c r="AVF366" i="1" s="1"/>
  <c r="AZ366" i="1"/>
  <c r="BV366" i="1" s="1"/>
  <c r="AVE366" i="1" s="1"/>
  <c r="AY366" i="1"/>
  <c r="BU366" i="1" s="1"/>
  <c r="AVD366" i="1" s="1"/>
  <c r="AX366" i="1"/>
  <c r="BT366" i="1" s="1"/>
  <c r="AVC366" i="1" s="1"/>
  <c r="AV366" i="1"/>
  <c r="BR366" i="1" s="1"/>
  <c r="AVA366" i="1" s="1"/>
  <c r="AT366" i="1"/>
  <c r="BP366" i="1" s="1"/>
  <c r="AUY366" i="1" s="1"/>
  <c r="AQ366" i="1"/>
  <c r="AO367" i="1"/>
  <c r="BK367" i="1" s="1"/>
  <c r="CG367" i="1" s="1"/>
  <c r="AVP367" i="1" s="1"/>
  <c r="BB354" i="1"/>
  <c r="BH354" i="1"/>
  <c r="BI354" i="1" s="1"/>
  <c r="AV354" i="1"/>
  <c r="BR354" i="1" s="1"/>
  <c r="AVA354" i="1" s="1"/>
  <c r="AX354" i="1"/>
  <c r="BT354" i="1" s="1"/>
  <c r="AVC354" i="1" s="1"/>
  <c r="AY354" i="1"/>
  <c r="BU354" i="1" s="1"/>
  <c r="AVD354" i="1" s="1"/>
  <c r="AZ354" i="1"/>
  <c r="BV354" i="1" s="1"/>
  <c r="AVE354" i="1" s="1"/>
  <c r="BA354" i="1"/>
  <c r="BW354" i="1" s="1"/>
  <c r="AVF354" i="1" s="1"/>
  <c r="BC354" i="1"/>
  <c r="BY354" i="1" s="1"/>
  <c r="AVH354" i="1" s="1"/>
  <c r="BD354" i="1"/>
  <c r="BZ354" i="1" s="1"/>
  <c r="AVI354" i="1" s="1"/>
  <c r="BE354" i="1"/>
  <c r="CA354" i="1" s="1"/>
  <c r="AVJ354" i="1" s="1"/>
  <c r="BF354" i="1"/>
  <c r="CB354" i="1" s="1"/>
  <c r="AVK354" i="1" s="1"/>
  <c r="BG354" i="1"/>
  <c r="CC354" i="1" s="1"/>
  <c r="AVL354" i="1" s="1"/>
  <c r="BK354" i="1"/>
  <c r="CG354" i="1" s="1"/>
  <c r="AVP354" i="1" s="1"/>
  <c r="AT354" i="1"/>
  <c r="BP354" i="1" s="1"/>
  <c r="AUY354" i="1" s="1"/>
  <c r="AQ354" i="1"/>
  <c r="AR354" i="1" s="1"/>
  <c r="T354" i="1"/>
  <c r="S354" i="1"/>
  <c r="BH307" i="1"/>
  <c r="BI307" i="1" s="1"/>
  <c r="AX307" i="1"/>
  <c r="BT307" i="1" s="1"/>
  <c r="AVC307" i="1" s="1"/>
  <c r="AQ307" i="1"/>
  <c r="BH306" i="1"/>
  <c r="AZ306" i="1"/>
  <c r="BV306" i="1" s="1"/>
  <c r="AVE306" i="1" s="1"/>
  <c r="AQ306" i="1"/>
  <c r="AR306" i="1" s="1"/>
  <c r="AS306" i="1" s="1"/>
  <c r="BK306" i="1"/>
  <c r="CG306" i="1" s="1"/>
  <c r="AVP306" i="1" s="1"/>
  <c r="BK307" i="1"/>
  <c r="CG307" i="1" s="1"/>
  <c r="AVP307" i="1" s="1"/>
  <c r="BK308" i="1"/>
  <c r="CG308" i="1" s="1"/>
  <c r="AVP308" i="1" s="1"/>
  <c r="BK309" i="1"/>
  <c r="CG309" i="1" s="1"/>
  <c r="AVP309" i="1" s="1"/>
  <c r="BK310" i="1"/>
  <c r="CG310" i="1" s="1"/>
  <c r="AVP310" i="1" s="1"/>
  <c r="BK311" i="1"/>
  <c r="CG311" i="1" s="1"/>
  <c r="AVP311" i="1" s="1"/>
  <c r="BK312" i="1"/>
  <c r="CG312" i="1" s="1"/>
  <c r="AVP312" i="1" s="1"/>
  <c r="BH308" i="1"/>
  <c r="BH309" i="1"/>
  <c r="BI309" i="1" s="1"/>
  <c r="BH310" i="1"/>
  <c r="BG306" i="1"/>
  <c r="CC306" i="1" s="1"/>
  <c r="AVL306" i="1" s="1"/>
  <c r="BG307" i="1"/>
  <c r="CC307" i="1" s="1"/>
  <c r="AVL307" i="1" s="1"/>
  <c r="BG308" i="1"/>
  <c r="CC308" i="1" s="1"/>
  <c r="AVL308" i="1" s="1"/>
  <c r="BG309" i="1"/>
  <c r="CC309" i="1" s="1"/>
  <c r="AVL309" i="1" s="1"/>
  <c r="BG310" i="1"/>
  <c r="CC310" i="1" s="1"/>
  <c r="AVL310" i="1" s="1"/>
  <c r="BF306" i="1"/>
  <c r="CB306" i="1" s="1"/>
  <c r="AVK306" i="1" s="1"/>
  <c r="BF307" i="1"/>
  <c r="CB307" i="1" s="1"/>
  <c r="AVK307" i="1" s="1"/>
  <c r="BF308" i="1"/>
  <c r="CB308" i="1" s="1"/>
  <c r="AVK308" i="1" s="1"/>
  <c r="BF309" i="1"/>
  <c r="CB309" i="1" s="1"/>
  <c r="AVK309" i="1" s="1"/>
  <c r="BF310" i="1"/>
  <c r="CB310" i="1" s="1"/>
  <c r="AVK310" i="1" s="1"/>
  <c r="BE306" i="1"/>
  <c r="CA306" i="1" s="1"/>
  <c r="AVJ306" i="1" s="1"/>
  <c r="BE307" i="1"/>
  <c r="CA307" i="1" s="1"/>
  <c r="AVJ307" i="1" s="1"/>
  <c r="BE308" i="1"/>
  <c r="CA308" i="1" s="1"/>
  <c r="AVJ308" i="1" s="1"/>
  <c r="BE309" i="1"/>
  <c r="CA309" i="1" s="1"/>
  <c r="AVJ309" i="1" s="1"/>
  <c r="BE310" i="1"/>
  <c r="CA310" i="1" s="1"/>
  <c r="AVJ310" i="1" s="1"/>
  <c r="BD306" i="1"/>
  <c r="BZ306" i="1" s="1"/>
  <c r="AVI306" i="1" s="1"/>
  <c r="BD307" i="1"/>
  <c r="BZ307" i="1" s="1"/>
  <c r="AVI307" i="1" s="1"/>
  <c r="BD308" i="1"/>
  <c r="BZ308" i="1" s="1"/>
  <c r="AVI308" i="1" s="1"/>
  <c r="BD309" i="1"/>
  <c r="BZ309" i="1" s="1"/>
  <c r="AVI309" i="1" s="1"/>
  <c r="BD310" i="1"/>
  <c r="BZ310" i="1" s="1"/>
  <c r="AVI310" i="1" s="1"/>
  <c r="BC306" i="1"/>
  <c r="BY306" i="1" s="1"/>
  <c r="AVH306" i="1" s="1"/>
  <c r="BC307" i="1"/>
  <c r="BY307" i="1" s="1"/>
  <c r="AVH307" i="1" s="1"/>
  <c r="BC308" i="1"/>
  <c r="BY308" i="1" s="1"/>
  <c r="AVH308" i="1" s="1"/>
  <c r="BC309" i="1"/>
  <c r="BY309" i="1" s="1"/>
  <c r="AVH309" i="1" s="1"/>
  <c r="BC310" i="1"/>
  <c r="BY310" i="1" s="1"/>
  <c r="AVH310" i="1" s="1"/>
  <c r="BB306" i="1"/>
  <c r="BB307" i="1"/>
  <c r="BB308" i="1"/>
  <c r="BB309" i="1"/>
  <c r="BB310" i="1"/>
  <c r="BA306" i="1"/>
  <c r="BW306" i="1" s="1"/>
  <c r="AVF306" i="1" s="1"/>
  <c r="BA307" i="1"/>
  <c r="BW307" i="1" s="1"/>
  <c r="AVF307" i="1" s="1"/>
  <c r="BA308" i="1"/>
  <c r="BW308" i="1" s="1"/>
  <c r="AVF308" i="1" s="1"/>
  <c r="BA309" i="1"/>
  <c r="BW309" i="1" s="1"/>
  <c r="AVF309" i="1" s="1"/>
  <c r="BA310" i="1"/>
  <c r="BW310" i="1" s="1"/>
  <c r="AVF310" i="1" s="1"/>
  <c r="AZ307" i="1"/>
  <c r="BV307" i="1" s="1"/>
  <c r="AVE307" i="1" s="1"/>
  <c r="AZ308" i="1"/>
  <c r="BV308" i="1" s="1"/>
  <c r="AVE308" i="1" s="1"/>
  <c r="AZ309" i="1"/>
  <c r="BV309" i="1" s="1"/>
  <c r="AVE309" i="1" s="1"/>
  <c r="AZ310" i="1"/>
  <c r="BV310" i="1" s="1"/>
  <c r="AVE310" i="1" s="1"/>
  <c r="AY306" i="1"/>
  <c r="BU306" i="1" s="1"/>
  <c r="AVD306" i="1" s="1"/>
  <c r="AY307" i="1"/>
  <c r="BU307" i="1" s="1"/>
  <c r="AVD307" i="1" s="1"/>
  <c r="AY308" i="1"/>
  <c r="BU308" i="1" s="1"/>
  <c r="AVD308" i="1" s="1"/>
  <c r="AY309" i="1"/>
  <c r="BU309" i="1" s="1"/>
  <c r="AVD309" i="1" s="1"/>
  <c r="AY310" i="1"/>
  <c r="BU310" i="1" s="1"/>
  <c r="AVD310" i="1" s="1"/>
  <c r="AX306" i="1"/>
  <c r="BT306" i="1" s="1"/>
  <c r="AVC306" i="1" s="1"/>
  <c r="AX308" i="1"/>
  <c r="BT308" i="1" s="1"/>
  <c r="AVC308" i="1" s="1"/>
  <c r="AX309" i="1"/>
  <c r="BT309" i="1" s="1"/>
  <c r="AVC309" i="1" s="1"/>
  <c r="AX310" i="1"/>
  <c r="BT310" i="1" s="1"/>
  <c r="AVC310" i="1" s="1"/>
  <c r="AV306" i="1"/>
  <c r="BR306" i="1" s="1"/>
  <c r="AVA306" i="1" s="1"/>
  <c r="AV307" i="1"/>
  <c r="BR307" i="1" s="1"/>
  <c r="AVA307" i="1" s="1"/>
  <c r="AV308" i="1"/>
  <c r="BR308" i="1" s="1"/>
  <c r="AVA308" i="1" s="1"/>
  <c r="AV309" i="1"/>
  <c r="BR309" i="1" s="1"/>
  <c r="AVA309" i="1" s="1"/>
  <c r="AV310" i="1"/>
  <c r="BR310" i="1" s="1"/>
  <c r="AVA310" i="1" s="1"/>
  <c r="AT306" i="1"/>
  <c r="BP306" i="1" s="1"/>
  <c r="AUY306" i="1" s="1"/>
  <c r="AT307" i="1"/>
  <c r="BP307" i="1" s="1"/>
  <c r="AUY307" i="1" s="1"/>
  <c r="AT308" i="1"/>
  <c r="BP308" i="1" s="1"/>
  <c r="AUY308" i="1" s="1"/>
  <c r="AT309" i="1"/>
  <c r="BP309" i="1" s="1"/>
  <c r="AUY309" i="1" s="1"/>
  <c r="AT310" i="1"/>
  <c r="BP310" i="1" s="1"/>
  <c r="AUY310" i="1" s="1"/>
  <c r="AQ308" i="1"/>
  <c r="AQ309" i="1"/>
  <c r="AR309" i="1" s="1"/>
  <c r="AS309" i="1" s="1"/>
  <c r="AQ310" i="1"/>
  <c r="T312" i="1"/>
  <c r="T311" i="1"/>
  <c r="T310" i="1"/>
  <c r="T309" i="1"/>
  <c r="T308" i="1"/>
  <c r="T307" i="1"/>
  <c r="T306" i="1"/>
  <c r="S312" i="1"/>
  <c r="S311" i="1"/>
  <c r="S310" i="1"/>
  <c r="S309" i="1"/>
  <c r="S308" i="1"/>
  <c r="S307" i="1"/>
  <c r="S306" i="1"/>
  <c r="AQ286" i="1"/>
  <c r="AT286" i="1"/>
  <c r="BP286" i="1" s="1"/>
  <c r="AUY286" i="1" s="1"/>
  <c r="AV286" i="1"/>
  <c r="BR286" i="1" s="1"/>
  <c r="AY286" i="1"/>
  <c r="BU286" i="1" s="1"/>
  <c r="AVD286" i="1" s="1"/>
  <c r="BA286" i="1"/>
  <c r="BW286" i="1" s="1"/>
  <c r="AVF286" i="1" s="1"/>
  <c r="BB286" i="1"/>
  <c r="BC286" i="1"/>
  <c r="BY286" i="1" s="1"/>
  <c r="AVH286" i="1" s="1"/>
  <c r="BD286" i="1"/>
  <c r="BZ286" i="1" s="1"/>
  <c r="AVI286" i="1" s="1"/>
  <c r="BE286" i="1"/>
  <c r="CA286" i="1" s="1"/>
  <c r="AVJ286" i="1" s="1"/>
  <c r="BF286" i="1"/>
  <c r="CB286" i="1" s="1"/>
  <c r="AVK286" i="1" s="1"/>
  <c r="BG286" i="1"/>
  <c r="CC286" i="1" s="1"/>
  <c r="AVL286" i="1" s="1"/>
  <c r="BK286" i="1"/>
  <c r="CG286" i="1" s="1"/>
  <c r="AVP286" i="1" s="1"/>
  <c r="AZ286" i="1"/>
  <c r="BV286" i="1" s="1"/>
  <c r="AVE286" i="1" s="1"/>
  <c r="AX286" i="1"/>
  <c r="BT286" i="1" s="1"/>
  <c r="AVC286" i="1" s="1"/>
  <c r="T286" i="1"/>
  <c r="S286" i="1"/>
  <c r="AV279" i="1"/>
  <c r="BR279" i="1" s="1"/>
  <c r="AVA279" i="1" s="1"/>
  <c r="AX279" i="1"/>
  <c r="BT279" i="1" s="1"/>
  <c r="AVC279" i="1" s="1"/>
  <c r="AY279" i="1"/>
  <c r="BU279" i="1" s="1"/>
  <c r="AVD279" i="1" s="1"/>
  <c r="AZ279" i="1"/>
  <c r="BV279" i="1" s="1"/>
  <c r="AVE279" i="1" s="1"/>
  <c r="BA279" i="1"/>
  <c r="BW279" i="1" s="1"/>
  <c r="AVF279" i="1" s="1"/>
  <c r="BB279" i="1"/>
  <c r="BC279" i="1"/>
  <c r="BY279" i="1" s="1"/>
  <c r="AVH279" i="1" s="1"/>
  <c r="BD279" i="1"/>
  <c r="BZ279" i="1" s="1"/>
  <c r="AVI279" i="1" s="1"/>
  <c r="BE279" i="1"/>
  <c r="CA279" i="1" s="1"/>
  <c r="AVJ279" i="1" s="1"/>
  <c r="BF279" i="1"/>
  <c r="CB279" i="1" s="1"/>
  <c r="AVK279" i="1" s="1"/>
  <c r="BG279" i="1"/>
  <c r="CC279" i="1" s="1"/>
  <c r="AVL279" i="1" s="1"/>
  <c r="BH279" i="1"/>
  <c r="BK279" i="1"/>
  <c r="CG279" i="1" s="1"/>
  <c r="AVP279" i="1" s="1"/>
  <c r="AT279" i="1"/>
  <c r="BP279" i="1" s="1"/>
  <c r="AUY279" i="1" s="1"/>
  <c r="AQ279" i="1"/>
  <c r="BK278" i="1"/>
  <c r="CG278" i="1" s="1"/>
  <c r="AVP278" i="1" s="1"/>
  <c r="BH278" i="1"/>
  <c r="AV278" i="1"/>
  <c r="BR278" i="1" s="1"/>
  <c r="AVA278" i="1" s="1"/>
  <c r="AX278" i="1"/>
  <c r="BT278" i="1" s="1"/>
  <c r="AVC278" i="1" s="1"/>
  <c r="AY278" i="1"/>
  <c r="BU278" i="1" s="1"/>
  <c r="AVD278" i="1" s="1"/>
  <c r="AZ278" i="1"/>
  <c r="BV278" i="1" s="1"/>
  <c r="AVE278" i="1" s="1"/>
  <c r="BA278" i="1"/>
  <c r="BW278" i="1" s="1"/>
  <c r="AVF278" i="1" s="1"/>
  <c r="BB278" i="1"/>
  <c r="BC278" i="1"/>
  <c r="BY278" i="1" s="1"/>
  <c r="AVH278" i="1" s="1"/>
  <c r="BD278" i="1"/>
  <c r="BZ278" i="1" s="1"/>
  <c r="AVI278" i="1" s="1"/>
  <c r="BE278" i="1"/>
  <c r="CA278" i="1" s="1"/>
  <c r="AVJ278" i="1" s="1"/>
  <c r="BF278" i="1"/>
  <c r="CB278" i="1" s="1"/>
  <c r="AVK278" i="1" s="1"/>
  <c r="BG278" i="1"/>
  <c r="CC278" i="1" s="1"/>
  <c r="AVL278" i="1" s="1"/>
  <c r="AT278" i="1"/>
  <c r="BP278" i="1" s="1"/>
  <c r="AUY278" i="1" s="1"/>
  <c r="AQ278" i="1"/>
  <c r="AR278" i="1" s="1"/>
  <c r="AS278" i="1" s="1"/>
  <c r="BI279" i="1"/>
  <c r="T279" i="1"/>
  <c r="S279" i="1"/>
  <c r="T278" i="1"/>
  <c r="S278" i="1"/>
  <c r="AW278" i="1"/>
  <c r="AV246" i="1"/>
  <c r="BR246" i="1" s="1"/>
  <c r="AY246" i="1"/>
  <c r="BU246" i="1" s="1"/>
  <c r="AVD246" i="1" s="1"/>
  <c r="BA246" i="1"/>
  <c r="BW246" i="1" s="1"/>
  <c r="AVF246" i="1" s="1"/>
  <c r="BB246" i="1"/>
  <c r="BX246" i="1" s="1"/>
  <c r="AVG246" i="1" s="1"/>
  <c r="BC246" i="1"/>
  <c r="BY246" i="1" s="1"/>
  <c r="AVH246" i="1" s="1"/>
  <c r="BD246" i="1"/>
  <c r="BZ246" i="1" s="1"/>
  <c r="AVI246" i="1" s="1"/>
  <c r="BE246" i="1"/>
  <c r="CA246" i="1" s="1"/>
  <c r="AVJ246" i="1" s="1"/>
  <c r="BF246" i="1"/>
  <c r="CB246" i="1" s="1"/>
  <c r="AVK246" i="1" s="1"/>
  <c r="BG246" i="1"/>
  <c r="CC246" i="1" s="1"/>
  <c r="AVL246" i="1" s="1"/>
  <c r="BK246" i="1"/>
  <c r="CG246" i="1" s="1"/>
  <c r="AVP246" i="1" s="1"/>
  <c r="AT246" i="1"/>
  <c r="BP246" i="1" s="1"/>
  <c r="AUY246" i="1" s="1"/>
  <c r="BH246" i="1"/>
  <c r="AZ246" i="1"/>
  <c r="BV246" i="1" s="1"/>
  <c r="AVE246" i="1" s="1"/>
  <c r="AX246" i="1"/>
  <c r="BT246" i="1" s="1"/>
  <c r="AVC246" i="1" s="1"/>
  <c r="AQ246" i="1"/>
  <c r="T246" i="1"/>
  <c r="S246" i="1"/>
  <c r="AT233" i="1"/>
  <c r="BP233" i="1" s="1"/>
  <c r="AUY233" i="1" s="1"/>
  <c r="AV233" i="1"/>
  <c r="BR233" i="1" s="1"/>
  <c r="AY233" i="1"/>
  <c r="BU233" i="1" s="1"/>
  <c r="AVD233" i="1" s="1"/>
  <c r="BA233" i="1"/>
  <c r="BW233" i="1" s="1"/>
  <c r="AVF233" i="1" s="1"/>
  <c r="BB233" i="1"/>
  <c r="BC233" i="1"/>
  <c r="BY233" i="1" s="1"/>
  <c r="AVH233" i="1" s="1"/>
  <c r="BD233" i="1"/>
  <c r="BZ233" i="1" s="1"/>
  <c r="AVI233" i="1" s="1"/>
  <c r="BE233" i="1"/>
  <c r="CA233" i="1" s="1"/>
  <c r="AVJ233" i="1" s="1"/>
  <c r="BF233" i="1"/>
  <c r="CB233" i="1" s="1"/>
  <c r="AVK233" i="1" s="1"/>
  <c r="BG233" i="1"/>
  <c r="CC233" i="1" s="1"/>
  <c r="AVL233" i="1" s="1"/>
  <c r="BK233" i="1"/>
  <c r="CG233" i="1" s="1"/>
  <c r="AVP233" i="1" s="1"/>
  <c r="BH233" i="1"/>
  <c r="AZ233" i="1"/>
  <c r="BV233" i="1" s="1"/>
  <c r="AVE233" i="1" s="1"/>
  <c r="AX233" i="1"/>
  <c r="BT233" i="1" s="1"/>
  <c r="AVC233" i="1" s="1"/>
  <c r="AQ233" i="1"/>
  <c r="BJ233" i="1"/>
  <c r="T233" i="1"/>
  <c r="S233" i="1"/>
  <c r="AV208" i="1"/>
  <c r="BR208" i="1" s="1"/>
  <c r="AVA208" i="1" s="1"/>
  <c r="AX208" i="1"/>
  <c r="BT208" i="1" s="1"/>
  <c r="AVC208" i="1" s="1"/>
  <c r="AY208" i="1"/>
  <c r="BU208" i="1" s="1"/>
  <c r="AVD208" i="1" s="1"/>
  <c r="AZ208" i="1"/>
  <c r="BV208" i="1" s="1"/>
  <c r="AVE208" i="1" s="1"/>
  <c r="BA208" i="1"/>
  <c r="BW208" i="1" s="1"/>
  <c r="AVF208" i="1" s="1"/>
  <c r="BB208" i="1"/>
  <c r="BC208" i="1"/>
  <c r="BY208" i="1" s="1"/>
  <c r="AVH208" i="1" s="1"/>
  <c r="BD208" i="1"/>
  <c r="BZ208" i="1" s="1"/>
  <c r="AVI208" i="1" s="1"/>
  <c r="BE208" i="1"/>
  <c r="CA208" i="1" s="1"/>
  <c r="AVJ208" i="1" s="1"/>
  <c r="BF208" i="1"/>
  <c r="CB208" i="1" s="1"/>
  <c r="AVK208" i="1" s="1"/>
  <c r="BG208" i="1"/>
  <c r="CC208" i="1" s="1"/>
  <c r="AVL208" i="1" s="1"/>
  <c r="BH208" i="1"/>
  <c r="BK208" i="1"/>
  <c r="CG208" i="1" s="1"/>
  <c r="AVP208" i="1" s="1"/>
  <c r="AT208" i="1"/>
  <c r="BP208" i="1" s="1"/>
  <c r="AUY208" i="1" s="1"/>
  <c r="AQ208" i="1"/>
  <c r="AR208" i="1" s="1"/>
  <c r="BI208" i="1"/>
  <c r="BL208" i="1"/>
  <c r="T208" i="1"/>
  <c r="S208" i="1"/>
  <c r="AV198" i="1"/>
  <c r="BR198" i="1" s="1"/>
  <c r="AY198" i="1"/>
  <c r="BU198" i="1" s="1"/>
  <c r="AVD198" i="1" s="1"/>
  <c r="BA198" i="1"/>
  <c r="BW198" i="1" s="1"/>
  <c r="AVF198" i="1" s="1"/>
  <c r="BB198" i="1"/>
  <c r="BX198" i="1" s="1"/>
  <c r="AVG198" i="1" s="1"/>
  <c r="BC198" i="1"/>
  <c r="BY198" i="1" s="1"/>
  <c r="AVH198" i="1" s="1"/>
  <c r="BD198" i="1"/>
  <c r="BZ198" i="1" s="1"/>
  <c r="AVI198" i="1" s="1"/>
  <c r="BE198" i="1"/>
  <c r="CA198" i="1" s="1"/>
  <c r="AVJ198" i="1" s="1"/>
  <c r="BF198" i="1"/>
  <c r="CB198" i="1" s="1"/>
  <c r="AVK198" i="1" s="1"/>
  <c r="BG198" i="1"/>
  <c r="CC198" i="1" s="1"/>
  <c r="AVL198" i="1" s="1"/>
  <c r="BK198" i="1"/>
  <c r="CG198" i="1" s="1"/>
  <c r="AVP198" i="1" s="1"/>
  <c r="AT198" i="1"/>
  <c r="BP198" i="1" s="1"/>
  <c r="AUY198" i="1" s="1"/>
  <c r="BH198" i="1"/>
  <c r="AZ198" i="1"/>
  <c r="BV198" i="1" s="1"/>
  <c r="AVE198" i="1" s="1"/>
  <c r="AX198" i="1"/>
  <c r="BT198" i="1" s="1"/>
  <c r="AVC198" i="1" s="1"/>
  <c r="AQ198" i="1"/>
  <c r="T198" i="1"/>
  <c r="S198" i="1"/>
  <c r="BM278" i="1" l="1"/>
  <c r="AUV278" i="1" s="1"/>
  <c r="AUW278" i="1" s="1"/>
  <c r="AUX278" i="1" s="1"/>
  <c r="AUV10" i="1"/>
  <c r="CI10" i="1"/>
  <c r="BN10" i="1"/>
  <c r="CJ10" i="1" s="1"/>
  <c r="CH10" i="1"/>
  <c r="AVM10" i="1"/>
  <c r="AVN10" i="1" s="1"/>
  <c r="AVO10" i="1" s="1"/>
  <c r="CE10" i="1"/>
  <c r="DA10" i="1" s="1"/>
  <c r="CZ10" i="1"/>
  <c r="BM279" i="1"/>
  <c r="AUV279" i="1" s="1"/>
  <c r="AUW279" i="1" s="1"/>
  <c r="AUX279" i="1" s="1"/>
  <c r="AVB380" i="1"/>
  <c r="BX278" i="1"/>
  <c r="AVG278" i="1" s="1"/>
  <c r="BX354" i="1"/>
  <c r="AVG354" i="1" s="1"/>
  <c r="AVA233" i="1"/>
  <c r="BX233" i="1"/>
  <c r="AVG233" i="1" s="1"/>
  <c r="BM246" i="1"/>
  <c r="AUV246" i="1" s="1"/>
  <c r="AUW246" i="1" s="1"/>
  <c r="AUX246" i="1" s="1"/>
  <c r="CD278" i="1"/>
  <c r="AVM278" i="1" s="1"/>
  <c r="AVN278" i="1" s="1"/>
  <c r="AVO278" i="1" s="1"/>
  <c r="BX309" i="1"/>
  <c r="AVG309" i="1" s="1"/>
  <c r="BM366" i="1"/>
  <c r="AUV366" i="1" s="1"/>
  <c r="AUW366" i="1" s="1"/>
  <c r="AUX366" i="1" s="1"/>
  <c r="BX310" i="1"/>
  <c r="AVG310" i="1" s="1"/>
  <c r="BX306" i="1"/>
  <c r="AVG306" i="1" s="1"/>
  <c r="CD308" i="1"/>
  <c r="AVM308" i="1" s="1"/>
  <c r="AVN308" i="1" s="1"/>
  <c r="AVO308" i="1" s="1"/>
  <c r="BM307" i="1"/>
  <c r="AUV307" i="1" s="1"/>
  <c r="AUW307" i="1" s="1"/>
  <c r="AUX307" i="1" s="1"/>
  <c r="BX366" i="1"/>
  <c r="AVG366" i="1" s="1"/>
  <c r="BX380" i="1"/>
  <c r="AVG380" i="1" s="1"/>
  <c r="CD380" i="1"/>
  <c r="AVM380" i="1" s="1"/>
  <c r="AVN380" i="1" s="1"/>
  <c r="AVO380" i="1" s="1"/>
  <c r="BM441" i="1"/>
  <c r="AUV441" i="1" s="1"/>
  <c r="AUW441" i="1" s="1"/>
  <c r="AUX441" i="1" s="1"/>
  <c r="BX307" i="1"/>
  <c r="AVG307" i="1" s="1"/>
  <c r="CD306" i="1"/>
  <c r="AVM306" i="1" s="1"/>
  <c r="AVN306" i="1" s="1"/>
  <c r="AVO306" i="1" s="1"/>
  <c r="CD441" i="1"/>
  <c r="AVM441" i="1" s="1"/>
  <c r="AVN441" i="1" s="1"/>
  <c r="AVO441" i="1" s="1"/>
  <c r="CD279" i="1"/>
  <c r="AVM279" i="1" s="1"/>
  <c r="AVN279" i="1" s="1"/>
  <c r="AVO279" i="1" s="1"/>
  <c r="BX308" i="1"/>
  <c r="AVG308" i="1" s="1"/>
  <c r="CD310" i="1"/>
  <c r="AVM310" i="1" s="1"/>
  <c r="AVN310" i="1" s="1"/>
  <c r="AVO310" i="1" s="1"/>
  <c r="CD366" i="1"/>
  <c r="AVM366" i="1" s="1"/>
  <c r="AVN366" i="1" s="1"/>
  <c r="AVO366" i="1" s="1"/>
  <c r="AVA246" i="1"/>
  <c r="AVA198" i="1"/>
  <c r="AVA286" i="1"/>
  <c r="AVB246" i="1"/>
  <c r="AVB310" i="1"/>
  <c r="AVB278" i="1"/>
  <c r="AVB309" i="1"/>
  <c r="AVB208" i="1"/>
  <c r="AVB286" i="1"/>
  <c r="AVB306" i="1"/>
  <c r="AVB307" i="1"/>
  <c r="AVB354" i="1"/>
  <c r="AVB198" i="1"/>
  <c r="AVB233" i="1"/>
  <c r="AVB279" i="1"/>
  <c r="AVB308" i="1"/>
  <c r="AVB366" i="1"/>
  <c r="BI380" i="1"/>
  <c r="BJ380" i="1" s="1"/>
  <c r="BX279" i="1"/>
  <c r="AVG279" i="1" s="1"/>
  <c r="BX286" i="1"/>
  <c r="AVG286" i="1" s="1"/>
  <c r="AR441" i="1"/>
  <c r="AS441" i="1" s="1"/>
  <c r="BM354" i="1"/>
  <c r="CD307" i="1"/>
  <c r="AW308" i="1"/>
  <c r="BS308" i="1" s="1"/>
  <c r="BJ208" i="1"/>
  <c r="AR307" i="1"/>
  <c r="AS307" i="1" s="1"/>
  <c r="BI441" i="1"/>
  <c r="BJ441" i="1" s="1"/>
  <c r="BI308" i="1"/>
  <c r="BJ308" i="1" s="1"/>
  <c r="AS354" i="1"/>
  <c r="AW380" i="1"/>
  <c r="BS380" i="1" s="1"/>
  <c r="BM380" i="1"/>
  <c r="AUV380" i="1" s="1"/>
  <c r="AUW380" i="1" s="1"/>
  <c r="AUX380" i="1" s="1"/>
  <c r="BI310" i="1"/>
  <c r="BJ310" i="1" s="1"/>
  <c r="BI366" i="1"/>
  <c r="BJ366" i="1" s="1"/>
  <c r="AR380" i="1"/>
  <c r="AS380" i="1" s="1"/>
  <c r="AW441" i="1"/>
  <c r="BS441" i="1" s="1"/>
  <c r="BS278" i="1"/>
  <c r="BL278" i="1"/>
  <c r="BN278" i="1"/>
  <c r="BO278" i="1" s="1"/>
  <c r="BJ279" i="1"/>
  <c r="AR279" i="1"/>
  <c r="AS279" i="1" s="1"/>
  <c r="AW286" i="1"/>
  <c r="BS286" i="1" s="1"/>
  <c r="BH286" i="1"/>
  <c r="AW310" i="1"/>
  <c r="BS310" i="1" s="1"/>
  <c r="BJ309" i="1"/>
  <c r="BM308" i="1"/>
  <c r="AUV308" i="1" s="1"/>
  <c r="AUW308" i="1" s="1"/>
  <c r="AUX308" i="1" s="1"/>
  <c r="CD309" i="1"/>
  <c r="AVM309" i="1" s="1"/>
  <c r="BJ354" i="1"/>
  <c r="CD354" i="1"/>
  <c r="AVM354" i="1" s="1"/>
  <c r="AR366" i="1"/>
  <c r="AS366" i="1" s="1"/>
  <c r="CD233" i="1"/>
  <c r="BI278" i="1"/>
  <c r="BJ278" i="1" s="1"/>
  <c r="AR308" i="1"/>
  <c r="AS308" i="1" s="1"/>
  <c r="BM309" i="1"/>
  <c r="AUV309" i="1" s="1"/>
  <c r="AUW309" i="1" s="1"/>
  <c r="AUX309" i="1" s="1"/>
  <c r="AW354" i="1"/>
  <c r="BM310" i="1"/>
  <c r="AUV310" i="1" s="1"/>
  <c r="AUW310" i="1" s="1"/>
  <c r="AUX310" i="1" s="1"/>
  <c r="BM306" i="1"/>
  <c r="AUV306" i="1" s="1"/>
  <c r="AUW306" i="1" s="1"/>
  <c r="AUX306" i="1" s="1"/>
  <c r="AW366" i="1"/>
  <c r="BS366" i="1" s="1"/>
  <c r="AW279" i="1"/>
  <c r="BS279" i="1" s="1"/>
  <c r="AR310" i="1"/>
  <c r="AS310" i="1" s="1"/>
  <c r="AW309" i="1"/>
  <c r="BS309" i="1" s="1"/>
  <c r="BM286" i="1"/>
  <c r="AUV286" i="1" s="1"/>
  <c r="AUW286" i="1" s="1"/>
  <c r="AUX286" i="1" s="1"/>
  <c r="AR286" i="1"/>
  <c r="BJ307" i="1"/>
  <c r="BI306" i="1"/>
  <c r="BJ306" i="1" s="1"/>
  <c r="BI246" i="1"/>
  <c r="CE246" i="1" s="1"/>
  <c r="CD246" i="1"/>
  <c r="AVM246" i="1" s="1"/>
  <c r="AR246" i="1"/>
  <c r="AS246" i="1" s="1"/>
  <c r="BX208" i="1"/>
  <c r="AVG208" i="1" s="1"/>
  <c r="CD208" i="1"/>
  <c r="BI233" i="1"/>
  <c r="AR198" i="1"/>
  <c r="AS198" i="1" s="1"/>
  <c r="BM198" i="1"/>
  <c r="AUV198" i="1" s="1"/>
  <c r="AUW198" i="1" s="1"/>
  <c r="AUX198" i="1" s="1"/>
  <c r="BM233" i="1"/>
  <c r="AUV233" i="1" s="1"/>
  <c r="AUW233" i="1" s="1"/>
  <c r="AUX233" i="1" s="1"/>
  <c r="AR233" i="1"/>
  <c r="AS233" i="1" s="1"/>
  <c r="CD198" i="1"/>
  <c r="AVM198" i="1" s="1"/>
  <c r="BI198" i="1"/>
  <c r="BJ198" i="1" s="1"/>
  <c r="AS208" i="1"/>
  <c r="BM208" i="1"/>
  <c r="AUV208" i="1" s="1"/>
  <c r="AUW208" i="1" s="1"/>
  <c r="AUX208" i="1" s="1"/>
  <c r="AW208" i="1"/>
  <c r="BS208" i="1" s="1"/>
  <c r="AV189" i="1"/>
  <c r="BR189" i="1" s="1"/>
  <c r="AY189" i="1"/>
  <c r="BU189" i="1" s="1"/>
  <c r="AVD189" i="1" s="1"/>
  <c r="BA189" i="1"/>
  <c r="BW189" i="1" s="1"/>
  <c r="AVF189" i="1" s="1"/>
  <c r="BB189" i="1"/>
  <c r="BC189" i="1"/>
  <c r="BY189" i="1" s="1"/>
  <c r="AVH189" i="1" s="1"/>
  <c r="BD189" i="1"/>
  <c r="BZ189" i="1" s="1"/>
  <c r="AVI189" i="1" s="1"/>
  <c r="BE189" i="1"/>
  <c r="CA189" i="1" s="1"/>
  <c r="AVJ189" i="1" s="1"/>
  <c r="BF189" i="1"/>
  <c r="CB189" i="1" s="1"/>
  <c r="AVK189" i="1" s="1"/>
  <c r="BG189" i="1"/>
  <c r="CC189" i="1" s="1"/>
  <c r="AVL189" i="1" s="1"/>
  <c r="BK189" i="1"/>
  <c r="CG189" i="1" s="1"/>
  <c r="AVP189" i="1" s="1"/>
  <c r="AT189" i="1"/>
  <c r="BP189" i="1" s="1"/>
  <c r="AUY189" i="1" s="1"/>
  <c r="BH189" i="1"/>
  <c r="AZ189" i="1"/>
  <c r="BV189" i="1" s="1"/>
  <c r="AVE189" i="1" s="1"/>
  <c r="AX189" i="1"/>
  <c r="BT189" i="1" s="1"/>
  <c r="AVC189" i="1" s="1"/>
  <c r="AQ189" i="1"/>
  <c r="BJ189" i="1"/>
  <c r="T189" i="1"/>
  <c r="S189" i="1"/>
  <c r="BK182" i="1"/>
  <c r="CG182" i="1" s="1"/>
  <c r="AVP182" i="1" s="1"/>
  <c r="T182" i="1"/>
  <c r="S182" i="1"/>
  <c r="BK165" i="1"/>
  <c r="CG165" i="1" s="1"/>
  <c r="AVP165" i="1" s="1"/>
  <c r="BH165" i="1"/>
  <c r="BG165" i="1"/>
  <c r="CC165" i="1" s="1"/>
  <c r="AVL165" i="1" s="1"/>
  <c r="BF165" i="1"/>
  <c r="CB165" i="1" s="1"/>
  <c r="AVK165" i="1" s="1"/>
  <c r="BE165" i="1"/>
  <c r="CA165" i="1" s="1"/>
  <c r="AVJ165" i="1" s="1"/>
  <c r="BD165" i="1"/>
  <c r="BZ165" i="1" s="1"/>
  <c r="AVI165" i="1" s="1"/>
  <c r="BC165" i="1"/>
  <c r="BY165" i="1" s="1"/>
  <c r="AVH165" i="1" s="1"/>
  <c r="BB165" i="1"/>
  <c r="BA165" i="1"/>
  <c r="BW165" i="1" s="1"/>
  <c r="AVF165" i="1" s="1"/>
  <c r="AZ165" i="1"/>
  <c r="BV165" i="1" s="1"/>
  <c r="AVE165" i="1" s="1"/>
  <c r="AY165" i="1"/>
  <c r="BU165" i="1" s="1"/>
  <c r="AVD165" i="1" s="1"/>
  <c r="AX165" i="1"/>
  <c r="BT165" i="1" s="1"/>
  <c r="AVC165" i="1" s="1"/>
  <c r="AV165" i="1"/>
  <c r="BR165" i="1" s="1"/>
  <c r="AVA165" i="1" s="1"/>
  <c r="AT165" i="1"/>
  <c r="BP165" i="1" s="1"/>
  <c r="AUY165" i="1" s="1"/>
  <c r="AQ165" i="1"/>
  <c r="AW165" i="1"/>
  <c r="BS165" i="1" s="1"/>
  <c r="T165" i="1"/>
  <c r="S165" i="1"/>
  <c r="BK160" i="1"/>
  <c r="CG160" i="1" s="1"/>
  <c r="AVP160" i="1" s="1"/>
  <c r="BG160" i="1"/>
  <c r="CC160" i="1" s="1"/>
  <c r="AVL160" i="1" s="1"/>
  <c r="BF160" i="1"/>
  <c r="CB160" i="1" s="1"/>
  <c r="AVK160" i="1" s="1"/>
  <c r="BE160" i="1"/>
  <c r="CA160" i="1" s="1"/>
  <c r="AVJ160" i="1" s="1"/>
  <c r="BD160" i="1"/>
  <c r="BZ160" i="1" s="1"/>
  <c r="AVI160" i="1" s="1"/>
  <c r="BC160" i="1"/>
  <c r="BY160" i="1" s="1"/>
  <c r="AVH160" i="1" s="1"/>
  <c r="BB160" i="1"/>
  <c r="BA160" i="1"/>
  <c r="BW160" i="1" s="1"/>
  <c r="AVF160" i="1" s="1"/>
  <c r="AY160" i="1"/>
  <c r="BU160" i="1" s="1"/>
  <c r="AVD160" i="1" s="1"/>
  <c r="AV160" i="1"/>
  <c r="BR160" i="1" s="1"/>
  <c r="AU160" i="1"/>
  <c r="BQ160" i="1" s="1"/>
  <c r="AT160" i="1"/>
  <c r="BP160" i="1" s="1"/>
  <c r="AUY160" i="1" s="1"/>
  <c r="BH160" i="1"/>
  <c r="AZ160" i="1"/>
  <c r="BV160" i="1" s="1"/>
  <c r="AVE160" i="1" s="1"/>
  <c r="AQ160" i="1"/>
  <c r="T160" i="1"/>
  <c r="S160" i="1"/>
  <c r="BK144" i="1"/>
  <c r="CG144" i="1" s="1"/>
  <c r="AVP144" i="1" s="1"/>
  <c r="BG144" i="1"/>
  <c r="CC144" i="1" s="1"/>
  <c r="AVL144" i="1" s="1"/>
  <c r="BF144" i="1"/>
  <c r="CB144" i="1" s="1"/>
  <c r="AVK144" i="1" s="1"/>
  <c r="BE144" i="1"/>
  <c r="CA144" i="1" s="1"/>
  <c r="AVJ144" i="1" s="1"/>
  <c r="BD144" i="1"/>
  <c r="BZ144" i="1" s="1"/>
  <c r="AVI144" i="1" s="1"/>
  <c r="BC144" i="1"/>
  <c r="BY144" i="1" s="1"/>
  <c r="AVH144" i="1" s="1"/>
  <c r="BB144" i="1"/>
  <c r="BA144" i="1"/>
  <c r="BW144" i="1" s="1"/>
  <c r="AVF144" i="1" s="1"/>
  <c r="AY144" i="1"/>
  <c r="BU144" i="1" s="1"/>
  <c r="AVD144" i="1" s="1"/>
  <c r="AV144" i="1"/>
  <c r="BR144" i="1" s="1"/>
  <c r="AT144" i="1"/>
  <c r="BP144" i="1" s="1"/>
  <c r="AUY144" i="1" s="1"/>
  <c r="AZ144" i="1"/>
  <c r="BV144" i="1" s="1"/>
  <c r="AVE144" i="1" s="1"/>
  <c r="AX144" i="1"/>
  <c r="BT144" i="1" s="1"/>
  <c r="AVC144" i="1" s="1"/>
  <c r="AQ144" i="1"/>
  <c r="T145" i="1"/>
  <c r="T144" i="1"/>
  <c r="T143" i="1"/>
  <c r="BK96" i="1"/>
  <c r="CG96" i="1" s="1"/>
  <c r="AVP96" i="1" s="1"/>
  <c r="AO100" i="1"/>
  <c r="BK100" i="1" s="1"/>
  <c r="CG100" i="1" s="1"/>
  <c r="AVP100" i="1" s="1"/>
  <c r="AL100" i="1"/>
  <c r="AM100" i="1" s="1"/>
  <c r="AK100" i="1"/>
  <c r="BG100" i="1" s="1"/>
  <c r="CC100" i="1" s="1"/>
  <c r="AVL100" i="1" s="1"/>
  <c r="AJ100" i="1"/>
  <c r="BF100" i="1" s="1"/>
  <c r="CB100" i="1" s="1"/>
  <c r="AVK100" i="1" s="1"/>
  <c r="AI100" i="1"/>
  <c r="BE100" i="1" s="1"/>
  <c r="CA100" i="1" s="1"/>
  <c r="AVJ100" i="1" s="1"/>
  <c r="AH100" i="1"/>
  <c r="BD100" i="1" s="1"/>
  <c r="BZ100" i="1" s="1"/>
  <c r="AVI100" i="1" s="1"/>
  <c r="AG100" i="1"/>
  <c r="BC100" i="1" s="1"/>
  <c r="BY100" i="1" s="1"/>
  <c r="AVH100" i="1" s="1"/>
  <c r="AF100" i="1"/>
  <c r="BB100" i="1" s="1"/>
  <c r="AE100" i="1"/>
  <c r="BA100" i="1" s="1"/>
  <c r="BW100" i="1" s="1"/>
  <c r="AVF100" i="1" s="1"/>
  <c r="AD100" i="1"/>
  <c r="AZ100" i="1" s="1"/>
  <c r="BV100" i="1" s="1"/>
  <c r="AVE100" i="1" s="1"/>
  <c r="AC100" i="1"/>
  <c r="AY100" i="1" s="1"/>
  <c r="BU100" i="1" s="1"/>
  <c r="AVD100" i="1" s="1"/>
  <c r="AB100" i="1"/>
  <c r="Z100" i="1"/>
  <c r="AV100" i="1" s="1"/>
  <c r="BR100" i="1" s="1"/>
  <c r="X100" i="1"/>
  <c r="AT100" i="1" s="1"/>
  <c r="BP100" i="1" s="1"/>
  <c r="AUY100" i="1" s="1"/>
  <c r="U100" i="1"/>
  <c r="AQ100" i="1" s="1"/>
  <c r="BH96" i="1"/>
  <c r="BG96" i="1"/>
  <c r="CC96" i="1" s="1"/>
  <c r="AVL96" i="1" s="1"/>
  <c r="BF96" i="1"/>
  <c r="CB96" i="1" s="1"/>
  <c r="AVK96" i="1" s="1"/>
  <c r="BE96" i="1"/>
  <c r="CA96" i="1" s="1"/>
  <c r="AVJ96" i="1" s="1"/>
  <c r="BD96" i="1"/>
  <c r="BZ96" i="1" s="1"/>
  <c r="AVI96" i="1" s="1"/>
  <c r="BC96" i="1"/>
  <c r="BY96" i="1" s="1"/>
  <c r="AVH96" i="1" s="1"/>
  <c r="BB96" i="1"/>
  <c r="BA96" i="1"/>
  <c r="BW96" i="1" s="1"/>
  <c r="AVF96" i="1" s="1"/>
  <c r="AZ96" i="1"/>
  <c r="BV96" i="1" s="1"/>
  <c r="AVE96" i="1" s="1"/>
  <c r="AY96" i="1"/>
  <c r="BU96" i="1" s="1"/>
  <c r="AVD96" i="1" s="1"/>
  <c r="AX96" i="1"/>
  <c r="BT96" i="1" s="1"/>
  <c r="AVC96" i="1" s="1"/>
  <c r="AV96" i="1"/>
  <c r="BR96" i="1" s="1"/>
  <c r="AT96" i="1"/>
  <c r="BP96" i="1" s="1"/>
  <c r="AUY96" i="1" s="1"/>
  <c r="AO99" i="1"/>
  <c r="BK99" i="1" s="1"/>
  <c r="CG99" i="1" s="1"/>
  <c r="AVP99" i="1" s="1"/>
  <c r="AL99" i="1"/>
  <c r="AM99" i="1" s="1"/>
  <c r="AK99" i="1"/>
  <c r="BG99" i="1" s="1"/>
  <c r="CC99" i="1" s="1"/>
  <c r="AVL99" i="1" s="1"/>
  <c r="AJ99" i="1"/>
  <c r="BF99" i="1" s="1"/>
  <c r="CB99" i="1" s="1"/>
  <c r="AVK99" i="1" s="1"/>
  <c r="AI99" i="1"/>
  <c r="BE99" i="1" s="1"/>
  <c r="CA99" i="1" s="1"/>
  <c r="AVJ99" i="1" s="1"/>
  <c r="AH99" i="1"/>
  <c r="BD99" i="1" s="1"/>
  <c r="BZ99" i="1" s="1"/>
  <c r="AVI99" i="1" s="1"/>
  <c r="AG99" i="1"/>
  <c r="BC99" i="1" s="1"/>
  <c r="BY99" i="1" s="1"/>
  <c r="AVH99" i="1" s="1"/>
  <c r="AF99" i="1"/>
  <c r="BB99" i="1" s="1"/>
  <c r="AE99" i="1"/>
  <c r="BA99" i="1" s="1"/>
  <c r="BW99" i="1" s="1"/>
  <c r="AVF99" i="1" s="1"/>
  <c r="AD99" i="1"/>
  <c r="AZ99" i="1" s="1"/>
  <c r="BV99" i="1" s="1"/>
  <c r="AVE99" i="1" s="1"/>
  <c r="AC99" i="1"/>
  <c r="AY99" i="1" s="1"/>
  <c r="BU99" i="1" s="1"/>
  <c r="AVD99" i="1" s="1"/>
  <c r="AB99" i="1"/>
  <c r="AX99" i="1" s="1"/>
  <c r="BT99" i="1" s="1"/>
  <c r="AVC99" i="1" s="1"/>
  <c r="Z99" i="1"/>
  <c r="AV99" i="1" s="1"/>
  <c r="BR99" i="1" s="1"/>
  <c r="X99" i="1"/>
  <c r="AT99" i="1" s="1"/>
  <c r="BP99" i="1" s="1"/>
  <c r="AUY99" i="1" s="1"/>
  <c r="U99" i="1"/>
  <c r="AQ99" i="1" s="1"/>
  <c r="T99" i="1"/>
  <c r="T100" i="1"/>
  <c r="T96" i="1"/>
  <c r="S99" i="1"/>
  <c r="S100" i="1"/>
  <c r="S96" i="1"/>
  <c r="BK57" i="1"/>
  <c r="CG57" i="1" s="1"/>
  <c r="AVP57" i="1" s="1"/>
  <c r="BH57" i="1"/>
  <c r="BG57" i="1"/>
  <c r="CC57" i="1" s="1"/>
  <c r="AVL57" i="1" s="1"/>
  <c r="BF57" i="1"/>
  <c r="CB57" i="1" s="1"/>
  <c r="AVK57" i="1" s="1"/>
  <c r="BE57" i="1"/>
  <c r="CA57" i="1" s="1"/>
  <c r="AVJ57" i="1" s="1"/>
  <c r="BD57" i="1"/>
  <c r="BZ57" i="1" s="1"/>
  <c r="AVI57" i="1" s="1"/>
  <c r="BC57" i="1"/>
  <c r="BY57" i="1" s="1"/>
  <c r="AVH57" i="1" s="1"/>
  <c r="BB57" i="1"/>
  <c r="BA57" i="1"/>
  <c r="BW57" i="1" s="1"/>
  <c r="AVF57" i="1" s="1"/>
  <c r="AZ57" i="1"/>
  <c r="BV57" i="1" s="1"/>
  <c r="AVE57" i="1" s="1"/>
  <c r="AY57" i="1"/>
  <c r="BU57" i="1" s="1"/>
  <c r="AVD57" i="1" s="1"/>
  <c r="AX57" i="1"/>
  <c r="BT57" i="1" s="1"/>
  <c r="AVC57" i="1" s="1"/>
  <c r="AV57" i="1"/>
  <c r="BR57" i="1" s="1"/>
  <c r="AT57" i="1"/>
  <c r="BP57" i="1" s="1"/>
  <c r="AUY57" i="1" s="1"/>
  <c r="AQ57" i="1"/>
  <c r="BK60" i="1"/>
  <c r="CG60" i="1" s="1"/>
  <c r="AVP60" i="1" s="1"/>
  <c r="BG60" i="1"/>
  <c r="CC60" i="1" s="1"/>
  <c r="AVL60" i="1" s="1"/>
  <c r="BF60" i="1"/>
  <c r="CB60" i="1" s="1"/>
  <c r="AVK60" i="1" s="1"/>
  <c r="BE60" i="1"/>
  <c r="CA60" i="1" s="1"/>
  <c r="AVJ60" i="1" s="1"/>
  <c r="BD60" i="1"/>
  <c r="BZ60" i="1" s="1"/>
  <c r="AVI60" i="1" s="1"/>
  <c r="BC60" i="1"/>
  <c r="BY60" i="1" s="1"/>
  <c r="AVH60" i="1" s="1"/>
  <c r="BB60" i="1"/>
  <c r="BA60" i="1"/>
  <c r="BW60" i="1" s="1"/>
  <c r="AVF60" i="1" s="1"/>
  <c r="AZ60" i="1"/>
  <c r="BV60" i="1" s="1"/>
  <c r="AVE60" i="1" s="1"/>
  <c r="AY60" i="1"/>
  <c r="BU60" i="1" s="1"/>
  <c r="AVD60" i="1" s="1"/>
  <c r="AX60" i="1"/>
  <c r="BT60" i="1" s="1"/>
  <c r="AVC60" i="1" s="1"/>
  <c r="AW60" i="1"/>
  <c r="BS60" i="1" s="1"/>
  <c r="AV60" i="1"/>
  <c r="BR60" i="1" s="1"/>
  <c r="AVA60" i="1" s="1"/>
  <c r="AT60" i="1"/>
  <c r="BP60" i="1" s="1"/>
  <c r="AUY60" i="1" s="1"/>
  <c r="BK59" i="1"/>
  <c r="CG59" i="1" s="1"/>
  <c r="AVP59" i="1" s="1"/>
  <c r="BG59" i="1"/>
  <c r="CC59" i="1" s="1"/>
  <c r="AVL59" i="1" s="1"/>
  <c r="BF59" i="1"/>
  <c r="CB59" i="1" s="1"/>
  <c r="AVK59" i="1" s="1"/>
  <c r="BE59" i="1"/>
  <c r="CA59" i="1" s="1"/>
  <c r="AVJ59" i="1" s="1"/>
  <c r="BD59" i="1"/>
  <c r="BZ59" i="1" s="1"/>
  <c r="AVI59" i="1" s="1"/>
  <c r="BC59" i="1"/>
  <c r="BY59" i="1" s="1"/>
  <c r="AVH59" i="1" s="1"/>
  <c r="BB59" i="1"/>
  <c r="BA59" i="1"/>
  <c r="BW59" i="1" s="1"/>
  <c r="AVF59" i="1" s="1"/>
  <c r="AZ59" i="1"/>
  <c r="BV59" i="1" s="1"/>
  <c r="AVE59" i="1" s="1"/>
  <c r="AY59" i="1"/>
  <c r="BU59" i="1" s="1"/>
  <c r="AVD59" i="1" s="1"/>
  <c r="AV59" i="1"/>
  <c r="BR59" i="1" s="1"/>
  <c r="AT59" i="1"/>
  <c r="BP59" i="1" s="1"/>
  <c r="AUY59" i="1" s="1"/>
  <c r="AQ59" i="1"/>
  <c r="BK58" i="1"/>
  <c r="CG58" i="1" s="1"/>
  <c r="AVP58" i="1" s="1"/>
  <c r="BG58" i="1"/>
  <c r="CC58" i="1" s="1"/>
  <c r="AVL58" i="1" s="1"/>
  <c r="BF58" i="1"/>
  <c r="CB58" i="1" s="1"/>
  <c r="AVK58" i="1" s="1"/>
  <c r="BE58" i="1"/>
  <c r="CA58" i="1" s="1"/>
  <c r="AVJ58" i="1" s="1"/>
  <c r="BD58" i="1"/>
  <c r="BZ58" i="1" s="1"/>
  <c r="AVI58" i="1" s="1"/>
  <c r="BC58" i="1"/>
  <c r="BY58" i="1" s="1"/>
  <c r="AVH58" i="1" s="1"/>
  <c r="BB58" i="1"/>
  <c r="BA58" i="1"/>
  <c r="BW58" i="1" s="1"/>
  <c r="AVF58" i="1" s="1"/>
  <c r="AZ58" i="1"/>
  <c r="BV58" i="1" s="1"/>
  <c r="AVE58" i="1" s="1"/>
  <c r="AY58" i="1"/>
  <c r="BU58" i="1" s="1"/>
  <c r="AVD58" i="1" s="1"/>
  <c r="AX58" i="1"/>
  <c r="BT58" i="1" s="1"/>
  <c r="AVC58" i="1" s="1"/>
  <c r="AV58" i="1"/>
  <c r="BR58" i="1" s="1"/>
  <c r="AT58" i="1"/>
  <c r="BP58" i="1" s="1"/>
  <c r="AUY58" i="1" s="1"/>
  <c r="AQ58" i="1"/>
  <c r="AO56" i="1"/>
  <c r="BK56" i="1" s="1"/>
  <c r="CG56" i="1" s="1"/>
  <c r="AVP56" i="1" s="1"/>
  <c r="AL56" i="1"/>
  <c r="AM56" i="1" s="1"/>
  <c r="AK56" i="1"/>
  <c r="BG56" i="1" s="1"/>
  <c r="CC56" i="1" s="1"/>
  <c r="AVL56" i="1" s="1"/>
  <c r="AJ56" i="1"/>
  <c r="BF56" i="1" s="1"/>
  <c r="CB56" i="1" s="1"/>
  <c r="AVK56" i="1" s="1"/>
  <c r="AI56" i="1"/>
  <c r="BE56" i="1" s="1"/>
  <c r="CA56" i="1" s="1"/>
  <c r="AVJ56" i="1" s="1"/>
  <c r="AH56" i="1"/>
  <c r="BD56" i="1" s="1"/>
  <c r="BZ56" i="1" s="1"/>
  <c r="AVI56" i="1" s="1"/>
  <c r="AG56" i="1"/>
  <c r="BC56" i="1" s="1"/>
  <c r="BY56" i="1" s="1"/>
  <c r="AVH56" i="1" s="1"/>
  <c r="AF56" i="1"/>
  <c r="BB56" i="1" s="1"/>
  <c r="AE56" i="1"/>
  <c r="BA56" i="1" s="1"/>
  <c r="BW56" i="1" s="1"/>
  <c r="AVF56" i="1" s="1"/>
  <c r="AD56" i="1"/>
  <c r="AZ56" i="1" s="1"/>
  <c r="BV56" i="1" s="1"/>
  <c r="AVE56" i="1" s="1"/>
  <c r="AC56" i="1"/>
  <c r="AY56" i="1" s="1"/>
  <c r="BU56" i="1" s="1"/>
  <c r="AVD56" i="1" s="1"/>
  <c r="AB56" i="1"/>
  <c r="Z56" i="1"/>
  <c r="AV56" i="1" s="1"/>
  <c r="BR56" i="1" s="1"/>
  <c r="X56" i="1"/>
  <c r="AT56" i="1" s="1"/>
  <c r="BP56" i="1" s="1"/>
  <c r="AUY56" i="1" s="1"/>
  <c r="U56" i="1"/>
  <c r="AQ56" i="1" s="1"/>
  <c r="AO55" i="1"/>
  <c r="BK55" i="1" s="1"/>
  <c r="CG55" i="1" s="1"/>
  <c r="AVP55" i="1" s="1"/>
  <c r="AL55" i="1"/>
  <c r="AM55" i="1" s="1"/>
  <c r="AK55" i="1"/>
  <c r="BG55" i="1" s="1"/>
  <c r="CC55" i="1" s="1"/>
  <c r="AVL55" i="1" s="1"/>
  <c r="AJ55" i="1"/>
  <c r="BF55" i="1" s="1"/>
  <c r="CB55" i="1" s="1"/>
  <c r="AVK55" i="1" s="1"/>
  <c r="AI55" i="1"/>
  <c r="BE55" i="1" s="1"/>
  <c r="CA55" i="1" s="1"/>
  <c r="AVJ55" i="1" s="1"/>
  <c r="AH55" i="1"/>
  <c r="BD55" i="1" s="1"/>
  <c r="BZ55" i="1" s="1"/>
  <c r="AVI55" i="1" s="1"/>
  <c r="AG55" i="1"/>
  <c r="BC55" i="1" s="1"/>
  <c r="BY55" i="1" s="1"/>
  <c r="AVH55" i="1" s="1"/>
  <c r="AF55" i="1"/>
  <c r="BB55" i="1" s="1"/>
  <c r="AE55" i="1"/>
  <c r="BA55" i="1" s="1"/>
  <c r="BW55" i="1" s="1"/>
  <c r="AVF55" i="1" s="1"/>
  <c r="AD55" i="1"/>
  <c r="AZ55" i="1" s="1"/>
  <c r="BV55" i="1" s="1"/>
  <c r="AVE55" i="1" s="1"/>
  <c r="AC55" i="1"/>
  <c r="AY55" i="1" s="1"/>
  <c r="BU55" i="1" s="1"/>
  <c r="AVD55" i="1" s="1"/>
  <c r="AB55" i="1"/>
  <c r="Z55" i="1"/>
  <c r="AV55" i="1" s="1"/>
  <c r="BR55" i="1" s="1"/>
  <c r="X55" i="1"/>
  <c r="AT55" i="1" s="1"/>
  <c r="BP55" i="1" s="1"/>
  <c r="AUY55" i="1" s="1"/>
  <c r="U55" i="1"/>
  <c r="AQ55" i="1" s="1"/>
  <c r="AO54" i="1"/>
  <c r="BK54" i="1" s="1"/>
  <c r="CG54" i="1" s="1"/>
  <c r="AVP54" i="1" s="1"/>
  <c r="AL54" i="1"/>
  <c r="AM54" i="1" s="1"/>
  <c r="AK54" i="1"/>
  <c r="BG54" i="1" s="1"/>
  <c r="CC54" i="1" s="1"/>
  <c r="AVL54" i="1" s="1"/>
  <c r="AJ54" i="1"/>
  <c r="BF54" i="1" s="1"/>
  <c r="CB54" i="1" s="1"/>
  <c r="AVK54" i="1" s="1"/>
  <c r="AI54" i="1"/>
  <c r="BE54" i="1" s="1"/>
  <c r="CA54" i="1" s="1"/>
  <c r="AVJ54" i="1" s="1"/>
  <c r="AH54" i="1"/>
  <c r="BD54" i="1" s="1"/>
  <c r="BZ54" i="1" s="1"/>
  <c r="AVI54" i="1" s="1"/>
  <c r="AG54" i="1"/>
  <c r="BC54" i="1" s="1"/>
  <c r="BY54" i="1" s="1"/>
  <c r="AVH54" i="1" s="1"/>
  <c r="AF54" i="1"/>
  <c r="BB54" i="1" s="1"/>
  <c r="AE54" i="1"/>
  <c r="BA54" i="1" s="1"/>
  <c r="BW54" i="1" s="1"/>
  <c r="AVF54" i="1" s="1"/>
  <c r="AD54" i="1"/>
  <c r="AZ54" i="1" s="1"/>
  <c r="BV54" i="1" s="1"/>
  <c r="AVE54" i="1" s="1"/>
  <c r="AC54" i="1"/>
  <c r="AY54" i="1" s="1"/>
  <c r="BU54" i="1" s="1"/>
  <c r="AVD54" i="1" s="1"/>
  <c r="AB54" i="1"/>
  <c r="AX54" i="1" s="1"/>
  <c r="BT54" i="1" s="1"/>
  <c r="AVC54" i="1" s="1"/>
  <c r="Z54" i="1"/>
  <c r="AV54" i="1" s="1"/>
  <c r="BR54" i="1" s="1"/>
  <c r="X54" i="1"/>
  <c r="AT54" i="1" s="1"/>
  <c r="BP54" i="1" s="1"/>
  <c r="AUY54" i="1" s="1"/>
  <c r="U54" i="1"/>
  <c r="AQ54" i="1" s="1"/>
  <c r="AO53" i="1"/>
  <c r="BK53" i="1" s="1"/>
  <c r="CG53" i="1" s="1"/>
  <c r="AVP53" i="1" s="1"/>
  <c r="AL53" i="1"/>
  <c r="AM53" i="1" s="1"/>
  <c r="AK53" i="1"/>
  <c r="BG53" i="1" s="1"/>
  <c r="CC53" i="1" s="1"/>
  <c r="AVL53" i="1" s="1"/>
  <c r="AJ53" i="1"/>
  <c r="BF53" i="1" s="1"/>
  <c r="CB53" i="1" s="1"/>
  <c r="AVK53" i="1" s="1"/>
  <c r="AI53" i="1"/>
  <c r="BE53" i="1" s="1"/>
  <c r="CA53" i="1" s="1"/>
  <c r="AVJ53" i="1" s="1"/>
  <c r="AH53" i="1"/>
  <c r="BD53" i="1" s="1"/>
  <c r="BZ53" i="1" s="1"/>
  <c r="AVI53" i="1" s="1"/>
  <c r="AG53" i="1"/>
  <c r="BC53" i="1" s="1"/>
  <c r="BY53" i="1" s="1"/>
  <c r="AVH53" i="1" s="1"/>
  <c r="AF53" i="1"/>
  <c r="BB53" i="1" s="1"/>
  <c r="AE53" i="1"/>
  <c r="BA53" i="1" s="1"/>
  <c r="BW53" i="1" s="1"/>
  <c r="AVF53" i="1" s="1"/>
  <c r="AD53" i="1"/>
  <c r="AZ53" i="1" s="1"/>
  <c r="BV53" i="1" s="1"/>
  <c r="AVE53" i="1" s="1"/>
  <c r="AC53" i="1"/>
  <c r="AY53" i="1" s="1"/>
  <c r="BU53" i="1" s="1"/>
  <c r="AVD53" i="1" s="1"/>
  <c r="AB53" i="1"/>
  <c r="Z53" i="1"/>
  <c r="AV53" i="1" s="1"/>
  <c r="BR53" i="1" s="1"/>
  <c r="X53" i="1"/>
  <c r="AT53" i="1" s="1"/>
  <c r="BP53" i="1" s="1"/>
  <c r="AUY53" i="1" s="1"/>
  <c r="U53" i="1"/>
  <c r="AQ53" i="1" s="1"/>
  <c r="AO52" i="1"/>
  <c r="BK52" i="1" s="1"/>
  <c r="CG52" i="1" s="1"/>
  <c r="AL52" i="1"/>
  <c r="AM52" i="1" s="1"/>
  <c r="AK52" i="1"/>
  <c r="BG52" i="1" s="1"/>
  <c r="CC52" i="1" s="1"/>
  <c r="AVL52" i="1" s="1"/>
  <c r="AJ52" i="1"/>
  <c r="BF52" i="1" s="1"/>
  <c r="CB52" i="1" s="1"/>
  <c r="AVK52" i="1" s="1"/>
  <c r="AI52" i="1"/>
  <c r="BE52" i="1" s="1"/>
  <c r="CA52" i="1" s="1"/>
  <c r="AVJ52" i="1" s="1"/>
  <c r="AH52" i="1"/>
  <c r="BD52" i="1" s="1"/>
  <c r="BZ52" i="1" s="1"/>
  <c r="AVI52" i="1" s="1"/>
  <c r="AG52" i="1"/>
  <c r="BC52" i="1" s="1"/>
  <c r="BY52" i="1" s="1"/>
  <c r="AVH52" i="1" s="1"/>
  <c r="AF52" i="1"/>
  <c r="BB52" i="1" s="1"/>
  <c r="AE52" i="1"/>
  <c r="BA52" i="1" s="1"/>
  <c r="BW52" i="1" s="1"/>
  <c r="AVF52" i="1" s="1"/>
  <c r="AD52" i="1"/>
  <c r="AZ52" i="1" s="1"/>
  <c r="BV52" i="1" s="1"/>
  <c r="AVE52" i="1" s="1"/>
  <c r="AC52" i="1"/>
  <c r="AY52" i="1" s="1"/>
  <c r="BU52" i="1" s="1"/>
  <c r="AVD52" i="1" s="1"/>
  <c r="AB52" i="1"/>
  <c r="Z52" i="1"/>
  <c r="AV52" i="1" s="1"/>
  <c r="BR52" i="1" s="1"/>
  <c r="X52" i="1"/>
  <c r="AT52" i="1" s="1"/>
  <c r="BP52" i="1" s="1"/>
  <c r="AUY52" i="1" s="1"/>
  <c r="U52" i="1"/>
  <c r="AQ52" i="1" s="1"/>
  <c r="T60" i="1"/>
  <c r="T59" i="1"/>
  <c r="T58" i="1"/>
  <c r="T57" i="1"/>
  <c r="T56" i="1"/>
  <c r="T55" i="1"/>
  <c r="T54" i="1"/>
  <c r="T53" i="1"/>
  <c r="T52" i="1"/>
  <c r="S60" i="1"/>
  <c r="S59" i="1"/>
  <c r="S58" i="1"/>
  <c r="S57" i="1"/>
  <c r="S56" i="1"/>
  <c r="S55" i="1"/>
  <c r="S54" i="1"/>
  <c r="S53" i="1"/>
  <c r="S52" i="1"/>
  <c r="CG6" i="1"/>
  <c r="AVP6" i="1" s="1"/>
  <c r="BK7" i="1"/>
  <c r="CG7" i="1" s="1"/>
  <c r="AVP7" i="1" s="1"/>
  <c r="BG7" i="1"/>
  <c r="CC7" i="1" s="1"/>
  <c r="AVL7" i="1" s="1"/>
  <c r="BF7" i="1"/>
  <c r="CB7" i="1" s="1"/>
  <c r="AVK7" i="1" s="1"/>
  <c r="BE7" i="1"/>
  <c r="CA7" i="1" s="1"/>
  <c r="AVJ7" i="1" s="1"/>
  <c r="BD7" i="1"/>
  <c r="BZ7" i="1" s="1"/>
  <c r="AVI7" i="1" s="1"/>
  <c r="BC7" i="1"/>
  <c r="BY7" i="1" s="1"/>
  <c r="AVH7" i="1" s="1"/>
  <c r="BB7" i="1"/>
  <c r="BA7" i="1"/>
  <c r="BW7" i="1" s="1"/>
  <c r="AVF7" i="1" s="1"/>
  <c r="AZ7" i="1"/>
  <c r="BV7" i="1" s="1"/>
  <c r="AVE7" i="1" s="1"/>
  <c r="AY7" i="1"/>
  <c r="BU7" i="1" s="1"/>
  <c r="AVD7" i="1" s="1"/>
  <c r="AX7" i="1"/>
  <c r="BT7" i="1" s="1"/>
  <c r="AVC7" i="1" s="1"/>
  <c r="AV7" i="1"/>
  <c r="BR7" i="1" s="1"/>
  <c r="AU7" i="1"/>
  <c r="BQ7" i="1" s="1"/>
  <c r="BP7" i="1"/>
  <c r="AUY7" i="1" s="1"/>
  <c r="BK5" i="1"/>
  <c r="CG5" i="1" s="1"/>
  <c r="AVP5" i="1" s="1"/>
  <c r="BH5" i="1"/>
  <c r="BG5" i="1"/>
  <c r="CC5" i="1" s="1"/>
  <c r="AVL5" i="1" s="1"/>
  <c r="BF5" i="1"/>
  <c r="CB5" i="1" s="1"/>
  <c r="AVK5" i="1" s="1"/>
  <c r="BE5" i="1"/>
  <c r="CA5" i="1" s="1"/>
  <c r="AVJ5" i="1" s="1"/>
  <c r="BD5" i="1"/>
  <c r="BZ5" i="1" s="1"/>
  <c r="AVI5" i="1" s="1"/>
  <c r="BC5" i="1"/>
  <c r="BY5" i="1" s="1"/>
  <c r="AVH5" i="1" s="1"/>
  <c r="BB5" i="1"/>
  <c r="BA5" i="1"/>
  <c r="BW5" i="1" s="1"/>
  <c r="AVF5" i="1" s="1"/>
  <c r="AZ5" i="1"/>
  <c r="BV5" i="1" s="1"/>
  <c r="AVE5" i="1" s="1"/>
  <c r="AY5" i="1"/>
  <c r="BU5" i="1" s="1"/>
  <c r="AVD5" i="1" s="1"/>
  <c r="AX5" i="1"/>
  <c r="BT5" i="1" s="1"/>
  <c r="AVC5" i="1" s="1"/>
  <c r="AV5" i="1"/>
  <c r="BR5" i="1" s="1"/>
  <c r="BP5" i="1"/>
  <c r="AUY5" i="1" s="1"/>
  <c r="BN307" i="1" l="1"/>
  <c r="BO307" i="1" s="1"/>
  <c r="BN279" i="1"/>
  <c r="BO279" i="1" s="1"/>
  <c r="BO10" i="1"/>
  <c r="CK10" i="1" s="1"/>
  <c r="CH366" i="1"/>
  <c r="AVQ366" i="1" s="1"/>
  <c r="CE278" i="1"/>
  <c r="CF278" i="1" s="1"/>
  <c r="CE279" i="1"/>
  <c r="CF279" i="1" s="1"/>
  <c r="CH279" i="1"/>
  <c r="AVQ279" i="1" s="1"/>
  <c r="CH278" i="1"/>
  <c r="AVQ278" i="1" s="1"/>
  <c r="AUW10" i="1"/>
  <c r="AUX10" i="1" s="1"/>
  <c r="AVQ10" i="1"/>
  <c r="DD10" i="1"/>
  <c r="CE380" i="1"/>
  <c r="CF380" i="1" s="1"/>
  <c r="CF10" i="1"/>
  <c r="DB10" i="1" s="1"/>
  <c r="CH441" i="1"/>
  <c r="AVQ441" i="1" s="1"/>
  <c r="BN441" i="1"/>
  <c r="BO441" i="1" s="1"/>
  <c r="BN366" i="1"/>
  <c r="BO366" i="1" s="1"/>
  <c r="CE308" i="1"/>
  <c r="CF308" i="1" s="1"/>
  <c r="CE366" i="1"/>
  <c r="CF366" i="1" s="1"/>
  <c r="AUZ160" i="1"/>
  <c r="BN246" i="1"/>
  <c r="BO246" i="1" s="1"/>
  <c r="CE306" i="1"/>
  <c r="CF306" i="1" s="1"/>
  <c r="CE441" i="1"/>
  <c r="CF441" i="1" s="1"/>
  <c r="AVA52" i="1"/>
  <c r="AVA53" i="1"/>
  <c r="AVA54" i="1"/>
  <c r="AVA55" i="1"/>
  <c r="AVA56" i="1"/>
  <c r="AVA58" i="1"/>
  <c r="AVA59" i="1"/>
  <c r="CE310" i="1"/>
  <c r="CF310" i="1" s="1"/>
  <c r="BM160" i="1"/>
  <c r="AUV160" i="1" s="1"/>
  <c r="AUW160" i="1" s="1"/>
  <c r="AUX160" i="1" s="1"/>
  <c r="AVA99" i="1"/>
  <c r="AVB5" i="1"/>
  <c r="AVB7" i="1"/>
  <c r="AVB60" i="1"/>
  <c r="AVA57" i="1"/>
  <c r="AVA160" i="1"/>
  <c r="AVA189" i="1"/>
  <c r="DC52" i="1"/>
  <c r="AVP52" i="1"/>
  <c r="AVN354" i="1"/>
  <c r="AVO354" i="1" s="1"/>
  <c r="BN354" i="1"/>
  <c r="BO354" i="1" s="1"/>
  <c r="AUV354" i="1"/>
  <c r="AUW354" i="1" s="1"/>
  <c r="AUX354" i="1" s="1"/>
  <c r="AVB57" i="1"/>
  <c r="AVA100" i="1"/>
  <c r="AVB144" i="1"/>
  <c r="AVN198" i="1"/>
  <c r="AVO198" i="1" s="1"/>
  <c r="CE233" i="1"/>
  <c r="CF233" i="1" s="1"/>
  <c r="AVM233" i="1"/>
  <c r="CE307" i="1"/>
  <c r="CF307" i="1" s="1"/>
  <c r="AVM307" i="1"/>
  <c r="AVA144" i="1"/>
  <c r="CE208" i="1"/>
  <c r="CF208" i="1" s="1"/>
  <c r="AVM208" i="1"/>
  <c r="AVN309" i="1"/>
  <c r="AVO309" i="1" s="1"/>
  <c r="AVA5" i="1"/>
  <c r="AVA7" i="1"/>
  <c r="AVB54" i="1"/>
  <c r="AVB58" i="1"/>
  <c r="AVB99" i="1"/>
  <c r="AVB96" i="1"/>
  <c r="AVB165" i="1"/>
  <c r="AVB189" i="1"/>
  <c r="AVN246" i="1"/>
  <c r="AVO246" i="1" s="1"/>
  <c r="AW233" i="1"/>
  <c r="BS233" i="1" s="1"/>
  <c r="CH233" i="1" s="1"/>
  <c r="AVQ233" i="1" s="1"/>
  <c r="AW307" i="1"/>
  <c r="BS307" i="1" s="1"/>
  <c r="CH307" i="1" s="1"/>
  <c r="AVQ307" i="1" s="1"/>
  <c r="AW306" i="1"/>
  <c r="BS306" i="1" s="1"/>
  <c r="CH306" i="1" s="1"/>
  <c r="AVQ306" i="1" s="1"/>
  <c r="CH380" i="1"/>
  <c r="AVQ380" i="1" s="1"/>
  <c r="BN380" i="1"/>
  <c r="BO380" i="1" s="1"/>
  <c r="BL308" i="1"/>
  <c r="BL279" i="1"/>
  <c r="BL441" i="1"/>
  <c r="BL380" i="1"/>
  <c r="CE309" i="1"/>
  <c r="CF309" i="1" s="1"/>
  <c r="BL310" i="1"/>
  <c r="BL309" i="1"/>
  <c r="CH309" i="1"/>
  <c r="AVQ309" i="1" s="1"/>
  <c r="BN309" i="1"/>
  <c r="BO309" i="1" s="1"/>
  <c r="BH144" i="1"/>
  <c r="CH310" i="1"/>
  <c r="AVQ310" i="1" s="1"/>
  <c r="BN310" i="1"/>
  <c r="BO310" i="1" s="1"/>
  <c r="BS354" i="1"/>
  <c r="CH354" i="1" s="1"/>
  <c r="AVQ354" i="1" s="1"/>
  <c r="BL354" i="1"/>
  <c r="CE354" i="1"/>
  <c r="CF354" i="1" s="1"/>
  <c r="BL366" i="1"/>
  <c r="BN306" i="1"/>
  <c r="BO306" i="1" s="1"/>
  <c r="BN308" i="1"/>
  <c r="BO308" i="1" s="1"/>
  <c r="CH308" i="1"/>
  <c r="AVQ308" i="1" s="1"/>
  <c r="BI286" i="1"/>
  <c r="BJ286" i="1" s="1"/>
  <c r="CD286" i="1"/>
  <c r="BJ246" i="1"/>
  <c r="CF246" i="1" s="1"/>
  <c r="BL286" i="1"/>
  <c r="BN286" i="1"/>
  <c r="BO286" i="1" s="1"/>
  <c r="AS286" i="1"/>
  <c r="BI160" i="1"/>
  <c r="BJ160" i="1" s="1"/>
  <c r="CD160" i="1"/>
  <c r="BX165" i="1"/>
  <c r="AVG165" i="1" s="1"/>
  <c r="CD189" i="1"/>
  <c r="BX189" i="1"/>
  <c r="AVG189" i="1" s="1"/>
  <c r="AW160" i="1"/>
  <c r="BS160" i="1" s="1"/>
  <c r="BX160" i="1"/>
  <c r="AVG160" i="1" s="1"/>
  <c r="CD165" i="1"/>
  <c r="BN233" i="1"/>
  <c r="BO233" i="1" s="1"/>
  <c r="AW246" i="1"/>
  <c r="AR189" i="1"/>
  <c r="AS189" i="1" s="1"/>
  <c r="BM189" i="1"/>
  <c r="AUV189" i="1" s="1"/>
  <c r="AUW189" i="1" s="1"/>
  <c r="AUX189" i="1" s="1"/>
  <c r="CH208" i="1"/>
  <c r="AVQ208" i="1" s="1"/>
  <c r="BN208" i="1"/>
  <c r="BO208" i="1" s="1"/>
  <c r="BN198" i="1"/>
  <c r="BO198" i="1" s="1"/>
  <c r="AW144" i="1"/>
  <c r="BS144" i="1" s="1"/>
  <c r="BX144" i="1"/>
  <c r="AVG144" i="1" s="1"/>
  <c r="AX160" i="1"/>
  <c r="BT160" i="1" s="1"/>
  <c r="AVC160" i="1" s="1"/>
  <c r="AVB160" i="1" s="1"/>
  <c r="AR165" i="1"/>
  <c r="AS165" i="1" s="1"/>
  <c r="BI165" i="1"/>
  <c r="BJ165" i="1" s="1"/>
  <c r="BM165" i="1"/>
  <c r="AUV165" i="1" s="1"/>
  <c r="AUW165" i="1" s="1"/>
  <c r="AUX165" i="1" s="1"/>
  <c r="AW198" i="1"/>
  <c r="CE198" i="1"/>
  <c r="CF198" i="1" s="1"/>
  <c r="BL165" i="1"/>
  <c r="BI189" i="1"/>
  <c r="AR144" i="1"/>
  <c r="AS144" i="1" s="1"/>
  <c r="AR160" i="1"/>
  <c r="AS160" i="1" s="1"/>
  <c r="AQ5" i="1"/>
  <c r="AR5" i="1" s="1"/>
  <c r="AS5" i="1" s="1"/>
  <c r="BH7" i="1"/>
  <c r="BI7" i="1" s="1"/>
  <c r="BJ7" i="1" s="1"/>
  <c r="BX52" i="1"/>
  <c r="AVG52" i="1" s="1"/>
  <c r="BX53" i="1"/>
  <c r="AVG53" i="1" s="1"/>
  <c r="BX54" i="1"/>
  <c r="AVG54" i="1" s="1"/>
  <c r="BX55" i="1"/>
  <c r="AVG55" i="1" s="1"/>
  <c r="BX56" i="1"/>
  <c r="AVG56" i="1" s="1"/>
  <c r="BX58" i="1"/>
  <c r="AVG58" i="1" s="1"/>
  <c r="BX59" i="1"/>
  <c r="AVG59" i="1" s="1"/>
  <c r="BX99" i="1"/>
  <c r="AVG99" i="1" s="1"/>
  <c r="BX100" i="1"/>
  <c r="AVG100" i="1" s="1"/>
  <c r="BX57" i="1"/>
  <c r="AVG57" i="1" s="1"/>
  <c r="BX60" i="1"/>
  <c r="AVG60" i="1" s="1"/>
  <c r="BX96" i="1"/>
  <c r="AVG96" i="1" s="1"/>
  <c r="BI5" i="1"/>
  <c r="BJ5" i="1" s="1"/>
  <c r="BM52" i="1"/>
  <c r="AUV52" i="1" s="1"/>
  <c r="AUW52" i="1" s="1"/>
  <c r="AUX52" i="1" s="1"/>
  <c r="AR52" i="1"/>
  <c r="AS52" i="1" s="1"/>
  <c r="BM53" i="1"/>
  <c r="AUV53" i="1" s="1"/>
  <c r="AUW53" i="1" s="1"/>
  <c r="AUX53" i="1" s="1"/>
  <c r="AR53" i="1"/>
  <c r="AS53" i="1" s="1"/>
  <c r="BM54" i="1"/>
  <c r="AUV54" i="1" s="1"/>
  <c r="AUW54" i="1" s="1"/>
  <c r="AUX54" i="1" s="1"/>
  <c r="AR54" i="1"/>
  <c r="AS54" i="1" s="1"/>
  <c r="AR55" i="1"/>
  <c r="AS55" i="1" s="1"/>
  <c r="BM55" i="1"/>
  <c r="AUV55" i="1" s="1"/>
  <c r="BM56" i="1"/>
  <c r="AUV56" i="1" s="1"/>
  <c r="AUW56" i="1" s="1"/>
  <c r="AUX56" i="1" s="1"/>
  <c r="AR56" i="1"/>
  <c r="AS56" i="1" s="1"/>
  <c r="BM58" i="1"/>
  <c r="AUV58" i="1" s="1"/>
  <c r="AUW58" i="1" s="1"/>
  <c r="AUX58" i="1" s="1"/>
  <c r="AR58" i="1"/>
  <c r="AS58" i="1" s="1"/>
  <c r="AR59" i="1"/>
  <c r="AS59" i="1" s="1"/>
  <c r="BM59" i="1"/>
  <c r="AUV59" i="1" s="1"/>
  <c r="CD57" i="1"/>
  <c r="AVM57" i="1" s="1"/>
  <c r="BI57" i="1"/>
  <c r="BJ57" i="1" s="1"/>
  <c r="AR99" i="1"/>
  <c r="AS99" i="1" s="1"/>
  <c r="BM99" i="1"/>
  <c r="AUV99" i="1" s="1"/>
  <c r="AUW99" i="1" s="1"/>
  <c r="AUX99" i="1" s="1"/>
  <c r="AR100" i="1"/>
  <c r="AS100" i="1" s="1"/>
  <c r="BM100" i="1"/>
  <c r="AUV100" i="1" s="1"/>
  <c r="AUW100" i="1" s="1"/>
  <c r="AUX100" i="1" s="1"/>
  <c r="CD96" i="1"/>
  <c r="AVM96" i="1" s="1"/>
  <c r="BI96" i="1"/>
  <c r="BJ96" i="1" s="1"/>
  <c r="BM57" i="1"/>
  <c r="AUV57" i="1" s="1"/>
  <c r="AUW57" i="1" s="1"/>
  <c r="AUX57" i="1" s="1"/>
  <c r="AR57" i="1"/>
  <c r="AS57" i="1" s="1"/>
  <c r="BH60" i="1"/>
  <c r="BH56" i="1"/>
  <c r="BH52" i="1"/>
  <c r="AW7" i="1"/>
  <c r="BS7" i="1" s="1"/>
  <c r="AQ7" i="1"/>
  <c r="AA52" i="1"/>
  <c r="AW52" i="1" s="1"/>
  <c r="BS52" i="1" s="1"/>
  <c r="AA53" i="1"/>
  <c r="AW53" i="1" s="1"/>
  <c r="BS53" i="1" s="1"/>
  <c r="AA54" i="1"/>
  <c r="AW54" i="1" s="1"/>
  <c r="BS54" i="1" s="1"/>
  <c r="AA55" i="1"/>
  <c r="AW55" i="1" s="1"/>
  <c r="BS55" i="1" s="1"/>
  <c r="AA56" i="1"/>
  <c r="AW56" i="1" s="1"/>
  <c r="BS56" i="1" s="1"/>
  <c r="AW58" i="1"/>
  <c r="BS58" i="1" s="1"/>
  <c r="AW59" i="1"/>
  <c r="BS59" i="1" s="1"/>
  <c r="AW57" i="1"/>
  <c r="BS57" i="1" s="1"/>
  <c r="AQ60" i="1"/>
  <c r="AX59" i="1"/>
  <c r="BT59" i="1" s="1"/>
  <c r="AVC59" i="1" s="1"/>
  <c r="AVB59" i="1" s="1"/>
  <c r="AX55" i="1"/>
  <c r="BT55" i="1" s="1"/>
  <c r="AVC55" i="1" s="1"/>
  <c r="AVB55" i="1" s="1"/>
  <c r="BH53" i="1"/>
  <c r="AW96" i="1"/>
  <c r="BS96" i="1" s="1"/>
  <c r="BH99" i="1"/>
  <c r="AX56" i="1"/>
  <c r="BT56" i="1" s="1"/>
  <c r="AVC56" i="1" s="1"/>
  <c r="AVB56" i="1" s="1"/>
  <c r="AX52" i="1"/>
  <c r="BT52" i="1" s="1"/>
  <c r="AVC52" i="1" s="1"/>
  <c r="AVB52" i="1" s="1"/>
  <c r="BH58" i="1"/>
  <c r="BH54" i="1"/>
  <c r="AA100" i="1"/>
  <c r="AW100" i="1" s="1"/>
  <c r="BS100" i="1" s="1"/>
  <c r="AX100" i="1"/>
  <c r="BT100" i="1" s="1"/>
  <c r="AVC100" i="1" s="1"/>
  <c r="AVB100" i="1" s="1"/>
  <c r="BH100" i="1"/>
  <c r="AX53" i="1"/>
  <c r="BT53" i="1" s="1"/>
  <c r="AVC53" i="1" s="1"/>
  <c r="AVB53" i="1" s="1"/>
  <c r="BH59" i="1"/>
  <c r="BH55" i="1"/>
  <c r="AA99" i="1"/>
  <c r="AW99" i="1" s="1"/>
  <c r="BS99" i="1" s="1"/>
  <c r="V100" i="1"/>
  <c r="W100" i="1" s="1"/>
  <c r="AN100" i="1"/>
  <c r="V99" i="1"/>
  <c r="W99" i="1" s="1"/>
  <c r="AN99" i="1"/>
  <c r="V56" i="1"/>
  <c r="W56" i="1" s="1"/>
  <c r="AN56" i="1"/>
  <c r="V55" i="1"/>
  <c r="W55" i="1" s="1"/>
  <c r="AN55" i="1"/>
  <c r="V54" i="1"/>
  <c r="W54" i="1" s="1"/>
  <c r="AN54" i="1"/>
  <c r="V53" i="1"/>
  <c r="W53" i="1" s="1"/>
  <c r="AN53" i="1"/>
  <c r="V52" i="1"/>
  <c r="W52" i="1" s="1"/>
  <c r="AN52" i="1"/>
  <c r="T7" i="1"/>
  <c r="BX7" i="1" s="1"/>
  <c r="AVG7" i="1" s="1"/>
  <c r="T6" i="1"/>
  <c r="T5" i="1"/>
  <c r="BX5" i="1" s="1"/>
  <c r="AVG5" i="1" s="1"/>
  <c r="S7" i="1"/>
  <c r="S6" i="1"/>
  <c r="S5" i="1"/>
  <c r="CD5" i="1" s="1"/>
  <c r="AVM5" i="1" s="1"/>
  <c r="S4" i="1"/>
  <c r="U4" i="1"/>
  <c r="AQ4" i="1" s="1"/>
  <c r="BN160" i="1" l="1"/>
  <c r="BO160" i="1" s="1"/>
  <c r="AUZ7" i="1"/>
  <c r="AUW55" i="1"/>
  <c r="AUX55" i="1" s="1"/>
  <c r="AVN96" i="1"/>
  <c r="AVO96" i="1" s="1"/>
  <c r="AVN5" i="1"/>
  <c r="AVO5" i="1" s="1"/>
  <c r="CH286" i="1"/>
  <c r="AVQ286" i="1" s="1"/>
  <c r="AVM286" i="1"/>
  <c r="AVN57" i="1"/>
  <c r="AVO57" i="1" s="1"/>
  <c r="AVN208" i="1"/>
  <c r="AVO208" i="1" s="1"/>
  <c r="AVN307" i="1"/>
  <c r="AVO307" i="1" s="1"/>
  <c r="CE165" i="1"/>
  <c r="CF165" i="1" s="1"/>
  <c r="AVM165" i="1"/>
  <c r="CE189" i="1"/>
  <c r="CF189" i="1" s="1"/>
  <c r="AVM189" i="1"/>
  <c r="CE160" i="1"/>
  <c r="CF160" i="1" s="1"/>
  <c r="AVM160" i="1"/>
  <c r="AUW59" i="1"/>
  <c r="AUX59" i="1" s="1"/>
  <c r="AVN233" i="1"/>
  <c r="AVO233" i="1" s="1"/>
  <c r="BL306" i="1"/>
  <c r="BI144" i="1"/>
  <c r="BJ144" i="1" s="1"/>
  <c r="BL233" i="1"/>
  <c r="BL307" i="1"/>
  <c r="AW189" i="1"/>
  <c r="BS189" i="1" s="1"/>
  <c r="CH189" i="1" s="1"/>
  <c r="AVQ189" i="1" s="1"/>
  <c r="CH160" i="1"/>
  <c r="AVQ160" i="1" s="1"/>
  <c r="CE286" i="1"/>
  <c r="CF286" i="1" s="1"/>
  <c r="AP55" i="1"/>
  <c r="BL144" i="1"/>
  <c r="BS246" i="1"/>
  <c r="CH246" i="1" s="1"/>
  <c r="AVQ246" i="1" s="1"/>
  <c r="BL246" i="1"/>
  <c r="BS198" i="1"/>
  <c r="CH198" i="1" s="1"/>
  <c r="AVQ198" i="1" s="1"/>
  <c r="BL198" i="1"/>
  <c r="BN189" i="1"/>
  <c r="BO189" i="1" s="1"/>
  <c r="BL160" i="1"/>
  <c r="CH165" i="1"/>
  <c r="AVQ165" i="1" s="1"/>
  <c r="BN165" i="1"/>
  <c r="BO165" i="1" s="1"/>
  <c r="CD7" i="1"/>
  <c r="AP53" i="1"/>
  <c r="AP54" i="1"/>
  <c r="BL54" i="1"/>
  <c r="CE5" i="1"/>
  <c r="CF5" i="1" s="1"/>
  <c r="BI55" i="1"/>
  <c r="BJ55" i="1" s="1"/>
  <c r="CD55" i="1"/>
  <c r="BL60" i="1"/>
  <c r="BM60" i="1"/>
  <c r="AUV60" i="1" s="1"/>
  <c r="AUW60" i="1" s="1"/>
  <c r="AUX60" i="1" s="1"/>
  <c r="AR60" i="1"/>
  <c r="AS60" i="1" s="1"/>
  <c r="BI59" i="1"/>
  <c r="BJ59" i="1" s="1"/>
  <c r="CD59" i="1"/>
  <c r="BI52" i="1"/>
  <c r="BJ52" i="1" s="1"/>
  <c r="CD52" i="1"/>
  <c r="CH57" i="1"/>
  <c r="AVQ57" i="1" s="1"/>
  <c r="BN57" i="1"/>
  <c r="BO57" i="1" s="1"/>
  <c r="CE96" i="1"/>
  <c r="CF96" i="1" s="1"/>
  <c r="BN99" i="1"/>
  <c r="BO99" i="1" s="1"/>
  <c r="BN56" i="1"/>
  <c r="BO56" i="1" s="1"/>
  <c r="AP99" i="1"/>
  <c r="AP52" i="1"/>
  <c r="AP56" i="1"/>
  <c r="AP100" i="1"/>
  <c r="BM5" i="1"/>
  <c r="AUV5" i="1" s="1"/>
  <c r="AUW5" i="1" s="1"/>
  <c r="AUX5" i="1" s="1"/>
  <c r="BL59" i="1"/>
  <c r="BL55" i="1"/>
  <c r="BL52" i="1"/>
  <c r="BN59" i="1"/>
  <c r="BO59" i="1" s="1"/>
  <c r="BN55" i="1"/>
  <c r="BO55" i="1" s="1"/>
  <c r="BL58" i="1"/>
  <c r="CD100" i="1"/>
  <c r="BI100" i="1"/>
  <c r="BJ100" i="1" s="1"/>
  <c r="CD99" i="1"/>
  <c r="BI99" i="1"/>
  <c r="BJ99" i="1" s="1"/>
  <c r="AR7" i="1"/>
  <c r="AS7" i="1" s="1"/>
  <c r="BM7" i="1"/>
  <c r="AUV7" i="1" s="1"/>
  <c r="AUW7" i="1" s="1"/>
  <c r="AUX7" i="1" s="1"/>
  <c r="BL7" i="1"/>
  <c r="AW5" i="1"/>
  <c r="BN100" i="1"/>
  <c r="BO100" i="1" s="1"/>
  <c r="BN58" i="1"/>
  <c r="BO58" i="1" s="1"/>
  <c r="BN54" i="1"/>
  <c r="BO54" i="1" s="1"/>
  <c r="BL99" i="1"/>
  <c r="BL53" i="1"/>
  <c r="CD58" i="1"/>
  <c r="BI58" i="1"/>
  <c r="BJ58" i="1" s="1"/>
  <c r="CD54" i="1"/>
  <c r="BI54" i="1"/>
  <c r="BJ54" i="1" s="1"/>
  <c r="CD53" i="1"/>
  <c r="BI53" i="1"/>
  <c r="BJ53" i="1" s="1"/>
  <c r="BI60" i="1"/>
  <c r="BJ60" i="1" s="1"/>
  <c r="CD60" i="1"/>
  <c r="AVM60" i="1" s="1"/>
  <c r="BI56" i="1"/>
  <c r="BJ56" i="1" s="1"/>
  <c r="CD56" i="1"/>
  <c r="AVM56" i="1" s="1"/>
  <c r="CE57" i="1"/>
  <c r="CF57" i="1" s="1"/>
  <c r="BN53" i="1"/>
  <c r="BO53" i="1" s="1"/>
  <c r="BN52" i="1"/>
  <c r="BO52" i="1" s="1"/>
  <c r="BL57" i="1"/>
  <c r="BL100" i="1"/>
  <c r="BL56" i="1"/>
  <c r="I5" i="13"/>
  <c r="G20" i="13"/>
  <c r="L62" i="19"/>
  <c r="U62" i="19" s="1"/>
  <c r="Q60" i="19"/>
  <c r="Q59" i="19"/>
  <c r="Q68" i="19" s="1"/>
  <c r="Q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L35" i="19"/>
  <c r="R33" i="19"/>
  <c r="P33" i="19"/>
  <c r="P31" i="19"/>
  <c r="R31" i="19" s="1"/>
  <c r="X30" i="19"/>
  <c r="X29" i="19"/>
  <c r="E29" i="19"/>
  <c r="X28" i="19"/>
  <c r="E28" i="19"/>
  <c r="U26" i="19"/>
  <c r="S26" i="19"/>
  <c r="AA25" i="19"/>
  <c r="Y25" i="19"/>
  <c r="Q25" i="19"/>
  <c r="H25" i="19"/>
  <c r="G25" i="19"/>
  <c r="D25" i="19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S26" i="18"/>
  <c r="W26" i="2"/>
  <c r="Y26" i="2"/>
  <c r="U26" i="18"/>
  <c r="L62" i="18"/>
  <c r="U62" i="18" s="1"/>
  <c r="Q60" i="18"/>
  <c r="Q59" i="18"/>
  <c r="Q68" i="18" s="1"/>
  <c r="Q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L35" i="18"/>
  <c r="R33" i="18"/>
  <c r="P33" i="18"/>
  <c r="P31" i="18"/>
  <c r="R31" i="18" s="1"/>
  <c r="X30" i="18"/>
  <c r="X29" i="18"/>
  <c r="E29" i="18"/>
  <c r="X28" i="18"/>
  <c r="E28" i="18"/>
  <c r="AA25" i="18"/>
  <c r="Y25" i="18"/>
  <c r="Q25" i="18"/>
  <c r="H25" i="18"/>
  <c r="G25" i="18"/>
  <c r="D25" i="18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CH54" i="1" l="1"/>
  <c r="AVQ54" i="1" s="1"/>
  <c r="AVM54" i="1"/>
  <c r="CH100" i="1"/>
  <c r="AVQ100" i="1" s="1"/>
  <c r="AVM100" i="1"/>
  <c r="AVN189" i="1"/>
  <c r="AVO189" i="1" s="1"/>
  <c r="AVN286" i="1"/>
  <c r="AVO286" i="1" s="1"/>
  <c r="AVN60" i="1"/>
  <c r="AVO60" i="1" s="1"/>
  <c r="CH55" i="1"/>
  <c r="AVQ55" i="1" s="1"/>
  <c r="AVM55" i="1"/>
  <c r="AVN56" i="1"/>
  <c r="AVO56" i="1" s="1"/>
  <c r="CH52" i="1"/>
  <c r="AVQ52" i="1" s="1"/>
  <c r="AVM52" i="1"/>
  <c r="CH53" i="1"/>
  <c r="AVQ53" i="1" s="1"/>
  <c r="AVM53" i="1"/>
  <c r="CH58" i="1"/>
  <c r="AVQ58" i="1" s="1"/>
  <c r="AVM58" i="1"/>
  <c r="CH99" i="1"/>
  <c r="AVQ99" i="1" s="1"/>
  <c r="AVM99" i="1"/>
  <c r="CH59" i="1"/>
  <c r="AVQ59" i="1" s="1"/>
  <c r="AVM59" i="1"/>
  <c r="CE7" i="1"/>
  <c r="CF7" i="1" s="1"/>
  <c r="AVM7" i="1"/>
  <c r="AVN160" i="1"/>
  <c r="AVO160" i="1" s="1"/>
  <c r="AVN165" i="1"/>
  <c r="AVO165" i="1" s="1"/>
  <c r="BL189" i="1"/>
  <c r="CH7" i="1"/>
  <c r="AVQ7" i="1" s="1"/>
  <c r="BN7" i="1"/>
  <c r="BO7" i="1" s="1"/>
  <c r="CE99" i="1"/>
  <c r="CF99" i="1" s="1"/>
  <c r="CE55" i="1"/>
  <c r="CF55" i="1" s="1"/>
  <c r="CE56" i="1"/>
  <c r="CF56" i="1" s="1"/>
  <c r="CE60" i="1"/>
  <c r="CF60" i="1" s="1"/>
  <c r="CE53" i="1"/>
  <c r="CF53" i="1" s="1"/>
  <c r="CE54" i="1"/>
  <c r="CF54" i="1" s="1"/>
  <c r="CE100" i="1"/>
  <c r="CF100" i="1" s="1"/>
  <c r="BN5" i="1"/>
  <c r="BO5" i="1" s="1"/>
  <c r="CE52" i="1"/>
  <c r="CF52" i="1" s="1"/>
  <c r="CE58" i="1"/>
  <c r="CF58" i="1" s="1"/>
  <c r="BS5" i="1"/>
  <c r="CH5" i="1" s="1"/>
  <c r="AVQ5" i="1" s="1"/>
  <c r="BL5" i="1"/>
  <c r="CE59" i="1"/>
  <c r="CF59" i="1" s="1"/>
  <c r="CH60" i="1"/>
  <c r="AVQ60" i="1" s="1"/>
  <c r="BN60" i="1"/>
  <c r="BO60" i="1" s="1"/>
  <c r="CH56" i="1"/>
  <c r="AVQ56" i="1" s="1"/>
  <c r="E30" i="18"/>
  <c r="E60" i="18"/>
  <c r="E30" i="19"/>
  <c r="E60" i="19"/>
  <c r="E59" i="18"/>
  <c r="E59" i="19"/>
  <c r="E25" i="19"/>
  <c r="F25" i="19" s="1"/>
  <c r="F9" i="19"/>
  <c r="E58" i="19"/>
  <c r="R26" i="19"/>
  <c r="R26" i="18"/>
  <c r="T26" i="18" s="1"/>
  <c r="E25" i="18"/>
  <c r="F25" i="18" s="1"/>
  <c r="F9" i="18"/>
  <c r="E58" i="18"/>
  <c r="CI458" i="1"/>
  <c r="CI459" i="1" s="1"/>
  <c r="CJ458" i="1"/>
  <c r="CJ459" i="1" s="1"/>
  <c r="CK458" i="1"/>
  <c r="CK459" i="1" s="1"/>
  <c r="CL458" i="1"/>
  <c r="CL459" i="1" s="1"/>
  <c r="CM458" i="1"/>
  <c r="CM459" i="1" s="1"/>
  <c r="CN458" i="1"/>
  <c r="CN459" i="1" s="1"/>
  <c r="CO458" i="1"/>
  <c r="CO459" i="1" s="1"/>
  <c r="CP458" i="1"/>
  <c r="CP459" i="1" s="1"/>
  <c r="CQ458" i="1"/>
  <c r="CQ459" i="1" s="1"/>
  <c r="CR458" i="1"/>
  <c r="CR459" i="1" s="1"/>
  <c r="CS458" i="1"/>
  <c r="CS459" i="1" s="1"/>
  <c r="CT458" i="1"/>
  <c r="CT459" i="1" s="1"/>
  <c r="CU458" i="1"/>
  <c r="CU459" i="1" s="1"/>
  <c r="CV458" i="1"/>
  <c r="CV459" i="1" s="1"/>
  <c r="CW458" i="1"/>
  <c r="CW459" i="1" s="1"/>
  <c r="CX458" i="1"/>
  <c r="CX459" i="1" s="1"/>
  <c r="CY458" i="1"/>
  <c r="CY459" i="1" s="1"/>
  <c r="CZ458" i="1"/>
  <c r="CZ459" i="1" s="1"/>
  <c r="DA458" i="1"/>
  <c r="DA459" i="1" s="1"/>
  <c r="DB458" i="1"/>
  <c r="DB459" i="1" s="1"/>
  <c r="DC458" i="1"/>
  <c r="DC459" i="1" s="1"/>
  <c r="DD458" i="1"/>
  <c r="DD459" i="1" s="1"/>
  <c r="Q457" i="1"/>
  <c r="R457" i="1"/>
  <c r="P456" i="1"/>
  <c r="P457" i="1"/>
  <c r="AVN59" i="1" l="1"/>
  <c r="AVO59" i="1" s="1"/>
  <c r="AVN99" i="1"/>
  <c r="AVO99" i="1" s="1"/>
  <c r="AVN53" i="1"/>
  <c r="AVO53" i="1" s="1"/>
  <c r="AVN55" i="1"/>
  <c r="AVO55" i="1" s="1"/>
  <c r="AVN54" i="1"/>
  <c r="AVO54" i="1" s="1"/>
  <c r="AVN7" i="1"/>
  <c r="AVO7" i="1" s="1"/>
  <c r="AVN58" i="1"/>
  <c r="AVO58" i="1" s="1"/>
  <c r="AVN52" i="1"/>
  <c r="AVO52" i="1" s="1"/>
  <c r="AVN100" i="1"/>
  <c r="AVO100" i="1" s="1"/>
  <c r="P459" i="1"/>
  <c r="T26" i="19"/>
  <c r="Q456" i="1"/>
  <c r="R456" i="1"/>
  <c r="S448" i="1" l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AO455" i="1"/>
  <c r="BK455" i="1" s="1"/>
  <c r="CG455" i="1" s="1"/>
  <c r="AVP455" i="1" s="1"/>
  <c r="AL455" i="1"/>
  <c r="BH455" i="1" s="1"/>
  <c r="AK455" i="1"/>
  <c r="BG455" i="1" s="1"/>
  <c r="CC455" i="1" s="1"/>
  <c r="AVL455" i="1" s="1"/>
  <c r="AJ455" i="1"/>
  <c r="BF455" i="1" s="1"/>
  <c r="CB455" i="1" s="1"/>
  <c r="AVK455" i="1" s="1"/>
  <c r="AI455" i="1"/>
  <c r="BE455" i="1" s="1"/>
  <c r="CA455" i="1" s="1"/>
  <c r="AVJ455" i="1" s="1"/>
  <c r="AH455" i="1"/>
  <c r="BD455" i="1" s="1"/>
  <c r="BZ455" i="1" s="1"/>
  <c r="AVI455" i="1" s="1"/>
  <c r="AG455" i="1"/>
  <c r="BC455" i="1" s="1"/>
  <c r="BY455" i="1" s="1"/>
  <c r="AVH455" i="1" s="1"/>
  <c r="AF455" i="1"/>
  <c r="BB455" i="1" s="1"/>
  <c r="AE455" i="1"/>
  <c r="BA455" i="1" s="1"/>
  <c r="BW455" i="1" s="1"/>
  <c r="AVF455" i="1" s="1"/>
  <c r="AD455" i="1"/>
  <c r="AZ455" i="1" s="1"/>
  <c r="BV455" i="1" s="1"/>
  <c r="AVE455" i="1" s="1"/>
  <c r="AC455" i="1"/>
  <c r="AY455" i="1" s="1"/>
  <c r="BU455" i="1" s="1"/>
  <c r="AVD455" i="1" s="1"/>
  <c r="AB455" i="1"/>
  <c r="AX455" i="1" s="1"/>
  <c r="BT455" i="1" s="1"/>
  <c r="AVC455" i="1" s="1"/>
  <c r="Z455" i="1"/>
  <c r="AV455" i="1" s="1"/>
  <c r="BR455" i="1" s="1"/>
  <c r="X455" i="1"/>
  <c r="AT455" i="1" s="1"/>
  <c r="BP455" i="1" s="1"/>
  <c r="AUY455" i="1" s="1"/>
  <c r="U455" i="1"/>
  <c r="V455" i="1" s="1"/>
  <c r="AO454" i="1"/>
  <c r="BK454" i="1" s="1"/>
  <c r="CG454" i="1" s="1"/>
  <c r="AVP454" i="1" s="1"/>
  <c r="AL454" i="1"/>
  <c r="BH454" i="1" s="1"/>
  <c r="AK454" i="1"/>
  <c r="BG454" i="1" s="1"/>
  <c r="CC454" i="1" s="1"/>
  <c r="AVL454" i="1" s="1"/>
  <c r="AJ454" i="1"/>
  <c r="BF454" i="1" s="1"/>
  <c r="CB454" i="1" s="1"/>
  <c r="AVK454" i="1" s="1"/>
  <c r="AI454" i="1"/>
  <c r="BE454" i="1" s="1"/>
  <c r="CA454" i="1" s="1"/>
  <c r="AVJ454" i="1" s="1"/>
  <c r="AH454" i="1"/>
  <c r="BD454" i="1" s="1"/>
  <c r="BZ454" i="1" s="1"/>
  <c r="AVI454" i="1" s="1"/>
  <c r="AG454" i="1"/>
  <c r="BC454" i="1" s="1"/>
  <c r="BY454" i="1" s="1"/>
  <c r="AVH454" i="1" s="1"/>
  <c r="AF454" i="1"/>
  <c r="BB454" i="1" s="1"/>
  <c r="AE454" i="1"/>
  <c r="BA454" i="1" s="1"/>
  <c r="BW454" i="1" s="1"/>
  <c r="AVF454" i="1" s="1"/>
  <c r="AD454" i="1"/>
  <c r="AZ454" i="1" s="1"/>
  <c r="BV454" i="1" s="1"/>
  <c r="AVE454" i="1" s="1"/>
  <c r="AC454" i="1"/>
  <c r="AY454" i="1" s="1"/>
  <c r="BU454" i="1" s="1"/>
  <c r="AVD454" i="1" s="1"/>
  <c r="AB454" i="1"/>
  <c r="AX454" i="1" s="1"/>
  <c r="BT454" i="1" s="1"/>
  <c r="AVC454" i="1" s="1"/>
  <c r="Z454" i="1"/>
  <c r="AV454" i="1" s="1"/>
  <c r="BR454" i="1" s="1"/>
  <c r="X454" i="1"/>
  <c r="AT454" i="1" s="1"/>
  <c r="BP454" i="1" s="1"/>
  <c r="AUY454" i="1" s="1"/>
  <c r="U454" i="1"/>
  <c r="AQ454" i="1" s="1"/>
  <c r="AO453" i="1"/>
  <c r="BK453" i="1" s="1"/>
  <c r="CG453" i="1" s="1"/>
  <c r="AVP453" i="1" s="1"/>
  <c r="AL453" i="1"/>
  <c r="BH453" i="1" s="1"/>
  <c r="AK453" i="1"/>
  <c r="BG453" i="1" s="1"/>
  <c r="CC453" i="1" s="1"/>
  <c r="AVL453" i="1" s="1"/>
  <c r="AJ453" i="1"/>
  <c r="BF453" i="1" s="1"/>
  <c r="CB453" i="1" s="1"/>
  <c r="AVK453" i="1" s="1"/>
  <c r="AI453" i="1"/>
  <c r="BE453" i="1" s="1"/>
  <c r="CA453" i="1" s="1"/>
  <c r="AVJ453" i="1" s="1"/>
  <c r="AH453" i="1"/>
  <c r="BD453" i="1" s="1"/>
  <c r="BZ453" i="1" s="1"/>
  <c r="AVI453" i="1" s="1"/>
  <c r="AG453" i="1"/>
  <c r="BC453" i="1" s="1"/>
  <c r="BY453" i="1" s="1"/>
  <c r="AVH453" i="1" s="1"/>
  <c r="AF453" i="1"/>
  <c r="BB453" i="1" s="1"/>
  <c r="AE453" i="1"/>
  <c r="BA453" i="1" s="1"/>
  <c r="BW453" i="1" s="1"/>
  <c r="AVF453" i="1" s="1"/>
  <c r="AD453" i="1"/>
  <c r="AZ453" i="1" s="1"/>
  <c r="BV453" i="1" s="1"/>
  <c r="AVE453" i="1" s="1"/>
  <c r="AC453" i="1"/>
  <c r="AY453" i="1" s="1"/>
  <c r="BU453" i="1" s="1"/>
  <c r="AVD453" i="1" s="1"/>
  <c r="AB453" i="1"/>
  <c r="AX453" i="1" s="1"/>
  <c r="BT453" i="1" s="1"/>
  <c r="AVC453" i="1" s="1"/>
  <c r="Z453" i="1"/>
  <c r="AV453" i="1" s="1"/>
  <c r="BR453" i="1" s="1"/>
  <c r="X453" i="1"/>
  <c r="AT453" i="1" s="1"/>
  <c r="BP453" i="1" s="1"/>
  <c r="AUY453" i="1" s="1"/>
  <c r="U453" i="1"/>
  <c r="V453" i="1" s="1"/>
  <c r="AO452" i="1"/>
  <c r="BK452" i="1" s="1"/>
  <c r="CG452" i="1" s="1"/>
  <c r="AVP452" i="1" s="1"/>
  <c r="AL452" i="1"/>
  <c r="BH452" i="1" s="1"/>
  <c r="AK452" i="1"/>
  <c r="BG452" i="1" s="1"/>
  <c r="CC452" i="1" s="1"/>
  <c r="AVL452" i="1" s="1"/>
  <c r="AJ452" i="1"/>
  <c r="BF452" i="1" s="1"/>
  <c r="CB452" i="1" s="1"/>
  <c r="AVK452" i="1" s="1"/>
  <c r="AI452" i="1"/>
  <c r="BE452" i="1" s="1"/>
  <c r="CA452" i="1" s="1"/>
  <c r="AVJ452" i="1" s="1"/>
  <c r="AH452" i="1"/>
  <c r="BD452" i="1" s="1"/>
  <c r="BZ452" i="1" s="1"/>
  <c r="AVI452" i="1" s="1"/>
  <c r="AG452" i="1"/>
  <c r="BC452" i="1" s="1"/>
  <c r="BY452" i="1" s="1"/>
  <c r="AVH452" i="1" s="1"/>
  <c r="AF452" i="1"/>
  <c r="BB452" i="1" s="1"/>
  <c r="AE452" i="1"/>
  <c r="BA452" i="1" s="1"/>
  <c r="BW452" i="1" s="1"/>
  <c r="AVF452" i="1" s="1"/>
  <c r="AD452" i="1"/>
  <c r="AZ452" i="1" s="1"/>
  <c r="BV452" i="1" s="1"/>
  <c r="AVE452" i="1" s="1"/>
  <c r="AC452" i="1"/>
  <c r="AY452" i="1" s="1"/>
  <c r="BU452" i="1" s="1"/>
  <c r="AVD452" i="1" s="1"/>
  <c r="AB452" i="1"/>
  <c r="AX452" i="1" s="1"/>
  <c r="BT452" i="1" s="1"/>
  <c r="AVC452" i="1" s="1"/>
  <c r="Z452" i="1"/>
  <c r="AV452" i="1" s="1"/>
  <c r="BR452" i="1" s="1"/>
  <c r="X452" i="1"/>
  <c r="AT452" i="1" s="1"/>
  <c r="BP452" i="1" s="1"/>
  <c r="AUY452" i="1" s="1"/>
  <c r="U452" i="1"/>
  <c r="AQ452" i="1" s="1"/>
  <c r="AO451" i="1"/>
  <c r="BK451" i="1" s="1"/>
  <c r="CG451" i="1" s="1"/>
  <c r="AVP451" i="1" s="1"/>
  <c r="AO450" i="1"/>
  <c r="BK450" i="1" s="1"/>
  <c r="CG450" i="1" s="1"/>
  <c r="AVP450" i="1" s="1"/>
  <c r="AL450" i="1"/>
  <c r="BH450" i="1" s="1"/>
  <c r="AK450" i="1"/>
  <c r="BG450" i="1" s="1"/>
  <c r="CC450" i="1" s="1"/>
  <c r="AVL450" i="1" s="1"/>
  <c r="AJ450" i="1"/>
  <c r="BF450" i="1" s="1"/>
  <c r="CB450" i="1" s="1"/>
  <c r="AVK450" i="1" s="1"/>
  <c r="AI450" i="1"/>
  <c r="BE450" i="1" s="1"/>
  <c r="CA450" i="1" s="1"/>
  <c r="AVJ450" i="1" s="1"/>
  <c r="AH450" i="1"/>
  <c r="BD450" i="1" s="1"/>
  <c r="BZ450" i="1" s="1"/>
  <c r="AVI450" i="1" s="1"/>
  <c r="AG450" i="1"/>
  <c r="BC450" i="1" s="1"/>
  <c r="BY450" i="1" s="1"/>
  <c r="AVH450" i="1" s="1"/>
  <c r="AF450" i="1"/>
  <c r="BB450" i="1" s="1"/>
  <c r="AE450" i="1"/>
  <c r="BA450" i="1" s="1"/>
  <c r="BW450" i="1" s="1"/>
  <c r="AVF450" i="1" s="1"/>
  <c r="AD450" i="1"/>
  <c r="AZ450" i="1" s="1"/>
  <c r="BV450" i="1" s="1"/>
  <c r="AVE450" i="1" s="1"/>
  <c r="AC450" i="1"/>
  <c r="AY450" i="1" s="1"/>
  <c r="BU450" i="1" s="1"/>
  <c r="AVD450" i="1" s="1"/>
  <c r="AB450" i="1"/>
  <c r="AX450" i="1" s="1"/>
  <c r="BT450" i="1" s="1"/>
  <c r="AVC450" i="1" s="1"/>
  <c r="Z450" i="1"/>
  <c r="AV450" i="1" s="1"/>
  <c r="BR450" i="1" s="1"/>
  <c r="Y450" i="1"/>
  <c r="AU450" i="1" s="1"/>
  <c r="BQ450" i="1" s="1"/>
  <c r="X450" i="1"/>
  <c r="AT450" i="1" s="1"/>
  <c r="BP450" i="1" s="1"/>
  <c r="AUY450" i="1" s="1"/>
  <c r="U450" i="1"/>
  <c r="AQ450" i="1" s="1"/>
  <c r="AO449" i="1"/>
  <c r="BK449" i="1" s="1"/>
  <c r="CG449" i="1" s="1"/>
  <c r="AVP449" i="1" s="1"/>
  <c r="AL449" i="1"/>
  <c r="BH449" i="1" s="1"/>
  <c r="AK449" i="1"/>
  <c r="BG449" i="1" s="1"/>
  <c r="CC449" i="1" s="1"/>
  <c r="AVL449" i="1" s="1"/>
  <c r="AJ449" i="1"/>
  <c r="BF449" i="1" s="1"/>
  <c r="CB449" i="1" s="1"/>
  <c r="AVK449" i="1" s="1"/>
  <c r="AI449" i="1"/>
  <c r="BE449" i="1" s="1"/>
  <c r="CA449" i="1" s="1"/>
  <c r="AVJ449" i="1" s="1"/>
  <c r="AH449" i="1"/>
  <c r="BD449" i="1" s="1"/>
  <c r="BZ449" i="1" s="1"/>
  <c r="AVI449" i="1" s="1"/>
  <c r="AG449" i="1"/>
  <c r="BC449" i="1" s="1"/>
  <c r="BY449" i="1" s="1"/>
  <c r="AVH449" i="1" s="1"/>
  <c r="AF449" i="1"/>
  <c r="BB449" i="1" s="1"/>
  <c r="AE449" i="1"/>
  <c r="BA449" i="1" s="1"/>
  <c r="BW449" i="1" s="1"/>
  <c r="AVF449" i="1" s="1"/>
  <c r="AD449" i="1"/>
  <c r="AZ449" i="1" s="1"/>
  <c r="BV449" i="1" s="1"/>
  <c r="AVE449" i="1" s="1"/>
  <c r="AC449" i="1"/>
  <c r="AY449" i="1" s="1"/>
  <c r="BU449" i="1" s="1"/>
  <c r="AVD449" i="1" s="1"/>
  <c r="AB449" i="1"/>
  <c r="AX449" i="1" s="1"/>
  <c r="BT449" i="1" s="1"/>
  <c r="AVC449" i="1" s="1"/>
  <c r="Z449" i="1"/>
  <c r="AV449" i="1" s="1"/>
  <c r="BR449" i="1" s="1"/>
  <c r="Y449" i="1"/>
  <c r="AU449" i="1" s="1"/>
  <c r="BQ449" i="1" s="1"/>
  <c r="X449" i="1"/>
  <c r="AT449" i="1" s="1"/>
  <c r="BP449" i="1" s="1"/>
  <c r="AUY449" i="1" s="1"/>
  <c r="U449" i="1"/>
  <c r="V449" i="1" s="1"/>
  <c r="AO448" i="1"/>
  <c r="BK448" i="1" s="1"/>
  <c r="CG448" i="1" s="1"/>
  <c r="AVP448" i="1" s="1"/>
  <c r="AO447" i="1"/>
  <c r="BK447" i="1" s="1"/>
  <c r="CG447" i="1" s="1"/>
  <c r="AVP447" i="1" s="1"/>
  <c r="AL447" i="1"/>
  <c r="BH447" i="1" s="1"/>
  <c r="AK447" i="1"/>
  <c r="BG447" i="1" s="1"/>
  <c r="CC447" i="1" s="1"/>
  <c r="AVL447" i="1" s="1"/>
  <c r="AJ447" i="1"/>
  <c r="BF447" i="1" s="1"/>
  <c r="CB447" i="1" s="1"/>
  <c r="AVK447" i="1" s="1"/>
  <c r="AI447" i="1"/>
  <c r="BE447" i="1" s="1"/>
  <c r="CA447" i="1" s="1"/>
  <c r="AVJ447" i="1" s="1"/>
  <c r="AH447" i="1"/>
  <c r="BD447" i="1" s="1"/>
  <c r="BZ447" i="1" s="1"/>
  <c r="AVI447" i="1" s="1"/>
  <c r="AG447" i="1"/>
  <c r="BC447" i="1" s="1"/>
  <c r="BY447" i="1" s="1"/>
  <c r="AVH447" i="1" s="1"/>
  <c r="AF447" i="1"/>
  <c r="BB447" i="1" s="1"/>
  <c r="AE447" i="1"/>
  <c r="BA447" i="1" s="1"/>
  <c r="BW447" i="1" s="1"/>
  <c r="AVF447" i="1" s="1"/>
  <c r="AD447" i="1"/>
  <c r="AZ447" i="1" s="1"/>
  <c r="BV447" i="1" s="1"/>
  <c r="AVE447" i="1" s="1"/>
  <c r="AC447" i="1"/>
  <c r="AY447" i="1" s="1"/>
  <c r="BU447" i="1" s="1"/>
  <c r="AVD447" i="1" s="1"/>
  <c r="AB447" i="1"/>
  <c r="AX447" i="1" s="1"/>
  <c r="BT447" i="1" s="1"/>
  <c r="AVC447" i="1" s="1"/>
  <c r="Z447" i="1"/>
  <c r="AV447" i="1" s="1"/>
  <c r="BR447" i="1" s="1"/>
  <c r="Y447" i="1"/>
  <c r="AU447" i="1" s="1"/>
  <c r="BQ447" i="1" s="1"/>
  <c r="X447" i="1"/>
  <c r="AT447" i="1" s="1"/>
  <c r="BP447" i="1" s="1"/>
  <c r="AUY447" i="1" s="1"/>
  <c r="U447" i="1"/>
  <c r="V447" i="1" s="1"/>
  <c r="T447" i="1"/>
  <c r="S447" i="1"/>
  <c r="AO446" i="1"/>
  <c r="BK446" i="1" s="1"/>
  <c r="CG446" i="1" s="1"/>
  <c r="AVP446" i="1" s="1"/>
  <c r="T446" i="1"/>
  <c r="S446" i="1"/>
  <c r="AO445" i="1"/>
  <c r="BK445" i="1" s="1"/>
  <c r="CG445" i="1" s="1"/>
  <c r="AVP445" i="1" s="1"/>
  <c r="AL445" i="1"/>
  <c r="AK445" i="1"/>
  <c r="BG445" i="1" s="1"/>
  <c r="CC445" i="1" s="1"/>
  <c r="AVL445" i="1" s="1"/>
  <c r="AJ445" i="1"/>
  <c r="BF445" i="1" s="1"/>
  <c r="CB445" i="1" s="1"/>
  <c r="AVK445" i="1" s="1"/>
  <c r="AI445" i="1"/>
  <c r="BE445" i="1" s="1"/>
  <c r="CA445" i="1" s="1"/>
  <c r="AVJ445" i="1" s="1"/>
  <c r="AH445" i="1"/>
  <c r="BD445" i="1" s="1"/>
  <c r="BZ445" i="1" s="1"/>
  <c r="AVI445" i="1" s="1"/>
  <c r="AG445" i="1"/>
  <c r="BC445" i="1" s="1"/>
  <c r="BY445" i="1" s="1"/>
  <c r="AVH445" i="1" s="1"/>
  <c r="AF445" i="1"/>
  <c r="BB445" i="1" s="1"/>
  <c r="AE445" i="1"/>
  <c r="BA445" i="1" s="1"/>
  <c r="BW445" i="1" s="1"/>
  <c r="AVF445" i="1" s="1"/>
  <c r="AD445" i="1"/>
  <c r="AZ445" i="1" s="1"/>
  <c r="BV445" i="1" s="1"/>
  <c r="AVE445" i="1" s="1"/>
  <c r="AC445" i="1"/>
  <c r="AY445" i="1" s="1"/>
  <c r="BU445" i="1" s="1"/>
  <c r="AVD445" i="1" s="1"/>
  <c r="AB445" i="1"/>
  <c r="AX445" i="1" s="1"/>
  <c r="BT445" i="1" s="1"/>
  <c r="AVC445" i="1" s="1"/>
  <c r="Z445" i="1"/>
  <c r="AV445" i="1" s="1"/>
  <c r="BR445" i="1" s="1"/>
  <c r="Y445" i="1"/>
  <c r="AU445" i="1" s="1"/>
  <c r="BQ445" i="1" s="1"/>
  <c r="X445" i="1"/>
  <c r="AT445" i="1" s="1"/>
  <c r="BP445" i="1" s="1"/>
  <c r="AUY445" i="1" s="1"/>
  <c r="U445" i="1"/>
  <c r="AQ445" i="1" s="1"/>
  <c r="T445" i="1"/>
  <c r="S445" i="1"/>
  <c r="AO444" i="1"/>
  <c r="BK444" i="1" s="1"/>
  <c r="CG444" i="1" s="1"/>
  <c r="AL444" i="1"/>
  <c r="BH444" i="1" s="1"/>
  <c r="AK444" i="1"/>
  <c r="BG444" i="1" s="1"/>
  <c r="CC444" i="1" s="1"/>
  <c r="AJ444" i="1"/>
  <c r="BF444" i="1" s="1"/>
  <c r="CB444" i="1" s="1"/>
  <c r="AI444" i="1"/>
  <c r="BE444" i="1" s="1"/>
  <c r="CA444" i="1" s="1"/>
  <c r="AH444" i="1"/>
  <c r="BD444" i="1" s="1"/>
  <c r="BZ444" i="1" s="1"/>
  <c r="AG444" i="1"/>
  <c r="BC444" i="1" s="1"/>
  <c r="BY444" i="1" s="1"/>
  <c r="AF444" i="1"/>
  <c r="BB444" i="1" s="1"/>
  <c r="AE444" i="1"/>
  <c r="BA444" i="1" s="1"/>
  <c r="AD444" i="1"/>
  <c r="AZ444" i="1" s="1"/>
  <c r="AC444" i="1"/>
  <c r="AY444" i="1" s="1"/>
  <c r="AB444" i="1"/>
  <c r="AX444" i="1" s="1"/>
  <c r="Z444" i="1"/>
  <c r="AV444" i="1" s="1"/>
  <c r="BR444" i="1" s="1"/>
  <c r="X444" i="1"/>
  <c r="AT444" i="1" s="1"/>
  <c r="BP444" i="1" s="1"/>
  <c r="U444" i="1"/>
  <c r="T444" i="1"/>
  <c r="S444" i="1"/>
  <c r="AE25" i="2"/>
  <c r="AUZ449" i="1" l="1"/>
  <c r="AUZ450" i="1"/>
  <c r="AVA452" i="1"/>
  <c r="AUZ445" i="1"/>
  <c r="AVB449" i="1"/>
  <c r="AVB450" i="1"/>
  <c r="AVB452" i="1"/>
  <c r="AVB445" i="1"/>
  <c r="AVB454" i="1"/>
  <c r="AVB455" i="1"/>
  <c r="AVB447" i="1"/>
  <c r="AVB453" i="1"/>
  <c r="AVA447" i="1"/>
  <c r="AVA453" i="1"/>
  <c r="AVA445" i="1"/>
  <c r="AUZ447" i="1"/>
  <c r="AVA454" i="1"/>
  <c r="AVA455" i="1"/>
  <c r="AVA449" i="1"/>
  <c r="AVA450" i="1"/>
  <c r="AVA444" i="1"/>
  <c r="AUY444" i="1"/>
  <c r="BX455" i="1"/>
  <c r="AVG455" i="1" s="1"/>
  <c r="BX453" i="1"/>
  <c r="AVG453" i="1" s="1"/>
  <c r="BX449" i="1"/>
  <c r="AVG449" i="1" s="1"/>
  <c r="BX450" i="1"/>
  <c r="AVG450" i="1" s="1"/>
  <c r="BX452" i="1"/>
  <c r="AVG452" i="1" s="1"/>
  <c r="BX454" i="1"/>
  <c r="AVG454" i="1" s="1"/>
  <c r="AM444" i="1"/>
  <c r="AN444" i="1" s="1"/>
  <c r="AA454" i="1"/>
  <c r="AW454" i="1" s="1"/>
  <c r="BS454" i="1" s="1"/>
  <c r="AM454" i="1"/>
  <c r="AN454" i="1" s="1"/>
  <c r="BX447" i="1"/>
  <c r="AVG447" i="1" s="1"/>
  <c r="AA452" i="1"/>
  <c r="AW452" i="1" s="1"/>
  <c r="BS452" i="1" s="1"/>
  <c r="AM452" i="1"/>
  <c r="AN452" i="1" s="1"/>
  <c r="BX444" i="1"/>
  <c r="V445" i="1"/>
  <c r="W445" i="1" s="1"/>
  <c r="BX445" i="1"/>
  <c r="AVG445" i="1" s="1"/>
  <c r="AA450" i="1"/>
  <c r="AW450" i="1" s="1"/>
  <c r="BS450" i="1" s="1"/>
  <c r="AM450" i="1"/>
  <c r="AN450" i="1" s="1"/>
  <c r="CD444" i="1"/>
  <c r="BI444" i="1"/>
  <c r="BJ444" i="1" s="1"/>
  <c r="BM445" i="1"/>
  <c r="AUV445" i="1" s="1"/>
  <c r="AUW445" i="1" s="1"/>
  <c r="AUX445" i="1" s="1"/>
  <c r="CD449" i="1"/>
  <c r="AVM449" i="1" s="1"/>
  <c r="BI449" i="1"/>
  <c r="BJ449" i="1" s="1"/>
  <c r="BM450" i="1"/>
  <c r="AUV450" i="1" s="1"/>
  <c r="AUW450" i="1" s="1"/>
  <c r="AUX450" i="1" s="1"/>
  <c r="AR450" i="1"/>
  <c r="AS450" i="1" s="1"/>
  <c r="CD452" i="1"/>
  <c r="AVM452" i="1" s="1"/>
  <c r="BI452" i="1"/>
  <c r="BJ452" i="1" s="1"/>
  <c r="CD453" i="1"/>
  <c r="AVM453" i="1" s="1"/>
  <c r="BI453" i="1"/>
  <c r="BJ453" i="1" s="1"/>
  <c r="BM454" i="1"/>
  <c r="AUV454" i="1" s="1"/>
  <c r="AUW454" i="1" s="1"/>
  <c r="AUX454" i="1" s="1"/>
  <c r="AR454" i="1"/>
  <c r="AS454" i="1" s="1"/>
  <c r="AA444" i="1"/>
  <c r="AW444" i="1" s="1"/>
  <c r="BS444" i="1" s="1"/>
  <c r="AQ444" i="1"/>
  <c r="V444" i="1"/>
  <c r="W444" i="1" s="1"/>
  <c r="AA445" i="1"/>
  <c r="AW445" i="1" s="1"/>
  <c r="BS445" i="1" s="1"/>
  <c r="AM445" i="1"/>
  <c r="AN445" i="1" s="1"/>
  <c r="AR445" i="1"/>
  <c r="AS445" i="1" s="1"/>
  <c r="BH445" i="1"/>
  <c r="CD447" i="1"/>
  <c r="AVM447" i="1" s="1"/>
  <c r="BI447" i="1"/>
  <c r="BJ447" i="1" s="1"/>
  <c r="CD450" i="1"/>
  <c r="AVM450" i="1" s="1"/>
  <c r="BI450" i="1"/>
  <c r="BJ450" i="1" s="1"/>
  <c r="BM452" i="1"/>
  <c r="AUV452" i="1" s="1"/>
  <c r="AUW452" i="1" s="1"/>
  <c r="AUX452" i="1" s="1"/>
  <c r="AR452" i="1"/>
  <c r="AS452" i="1" s="1"/>
  <c r="CD454" i="1"/>
  <c r="AVM454" i="1" s="1"/>
  <c r="BI454" i="1"/>
  <c r="BJ454" i="1" s="1"/>
  <c r="CD455" i="1"/>
  <c r="AVM455" i="1" s="1"/>
  <c r="BI455" i="1"/>
  <c r="BJ455" i="1" s="1"/>
  <c r="W447" i="1"/>
  <c r="AA447" i="1"/>
  <c r="AW447" i="1" s="1"/>
  <c r="BS447" i="1" s="1"/>
  <c r="AM447" i="1"/>
  <c r="AN447" i="1" s="1"/>
  <c r="AQ447" i="1"/>
  <c r="W449" i="1"/>
  <c r="AA449" i="1"/>
  <c r="AW449" i="1" s="1"/>
  <c r="BS449" i="1" s="1"/>
  <c r="AM449" i="1"/>
  <c r="AN449" i="1" s="1"/>
  <c r="AQ449" i="1"/>
  <c r="V450" i="1"/>
  <c r="W450" i="1" s="1"/>
  <c r="V452" i="1"/>
  <c r="W452" i="1" s="1"/>
  <c r="W453" i="1"/>
  <c r="AA453" i="1"/>
  <c r="AW453" i="1" s="1"/>
  <c r="BS453" i="1" s="1"/>
  <c r="AM453" i="1"/>
  <c r="AN453" i="1" s="1"/>
  <c r="AQ453" i="1"/>
  <c r="V454" i="1"/>
  <c r="W454" i="1" s="1"/>
  <c r="W455" i="1"/>
  <c r="AA455" i="1"/>
  <c r="AW455" i="1" s="1"/>
  <c r="BS455" i="1" s="1"/>
  <c r="AM455" i="1"/>
  <c r="AN455" i="1" s="1"/>
  <c r="AQ455" i="1"/>
  <c r="AC25" i="2"/>
  <c r="AVN455" i="1" l="1"/>
  <c r="AVO455" i="1" s="1"/>
  <c r="AVN450" i="1"/>
  <c r="AVO450" i="1" s="1"/>
  <c r="AVN452" i="1"/>
  <c r="AVO452" i="1" s="1"/>
  <c r="AVN449" i="1"/>
  <c r="AVO449" i="1" s="1"/>
  <c r="AVN453" i="1"/>
  <c r="AVO453" i="1" s="1"/>
  <c r="AVN447" i="1"/>
  <c r="AVO447" i="1" s="1"/>
  <c r="AVN454" i="1"/>
  <c r="AVO454" i="1" s="1"/>
  <c r="AVB444" i="1"/>
  <c r="AP452" i="1"/>
  <c r="AP444" i="1"/>
  <c r="BL450" i="1"/>
  <c r="AP454" i="1"/>
  <c r="BL452" i="1"/>
  <c r="AP450" i="1"/>
  <c r="BL454" i="1"/>
  <c r="AP445" i="1"/>
  <c r="BL445" i="1"/>
  <c r="BL455" i="1"/>
  <c r="AR455" i="1"/>
  <c r="AS455" i="1" s="1"/>
  <c r="BM455" i="1"/>
  <c r="AUV455" i="1" s="1"/>
  <c r="AUW455" i="1" s="1"/>
  <c r="AUX455" i="1" s="1"/>
  <c r="BL447" i="1"/>
  <c r="AR447" i="1"/>
  <c r="AS447" i="1" s="1"/>
  <c r="BM447" i="1"/>
  <c r="AUV447" i="1" s="1"/>
  <c r="AUW447" i="1" s="1"/>
  <c r="AUX447" i="1" s="1"/>
  <c r="CD445" i="1"/>
  <c r="BI445" i="1"/>
  <c r="BJ445" i="1" s="1"/>
  <c r="BL444" i="1"/>
  <c r="AR444" i="1"/>
  <c r="AS444" i="1" s="1"/>
  <c r="BM444" i="1"/>
  <c r="CE444" i="1"/>
  <c r="CF444" i="1" s="1"/>
  <c r="AP449" i="1"/>
  <c r="AP455" i="1"/>
  <c r="AP447" i="1"/>
  <c r="BL453" i="1"/>
  <c r="AR453" i="1"/>
  <c r="AS453" i="1" s="1"/>
  <c r="BM453" i="1"/>
  <c r="AUV453" i="1" s="1"/>
  <c r="AUW453" i="1" s="1"/>
  <c r="AUX453" i="1" s="1"/>
  <c r="BL449" i="1"/>
  <c r="AR449" i="1"/>
  <c r="AS449" i="1" s="1"/>
  <c r="BM449" i="1"/>
  <c r="AUV449" i="1" s="1"/>
  <c r="AUW449" i="1" s="1"/>
  <c r="AUX449" i="1" s="1"/>
  <c r="CE455" i="1"/>
  <c r="CF455" i="1" s="1"/>
  <c r="CE454" i="1"/>
  <c r="CF454" i="1" s="1"/>
  <c r="CH452" i="1"/>
  <c r="AVQ452" i="1" s="1"/>
  <c r="BN452" i="1"/>
  <c r="BO452" i="1" s="1"/>
  <c r="CE450" i="1"/>
  <c r="CF450" i="1" s="1"/>
  <c r="CE447" i="1"/>
  <c r="CF447" i="1" s="1"/>
  <c r="CH454" i="1"/>
  <c r="AVQ454" i="1" s="1"/>
  <c r="BN454" i="1"/>
  <c r="BO454" i="1" s="1"/>
  <c r="CE453" i="1"/>
  <c r="CF453" i="1" s="1"/>
  <c r="CE452" i="1"/>
  <c r="CF452" i="1" s="1"/>
  <c r="CH450" i="1"/>
  <c r="AVQ450" i="1" s="1"/>
  <c r="BN450" i="1"/>
  <c r="BO450" i="1" s="1"/>
  <c r="CE449" i="1"/>
  <c r="CF449" i="1" s="1"/>
  <c r="BN445" i="1"/>
  <c r="BO445" i="1" s="1"/>
  <c r="AP453" i="1"/>
  <c r="N62" i="2"/>
  <c r="Y62" i="2" s="1"/>
  <c r="CH445" i="1" l="1"/>
  <c r="AVQ445" i="1" s="1"/>
  <c r="AVM445" i="1"/>
  <c r="BN449" i="1"/>
  <c r="BO449" i="1" s="1"/>
  <c r="CH449" i="1"/>
  <c r="AVQ449" i="1" s="1"/>
  <c r="BN453" i="1"/>
  <c r="BO453" i="1" s="1"/>
  <c r="CH453" i="1"/>
  <c r="AVQ453" i="1" s="1"/>
  <c r="CE445" i="1"/>
  <c r="CF445" i="1" s="1"/>
  <c r="BN447" i="1"/>
  <c r="BO447" i="1" s="1"/>
  <c r="CH447" i="1"/>
  <c r="AVQ447" i="1" s="1"/>
  <c r="BN455" i="1"/>
  <c r="BO455" i="1" s="1"/>
  <c r="CH455" i="1"/>
  <c r="AVQ455" i="1" s="1"/>
  <c r="CH444" i="1"/>
  <c r="BN444" i="1"/>
  <c r="BO444" i="1" s="1"/>
  <c r="AVN445" i="1" l="1"/>
  <c r="AVO445" i="1" s="1"/>
  <c r="H37" i="3"/>
  <c r="I37" i="3" s="1"/>
  <c r="H38" i="3"/>
  <c r="I38" i="3" s="1"/>
  <c r="H36" i="3"/>
  <c r="I36" i="3" s="1"/>
  <c r="R33" i="2" l="1"/>
  <c r="V33" i="2" s="1"/>
  <c r="R31" i="2"/>
  <c r="V31" i="2" s="1"/>
  <c r="V26" i="2"/>
  <c r="N35" i="2"/>
  <c r="X26" i="2" l="1"/>
  <c r="J44" i="3"/>
  <c r="X443" i="1" s="1"/>
  <c r="AT443" i="1" s="1"/>
  <c r="BP443" i="1" s="1"/>
  <c r="AUY443" i="1" s="1"/>
  <c r="L44" i="3"/>
  <c r="Z443" i="1" s="1"/>
  <c r="AV443" i="1" s="1"/>
  <c r="BR443" i="1" s="1"/>
  <c r="N44" i="3"/>
  <c r="O44" i="3"/>
  <c r="AC443" i="1" s="1"/>
  <c r="AY443" i="1" s="1"/>
  <c r="P44" i="3"/>
  <c r="AD443" i="1" s="1"/>
  <c r="AZ443" i="1" s="1"/>
  <c r="Q44" i="3"/>
  <c r="AE443" i="1" s="1"/>
  <c r="BA443" i="1" s="1"/>
  <c r="R44" i="3"/>
  <c r="AF443" i="1" s="1"/>
  <c r="BB443" i="1" s="1"/>
  <c r="S44" i="3"/>
  <c r="T44" i="3"/>
  <c r="AH443" i="1" s="1"/>
  <c r="BD443" i="1" s="1"/>
  <c r="BZ443" i="1" s="1"/>
  <c r="AVI443" i="1" s="1"/>
  <c r="U44" i="3"/>
  <c r="AI443" i="1" s="1"/>
  <c r="BE443" i="1" s="1"/>
  <c r="CA443" i="1" s="1"/>
  <c r="AVJ443" i="1" s="1"/>
  <c r="V44" i="3"/>
  <c r="W44" i="3"/>
  <c r="AK443" i="1" s="1"/>
  <c r="BG443" i="1" s="1"/>
  <c r="CC443" i="1" s="1"/>
  <c r="AVL443" i="1" s="1"/>
  <c r="X44" i="3"/>
  <c r="AL443" i="1" s="1"/>
  <c r="G44" i="3"/>
  <c r="U443" i="1" s="1"/>
  <c r="AQ443" i="1" s="1"/>
  <c r="AB439" i="1"/>
  <c r="AX439" i="1" s="1"/>
  <c r="U439" i="1"/>
  <c r="AQ439" i="1" s="1"/>
  <c r="AO440" i="1"/>
  <c r="BK440" i="1" s="1"/>
  <c r="CG440" i="1" s="1"/>
  <c r="AVP440" i="1" s="1"/>
  <c r="AO443" i="1"/>
  <c r="BK443" i="1" s="1"/>
  <c r="CG443" i="1" s="1"/>
  <c r="AVP443" i="1" s="1"/>
  <c r="AJ443" i="1"/>
  <c r="BF443" i="1" s="1"/>
  <c r="CB443" i="1" s="1"/>
  <c r="AVK443" i="1" s="1"/>
  <c r="AB443" i="1"/>
  <c r="AX443" i="1" s="1"/>
  <c r="AO442" i="1"/>
  <c r="BK442" i="1" s="1"/>
  <c r="CG442" i="1" s="1"/>
  <c r="AVP442" i="1" s="1"/>
  <c r="AL442" i="1"/>
  <c r="AM442" i="1" s="1"/>
  <c r="AN442" i="1" s="1"/>
  <c r="AK442" i="1"/>
  <c r="BG442" i="1" s="1"/>
  <c r="CC442" i="1" s="1"/>
  <c r="AVL442" i="1" s="1"/>
  <c r="AJ442" i="1"/>
  <c r="BF442" i="1" s="1"/>
  <c r="CB442" i="1" s="1"/>
  <c r="AVK442" i="1" s="1"/>
  <c r="AI442" i="1"/>
  <c r="BE442" i="1" s="1"/>
  <c r="CA442" i="1" s="1"/>
  <c r="AVJ442" i="1" s="1"/>
  <c r="AH442" i="1"/>
  <c r="BD442" i="1" s="1"/>
  <c r="BZ442" i="1" s="1"/>
  <c r="AVI442" i="1" s="1"/>
  <c r="AG442" i="1"/>
  <c r="BC442" i="1" s="1"/>
  <c r="BY442" i="1" s="1"/>
  <c r="AVH442" i="1" s="1"/>
  <c r="AF442" i="1"/>
  <c r="BB442" i="1" s="1"/>
  <c r="AE442" i="1"/>
  <c r="BA442" i="1" s="1"/>
  <c r="AD442" i="1"/>
  <c r="AZ442" i="1" s="1"/>
  <c r="AC442" i="1"/>
  <c r="AY442" i="1" s="1"/>
  <c r="AB442" i="1"/>
  <c r="Z442" i="1"/>
  <c r="AV442" i="1" s="1"/>
  <c r="BR442" i="1" s="1"/>
  <c r="X442" i="1"/>
  <c r="AT442" i="1" s="1"/>
  <c r="BP442" i="1" s="1"/>
  <c r="AUY442" i="1" s="1"/>
  <c r="U442" i="1"/>
  <c r="AL440" i="1"/>
  <c r="BH440" i="1" s="1"/>
  <c r="AK440" i="1"/>
  <c r="BG440" i="1" s="1"/>
  <c r="CC440" i="1" s="1"/>
  <c r="AVL440" i="1" s="1"/>
  <c r="AJ440" i="1"/>
  <c r="BF440" i="1" s="1"/>
  <c r="CB440" i="1" s="1"/>
  <c r="AVK440" i="1" s="1"/>
  <c r="AI440" i="1"/>
  <c r="BE440" i="1" s="1"/>
  <c r="CA440" i="1" s="1"/>
  <c r="AVJ440" i="1" s="1"/>
  <c r="AH440" i="1"/>
  <c r="BD440" i="1" s="1"/>
  <c r="BZ440" i="1" s="1"/>
  <c r="AVI440" i="1" s="1"/>
  <c r="AG440" i="1"/>
  <c r="BC440" i="1" s="1"/>
  <c r="BY440" i="1" s="1"/>
  <c r="AVH440" i="1" s="1"/>
  <c r="AF440" i="1"/>
  <c r="BB440" i="1" s="1"/>
  <c r="AE440" i="1"/>
  <c r="BA440" i="1" s="1"/>
  <c r="AD440" i="1"/>
  <c r="AZ440" i="1" s="1"/>
  <c r="AC440" i="1"/>
  <c r="AY440" i="1" s="1"/>
  <c r="AB440" i="1"/>
  <c r="Z440" i="1"/>
  <c r="AV440" i="1" s="1"/>
  <c r="BR440" i="1" s="1"/>
  <c r="X440" i="1"/>
  <c r="AT440" i="1" s="1"/>
  <c r="BP440" i="1" s="1"/>
  <c r="AUY440" i="1" s="1"/>
  <c r="U440" i="1"/>
  <c r="AQ440" i="1" s="1"/>
  <c r="AO439" i="1"/>
  <c r="BK439" i="1" s="1"/>
  <c r="CG439" i="1" s="1"/>
  <c r="AVP439" i="1" s="1"/>
  <c r="AL439" i="1"/>
  <c r="BH439" i="1" s="1"/>
  <c r="AK439" i="1"/>
  <c r="BG439" i="1" s="1"/>
  <c r="CC439" i="1" s="1"/>
  <c r="AVL439" i="1" s="1"/>
  <c r="AJ439" i="1"/>
  <c r="BF439" i="1" s="1"/>
  <c r="CB439" i="1" s="1"/>
  <c r="AVK439" i="1" s="1"/>
  <c r="AI439" i="1"/>
  <c r="BE439" i="1" s="1"/>
  <c r="CA439" i="1" s="1"/>
  <c r="AVJ439" i="1" s="1"/>
  <c r="AH439" i="1"/>
  <c r="BD439" i="1" s="1"/>
  <c r="BZ439" i="1" s="1"/>
  <c r="AVI439" i="1" s="1"/>
  <c r="AG439" i="1"/>
  <c r="BC439" i="1" s="1"/>
  <c r="BY439" i="1" s="1"/>
  <c r="AVH439" i="1" s="1"/>
  <c r="AF439" i="1"/>
  <c r="BB439" i="1" s="1"/>
  <c r="AE439" i="1"/>
  <c r="BA439" i="1" s="1"/>
  <c r="AD439" i="1"/>
  <c r="AZ439" i="1" s="1"/>
  <c r="AC439" i="1"/>
  <c r="AY439" i="1" s="1"/>
  <c r="Z439" i="1"/>
  <c r="AV439" i="1" s="1"/>
  <c r="BR439" i="1" s="1"/>
  <c r="AVA439" i="1" s="1"/>
  <c r="X439" i="1"/>
  <c r="AT439" i="1" s="1"/>
  <c r="BP439" i="1" s="1"/>
  <c r="AUY439" i="1" s="1"/>
  <c r="AO438" i="1"/>
  <c r="BK438" i="1" s="1"/>
  <c r="CG438" i="1" s="1"/>
  <c r="AVP438" i="1" s="1"/>
  <c r="AL438" i="1"/>
  <c r="BH438" i="1" s="1"/>
  <c r="AK438" i="1"/>
  <c r="BG438" i="1" s="1"/>
  <c r="CC438" i="1" s="1"/>
  <c r="AVL438" i="1" s="1"/>
  <c r="AJ438" i="1"/>
  <c r="BF438" i="1" s="1"/>
  <c r="CB438" i="1" s="1"/>
  <c r="AVK438" i="1" s="1"/>
  <c r="AI438" i="1"/>
  <c r="BE438" i="1" s="1"/>
  <c r="CA438" i="1" s="1"/>
  <c r="AVJ438" i="1" s="1"/>
  <c r="AH438" i="1"/>
  <c r="BD438" i="1" s="1"/>
  <c r="BZ438" i="1" s="1"/>
  <c r="AVI438" i="1" s="1"/>
  <c r="AG438" i="1"/>
  <c r="BC438" i="1" s="1"/>
  <c r="BY438" i="1" s="1"/>
  <c r="AVH438" i="1" s="1"/>
  <c r="AF438" i="1"/>
  <c r="BB438" i="1" s="1"/>
  <c r="AE438" i="1"/>
  <c r="BA438" i="1" s="1"/>
  <c r="AD438" i="1"/>
  <c r="AZ438" i="1" s="1"/>
  <c r="AC438" i="1"/>
  <c r="AY438" i="1" s="1"/>
  <c r="AB438" i="1"/>
  <c r="AX438" i="1" s="1"/>
  <c r="Z438" i="1"/>
  <c r="AV438" i="1" s="1"/>
  <c r="BR438" i="1" s="1"/>
  <c r="X438" i="1"/>
  <c r="AT438" i="1" s="1"/>
  <c r="BP438" i="1" s="1"/>
  <c r="AUY438" i="1" s="1"/>
  <c r="U438" i="1"/>
  <c r="AQ438" i="1" s="1"/>
  <c r="AO437" i="1"/>
  <c r="BK437" i="1" s="1"/>
  <c r="CG437" i="1" s="1"/>
  <c r="AVP437" i="1" s="1"/>
  <c r="AL437" i="1"/>
  <c r="AM437" i="1" s="1"/>
  <c r="AN437" i="1" s="1"/>
  <c r="AK437" i="1"/>
  <c r="BG437" i="1" s="1"/>
  <c r="CC437" i="1" s="1"/>
  <c r="AVL437" i="1" s="1"/>
  <c r="AJ437" i="1"/>
  <c r="BF437" i="1" s="1"/>
  <c r="CB437" i="1" s="1"/>
  <c r="AVK437" i="1" s="1"/>
  <c r="AI437" i="1"/>
  <c r="BE437" i="1" s="1"/>
  <c r="CA437" i="1" s="1"/>
  <c r="AVJ437" i="1" s="1"/>
  <c r="AH437" i="1"/>
  <c r="BD437" i="1" s="1"/>
  <c r="BZ437" i="1" s="1"/>
  <c r="AVI437" i="1" s="1"/>
  <c r="AG437" i="1"/>
  <c r="BC437" i="1" s="1"/>
  <c r="BY437" i="1" s="1"/>
  <c r="AVH437" i="1" s="1"/>
  <c r="AF437" i="1"/>
  <c r="BB437" i="1" s="1"/>
  <c r="AE437" i="1"/>
  <c r="BA437" i="1" s="1"/>
  <c r="AD437" i="1"/>
  <c r="AZ437" i="1" s="1"/>
  <c r="AC437" i="1"/>
  <c r="AY437" i="1" s="1"/>
  <c r="AB437" i="1"/>
  <c r="Z437" i="1"/>
  <c r="AV437" i="1" s="1"/>
  <c r="BR437" i="1" s="1"/>
  <c r="X437" i="1"/>
  <c r="AT437" i="1" s="1"/>
  <c r="BP437" i="1" s="1"/>
  <c r="AUY437" i="1" s="1"/>
  <c r="U437" i="1"/>
  <c r="AQ437" i="1" s="1"/>
  <c r="AO436" i="1"/>
  <c r="BK436" i="1" s="1"/>
  <c r="CG436" i="1" s="1"/>
  <c r="AVP436" i="1" s="1"/>
  <c r="AL436" i="1"/>
  <c r="BH436" i="1" s="1"/>
  <c r="AK436" i="1"/>
  <c r="BG436" i="1" s="1"/>
  <c r="CC436" i="1" s="1"/>
  <c r="AVL436" i="1" s="1"/>
  <c r="AJ436" i="1"/>
  <c r="BF436" i="1" s="1"/>
  <c r="CB436" i="1" s="1"/>
  <c r="AVK436" i="1" s="1"/>
  <c r="AI436" i="1"/>
  <c r="BE436" i="1" s="1"/>
  <c r="CA436" i="1" s="1"/>
  <c r="AVJ436" i="1" s="1"/>
  <c r="AH436" i="1"/>
  <c r="BD436" i="1" s="1"/>
  <c r="BZ436" i="1" s="1"/>
  <c r="AVI436" i="1" s="1"/>
  <c r="AG436" i="1"/>
  <c r="BC436" i="1" s="1"/>
  <c r="BY436" i="1" s="1"/>
  <c r="AVH436" i="1" s="1"/>
  <c r="AF436" i="1"/>
  <c r="BB436" i="1" s="1"/>
  <c r="AE436" i="1"/>
  <c r="BA436" i="1" s="1"/>
  <c r="AD436" i="1"/>
  <c r="AZ436" i="1" s="1"/>
  <c r="AC436" i="1"/>
  <c r="AY436" i="1" s="1"/>
  <c r="AB436" i="1"/>
  <c r="AX436" i="1" s="1"/>
  <c r="Z436" i="1"/>
  <c r="AV436" i="1" s="1"/>
  <c r="BR436" i="1" s="1"/>
  <c r="X436" i="1"/>
  <c r="AT436" i="1" s="1"/>
  <c r="BP436" i="1" s="1"/>
  <c r="AUY436" i="1" s="1"/>
  <c r="U436" i="1"/>
  <c r="AQ436" i="1" s="1"/>
  <c r="AO435" i="1"/>
  <c r="BK435" i="1" s="1"/>
  <c r="CG435" i="1" s="1"/>
  <c r="AVP435" i="1" s="1"/>
  <c r="AL435" i="1"/>
  <c r="BH435" i="1" s="1"/>
  <c r="AK435" i="1"/>
  <c r="BG435" i="1" s="1"/>
  <c r="CC435" i="1" s="1"/>
  <c r="AVL435" i="1" s="1"/>
  <c r="AJ435" i="1"/>
  <c r="BF435" i="1" s="1"/>
  <c r="CB435" i="1" s="1"/>
  <c r="AVK435" i="1" s="1"/>
  <c r="AI435" i="1"/>
  <c r="BE435" i="1" s="1"/>
  <c r="CA435" i="1" s="1"/>
  <c r="AVJ435" i="1" s="1"/>
  <c r="AH435" i="1"/>
  <c r="BD435" i="1" s="1"/>
  <c r="BZ435" i="1" s="1"/>
  <c r="AVI435" i="1" s="1"/>
  <c r="AG435" i="1"/>
  <c r="BC435" i="1" s="1"/>
  <c r="BY435" i="1" s="1"/>
  <c r="AVH435" i="1" s="1"/>
  <c r="AF435" i="1"/>
  <c r="BB435" i="1" s="1"/>
  <c r="AE435" i="1"/>
  <c r="BA435" i="1" s="1"/>
  <c r="AD435" i="1"/>
  <c r="AZ435" i="1" s="1"/>
  <c r="AC435" i="1"/>
  <c r="AY435" i="1" s="1"/>
  <c r="AB435" i="1"/>
  <c r="AX435" i="1" s="1"/>
  <c r="Z435" i="1"/>
  <c r="AV435" i="1" s="1"/>
  <c r="BR435" i="1" s="1"/>
  <c r="X435" i="1"/>
  <c r="AT435" i="1" s="1"/>
  <c r="BP435" i="1" s="1"/>
  <c r="AUY435" i="1" s="1"/>
  <c r="U435" i="1"/>
  <c r="V435" i="1" s="1"/>
  <c r="AO434" i="1"/>
  <c r="BK434" i="1" s="1"/>
  <c r="CG434" i="1" s="1"/>
  <c r="AVP434" i="1" s="1"/>
  <c r="AL434" i="1"/>
  <c r="BH434" i="1" s="1"/>
  <c r="AK434" i="1"/>
  <c r="BG434" i="1" s="1"/>
  <c r="CC434" i="1" s="1"/>
  <c r="AVL434" i="1" s="1"/>
  <c r="AJ434" i="1"/>
  <c r="BF434" i="1" s="1"/>
  <c r="CB434" i="1" s="1"/>
  <c r="AVK434" i="1" s="1"/>
  <c r="AI434" i="1"/>
  <c r="BE434" i="1" s="1"/>
  <c r="CA434" i="1" s="1"/>
  <c r="AVJ434" i="1" s="1"/>
  <c r="AH434" i="1"/>
  <c r="BD434" i="1" s="1"/>
  <c r="BZ434" i="1" s="1"/>
  <c r="AVI434" i="1" s="1"/>
  <c r="AG434" i="1"/>
  <c r="BC434" i="1" s="1"/>
  <c r="BY434" i="1" s="1"/>
  <c r="AVH434" i="1" s="1"/>
  <c r="AF434" i="1"/>
  <c r="BB434" i="1" s="1"/>
  <c r="AE434" i="1"/>
  <c r="BA434" i="1" s="1"/>
  <c r="AD434" i="1"/>
  <c r="AZ434" i="1" s="1"/>
  <c r="AC434" i="1"/>
  <c r="AY434" i="1" s="1"/>
  <c r="AB434" i="1"/>
  <c r="Z434" i="1"/>
  <c r="AV434" i="1" s="1"/>
  <c r="BR434" i="1" s="1"/>
  <c r="X434" i="1"/>
  <c r="AT434" i="1" s="1"/>
  <c r="BP434" i="1" s="1"/>
  <c r="AUY434" i="1" s="1"/>
  <c r="U434" i="1"/>
  <c r="AQ434" i="1" s="1"/>
  <c r="AO433" i="1"/>
  <c r="BK433" i="1" s="1"/>
  <c r="CG433" i="1" s="1"/>
  <c r="AVP433" i="1" s="1"/>
  <c r="AL433" i="1"/>
  <c r="BH433" i="1" s="1"/>
  <c r="AK433" i="1"/>
  <c r="BG433" i="1" s="1"/>
  <c r="CC433" i="1" s="1"/>
  <c r="AVL433" i="1" s="1"/>
  <c r="AJ433" i="1"/>
  <c r="BF433" i="1" s="1"/>
  <c r="CB433" i="1" s="1"/>
  <c r="AVK433" i="1" s="1"/>
  <c r="AI433" i="1"/>
  <c r="BE433" i="1" s="1"/>
  <c r="CA433" i="1" s="1"/>
  <c r="AVJ433" i="1" s="1"/>
  <c r="AH433" i="1"/>
  <c r="BD433" i="1" s="1"/>
  <c r="BZ433" i="1" s="1"/>
  <c r="AVI433" i="1" s="1"/>
  <c r="AG433" i="1"/>
  <c r="BC433" i="1" s="1"/>
  <c r="BY433" i="1" s="1"/>
  <c r="AVH433" i="1" s="1"/>
  <c r="AF433" i="1"/>
  <c r="BB433" i="1" s="1"/>
  <c r="AE433" i="1"/>
  <c r="BA433" i="1" s="1"/>
  <c r="AD433" i="1"/>
  <c r="AZ433" i="1" s="1"/>
  <c r="AC433" i="1"/>
  <c r="AY433" i="1" s="1"/>
  <c r="AB433" i="1"/>
  <c r="Z433" i="1"/>
  <c r="AV433" i="1" s="1"/>
  <c r="BR433" i="1" s="1"/>
  <c r="X433" i="1"/>
  <c r="AT433" i="1" s="1"/>
  <c r="U433" i="1"/>
  <c r="V433" i="1" s="1"/>
  <c r="W433" i="1" s="1"/>
  <c r="AO432" i="1"/>
  <c r="BK432" i="1" s="1"/>
  <c r="CG432" i="1" s="1"/>
  <c r="AL432" i="1"/>
  <c r="BH432" i="1" s="1"/>
  <c r="AK432" i="1"/>
  <c r="BG432" i="1" s="1"/>
  <c r="CC432" i="1" s="1"/>
  <c r="AJ432" i="1"/>
  <c r="BF432" i="1" s="1"/>
  <c r="CB432" i="1" s="1"/>
  <c r="AI432" i="1"/>
  <c r="BE432" i="1" s="1"/>
  <c r="CA432" i="1" s="1"/>
  <c r="AH432" i="1"/>
  <c r="BD432" i="1" s="1"/>
  <c r="BZ432" i="1" s="1"/>
  <c r="AG432" i="1"/>
  <c r="BC432" i="1" s="1"/>
  <c r="BY432" i="1" s="1"/>
  <c r="AF432" i="1"/>
  <c r="BB432" i="1" s="1"/>
  <c r="AE432" i="1"/>
  <c r="BA432" i="1" s="1"/>
  <c r="AD432" i="1"/>
  <c r="AZ432" i="1" s="1"/>
  <c r="AC432" i="1"/>
  <c r="AY432" i="1" s="1"/>
  <c r="AB432" i="1"/>
  <c r="AX432" i="1" s="1"/>
  <c r="Z432" i="1"/>
  <c r="AV432" i="1" s="1"/>
  <c r="BR432" i="1" s="1"/>
  <c r="X432" i="1"/>
  <c r="AT432" i="1" s="1"/>
  <c r="BP432" i="1" s="1"/>
  <c r="U432" i="1"/>
  <c r="V432" i="1" s="1"/>
  <c r="W432" i="1" s="1"/>
  <c r="AO431" i="1"/>
  <c r="BK431" i="1" s="1"/>
  <c r="CG431" i="1" s="1"/>
  <c r="AVP431" i="1" s="1"/>
  <c r="AO430" i="1"/>
  <c r="BK430" i="1" s="1"/>
  <c r="CG430" i="1" s="1"/>
  <c r="AVP430" i="1" s="1"/>
  <c r="AL430" i="1"/>
  <c r="BH430" i="1" s="1"/>
  <c r="AK430" i="1"/>
  <c r="BG430" i="1" s="1"/>
  <c r="CC430" i="1" s="1"/>
  <c r="AVL430" i="1" s="1"/>
  <c r="AJ430" i="1"/>
  <c r="BF430" i="1" s="1"/>
  <c r="CB430" i="1" s="1"/>
  <c r="AVK430" i="1" s="1"/>
  <c r="AI430" i="1"/>
  <c r="BE430" i="1" s="1"/>
  <c r="CA430" i="1" s="1"/>
  <c r="AVJ430" i="1" s="1"/>
  <c r="AH430" i="1"/>
  <c r="BD430" i="1" s="1"/>
  <c r="BZ430" i="1" s="1"/>
  <c r="AVI430" i="1" s="1"/>
  <c r="AG430" i="1"/>
  <c r="BC430" i="1" s="1"/>
  <c r="BY430" i="1" s="1"/>
  <c r="AVH430" i="1" s="1"/>
  <c r="AF430" i="1"/>
  <c r="BB430" i="1" s="1"/>
  <c r="AE430" i="1"/>
  <c r="BA430" i="1" s="1"/>
  <c r="AD430" i="1"/>
  <c r="AZ430" i="1" s="1"/>
  <c r="AC430" i="1"/>
  <c r="AY430" i="1" s="1"/>
  <c r="AB430" i="1"/>
  <c r="AX430" i="1" s="1"/>
  <c r="Z430" i="1"/>
  <c r="AV430" i="1" s="1"/>
  <c r="BR430" i="1" s="1"/>
  <c r="X430" i="1"/>
  <c r="AT430" i="1" s="1"/>
  <c r="BP430" i="1" s="1"/>
  <c r="AUY430" i="1" s="1"/>
  <c r="U430" i="1"/>
  <c r="AQ430" i="1" s="1"/>
  <c r="AO429" i="1"/>
  <c r="BK429" i="1" s="1"/>
  <c r="CG429" i="1" s="1"/>
  <c r="AVP429" i="1" s="1"/>
  <c r="AL429" i="1"/>
  <c r="AM429" i="1" s="1"/>
  <c r="AN429" i="1" s="1"/>
  <c r="AK429" i="1"/>
  <c r="BG429" i="1" s="1"/>
  <c r="CC429" i="1" s="1"/>
  <c r="AVL429" i="1" s="1"/>
  <c r="AJ429" i="1"/>
  <c r="BF429" i="1" s="1"/>
  <c r="CB429" i="1" s="1"/>
  <c r="AVK429" i="1" s="1"/>
  <c r="AI429" i="1"/>
  <c r="BE429" i="1" s="1"/>
  <c r="CA429" i="1" s="1"/>
  <c r="AVJ429" i="1" s="1"/>
  <c r="AH429" i="1"/>
  <c r="BD429" i="1" s="1"/>
  <c r="BZ429" i="1" s="1"/>
  <c r="AVI429" i="1" s="1"/>
  <c r="AG429" i="1"/>
  <c r="BC429" i="1" s="1"/>
  <c r="BY429" i="1" s="1"/>
  <c r="AVH429" i="1" s="1"/>
  <c r="AF429" i="1"/>
  <c r="BB429" i="1" s="1"/>
  <c r="AE429" i="1"/>
  <c r="BA429" i="1" s="1"/>
  <c r="AD429" i="1"/>
  <c r="AZ429" i="1" s="1"/>
  <c r="AC429" i="1"/>
  <c r="AY429" i="1" s="1"/>
  <c r="AB429" i="1"/>
  <c r="Z429" i="1"/>
  <c r="AV429" i="1" s="1"/>
  <c r="BR429" i="1" s="1"/>
  <c r="X429" i="1"/>
  <c r="AT429" i="1" s="1"/>
  <c r="BP429" i="1" s="1"/>
  <c r="AUY429" i="1" s="1"/>
  <c r="U429" i="1"/>
  <c r="AQ429" i="1" s="1"/>
  <c r="AO428" i="1"/>
  <c r="BK428" i="1" s="1"/>
  <c r="CG428" i="1" s="1"/>
  <c r="AVP428" i="1" s="1"/>
  <c r="AL428" i="1"/>
  <c r="BH428" i="1" s="1"/>
  <c r="AK428" i="1"/>
  <c r="BG428" i="1" s="1"/>
  <c r="CC428" i="1" s="1"/>
  <c r="AVL428" i="1" s="1"/>
  <c r="AJ428" i="1"/>
  <c r="BF428" i="1" s="1"/>
  <c r="CB428" i="1" s="1"/>
  <c r="AVK428" i="1" s="1"/>
  <c r="AI428" i="1"/>
  <c r="BE428" i="1" s="1"/>
  <c r="CA428" i="1" s="1"/>
  <c r="AVJ428" i="1" s="1"/>
  <c r="AH428" i="1"/>
  <c r="BD428" i="1" s="1"/>
  <c r="BZ428" i="1" s="1"/>
  <c r="AVI428" i="1" s="1"/>
  <c r="AG428" i="1"/>
  <c r="BC428" i="1" s="1"/>
  <c r="BY428" i="1" s="1"/>
  <c r="AVH428" i="1" s="1"/>
  <c r="AF428" i="1"/>
  <c r="BB428" i="1" s="1"/>
  <c r="AE428" i="1"/>
  <c r="BA428" i="1" s="1"/>
  <c r="AD428" i="1"/>
  <c r="AZ428" i="1" s="1"/>
  <c r="AC428" i="1"/>
  <c r="AY428" i="1" s="1"/>
  <c r="AB428" i="1"/>
  <c r="Z428" i="1"/>
  <c r="AV428" i="1" s="1"/>
  <c r="BR428" i="1" s="1"/>
  <c r="X428" i="1"/>
  <c r="AT428" i="1" s="1"/>
  <c r="BP428" i="1" s="1"/>
  <c r="AUY428" i="1" s="1"/>
  <c r="U428" i="1"/>
  <c r="AO427" i="1"/>
  <c r="BK427" i="1" s="1"/>
  <c r="CG427" i="1" s="1"/>
  <c r="AVP427" i="1" s="1"/>
  <c r="AL427" i="1"/>
  <c r="BH427" i="1" s="1"/>
  <c r="AK427" i="1"/>
  <c r="BG427" i="1" s="1"/>
  <c r="CC427" i="1" s="1"/>
  <c r="AVL427" i="1" s="1"/>
  <c r="AJ427" i="1"/>
  <c r="BF427" i="1" s="1"/>
  <c r="CB427" i="1" s="1"/>
  <c r="AVK427" i="1" s="1"/>
  <c r="AI427" i="1"/>
  <c r="BE427" i="1" s="1"/>
  <c r="CA427" i="1" s="1"/>
  <c r="AVJ427" i="1" s="1"/>
  <c r="AH427" i="1"/>
  <c r="BD427" i="1" s="1"/>
  <c r="BZ427" i="1" s="1"/>
  <c r="AVI427" i="1" s="1"/>
  <c r="AG427" i="1"/>
  <c r="BC427" i="1" s="1"/>
  <c r="BY427" i="1" s="1"/>
  <c r="AVH427" i="1" s="1"/>
  <c r="AF427" i="1"/>
  <c r="BB427" i="1" s="1"/>
  <c r="AE427" i="1"/>
  <c r="BA427" i="1" s="1"/>
  <c r="AD427" i="1"/>
  <c r="AZ427" i="1" s="1"/>
  <c r="AC427" i="1"/>
  <c r="AY427" i="1" s="1"/>
  <c r="AB427" i="1"/>
  <c r="AX427" i="1" s="1"/>
  <c r="Z427" i="1"/>
  <c r="X427" i="1"/>
  <c r="AT427" i="1" s="1"/>
  <c r="BP427" i="1" s="1"/>
  <c r="AUY427" i="1" s="1"/>
  <c r="U427" i="1"/>
  <c r="V427" i="1" s="1"/>
  <c r="W427" i="1" s="1"/>
  <c r="AO426" i="1"/>
  <c r="BK426" i="1" s="1"/>
  <c r="CG426" i="1" s="1"/>
  <c r="AVP426" i="1" s="1"/>
  <c r="AL426" i="1"/>
  <c r="BH426" i="1" s="1"/>
  <c r="AK426" i="1"/>
  <c r="BG426" i="1" s="1"/>
  <c r="CC426" i="1" s="1"/>
  <c r="AVL426" i="1" s="1"/>
  <c r="AJ426" i="1"/>
  <c r="BF426" i="1" s="1"/>
  <c r="CB426" i="1" s="1"/>
  <c r="AVK426" i="1" s="1"/>
  <c r="AI426" i="1"/>
  <c r="BE426" i="1" s="1"/>
  <c r="CA426" i="1" s="1"/>
  <c r="AVJ426" i="1" s="1"/>
  <c r="AH426" i="1"/>
  <c r="BD426" i="1" s="1"/>
  <c r="BZ426" i="1" s="1"/>
  <c r="AVI426" i="1" s="1"/>
  <c r="AG426" i="1"/>
  <c r="BC426" i="1" s="1"/>
  <c r="BY426" i="1" s="1"/>
  <c r="AVH426" i="1" s="1"/>
  <c r="AF426" i="1"/>
  <c r="BB426" i="1" s="1"/>
  <c r="AE426" i="1"/>
  <c r="BA426" i="1" s="1"/>
  <c r="AD426" i="1"/>
  <c r="AZ426" i="1" s="1"/>
  <c r="AC426" i="1"/>
  <c r="AY426" i="1" s="1"/>
  <c r="AB426" i="1"/>
  <c r="AX426" i="1" s="1"/>
  <c r="Z426" i="1"/>
  <c r="AV426" i="1" s="1"/>
  <c r="BR426" i="1" s="1"/>
  <c r="X426" i="1"/>
  <c r="AT426" i="1" s="1"/>
  <c r="BP426" i="1" s="1"/>
  <c r="AUY426" i="1" s="1"/>
  <c r="U426" i="1"/>
  <c r="AQ426" i="1" s="1"/>
  <c r="AO425" i="1"/>
  <c r="BK425" i="1" s="1"/>
  <c r="CG425" i="1" s="1"/>
  <c r="AVP425" i="1" s="1"/>
  <c r="AL425" i="1"/>
  <c r="AK425" i="1"/>
  <c r="BG425" i="1" s="1"/>
  <c r="CC425" i="1" s="1"/>
  <c r="AVL425" i="1" s="1"/>
  <c r="AJ425" i="1"/>
  <c r="BF425" i="1" s="1"/>
  <c r="CB425" i="1" s="1"/>
  <c r="AVK425" i="1" s="1"/>
  <c r="AI425" i="1"/>
  <c r="BE425" i="1" s="1"/>
  <c r="CA425" i="1" s="1"/>
  <c r="AVJ425" i="1" s="1"/>
  <c r="AH425" i="1"/>
  <c r="BD425" i="1" s="1"/>
  <c r="BZ425" i="1" s="1"/>
  <c r="AVI425" i="1" s="1"/>
  <c r="AG425" i="1"/>
  <c r="BC425" i="1" s="1"/>
  <c r="BY425" i="1" s="1"/>
  <c r="AVH425" i="1" s="1"/>
  <c r="AF425" i="1"/>
  <c r="BB425" i="1" s="1"/>
  <c r="AE425" i="1"/>
  <c r="BA425" i="1" s="1"/>
  <c r="AD425" i="1"/>
  <c r="AZ425" i="1" s="1"/>
  <c r="AC425" i="1"/>
  <c r="AY425" i="1" s="1"/>
  <c r="AB425" i="1"/>
  <c r="Z425" i="1"/>
  <c r="AV425" i="1" s="1"/>
  <c r="BR425" i="1" s="1"/>
  <c r="X425" i="1"/>
  <c r="AT425" i="1" s="1"/>
  <c r="BP425" i="1" s="1"/>
  <c r="AUY425" i="1" s="1"/>
  <c r="U425" i="1"/>
  <c r="AQ425" i="1" s="1"/>
  <c r="T443" i="1"/>
  <c r="S443" i="1"/>
  <c r="T442" i="1"/>
  <c r="S442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AVA426" i="1" l="1"/>
  <c r="AVA430" i="1"/>
  <c r="AVA432" i="1"/>
  <c r="AVA436" i="1"/>
  <c r="AVA442" i="1"/>
  <c r="AVA425" i="1"/>
  <c r="AVA429" i="1"/>
  <c r="AVA435" i="1"/>
  <c r="AVA428" i="1"/>
  <c r="AVA434" i="1"/>
  <c r="AVA438" i="1"/>
  <c r="AVA440" i="1"/>
  <c r="AVA443" i="1"/>
  <c r="AVA433" i="1"/>
  <c r="AVA437" i="1"/>
  <c r="AUY432" i="1"/>
  <c r="N56" i="19"/>
  <c r="N56" i="18"/>
  <c r="N53" i="19"/>
  <c r="N53" i="18"/>
  <c r="N51" i="19"/>
  <c r="N51" i="18"/>
  <c r="N48" i="19"/>
  <c r="N48" i="18"/>
  <c r="N55" i="19"/>
  <c r="N55" i="18"/>
  <c r="N52" i="18"/>
  <c r="N52" i="19"/>
  <c r="N50" i="18"/>
  <c r="N50" i="19"/>
  <c r="K56" i="19"/>
  <c r="K56" i="18"/>
  <c r="N57" i="18"/>
  <c r="N57" i="19"/>
  <c r="N54" i="19"/>
  <c r="N54" i="18"/>
  <c r="K55" i="19"/>
  <c r="K55" i="18"/>
  <c r="K51" i="18"/>
  <c r="K51" i="19"/>
  <c r="BX434" i="1"/>
  <c r="AVG434" i="1" s="1"/>
  <c r="BX436" i="1"/>
  <c r="AVG436" i="1" s="1"/>
  <c r="BX438" i="1"/>
  <c r="AVG438" i="1" s="1"/>
  <c r="BX437" i="1"/>
  <c r="AVG437" i="1" s="1"/>
  <c r="CD428" i="1"/>
  <c r="BX442" i="1"/>
  <c r="AVG442" i="1" s="1"/>
  <c r="BX433" i="1"/>
  <c r="AVG433" i="1" s="1"/>
  <c r="CD433" i="1"/>
  <c r="BX439" i="1"/>
  <c r="AVG439" i="1" s="1"/>
  <c r="BX440" i="1"/>
  <c r="AVG440" i="1" s="1"/>
  <c r="BX435" i="1"/>
  <c r="AVG435" i="1" s="1"/>
  <c r="BX425" i="1"/>
  <c r="AVG425" i="1" s="1"/>
  <c r="BX426" i="1"/>
  <c r="AVG426" i="1" s="1"/>
  <c r="BX427" i="1"/>
  <c r="AVG427" i="1" s="1"/>
  <c r="BX428" i="1"/>
  <c r="AVG428" i="1" s="1"/>
  <c r="BX429" i="1"/>
  <c r="AVG429" i="1" s="1"/>
  <c r="BX430" i="1"/>
  <c r="AVG430" i="1" s="1"/>
  <c r="BX432" i="1"/>
  <c r="BX443" i="1"/>
  <c r="AVG443" i="1" s="1"/>
  <c r="AG443" i="1"/>
  <c r="BC443" i="1" s="1"/>
  <c r="BY443" i="1" s="1"/>
  <c r="AVH443" i="1" s="1"/>
  <c r="V437" i="1"/>
  <c r="W437" i="1" s="1"/>
  <c r="AM436" i="1"/>
  <c r="AN436" i="1" s="1"/>
  <c r="AA433" i="1"/>
  <c r="AW433" i="1" s="1"/>
  <c r="BS433" i="1" s="1"/>
  <c r="AM434" i="1"/>
  <c r="AN434" i="1" s="1"/>
  <c r="BH437" i="1"/>
  <c r="CD437" i="1" s="1"/>
  <c r="BH429" i="1"/>
  <c r="CD429" i="1" s="1"/>
  <c r="AQ427" i="1"/>
  <c r="BM427" i="1" s="1"/>
  <c r="V439" i="1"/>
  <c r="W439" i="1" s="1"/>
  <c r="AA437" i="1"/>
  <c r="AW437" i="1" s="1"/>
  <c r="BS437" i="1" s="1"/>
  <c r="CD434" i="1"/>
  <c r="BI434" i="1"/>
  <c r="BJ434" i="1" s="1"/>
  <c r="CD438" i="1"/>
  <c r="BI438" i="1"/>
  <c r="BJ438" i="1" s="1"/>
  <c r="AA436" i="1"/>
  <c r="AW436" i="1" s="1"/>
  <c r="BS436" i="1" s="1"/>
  <c r="AM428" i="1"/>
  <c r="AN428" i="1" s="1"/>
  <c r="AA429" i="1"/>
  <c r="AW429" i="1" s="1"/>
  <c r="BS429" i="1" s="1"/>
  <c r="AA432" i="1"/>
  <c r="AW432" i="1" s="1"/>
  <c r="BS432" i="1" s="1"/>
  <c r="AVB432" i="1" s="1"/>
  <c r="AM432" i="1"/>
  <c r="AN432" i="1" s="1"/>
  <c r="AA434" i="1"/>
  <c r="AW434" i="1" s="1"/>
  <c r="BS434" i="1" s="1"/>
  <c r="AM438" i="1"/>
  <c r="AN438" i="1" s="1"/>
  <c r="AM439" i="1"/>
  <c r="AN439" i="1" s="1"/>
  <c r="AM425" i="1"/>
  <c r="AN425" i="1" s="1"/>
  <c r="BH425" i="1"/>
  <c r="CD425" i="1" s="1"/>
  <c r="AVM425" i="1" s="1"/>
  <c r="AA427" i="1"/>
  <c r="AW427" i="1" s="1"/>
  <c r="BS427" i="1" s="1"/>
  <c r="AM427" i="1"/>
  <c r="AN427" i="1" s="1"/>
  <c r="AA428" i="1"/>
  <c r="AW428" i="1" s="1"/>
  <c r="BS428" i="1" s="1"/>
  <c r="AQ433" i="1"/>
  <c r="BH442" i="1"/>
  <c r="V443" i="1"/>
  <c r="W443" i="1" s="1"/>
  <c r="AA425" i="1"/>
  <c r="AW425" i="1" s="1"/>
  <c r="BS425" i="1" s="1"/>
  <c r="AA426" i="1"/>
  <c r="AW426" i="1" s="1"/>
  <c r="BS426" i="1" s="1"/>
  <c r="AQ428" i="1"/>
  <c r="BM428" i="1" s="1"/>
  <c r="AUV428" i="1" s="1"/>
  <c r="AUW428" i="1" s="1"/>
  <c r="AUX428" i="1" s="1"/>
  <c r="AM433" i="1"/>
  <c r="AN433" i="1" s="1"/>
  <c r="AM440" i="1"/>
  <c r="AN440" i="1" s="1"/>
  <c r="AA439" i="1"/>
  <c r="AW439" i="1" s="1"/>
  <c r="BS439" i="1" s="1"/>
  <c r="BM425" i="1"/>
  <c r="AUV425" i="1" s="1"/>
  <c r="AUW425" i="1" s="1"/>
  <c r="AUX425" i="1" s="1"/>
  <c r="AR425" i="1"/>
  <c r="AS425" i="1" s="1"/>
  <c r="BM426" i="1"/>
  <c r="AUV426" i="1" s="1"/>
  <c r="AUW426" i="1" s="1"/>
  <c r="AUX426" i="1" s="1"/>
  <c r="AR426" i="1"/>
  <c r="AS426" i="1" s="1"/>
  <c r="BM430" i="1"/>
  <c r="AUV430" i="1" s="1"/>
  <c r="AUW430" i="1" s="1"/>
  <c r="AUX430" i="1" s="1"/>
  <c r="AR430" i="1"/>
  <c r="AS430" i="1" s="1"/>
  <c r="CD426" i="1"/>
  <c r="AVM426" i="1" s="1"/>
  <c r="BI426" i="1"/>
  <c r="BJ426" i="1" s="1"/>
  <c r="CD427" i="1"/>
  <c r="AVM427" i="1" s="1"/>
  <c r="BI427" i="1"/>
  <c r="BJ427" i="1" s="1"/>
  <c r="AR429" i="1"/>
  <c r="AS429" i="1" s="1"/>
  <c r="BM429" i="1"/>
  <c r="AUV429" i="1" s="1"/>
  <c r="AUW429" i="1" s="1"/>
  <c r="AUX429" i="1" s="1"/>
  <c r="CD430" i="1"/>
  <c r="AVM430" i="1" s="1"/>
  <c r="BI430" i="1"/>
  <c r="BJ430" i="1" s="1"/>
  <c r="V426" i="1"/>
  <c r="W426" i="1" s="1"/>
  <c r="V430" i="1"/>
  <c r="W430" i="1" s="1"/>
  <c r="BM438" i="1"/>
  <c r="AUV438" i="1" s="1"/>
  <c r="AUW438" i="1" s="1"/>
  <c r="AUX438" i="1" s="1"/>
  <c r="AR438" i="1"/>
  <c r="AS438" i="1" s="1"/>
  <c r="AX425" i="1"/>
  <c r="AM426" i="1"/>
  <c r="AN426" i="1" s="1"/>
  <c r="AV427" i="1"/>
  <c r="BR427" i="1" s="1"/>
  <c r="AVA427" i="1" s="1"/>
  <c r="BI428" i="1"/>
  <c r="BJ428" i="1" s="1"/>
  <c r="V429" i="1"/>
  <c r="W429" i="1" s="1"/>
  <c r="AX429" i="1"/>
  <c r="AA430" i="1"/>
  <c r="AW430" i="1" s="1"/>
  <c r="BS430" i="1" s="1"/>
  <c r="AM430" i="1"/>
  <c r="AN430" i="1" s="1"/>
  <c r="CD436" i="1"/>
  <c r="AVM436" i="1" s="1"/>
  <c r="BI436" i="1"/>
  <c r="BJ436" i="1" s="1"/>
  <c r="AR437" i="1"/>
  <c r="AS437" i="1" s="1"/>
  <c r="BM437" i="1"/>
  <c r="AUV437" i="1" s="1"/>
  <c r="AUW437" i="1" s="1"/>
  <c r="AUX437" i="1" s="1"/>
  <c r="V425" i="1"/>
  <c r="W425" i="1" s="1"/>
  <c r="V428" i="1"/>
  <c r="W428" i="1" s="1"/>
  <c r="AX428" i="1"/>
  <c r="AQ432" i="1"/>
  <c r="CD435" i="1"/>
  <c r="AVM435" i="1" s="1"/>
  <c r="BI435" i="1"/>
  <c r="BJ435" i="1" s="1"/>
  <c r="BM436" i="1"/>
  <c r="AUV436" i="1" s="1"/>
  <c r="AUW436" i="1" s="1"/>
  <c r="AUX436" i="1" s="1"/>
  <c r="AR436" i="1"/>
  <c r="AS436" i="1" s="1"/>
  <c r="CD432" i="1"/>
  <c r="BI432" i="1"/>
  <c r="BJ432" i="1" s="1"/>
  <c r="BP433" i="1"/>
  <c r="AUY433" i="1" s="1"/>
  <c r="BM434" i="1"/>
  <c r="AUV434" i="1" s="1"/>
  <c r="AUW434" i="1" s="1"/>
  <c r="AUX434" i="1" s="1"/>
  <c r="AR434" i="1"/>
  <c r="AS434" i="1" s="1"/>
  <c r="BI433" i="1"/>
  <c r="BJ433" i="1" s="1"/>
  <c r="V434" i="1"/>
  <c r="W434" i="1" s="1"/>
  <c r="AX434" i="1"/>
  <c r="W435" i="1"/>
  <c r="AA435" i="1"/>
  <c r="AW435" i="1" s="1"/>
  <c r="BS435" i="1" s="1"/>
  <c r="AM435" i="1"/>
  <c r="AN435" i="1" s="1"/>
  <c r="AQ435" i="1"/>
  <c r="V438" i="1"/>
  <c r="W438" i="1" s="1"/>
  <c r="AX433" i="1"/>
  <c r="AX437" i="1"/>
  <c r="AA438" i="1"/>
  <c r="AW438" i="1" s="1"/>
  <c r="BS438" i="1" s="1"/>
  <c r="BM439" i="1"/>
  <c r="AUV439" i="1" s="1"/>
  <c r="AUW439" i="1" s="1"/>
  <c r="AUX439" i="1" s="1"/>
  <c r="AR439" i="1"/>
  <c r="AS439" i="1" s="1"/>
  <c r="BM440" i="1"/>
  <c r="AUV440" i="1" s="1"/>
  <c r="AUW440" i="1" s="1"/>
  <c r="AUX440" i="1" s="1"/>
  <c r="AA440" i="1"/>
  <c r="AW440" i="1" s="1"/>
  <c r="BS440" i="1" s="1"/>
  <c r="AX440" i="1"/>
  <c r="BH443" i="1"/>
  <c r="AM443" i="1"/>
  <c r="AN443" i="1" s="1"/>
  <c r="V436" i="1"/>
  <c r="W436" i="1" s="1"/>
  <c r="CD439" i="1"/>
  <c r="AVM439" i="1" s="1"/>
  <c r="BI439" i="1"/>
  <c r="BJ439" i="1" s="1"/>
  <c r="CD440" i="1"/>
  <c r="AVM440" i="1" s="1"/>
  <c r="BI440" i="1"/>
  <c r="BJ440" i="1" s="1"/>
  <c r="AQ442" i="1"/>
  <c r="V442" i="1"/>
  <c r="W442" i="1" s="1"/>
  <c r="AA442" i="1"/>
  <c r="AW442" i="1" s="1"/>
  <c r="BS442" i="1" s="1"/>
  <c r="BM443" i="1"/>
  <c r="AUV443" i="1" s="1"/>
  <c r="AUW443" i="1" s="1"/>
  <c r="AUX443" i="1" s="1"/>
  <c r="AR443" i="1"/>
  <c r="AS443" i="1" s="1"/>
  <c r="AR440" i="1"/>
  <c r="AS440" i="1" s="1"/>
  <c r="AA443" i="1"/>
  <c r="AW443" i="1" s="1"/>
  <c r="BS443" i="1" s="1"/>
  <c r="AX442" i="1"/>
  <c r="V440" i="1"/>
  <c r="W440" i="1" s="1"/>
  <c r="AO8" i="1"/>
  <c r="X9" i="1"/>
  <c r="Z9" i="1"/>
  <c r="AB9" i="1"/>
  <c r="AC9" i="1"/>
  <c r="AD9" i="1"/>
  <c r="AE9" i="1"/>
  <c r="AF9" i="1"/>
  <c r="AG9" i="1"/>
  <c r="AH9" i="1"/>
  <c r="AI9" i="1"/>
  <c r="AJ9" i="1"/>
  <c r="AK9" i="1"/>
  <c r="AL9" i="1"/>
  <c r="AM9" i="1" s="1"/>
  <c r="AN9" i="1" s="1"/>
  <c r="AO9" i="1"/>
  <c r="X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 s="1"/>
  <c r="AN11" i="1" s="1"/>
  <c r="AO11" i="1"/>
  <c r="AO12" i="1"/>
  <c r="X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M13" i="1" s="1"/>
  <c r="AN13" i="1" s="1"/>
  <c r="AO13" i="1"/>
  <c r="X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O14" i="1"/>
  <c r="AO15" i="1"/>
  <c r="AO16" i="1"/>
  <c r="X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 s="1"/>
  <c r="AN17" i="1" s="1"/>
  <c r="AO17" i="1"/>
  <c r="X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 s="1"/>
  <c r="AO18" i="1"/>
  <c r="AO19" i="1"/>
  <c r="X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O20" i="1"/>
  <c r="AO21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 s="1"/>
  <c r="AN22" i="1" s="1"/>
  <c r="AO22" i="1"/>
  <c r="X23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 s="1"/>
  <c r="AN23" i="1" s="1"/>
  <c r="AO23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O24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 s="1"/>
  <c r="AN25" i="1" s="1"/>
  <c r="AO25" i="1"/>
  <c r="X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 s="1"/>
  <c r="AN26" i="1" s="1"/>
  <c r="AO26" i="1"/>
  <c r="X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 s="1"/>
  <c r="AN27" i="1" s="1"/>
  <c r="AO27" i="1"/>
  <c r="X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O28" i="1"/>
  <c r="X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 s="1"/>
  <c r="AN29" i="1" s="1"/>
  <c r="AO29" i="1"/>
  <c r="X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O30" i="1"/>
  <c r="AO31" i="1"/>
  <c r="AO32" i="1"/>
  <c r="AO33" i="1"/>
  <c r="X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 s="1"/>
  <c r="AN34" i="1" s="1"/>
  <c r="AO34" i="1"/>
  <c r="AO35" i="1"/>
  <c r="X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O36" i="1"/>
  <c r="X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 s="1"/>
  <c r="AN37" i="1" s="1"/>
  <c r="AO37" i="1"/>
  <c r="AO38" i="1"/>
  <c r="AO39" i="1"/>
  <c r="X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O40" i="1"/>
  <c r="X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 s="1"/>
  <c r="AO41" i="1"/>
  <c r="AO42" i="1"/>
  <c r="AO43" i="1"/>
  <c r="X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O44" i="1"/>
  <c r="AO45" i="1"/>
  <c r="X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 s="1"/>
  <c r="AN46" i="1" s="1"/>
  <c r="AO46" i="1"/>
  <c r="AO47" i="1"/>
  <c r="X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O48" i="1"/>
  <c r="X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 s="1"/>
  <c r="AO49" i="1"/>
  <c r="AO50" i="1"/>
  <c r="AO51" i="1"/>
  <c r="X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O61" i="1"/>
  <c r="AO62" i="1"/>
  <c r="X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 s="1"/>
  <c r="AN63" i="1" s="1"/>
  <c r="AO63" i="1"/>
  <c r="AO64" i="1"/>
  <c r="AO65" i="1"/>
  <c r="X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 s="1"/>
  <c r="AO66" i="1"/>
  <c r="AO67" i="1"/>
  <c r="X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 s="1"/>
  <c r="AO68" i="1"/>
  <c r="X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O69" i="1"/>
  <c r="X70" i="1"/>
  <c r="Y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O70" i="1"/>
  <c r="AO71" i="1"/>
  <c r="AO72" i="1"/>
  <c r="X73" i="1"/>
  <c r="Y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M73" i="1" s="1"/>
  <c r="AO73" i="1"/>
  <c r="X74" i="1"/>
  <c r="Y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M74" i="1" s="1"/>
  <c r="AN74" i="1" s="1"/>
  <c r="AO74" i="1"/>
  <c r="AO75" i="1"/>
  <c r="AO76" i="1"/>
  <c r="X77" i="1"/>
  <c r="Y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M77" i="1" s="1"/>
  <c r="AN77" i="1" s="1"/>
  <c r="AO77" i="1"/>
  <c r="X78" i="1"/>
  <c r="Y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O78" i="1"/>
  <c r="AO79" i="1"/>
  <c r="X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M80" i="1" s="1"/>
  <c r="AO80" i="1"/>
  <c r="AO81" i="1"/>
  <c r="X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O82" i="1"/>
  <c r="AO83" i="1"/>
  <c r="X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M84" i="1" s="1"/>
  <c r="AO84" i="1"/>
  <c r="X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O85" i="1"/>
  <c r="X86" i="1"/>
  <c r="Y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O86" i="1"/>
  <c r="AO87" i="1"/>
  <c r="X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M88" i="1" s="1"/>
  <c r="AN88" i="1" s="1"/>
  <c r="AO88" i="1"/>
  <c r="X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O89" i="1"/>
  <c r="X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O90" i="1"/>
  <c r="X91" i="1"/>
  <c r="Z91" i="1"/>
  <c r="AB91" i="1"/>
  <c r="AC91" i="1"/>
  <c r="AD91" i="1"/>
  <c r="AE91" i="1"/>
  <c r="AF91" i="1"/>
  <c r="AG91" i="1"/>
  <c r="AH91" i="1"/>
  <c r="AI91" i="1"/>
  <c r="AJ91" i="1"/>
  <c r="AK91" i="1"/>
  <c r="AL91" i="1"/>
  <c r="AM91" i="1" s="1"/>
  <c r="AN91" i="1" s="1"/>
  <c r="AO91" i="1"/>
  <c r="X92" i="1"/>
  <c r="Z92" i="1"/>
  <c r="AB92" i="1"/>
  <c r="AC92" i="1"/>
  <c r="AD92" i="1"/>
  <c r="AE92" i="1"/>
  <c r="AF92" i="1"/>
  <c r="AG92" i="1"/>
  <c r="AH92" i="1"/>
  <c r="AI92" i="1"/>
  <c r="AJ92" i="1"/>
  <c r="AK92" i="1"/>
  <c r="AL92" i="1"/>
  <c r="AM92" i="1" s="1"/>
  <c r="AO92" i="1"/>
  <c r="AO93" i="1"/>
  <c r="X94" i="1"/>
  <c r="Z94" i="1"/>
  <c r="AB94" i="1"/>
  <c r="AC94" i="1"/>
  <c r="AD94" i="1"/>
  <c r="AE94" i="1"/>
  <c r="AF94" i="1"/>
  <c r="AG94" i="1"/>
  <c r="AH94" i="1"/>
  <c r="AI94" i="1"/>
  <c r="AJ94" i="1"/>
  <c r="AK94" i="1"/>
  <c r="AL94" i="1"/>
  <c r="AO94" i="1"/>
  <c r="X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 s="1"/>
  <c r="AN95" i="1" s="1"/>
  <c r="AO95" i="1"/>
  <c r="X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 s="1"/>
  <c r="AO97" i="1"/>
  <c r="AO98" i="1"/>
  <c r="X101" i="1"/>
  <c r="Z101" i="1"/>
  <c r="AB101" i="1"/>
  <c r="AC101" i="1"/>
  <c r="AD101" i="1"/>
  <c r="AE101" i="1"/>
  <c r="AF101" i="1"/>
  <c r="AG101" i="1"/>
  <c r="AH101" i="1"/>
  <c r="AI101" i="1"/>
  <c r="AJ101" i="1"/>
  <c r="AK101" i="1"/>
  <c r="AL101" i="1"/>
  <c r="AO101" i="1"/>
  <c r="X102" i="1"/>
  <c r="Z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 s="1"/>
  <c r="AN102" i="1" s="1"/>
  <c r="AO102" i="1"/>
  <c r="X103" i="1"/>
  <c r="Z103" i="1"/>
  <c r="AB103" i="1"/>
  <c r="AC103" i="1"/>
  <c r="AD103" i="1"/>
  <c r="AE103" i="1"/>
  <c r="AF103" i="1"/>
  <c r="AG103" i="1"/>
  <c r="AH103" i="1"/>
  <c r="AI103" i="1"/>
  <c r="AJ103" i="1"/>
  <c r="AK103" i="1"/>
  <c r="AL103" i="1"/>
  <c r="AO103" i="1"/>
  <c r="AO104" i="1"/>
  <c r="AO105" i="1"/>
  <c r="X106" i="1"/>
  <c r="Z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 s="1"/>
  <c r="AN106" i="1" s="1"/>
  <c r="AO106" i="1"/>
  <c r="X107" i="1"/>
  <c r="Z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 s="1"/>
  <c r="AN107" i="1" s="1"/>
  <c r="AO107" i="1"/>
  <c r="AO108" i="1"/>
  <c r="AO109" i="1"/>
  <c r="X110" i="1"/>
  <c r="Z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 s="1"/>
  <c r="AN110" i="1" s="1"/>
  <c r="AO110" i="1"/>
  <c r="AO111" i="1"/>
  <c r="X112" i="1"/>
  <c r="Z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 s="1"/>
  <c r="AN112" i="1" s="1"/>
  <c r="AO112" i="1"/>
  <c r="AO113" i="1"/>
  <c r="X114" i="1"/>
  <c r="Z114" i="1"/>
  <c r="AB114" i="1"/>
  <c r="AC114" i="1"/>
  <c r="AD114" i="1"/>
  <c r="AE114" i="1"/>
  <c r="AF114" i="1"/>
  <c r="AG114" i="1"/>
  <c r="AH114" i="1"/>
  <c r="AI114" i="1"/>
  <c r="AJ114" i="1"/>
  <c r="AK114" i="1"/>
  <c r="AL114" i="1"/>
  <c r="AO114" i="1"/>
  <c r="X115" i="1"/>
  <c r="Z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 s="1"/>
  <c r="AN115" i="1" s="1"/>
  <c r="AO115" i="1"/>
  <c r="AO116" i="1"/>
  <c r="X117" i="1"/>
  <c r="Y117" i="1"/>
  <c r="Z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 s="1"/>
  <c r="AN117" i="1" s="1"/>
  <c r="AO117" i="1"/>
  <c r="X118" i="1"/>
  <c r="Y118" i="1"/>
  <c r="Z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 s="1"/>
  <c r="AO118" i="1"/>
  <c r="AO119" i="1"/>
  <c r="X120" i="1"/>
  <c r="Y120" i="1"/>
  <c r="Z120" i="1"/>
  <c r="AB120" i="1"/>
  <c r="AC120" i="1"/>
  <c r="AD120" i="1"/>
  <c r="AE120" i="1"/>
  <c r="AF120" i="1"/>
  <c r="AG120" i="1"/>
  <c r="AH120" i="1"/>
  <c r="AI120" i="1"/>
  <c r="AJ120" i="1"/>
  <c r="AK120" i="1"/>
  <c r="AL120" i="1"/>
  <c r="AO120" i="1"/>
  <c r="X121" i="1"/>
  <c r="Y121" i="1"/>
  <c r="Z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 s="1"/>
  <c r="AN121" i="1" s="1"/>
  <c r="AO121" i="1"/>
  <c r="AO122" i="1"/>
  <c r="X123" i="1"/>
  <c r="Z123" i="1"/>
  <c r="AB123" i="1"/>
  <c r="AC123" i="1"/>
  <c r="AD123" i="1"/>
  <c r="AE123" i="1"/>
  <c r="AF123" i="1"/>
  <c r="AG123" i="1"/>
  <c r="AH123" i="1"/>
  <c r="AI123" i="1"/>
  <c r="AJ123" i="1"/>
  <c r="AK123" i="1"/>
  <c r="AL123" i="1"/>
  <c r="AO123" i="1"/>
  <c r="X124" i="1"/>
  <c r="Z124" i="1"/>
  <c r="AB124" i="1"/>
  <c r="AC124" i="1"/>
  <c r="AD124" i="1"/>
  <c r="AE124" i="1"/>
  <c r="AF124" i="1"/>
  <c r="AG124" i="1"/>
  <c r="AH124" i="1"/>
  <c r="AI124" i="1"/>
  <c r="AJ124" i="1"/>
  <c r="AK124" i="1"/>
  <c r="AL124" i="1"/>
  <c r="AO124" i="1"/>
  <c r="X125" i="1"/>
  <c r="Z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 s="1"/>
  <c r="AN125" i="1" s="1"/>
  <c r="AO125" i="1"/>
  <c r="X126" i="1"/>
  <c r="Z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 s="1"/>
  <c r="AN126" i="1" s="1"/>
  <c r="AO126" i="1"/>
  <c r="X127" i="1"/>
  <c r="Z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 s="1"/>
  <c r="AO127" i="1"/>
  <c r="X128" i="1"/>
  <c r="Z128" i="1"/>
  <c r="AB128" i="1"/>
  <c r="AC128" i="1"/>
  <c r="AD128" i="1"/>
  <c r="AE128" i="1"/>
  <c r="AF128" i="1"/>
  <c r="AG128" i="1"/>
  <c r="AH128" i="1"/>
  <c r="AI128" i="1"/>
  <c r="AJ128" i="1"/>
  <c r="AK128" i="1"/>
  <c r="AL128" i="1"/>
  <c r="AO128" i="1"/>
  <c r="X129" i="1"/>
  <c r="Z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 s="1"/>
  <c r="AN129" i="1" s="1"/>
  <c r="AO129" i="1"/>
  <c r="X130" i="1"/>
  <c r="Z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 s="1"/>
  <c r="AO130" i="1"/>
  <c r="X131" i="1"/>
  <c r="Z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 s="1"/>
  <c r="AO131" i="1"/>
  <c r="X132" i="1"/>
  <c r="Z132" i="1"/>
  <c r="AB132" i="1"/>
  <c r="AC132" i="1"/>
  <c r="AD132" i="1"/>
  <c r="AE132" i="1"/>
  <c r="AF132" i="1"/>
  <c r="AG132" i="1"/>
  <c r="AH132" i="1"/>
  <c r="AI132" i="1"/>
  <c r="AJ132" i="1"/>
  <c r="AK132" i="1"/>
  <c r="AL132" i="1"/>
  <c r="AO132" i="1"/>
  <c r="X133" i="1"/>
  <c r="Z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 s="1"/>
  <c r="AN133" i="1" s="1"/>
  <c r="AO133" i="1"/>
  <c r="AO134" i="1"/>
  <c r="AO135" i="1"/>
  <c r="X136" i="1"/>
  <c r="Z136" i="1"/>
  <c r="AB136" i="1"/>
  <c r="AC136" i="1"/>
  <c r="AD136" i="1"/>
  <c r="AE136" i="1"/>
  <c r="AF136" i="1"/>
  <c r="AG136" i="1"/>
  <c r="AH136" i="1"/>
  <c r="AI136" i="1"/>
  <c r="AJ136" i="1"/>
  <c r="AK136" i="1"/>
  <c r="AL136" i="1"/>
  <c r="AO136" i="1"/>
  <c r="AO137" i="1"/>
  <c r="AO138" i="1"/>
  <c r="X139" i="1"/>
  <c r="Z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 s="1"/>
  <c r="AO139" i="1"/>
  <c r="AO140" i="1"/>
  <c r="X141" i="1"/>
  <c r="Y141" i="1"/>
  <c r="Z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 s="1"/>
  <c r="AN141" i="1" s="1"/>
  <c r="AO141" i="1"/>
  <c r="AO142" i="1"/>
  <c r="X143" i="1"/>
  <c r="Z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 s="1"/>
  <c r="AO143" i="1"/>
  <c r="X145" i="1"/>
  <c r="Z145" i="1"/>
  <c r="AB145" i="1"/>
  <c r="AC145" i="1"/>
  <c r="AD145" i="1"/>
  <c r="AE145" i="1"/>
  <c r="AF145" i="1"/>
  <c r="AG145" i="1"/>
  <c r="AH145" i="1"/>
  <c r="AI145" i="1"/>
  <c r="AJ145" i="1"/>
  <c r="AK145" i="1"/>
  <c r="AL145" i="1"/>
  <c r="AO145" i="1"/>
  <c r="X146" i="1"/>
  <c r="Z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 s="1"/>
  <c r="AN146" i="1" s="1"/>
  <c r="AO146" i="1"/>
  <c r="X147" i="1"/>
  <c r="Z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 s="1"/>
  <c r="AO147" i="1"/>
  <c r="AO148" i="1"/>
  <c r="AO149" i="1"/>
  <c r="X150" i="1"/>
  <c r="Z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 s="1"/>
  <c r="AN150" i="1" s="1"/>
  <c r="AO150" i="1"/>
  <c r="X151" i="1"/>
  <c r="Z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 s="1"/>
  <c r="AO151" i="1"/>
  <c r="AO152" i="1"/>
  <c r="AO153" i="1"/>
  <c r="X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 s="1"/>
  <c r="AN154" i="1" s="1"/>
  <c r="AO154" i="1"/>
  <c r="AO155" i="1"/>
  <c r="AO156" i="1"/>
  <c r="X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O157" i="1"/>
  <c r="AO158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 s="1"/>
  <c r="AN159" i="1" s="1"/>
  <c r="AO159" i="1"/>
  <c r="AO161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O162" i="1"/>
  <c r="AO163" i="1"/>
  <c r="X164" i="1"/>
  <c r="AT164" i="1" s="1"/>
  <c r="BP164" i="1" s="1"/>
  <c r="Z164" i="1"/>
  <c r="AV164" i="1" s="1"/>
  <c r="BR164" i="1" s="1"/>
  <c r="AB164" i="1"/>
  <c r="AX164" i="1" s="1"/>
  <c r="BT164" i="1" s="1"/>
  <c r="AC164" i="1"/>
  <c r="AY164" i="1" s="1"/>
  <c r="BU164" i="1" s="1"/>
  <c r="AD164" i="1"/>
  <c r="AZ164" i="1" s="1"/>
  <c r="BV164" i="1" s="1"/>
  <c r="AE164" i="1"/>
  <c r="BA164" i="1" s="1"/>
  <c r="BW164" i="1" s="1"/>
  <c r="AF164" i="1"/>
  <c r="BB164" i="1" s="1"/>
  <c r="AG164" i="1"/>
  <c r="BC164" i="1" s="1"/>
  <c r="BY164" i="1" s="1"/>
  <c r="AH164" i="1"/>
  <c r="BD164" i="1" s="1"/>
  <c r="BZ164" i="1" s="1"/>
  <c r="AI164" i="1"/>
  <c r="BE164" i="1" s="1"/>
  <c r="CA164" i="1" s="1"/>
  <c r="AJ164" i="1"/>
  <c r="BF164" i="1" s="1"/>
  <c r="CB164" i="1" s="1"/>
  <c r="AK164" i="1"/>
  <c r="BG164" i="1" s="1"/>
  <c r="CC164" i="1" s="1"/>
  <c r="AL164" i="1"/>
  <c r="BH164" i="1" s="1"/>
  <c r="AO164" i="1"/>
  <c r="BK164" i="1" s="1"/>
  <c r="CG164" i="1" s="1"/>
  <c r="X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 s="1"/>
  <c r="AO166" i="1"/>
  <c r="X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O167" i="1"/>
  <c r="X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O168" i="1"/>
  <c r="X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 s="1"/>
  <c r="AO169" i="1"/>
  <c r="X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 s="1"/>
  <c r="AO170" i="1"/>
  <c r="AO171" i="1"/>
  <c r="X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 s="1"/>
  <c r="AN172" i="1" s="1"/>
  <c r="AO172" i="1"/>
  <c r="X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O173" i="1"/>
  <c r="AO174" i="1"/>
  <c r="AO175" i="1"/>
  <c r="X176" i="1"/>
  <c r="Z176" i="1"/>
  <c r="AB176" i="1"/>
  <c r="AC176" i="1"/>
  <c r="AD176" i="1"/>
  <c r="AE176" i="1"/>
  <c r="AF176" i="1"/>
  <c r="AG176" i="1"/>
  <c r="AH176" i="1"/>
  <c r="AI176" i="1"/>
  <c r="AJ176" i="1"/>
  <c r="AK176" i="1"/>
  <c r="AL176" i="1"/>
  <c r="AO176" i="1"/>
  <c r="X177" i="1"/>
  <c r="Z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 s="1"/>
  <c r="AO177" i="1"/>
  <c r="AO178" i="1"/>
  <c r="X179" i="1"/>
  <c r="Y179" i="1"/>
  <c r="Z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 s="1"/>
  <c r="AN179" i="1" s="1"/>
  <c r="AO179" i="1"/>
  <c r="AO180" i="1"/>
  <c r="X181" i="1"/>
  <c r="Y181" i="1"/>
  <c r="Z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 s="1"/>
  <c r="AO181" i="1"/>
  <c r="AO183" i="1"/>
  <c r="X184" i="1"/>
  <c r="Y184" i="1"/>
  <c r="Z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 s="1"/>
  <c r="AN184" i="1" s="1"/>
  <c r="AO184" i="1"/>
  <c r="AO185" i="1"/>
  <c r="X186" i="1"/>
  <c r="Z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 s="1"/>
  <c r="AO186" i="1"/>
  <c r="X187" i="1"/>
  <c r="Z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 s="1"/>
  <c r="AO187" i="1"/>
  <c r="X188" i="1"/>
  <c r="Z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 s="1"/>
  <c r="AN188" i="1" s="1"/>
  <c r="AO188" i="1"/>
  <c r="X191" i="1"/>
  <c r="Z191" i="1"/>
  <c r="AB191" i="1"/>
  <c r="AC191" i="1"/>
  <c r="AD191" i="1"/>
  <c r="AE191" i="1"/>
  <c r="AF191" i="1"/>
  <c r="AG191" i="1"/>
  <c r="AH191" i="1"/>
  <c r="AI191" i="1"/>
  <c r="AJ191" i="1"/>
  <c r="AK191" i="1"/>
  <c r="AL191" i="1"/>
  <c r="AO191" i="1"/>
  <c r="X192" i="1"/>
  <c r="Z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 s="1"/>
  <c r="AO192" i="1"/>
  <c r="AO193" i="1"/>
  <c r="X194" i="1"/>
  <c r="Z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 s="1"/>
  <c r="AN194" i="1" s="1"/>
  <c r="AO194" i="1"/>
  <c r="X195" i="1"/>
  <c r="Z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 s="1"/>
  <c r="AO195" i="1"/>
  <c r="AO196" i="1"/>
  <c r="AO197" i="1"/>
  <c r="X199" i="1"/>
  <c r="Z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 s="1"/>
  <c r="AO199" i="1"/>
  <c r="AO200" i="1"/>
  <c r="X201" i="1"/>
  <c r="Z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 s="1"/>
  <c r="AO201" i="1"/>
  <c r="X202" i="1"/>
  <c r="Z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 s="1"/>
  <c r="AN202" i="1" s="1"/>
  <c r="AO202" i="1"/>
  <c r="X203" i="1"/>
  <c r="Z203" i="1"/>
  <c r="AB203" i="1"/>
  <c r="AC203" i="1"/>
  <c r="AD203" i="1"/>
  <c r="AE203" i="1"/>
  <c r="AF203" i="1"/>
  <c r="AG203" i="1"/>
  <c r="AH203" i="1"/>
  <c r="AI203" i="1"/>
  <c r="AJ203" i="1"/>
  <c r="AK203" i="1"/>
  <c r="AL203" i="1"/>
  <c r="AO203" i="1"/>
  <c r="AO204" i="1"/>
  <c r="AO205" i="1"/>
  <c r="AO206" i="1"/>
  <c r="AO207" i="1"/>
  <c r="X209" i="1"/>
  <c r="Z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 s="1"/>
  <c r="AO209" i="1"/>
  <c r="X210" i="1"/>
  <c r="Z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 s="1"/>
  <c r="AO210" i="1"/>
  <c r="AO211" i="1"/>
  <c r="AO212" i="1"/>
  <c r="X213" i="1"/>
  <c r="Z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 s="1"/>
  <c r="AO213" i="1"/>
  <c r="X214" i="1"/>
  <c r="Z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 s="1"/>
  <c r="AO214" i="1"/>
  <c r="AO215" i="1"/>
  <c r="AO216" i="1"/>
  <c r="X217" i="1"/>
  <c r="Z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 s="1"/>
  <c r="AO217" i="1"/>
  <c r="AO218" i="1"/>
  <c r="X219" i="1"/>
  <c r="Z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 s="1"/>
  <c r="AN219" i="1" s="1"/>
  <c r="AO219" i="1"/>
  <c r="AO220" i="1"/>
  <c r="X221" i="1"/>
  <c r="Z221" i="1"/>
  <c r="AB221" i="1"/>
  <c r="AC221" i="1"/>
  <c r="AD221" i="1"/>
  <c r="AE221" i="1"/>
  <c r="AF221" i="1"/>
  <c r="AG221" i="1"/>
  <c r="AH221" i="1"/>
  <c r="AI221" i="1"/>
  <c r="AJ221" i="1"/>
  <c r="AK221" i="1"/>
  <c r="AL221" i="1"/>
  <c r="AO221" i="1"/>
  <c r="AO222" i="1"/>
  <c r="X223" i="1"/>
  <c r="Y223" i="1"/>
  <c r="Z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 s="1"/>
  <c r="AN223" i="1" s="1"/>
  <c r="AO223" i="1"/>
  <c r="AO224" i="1"/>
  <c r="X225" i="1"/>
  <c r="Y225" i="1"/>
  <c r="Z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 s="1"/>
  <c r="AO225" i="1"/>
  <c r="AO226" i="1"/>
  <c r="X227" i="1"/>
  <c r="Z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 s="1"/>
  <c r="AN227" i="1" s="1"/>
  <c r="AO227" i="1"/>
  <c r="AO228" i="1"/>
  <c r="X229" i="1"/>
  <c r="Z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 s="1"/>
  <c r="AO229" i="1"/>
  <c r="X230" i="1"/>
  <c r="Z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 s="1"/>
  <c r="AO230" i="1"/>
  <c r="AO231" i="1"/>
  <c r="X232" i="1"/>
  <c r="Z232" i="1"/>
  <c r="AB232" i="1"/>
  <c r="AC232" i="1"/>
  <c r="AD232" i="1"/>
  <c r="AE232" i="1"/>
  <c r="AF232" i="1"/>
  <c r="AG232" i="1"/>
  <c r="AH232" i="1"/>
  <c r="AI232" i="1"/>
  <c r="AJ232" i="1"/>
  <c r="AK232" i="1"/>
  <c r="AL232" i="1"/>
  <c r="AO232" i="1"/>
  <c r="AO234" i="1"/>
  <c r="AO235" i="1"/>
  <c r="X236" i="1"/>
  <c r="Z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 s="1"/>
  <c r="AN236" i="1" s="1"/>
  <c r="AO236" i="1"/>
  <c r="AO237" i="1"/>
  <c r="X238" i="1"/>
  <c r="Z238" i="1"/>
  <c r="AB238" i="1"/>
  <c r="AC238" i="1"/>
  <c r="AD238" i="1"/>
  <c r="AE238" i="1"/>
  <c r="AF238" i="1"/>
  <c r="AG238" i="1"/>
  <c r="AH238" i="1"/>
  <c r="AI238" i="1"/>
  <c r="AJ238" i="1"/>
  <c r="AK238" i="1"/>
  <c r="AL238" i="1"/>
  <c r="AO238" i="1"/>
  <c r="AO239" i="1"/>
  <c r="X240" i="1"/>
  <c r="Y240" i="1"/>
  <c r="Z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 s="1"/>
  <c r="AN240" i="1" s="1"/>
  <c r="AO240" i="1"/>
  <c r="AO241" i="1"/>
  <c r="X242" i="1"/>
  <c r="Y242" i="1"/>
  <c r="Z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 s="1"/>
  <c r="AO242" i="1"/>
  <c r="AO243" i="1"/>
  <c r="X244" i="1"/>
  <c r="Z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 s="1"/>
  <c r="AN244" i="1" s="1"/>
  <c r="AO244" i="1"/>
  <c r="X245" i="1"/>
  <c r="Z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 s="1"/>
  <c r="AN245" i="1" s="1"/>
  <c r="AO245" i="1"/>
  <c r="X247" i="1"/>
  <c r="Z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 s="1"/>
  <c r="AO247" i="1"/>
  <c r="X248" i="1"/>
  <c r="Z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 s="1"/>
  <c r="AO248" i="1"/>
  <c r="X249" i="1"/>
  <c r="Z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 s="1"/>
  <c r="AN249" i="1" s="1"/>
  <c r="AO249" i="1"/>
  <c r="AO250" i="1"/>
  <c r="AO251" i="1"/>
  <c r="X252" i="1"/>
  <c r="Z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 s="1"/>
  <c r="AO252" i="1"/>
  <c r="X253" i="1"/>
  <c r="Z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 s="1"/>
  <c r="AN253" i="1" s="1"/>
  <c r="AO253" i="1"/>
  <c r="AO254" i="1"/>
  <c r="AO255" i="1"/>
  <c r="X256" i="1"/>
  <c r="Z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 s="1"/>
  <c r="AO256" i="1"/>
  <c r="AO257" i="1"/>
  <c r="X258" i="1"/>
  <c r="Z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 s="1"/>
  <c r="AO258" i="1"/>
  <c r="AO259" i="1"/>
  <c r="X260" i="1"/>
  <c r="Y260" i="1"/>
  <c r="Z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 s="1"/>
  <c r="AO260" i="1"/>
  <c r="AO261" i="1"/>
  <c r="X262" i="1"/>
  <c r="Y262" i="1"/>
  <c r="Z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 s="1"/>
  <c r="AN262" i="1" s="1"/>
  <c r="AO262" i="1"/>
  <c r="AO263" i="1"/>
  <c r="X264" i="1"/>
  <c r="Y264" i="1"/>
  <c r="Z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 s="1"/>
  <c r="AO264" i="1"/>
  <c r="X265" i="1"/>
  <c r="Y265" i="1"/>
  <c r="Z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 s="1"/>
  <c r="AN265" i="1" s="1"/>
  <c r="AO265" i="1"/>
  <c r="AO266" i="1"/>
  <c r="X267" i="1"/>
  <c r="Y267" i="1"/>
  <c r="Z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 s="1"/>
  <c r="AO267" i="1"/>
  <c r="X268" i="1"/>
  <c r="Z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 s="1"/>
  <c r="AO268" i="1"/>
  <c r="X269" i="1"/>
  <c r="Z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 s="1"/>
  <c r="AN269" i="1" s="1"/>
  <c r="AO269" i="1"/>
  <c r="X270" i="1"/>
  <c r="Z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 s="1"/>
  <c r="AO270" i="1"/>
  <c r="X271" i="1"/>
  <c r="Z271" i="1"/>
  <c r="AB271" i="1"/>
  <c r="AC271" i="1"/>
  <c r="AD271" i="1"/>
  <c r="AE271" i="1"/>
  <c r="AF271" i="1"/>
  <c r="AG271" i="1"/>
  <c r="AH271" i="1"/>
  <c r="AI271" i="1"/>
  <c r="AJ271" i="1"/>
  <c r="AK271" i="1"/>
  <c r="AL271" i="1"/>
  <c r="AO271" i="1"/>
  <c r="X272" i="1"/>
  <c r="Z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 s="1"/>
  <c r="AO272" i="1"/>
  <c r="X273" i="1"/>
  <c r="Z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 s="1"/>
  <c r="AN273" i="1" s="1"/>
  <c r="AO273" i="1"/>
  <c r="AO274" i="1"/>
  <c r="X275" i="1"/>
  <c r="Z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 s="1"/>
  <c r="AO275" i="1"/>
  <c r="X276" i="1"/>
  <c r="Z276" i="1"/>
  <c r="AB276" i="1"/>
  <c r="AC276" i="1"/>
  <c r="AD276" i="1"/>
  <c r="AE276" i="1"/>
  <c r="AF276" i="1"/>
  <c r="AG276" i="1"/>
  <c r="AH276" i="1"/>
  <c r="AI276" i="1"/>
  <c r="AJ276" i="1"/>
  <c r="AK276" i="1"/>
  <c r="AL276" i="1"/>
  <c r="AO276" i="1"/>
  <c r="X277" i="1"/>
  <c r="Z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 s="1"/>
  <c r="AN277" i="1" s="1"/>
  <c r="AO277" i="1"/>
  <c r="X280" i="1"/>
  <c r="Z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 s="1"/>
  <c r="AN280" i="1" s="1"/>
  <c r="AO280" i="1"/>
  <c r="X281" i="1"/>
  <c r="Z281" i="1"/>
  <c r="AB281" i="1"/>
  <c r="AC281" i="1"/>
  <c r="AD281" i="1"/>
  <c r="AE281" i="1"/>
  <c r="AF281" i="1"/>
  <c r="AG281" i="1"/>
  <c r="AH281" i="1"/>
  <c r="AI281" i="1"/>
  <c r="AJ281" i="1"/>
  <c r="AK281" i="1"/>
  <c r="AL281" i="1"/>
  <c r="AO281" i="1"/>
  <c r="X282" i="1"/>
  <c r="Z282" i="1"/>
  <c r="AB282" i="1"/>
  <c r="AC282" i="1"/>
  <c r="AD282" i="1"/>
  <c r="AE282" i="1"/>
  <c r="AF282" i="1"/>
  <c r="AG282" i="1"/>
  <c r="AH282" i="1"/>
  <c r="AI282" i="1"/>
  <c r="AJ282" i="1"/>
  <c r="AK282" i="1"/>
  <c r="AL282" i="1"/>
  <c r="AO282" i="1"/>
  <c r="X283" i="1"/>
  <c r="Z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 s="1"/>
  <c r="AN283" i="1" s="1"/>
  <c r="AO283" i="1"/>
  <c r="AO284" i="1"/>
  <c r="AO285" i="1"/>
  <c r="X287" i="1"/>
  <c r="Z287" i="1"/>
  <c r="AB287" i="1"/>
  <c r="AC287" i="1"/>
  <c r="AD287" i="1"/>
  <c r="AE287" i="1"/>
  <c r="AF287" i="1"/>
  <c r="AG287" i="1"/>
  <c r="AH287" i="1"/>
  <c r="AI287" i="1"/>
  <c r="AJ287" i="1"/>
  <c r="AK287" i="1"/>
  <c r="AL287" i="1"/>
  <c r="AO287" i="1"/>
  <c r="AO288" i="1"/>
  <c r="AO289" i="1"/>
  <c r="AO290" i="1"/>
  <c r="X291" i="1"/>
  <c r="Z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 s="1"/>
  <c r="AO291" i="1"/>
  <c r="AO292" i="1"/>
  <c r="X293" i="1"/>
  <c r="Y293" i="1"/>
  <c r="Z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 s="1"/>
  <c r="AO293" i="1"/>
  <c r="AO294" i="1"/>
  <c r="X295" i="1"/>
  <c r="Y295" i="1"/>
  <c r="Z295" i="1"/>
  <c r="AB295" i="1"/>
  <c r="AC295" i="1"/>
  <c r="AD295" i="1"/>
  <c r="AE295" i="1"/>
  <c r="AF295" i="1"/>
  <c r="AG295" i="1"/>
  <c r="AH295" i="1"/>
  <c r="AI295" i="1"/>
  <c r="AJ295" i="1"/>
  <c r="AK295" i="1"/>
  <c r="AL295" i="1"/>
  <c r="AO295" i="1"/>
  <c r="AO296" i="1"/>
  <c r="X297" i="1"/>
  <c r="Y297" i="1"/>
  <c r="Z297" i="1"/>
  <c r="AB297" i="1"/>
  <c r="AC297" i="1"/>
  <c r="AD297" i="1"/>
  <c r="AE297" i="1"/>
  <c r="AF297" i="1"/>
  <c r="AG297" i="1"/>
  <c r="AH297" i="1"/>
  <c r="AI297" i="1"/>
  <c r="AJ297" i="1"/>
  <c r="AK297" i="1"/>
  <c r="AL297" i="1"/>
  <c r="AO297" i="1"/>
  <c r="X298" i="1"/>
  <c r="Y298" i="1"/>
  <c r="Z298" i="1"/>
  <c r="AB298" i="1"/>
  <c r="AC298" i="1"/>
  <c r="AD298" i="1"/>
  <c r="AE298" i="1"/>
  <c r="AF298" i="1"/>
  <c r="AG298" i="1"/>
  <c r="AH298" i="1"/>
  <c r="AI298" i="1"/>
  <c r="AJ298" i="1"/>
  <c r="AK298" i="1"/>
  <c r="AL298" i="1"/>
  <c r="AO298" i="1"/>
  <c r="AO299" i="1"/>
  <c r="X300" i="1"/>
  <c r="Z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 s="1"/>
  <c r="AO300" i="1"/>
  <c r="AO301" i="1"/>
  <c r="AO302" i="1"/>
  <c r="X303" i="1"/>
  <c r="Z303" i="1"/>
  <c r="AB303" i="1"/>
  <c r="AC303" i="1"/>
  <c r="AD303" i="1"/>
  <c r="AE303" i="1"/>
  <c r="AF303" i="1"/>
  <c r="AG303" i="1"/>
  <c r="AH303" i="1"/>
  <c r="AI303" i="1"/>
  <c r="AJ303" i="1"/>
  <c r="AK303" i="1"/>
  <c r="AL303" i="1"/>
  <c r="AO303" i="1"/>
  <c r="X304" i="1"/>
  <c r="Z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 s="1"/>
  <c r="AO304" i="1"/>
  <c r="X305" i="1"/>
  <c r="Z305" i="1"/>
  <c r="AB305" i="1"/>
  <c r="AC305" i="1"/>
  <c r="AD305" i="1"/>
  <c r="AE305" i="1"/>
  <c r="AF305" i="1"/>
  <c r="AG305" i="1"/>
  <c r="AH305" i="1"/>
  <c r="AI305" i="1"/>
  <c r="AJ305" i="1"/>
  <c r="AK305" i="1"/>
  <c r="AL305" i="1"/>
  <c r="AO305" i="1"/>
  <c r="X313" i="1"/>
  <c r="Z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 s="1"/>
  <c r="AN313" i="1" s="1"/>
  <c r="AO313" i="1"/>
  <c r="X314" i="1"/>
  <c r="Z314" i="1"/>
  <c r="AB314" i="1"/>
  <c r="AC314" i="1"/>
  <c r="AD314" i="1"/>
  <c r="AE314" i="1"/>
  <c r="AF314" i="1"/>
  <c r="AG314" i="1"/>
  <c r="AH314" i="1"/>
  <c r="AI314" i="1"/>
  <c r="AJ314" i="1"/>
  <c r="AK314" i="1"/>
  <c r="AL314" i="1"/>
  <c r="AO314" i="1"/>
  <c r="X315" i="1"/>
  <c r="Z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 s="1"/>
  <c r="AO315" i="1"/>
  <c r="X316" i="1"/>
  <c r="Z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 s="1"/>
  <c r="AN316" i="1" s="1"/>
  <c r="AO316" i="1"/>
  <c r="AO317" i="1"/>
  <c r="X318" i="1"/>
  <c r="Z318" i="1"/>
  <c r="AB318" i="1"/>
  <c r="AC318" i="1"/>
  <c r="AD318" i="1"/>
  <c r="AE318" i="1"/>
  <c r="AF318" i="1"/>
  <c r="AG318" i="1"/>
  <c r="AH318" i="1"/>
  <c r="AI318" i="1"/>
  <c r="AJ318" i="1"/>
  <c r="AK318" i="1"/>
  <c r="AL318" i="1"/>
  <c r="AO318" i="1"/>
  <c r="X319" i="1"/>
  <c r="Z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 s="1"/>
  <c r="AO319" i="1"/>
  <c r="AO320" i="1"/>
  <c r="AO321" i="1"/>
  <c r="X322" i="1"/>
  <c r="Z322" i="1"/>
  <c r="AB322" i="1"/>
  <c r="AC322" i="1"/>
  <c r="AD322" i="1"/>
  <c r="AE322" i="1"/>
  <c r="AF322" i="1"/>
  <c r="AG322" i="1"/>
  <c r="AH322" i="1"/>
  <c r="AI322" i="1"/>
  <c r="AJ322" i="1"/>
  <c r="AK322" i="1"/>
  <c r="AL322" i="1"/>
  <c r="AO322" i="1"/>
  <c r="X323" i="1"/>
  <c r="Z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 s="1"/>
  <c r="AO323" i="1"/>
  <c r="X324" i="1"/>
  <c r="Z324" i="1"/>
  <c r="AB324" i="1"/>
  <c r="AC324" i="1"/>
  <c r="AD324" i="1"/>
  <c r="AE324" i="1"/>
  <c r="AF324" i="1"/>
  <c r="AG324" i="1"/>
  <c r="AH324" i="1"/>
  <c r="AI324" i="1"/>
  <c r="AJ324" i="1"/>
  <c r="AK324" i="1"/>
  <c r="AL324" i="1"/>
  <c r="AO324" i="1"/>
  <c r="X325" i="1"/>
  <c r="Z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 s="1"/>
  <c r="AN325" i="1" s="1"/>
  <c r="AO325" i="1"/>
  <c r="AO326" i="1"/>
  <c r="X327" i="1"/>
  <c r="Y327" i="1"/>
  <c r="Z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 s="1"/>
  <c r="AO327" i="1"/>
  <c r="X328" i="1"/>
  <c r="Y328" i="1"/>
  <c r="Z328" i="1"/>
  <c r="AB328" i="1"/>
  <c r="AC328" i="1"/>
  <c r="AD328" i="1"/>
  <c r="AE328" i="1"/>
  <c r="AF328" i="1"/>
  <c r="AG328" i="1"/>
  <c r="AH328" i="1"/>
  <c r="AI328" i="1"/>
  <c r="AJ328" i="1"/>
  <c r="AK328" i="1"/>
  <c r="AL328" i="1"/>
  <c r="AO328" i="1"/>
  <c r="X329" i="1"/>
  <c r="Y329" i="1"/>
  <c r="Z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 s="1"/>
  <c r="AN329" i="1" s="1"/>
  <c r="AO329" i="1"/>
  <c r="X330" i="1"/>
  <c r="Z330" i="1"/>
  <c r="AB330" i="1"/>
  <c r="AC330" i="1"/>
  <c r="AD330" i="1"/>
  <c r="AE330" i="1"/>
  <c r="AF330" i="1"/>
  <c r="AG330" i="1"/>
  <c r="AH330" i="1"/>
  <c r="AI330" i="1"/>
  <c r="AJ330" i="1"/>
  <c r="AK330" i="1"/>
  <c r="AL330" i="1"/>
  <c r="AO330" i="1"/>
  <c r="X331" i="1"/>
  <c r="Y331" i="1"/>
  <c r="Z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 s="1"/>
  <c r="AO331" i="1"/>
  <c r="AO332" i="1"/>
  <c r="X333" i="1"/>
  <c r="Z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 s="1"/>
  <c r="AN333" i="1" s="1"/>
  <c r="AO333" i="1"/>
  <c r="X334" i="1"/>
  <c r="Z334" i="1"/>
  <c r="AB334" i="1"/>
  <c r="AC334" i="1"/>
  <c r="AD334" i="1"/>
  <c r="AE334" i="1"/>
  <c r="AF334" i="1"/>
  <c r="AG334" i="1"/>
  <c r="AH334" i="1"/>
  <c r="AI334" i="1"/>
  <c r="AJ334" i="1"/>
  <c r="AK334" i="1"/>
  <c r="AL334" i="1"/>
  <c r="AO334" i="1"/>
  <c r="X335" i="1"/>
  <c r="Z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 s="1"/>
  <c r="AO335" i="1"/>
  <c r="X336" i="1"/>
  <c r="Z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 s="1"/>
  <c r="AN336" i="1" s="1"/>
  <c r="AO336" i="1"/>
  <c r="X337" i="1"/>
  <c r="Z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 s="1"/>
  <c r="AN337" i="1" s="1"/>
  <c r="AO337" i="1"/>
  <c r="X338" i="1"/>
  <c r="Z338" i="1"/>
  <c r="AB338" i="1"/>
  <c r="AC338" i="1"/>
  <c r="AD338" i="1"/>
  <c r="AE338" i="1"/>
  <c r="AF338" i="1"/>
  <c r="AG338" i="1"/>
  <c r="AH338" i="1"/>
  <c r="AI338" i="1"/>
  <c r="AJ338" i="1"/>
  <c r="AK338" i="1"/>
  <c r="AL338" i="1"/>
  <c r="AO338" i="1"/>
  <c r="X339" i="1"/>
  <c r="Z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 s="1"/>
  <c r="AO339" i="1"/>
  <c r="X340" i="1"/>
  <c r="Z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 s="1"/>
  <c r="AO340" i="1"/>
  <c r="X341" i="1"/>
  <c r="Z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 s="1"/>
  <c r="AN341" i="1" s="1"/>
  <c r="AO341" i="1"/>
  <c r="X342" i="1"/>
  <c r="Z342" i="1"/>
  <c r="AB342" i="1"/>
  <c r="AC342" i="1"/>
  <c r="AD342" i="1"/>
  <c r="AE342" i="1"/>
  <c r="AF342" i="1"/>
  <c r="AG342" i="1"/>
  <c r="AH342" i="1"/>
  <c r="AI342" i="1"/>
  <c r="AJ342" i="1"/>
  <c r="AK342" i="1"/>
  <c r="AL342" i="1"/>
  <c r="AO342" i="1"/>
  <c r="X343" i="1"/>
  <c r="Z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 s="1"/>
  <c r="AO343" i="1"/>
  <c r="X344" i="1"/>
  <c r="Z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 s="1"/>
  <c r="AO344" i="1"/>
  <c r="X345" i="1"/>
  <c r="Z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 s="1"/>
  <c r="AN345" i="1" s="1"/>
  <c r="AO345" i="1"/>
  <c r="AO346" i="1"/>
  <c r="X347" i="1"/>
  <c r="Z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 s="1"/>
  <c r="AO347" i="1"/>
  <c r="X348" i="1"/>
  <c r="Z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 s="1"/>
  <c r="AN348" i="1" s="1"/>
  <c r="AO348" i="1"/>
  <c r="AO349" i="1"/>
  <c r="AO350" i="1"/>
  <c r="X351" i="1"/>
  <c r="Z351" i="1"/>
  <c r="AB351" i="1"/>
  <c r="AC351" i="1"/>
  <c r="AD351" i="1"/>
  <c r="AE351" i="1"/>
  <c r="AF351" i="1"/>
  <c r="AG351" i="1"/>
  <c r="AH351" i="1"/>
  <c r="AI351" i="1"/>
  <c r="AJ351" i="1"/>
  <c r="AK351" i="1"/>
  <c r="AL351" i="1"/>
  <c r="AO351" i="1"/>
  <c r="AO352" i="1"/>
  <c r="AO355" i="1"/>
  <c r="X356" i="1"/>
  <c r="Z356" i="1"/>
  <c r="AB356" i="1"/>
  <c r="AC356" i="1"/>
  <c r="AD356" i="1"/>
  <c r="AE356" i="1"/>
  <c r="AF356" i="1"/>
  <c r="AG356" i="1"/>
  <c r="AH356" i="1"/>
  <c r="AI356" i="1"/>
  <c r="AJ356" i="1"/>
  <c r="AK356" i="1"/>
  <c r="AL356" i="1"/>
  <c r="AO356" i="1"/>
  <c r="X357" i="1"/>
  <c r="Z357" i="1"/>
  <c r="AB357" i="1"/>
  <c r="AC357" i="1"/>
  <c r="AD357" i="1"/>
  <c r="AE357" i="1"/>
  <c r="AF357" i="1"/>
  <c r="AG357" i="1"/>
  <c r="AH357" i="1"/>
  <c r="AI357" i="1"/>
  <c r="AJ357" i="1"/>
  <c r="AK357" i="1"/>
  <c r="AL357" i="1"/>
  <c r="AO357" i="1"/>
  <c r="X358" i="1"/>
  <c r="Y358" i="1"/>
  <c r="Z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 s="1"/>
  <c r="AO358" i="1"/>
  <c r="AO359" i="1"/>
  <c r="X360" i="1"/>
  <c r="Y360" i="1"/>
  <c r="Z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 s="1"/>
  <c r="AO360" i="1"/>
  <c r="AO361" i="1"/>
  <c r="X362" i="1"/>
  <c r="Y362" i="1"/>
  <c r="Z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 s="1"/>
  <c r="AO362" i="1"/>
  <c r="AO363" i="1"/>
  <c r="X364" i="1"/>
  <c r="Z364" i="1"/>
  <c r="AB364" i="1"/>
  <c r="AC364" i="1"/>
  <c r="AD364" i="1"/>
  <c r="AE364" i="1"/>
  <c r="AF364" i="1"/>
  <c r="AG364" i="1"/>
  <c r="AH364" i="1"/>
  <c r="AI364" i="1"/>
  <c r="AJ364" i="1"/>
  <c r="AK364" i="1"/>
  <c r="AL364" i="1"/>
  <c r="AO364" i="1"/>
  <c r="AO365" i="1"/>
  <c r="X368" i="1"/>
  <c r="Z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 s="1"/>
  <c r="AO368" i="1"/>
  <c r="X369" i="1"/>
  <c r="Z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 s="1"/>
  <c r="AN369" i="1" s="1"/>
  <c r="AO369" i="1"/>
  <c r="X370" i="1"/>
  <c r="Z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 s="1"/>
  <c r="AN370" i="1" s="1"/>
  <c r="AO370" i="1"/>
  <c r="AO371" i="1"/>
  <c r="X372" i="1"/>
  <c r="Y372" i="1"/>
  <c r="Z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 s="1"/>
  <c r="AO372" i="1"/>
  <c r="AO373" i="1"/>
  <c r="X374" i="1"/>
  <c r="Z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 s="1"/>
  <c r="AN374" i="1" s="1"/>
  <c r="AO374" i="1"/>
  <c r="X375" i="1"/>
  <c r="Z375" i="1"/>
  <c r="AB375" i="1"/>
  <c r="AC375" i="1"/>
  <c r="AD375" i="1"/>
  <c r="AE375" i="1"/>
  <c r="AF375" i="1"/>
  <c r="AG375" i="1"/>
  <c r="AH375" i="1"/>
  <c r="AI375" i="1"/>
  <c r="AJ375" i="1"/>
  <c r="AK375" i="1"/>
  <c r="AL375" i="1"/>
  <c r="AO375" i="1"/>
  <c r="X376" i="1"/>
  <c r="Z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 s="1"/>
  <c r="AO376" i="1"/>
  <c r="X377" i="1"/>
  <c r="Z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 s="1"/>
  <c r="AN377" i="1" s="1"/>
  <c r="AO377" i="1"/>
  <c r="X378" i="1"/>
  <c r="Y378" i="1"/>
  <c r="Z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 s="1"/>
  <c r="AN378" i="1" s="1"/>
  <c r="AO378" i="1"/>
  <c r="X379" i="1"/>
  <c r="Z379" i="1"/>
  <c r="AB379" i="1"/>
  <c r="AC379" i="1"/>
  <c r="AD379" i="1"/>
  <c r="AE379" i="1"/>
  <c r="AF379" i="1"/>
  <c r="AG379" i="1"/>
  <c r="AH379" i="1"/>
  <c r="AI379" i="1"/>
  <c r="AJ379" i="1"/>
  <c r="AK379" i="1"/>
  <c r="AL379" i="1"/>
  <c r="AO379" i="1"/>
  <c r="AO385" i="1"/>
  <c r="AO386" i="1"/>
  <c r="X387" i="1"/>
  <c r="Z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 s="1"/>
  <c r="AN387" i="1" s="1"/>
  <c r="AO387" i="1"/>
  <c r="X388" i="1"/>
  <c r="Z388" i="1"/>
  <c r="AB388" i="1"/>
  <c r="AC388" i="1"/>
  <c r="AD388" i="1"/>
  <c r="AE388" i="1"/>
  <c r="AF388" i="1"/>
  <c r="AG388" i="1"/>
  <c r="AH388" i="1"/>
  <c r="AI388" i="1"/>
  <c r="AJ388" i="1"/>
  <c r="AK388" i="1"/>
  <c r="AL388" i="1"/>
  <c r="AO388" i="1"/>
  <c r="X389" i="1"/>
  <c r="Z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 s="1"/>
  <c r="AO389" i="1"/>
  <c r="AO390" i="1"/>
  <c r="X391" i="1"/>
  <c r="Z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 s="1"/>
  <c r="AN391" i="1" s="1"/>
  <c r="AO391" i="1"/>
  <c r="X392" i="1"/>
  <c r="Z392" i="1"/>
  <c r="AB392" i="1"/>
  <c r="AC392" i="1"/>
  <c r="AD392" i="1"/>
  <c r="AE392" i="1"/>
  <c r="AF392" i="1"/>
  <c r="AG392" i="1"/>
  <c r="AH392" i="1"/>
  <c r="AI392" i="1"/>
  <c r="AJ392" i="1"/>
  <c r="AK392" i="1"/>
  <c r="AL392" i="1"/>
  <c r="AO392" i="1"/>
  <c r="AO393" i="1"/>
  <c r="AO394" i="1"/>
  <c r="X395" i="1"/>
  <c r="Z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 s="1"/>
  <c r="AN395" i="1" s="1"/>
  <c r="AO395" i="1"/>
  <c r="AO396" i="1"/>
  <c r="X397" i="1"/>
  <c r="Z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 s="1"/>
  <c r="AO397" i="1"/>
  <c r="AO398" i="1"/>
  <c r="X399" i="1"/>
  <c r="Z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 s="1"/>
  <c r="AN399" i="1" s="1"/>
  <c r="AO399" i="1"/>
  <c r="AO400" i="1"/>
  <c r="X401" i="1"/>
  <c r="Z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 s="1"/>
  <c r="AO401" i="1"/>
  <c r="X402" i="1"/>
  <c r="Z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 s="1"/>
  <c r="AO402" i="1"/>
  <c r="AO403" i="1"/>
  <c r="X404" i="1"/>
  <c r="Y404" i="1"/>
  <c r="Z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 s="1"/>
  <c r="AN404" i="1" s="1"/>
  <c r="AO404" i="1"/>
  <c r="AO405" i="1"/>
  <c r="X406" i="1"/>
  <c r="Y406" i="1"/>
  <c r="Z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 s="1"/>
  <c r="AO406" i="1"/>
  <c r="AO407" i="1"/>
  <c r="X408" i="1"/>
  <c r="Y408" i="1"/>
  <c r="Z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 s="1"/>
  <c r="AN408" i="1" s="1"/>
  <c r="AO408" i="1"/>
  <c r="X409" i="1"/>
  <c r="Y409" i="1"/>
  <c r="Z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 s="1"/>
  <c r="AO409" i="1"/>
  <c r="AO410" i="1"/>
  <c r="AO411" i="1"/>
  <c r="X412" i="1"/>
  <c r="Y412" i="1"/>
  <c r="Z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 s="1"/>
  <c r="AN412" i="1" s="1"/>
  <c r="AO412" i="1"/>
  <c r="AO413" i="1"/>
  <c r="X414" i="1"/>
  <c r="Z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 s="1"/>
  <c r="AO414" i="1"/>
  <c r="X415" i="1"/>
  <c r="Z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 s="1"/>
  <c r="AN415" i="1" s="1"/>
  <c r="AO415" i="1"/>
  <c r="X416" i="1"/>
  <c r="Z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 s="1"/>
  <c r="AN416" i="1" s="1"/>
  <c r="AO416" i="1"/>
  <c r="X417" i="1"/>
  <c r="Z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 s="1"/>
  <c r="AO417" i="1"/>
  <c r="AO418" i="1"/>
  <c r="X419" i="1"/>
  <c r="AT419" i="1" s="1"/>
  <c r="Y419" i="1"/>
  <c r="AU419" i="1" s="1"/>
  <c r="BQ419" i="1" s="1"/>
  <c r="Z419" i="1"/>
  <c r="AV419" i="1" s="1"/>
  <c r="BR419" i="1" s="1"/>
  <c r="AB419" i="1"/>
  <c r="AC419" i="1"/>
  <c r="AY419" i="1" s="1"/>
  <c r="BU419" i="1" s="1"/>
  <c r="AD419" i="1"/>
  <c r="AZ419" i="1" s="1"/>
  <c r="BV419" i="1" s="1"/>
  <c r="AE419" i="1"/>
  <c r="BA419" i="1" s="1"/>
  <c r="BW419" i="1" s="1"/>
  <c r="AF419" i="1"/>
  <c r="BB419" i="1" s="1"/>
  <c r="AG419" i="1"/>
  <c r="BC419" i="1" s="1"/>
  <c r="BY419" i="1" s="1"/>
  <c r="AH419" i="1"/>
  <c r="BD419" i="1" s="1"/>
  <c r="BZ419" i="1" s="1"/>
  <c r="AI419" i="1"/>
  <c r="BE419" i="1" s="1"/>
  <c r="CA419" i="1" s="1"/>
  <c r="AJ419" i="1"/>
  <c r="BF419" i="1" s="1"/>
  <c r="CB419" i="1" s="1"/>
  <c r="AK419" i="1"/>
  <c r="BG419" i="1" s="1"/>
  <c r="CC419" i="1" s="1"/>
  <c r="AL419" i="1"/>
  <c r="AO419" i="1"/>
  <c r="BK419" i="1" s="1"/>
  <c r="CG419" i="1" s="1"/>
  <c r="X420" i="1"/>
  <c r="Z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 s="1"/>
  <c r="AN420" i="1" s="1"/>
  <c r="AO420" i="1"/>
  <c r="X421" i="1"/>
  <c r="Z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 s="1"/>
  <c r="AO421" i="1"/>
  <c r="X422" i="1"/>
  <c r="Z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 s="1"/>
  <c r="AO422" i="1"/>
  <c r="X423" i="1"/>
  <c r="Z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 s="1"/>
  <c r="AN423" i="1" s="1"/>
  <c r="AO423" i="1"/>
  <c r="X424" i="1"/>
  <c r="Z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 s="1"/>
  <c r="AO424" i="1"/>
  <c r="U419" i="1"/>
  <c r="AQ419" i="1" s="1"/>
  <c r="AB4" i="1"/>
  <c r="Z4" i="1"/>
  <c r="T335" i="1"/>
  <c r="T334" i="1"/>
  <c r="T333" i="1"/>
  <c r="T275" i="1"/>
  <c r="T274" i="1"/>
  <c r="T273" i="1"/>
  <c r="T272" i="1"/>
  <c r="T271" i="1"/>
  <c r="T270" i="1"/>
  <c r="T269" i="1"/>
  <c r="T268" i="1"/>
  <c r="T244" i="1"/>
  <c r="T127" i="1"/>
  <c r="T126" i="1"/>
  <c r="T125" i="1"/>
  <c r="T124" i="1"/>
  <c r="T123" i="1"/>
  <c r="S424" i="1"/>
  <c r="S423" i="1"/>
  <c r="S422" i="1"/>
  <c r="S421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7" i="1"/>
  <c r="S277" i="1"/>
  <c r="T276" i="1"/>
  <c r="S276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5" i="1"/>
  <c r="S245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4" i="1"/>
  <c r="S164" i="1"/>
  <c r="T163" i="1"/>
  <c r="S163" i="1"/>
  <c r="T162" i="1"/>
  <c r="S162" i="1"/>
  <c r="T161" i="1"/>
  <c r="S161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98" i="1"/>
  <c r="S98" i="1"/>
  <c r="T97" i="1"/>
  <c r="S97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9" i="1"/>
  <c r="S9" i="1"/>
  <c r="T8" i="1"/>
  <c r="S8" i="1"/>
  <c r="E21" i="4"/>
  <c r="T420" i="1" s="1"/>
  <c r="E20" i="4"/>
  <c r="T424" i="1" s="1"/>
  <c r="F5" i="4"/>
  <c r="F6" i="4"/>
  <c r="F7" i="4"/>
  <c r="F8" i="4"/>
  <c r="S126" i="1" s="1"/>
  <c r="F9" i="4"/>
  <c r="F10" i="4"/>
  <c r="F11" i="4"/>
  <c r="S334" i="1" s="1"/>
  <c r="F12" i="4"/>
  <c r="F13" i="4"/>
  <c r="F14" i="4"/>
  <c r="F15" i="4"/>
  <c r="S275" i="1" s="1"/>
  <c r="F16" i="4"/>
  <c r="F17" i="4"/>
  <c r="S244" i="1" s="1"/>
  <c r="F4" i="4"/>
  <c r="S143" i="1" l="1"/>
  <c r="S144" i="1"/>
  <c r="CV419" i="1"/>
  <c r="AVI419" i="1"/>
  <c r="CR419" i="1"/>
  <c r="AVE419" i="1"/>
  <c r="CM419" i="1"/>
  <c r="AUZ419" i="1"/>
  <c r="CE437" i="1"/>
  <c r="CF437" i="1" s="1"/>
  <c r="AVM437" i="1"/>
  <c r="CE428" i="1"/>
  <c r="CF428" i="1" s="1"/>
  <c r="AVM428" i="1"/>
  <c r="DC419" i="1"/>
  <c r="AVP419" i="1"/>
  <c r="CW419" i="1"/>
  <c r="AVJ419" i="1"/>
  <c r="CS419" i="1"/>
  <c r="AVF419" i="1"/>
  <c r="CN419" i="1"/>
  <c r="AVA419" i="1"/>
  <c r="AVN439" i="1"/>
  <c r="AVO439" i="1" s="1"/>
  <c r="AVN435" i="1"/>
  <c r="AVO435" i="1" s="1"/>
  <c r="AVN436" i="1"/>
  <c r="AVO436" i="1" s="1"/>
  <c r="AVN426" i="1"/>
  <c r="AVO426" i="1" s="1"/>
  <c r="CE434" i="1"/>
  <c r="CF434" i="1" s="1"/>
  <c r="AVM434" i="1"/>
  <c r="CE429" i="1"/>
  <c r="CF429" i="1" s="1"/>
  <c r="AVM429" i="1"/>
  <c r="AUY164" i="1"/>
  <c r="CX419" i="1"/>
  <c r="AVK419" i="1"/>
  <c r="AVN425" i="1"/>
  <c r="AVO425" i="1" s="1"/>
  <c r="BN427" i="1"/>
  <c r="BO427" i="1" s="1"/>
  <c r="AUV427" i="1"/>
  <c r="AUW427" i="1" s="1"/>
  <c r="AUX427" i="1" s="1"/>
  <c r="CY419" i="1"/>
  <c r="AVL419" i="1"/>
  <c r="CU419" i="1"/>
  <c r="AVH419" i="1"/>
  <c r="CQ419" i="1"/>
  <c r="AVD419" i="1"/>
  <c r="AVN440" i="1"/>
  <c r="AVO440" i="1" s="1"/>
  <c r="AVN430" i="1"/>
  <c r="AVO430" i="1" s="1"/>
  <c r="AVN427" i="1"/>
  <c r="AVO427" i="1" s="1"/>
  <c r="CE438" i="1"/>
  <c r="AVM438" i="1"/>
  <c r="CE433" i="1"/>
  <c r="CF433" i="1" s="1"/>
  <c r="AVM433" i="1"/>
  <c r="AM298" i="1"/>
  <c r="AN298" i="1" s="1"/>
  <c r="AM297" i="1"/>
  <c r="AN297" i="1" s="1"/>
  <c r="BI164" i="1"/>
  <c r="BJ164" i="1" s="1"/>
  <c r="CD164" i="1"/>
  <c r="AM168" i="1"/>
  <c r="AN168" i="1" s="1"/>
  <c r="BX164" i="1"/>
  <c r="K50" i="19"/>
  <c r="K54" i="19"/>
  <c r="K54" i="18"/>
  <c r="L50" i="19"/>
  <c r="L50" i="18"/>
  <c r="O48" i="18"/>
  <c r="O48" i="19"/>
  <c r="O51" i="18"/>
  <c r="M51" i="18" s="1"/>
  <c r="O51" i="19"/>
  <c r="M51" i="19" s="1"/>
  <c r="K50" i="18"/>
  <c r="K52" i="19"/>
  <c r="K52" i="18"/>
  <c r="L51" i="18"/>
  <c r="L51" i="19"/>
  <c r="L48" i="18"/>
  <c r="L48" i="19"/>
  <c r="O52" i="19"/>
  <c r="M52" i="19" s="1"/>
  <c r="O52" i="18"/>
  <c r="M52" i="18" s="1"/>
  <c r="O55" i="19"/>
  <c r="M55" i="19" s="1"/>
  <c r="O55" i="18"/>
  <c r="M55" i="18" s="1"/>
  <c r="L55" i="19"/>
  <c r="L55" i="18"/>
  <c r="L56" i="19"/>
  <c r="L56" i="18"/>
  <c r="L57" i="19"/>
  <c r="L57" i="18"/>
  <c r="O57" i="19"/>
  <c r="M57" i="19" s="1"/>
  <c r="O57" i="18"/>
  <c r="M57" i="18" s="1"/>
  <c r="O50" i="18"/>
  <c r="M50" i="18" s="1"/>
  <c r="O50" i="19"/>
  <c r="M50" i="19" s="1"/>
  <c r="K48" i="18"/>
  <c r="K57" i="18"/>
  <c r="BL433" i="1"/>
  <c r="K53" i="18"/>
  <c r="K53" i="19"/>
  <c r="O54" i="19"/>
  <c r="M54" i="19" s="1"/>
  <c r="O54" i="18"/>
  <c r="M54" i="18" s="1"/>
  <c r="O53" i="19"/>
  <c r="M53" i="19" s="1"/>
  <c r="O53" i="18"/>
  <c r="M53" i="18" s="1"/>
  <c r="O56" i="19"/>
  <c r="M56" i="19" s="1"/>
  <c r="O56" i="18"/>
  <c r="M56" i="18" s="1"/>
  <c r="K48" i="19"/>
  <c r="K57" i="19"/>
  <c r="T457" i="1"/>
  <c r="AO457" i="1"/>
  <c r="AM123" i="1"/>
  <c r="AN123" i="1" s="1"/>
  <c r="AR427" i="1"/>
  <c r="AS427" i="1" s="1"/>
  <c r="AR428" i="1"/>
  <c r="AS428" i="1" s="1"/>
  <c r="AP433" i="1"/>
  <c r="BL434" i="1"/>
  <c r="S123" i="1"/>
  <c r="S125" i="1"/>
  <c r="S127" i="1"/>
  <c r="S145" i="1"/>
  <c r="S268" i="1"/>
  <c r="S270" i="1"/>
  <c r="S272" i="1"/>
  <c r="S274" i="1"/>
  <c r="S333" i="1"/>
  <c r="S335" i="1"/>
  <c r="T421" i="1"/>
  <c r="T423" i="1"/>
  <c r="S124" i="1"/>
  <c r="S269" i="1"/>
  <c r="S271" i="1"/>
  <c r="S273" i="1"/>
  <c r="T422" i="1"/>
  <c r="AP426" i="1"/>
  <c r="AP439" i="1"/>
  <c r="AP425" i="1"/>
  <c r="AN368" i="1"/>
  <c r="AN258" i="1"/>
  <c r="AA338" i="1"/>
  <c r="BL439" i="1"/>
  <c r="BI437" i="1"/>
  <c r="BJ437" i="1" s="1"/>
  <c r="BL437" i="1"/>
  <c r="AP429" i="1"/>
  <c r="CH427" i="1"/>
  <c r="AVQ427" i="1" s="1"/>
  <c r="AP437" i="1"/>
  <c r="AP432" i="1"/>
  <c r="AP436" i="1"/>
  <c r="BI429" i="1"/>
  <c r="BJ429" i="1" s="1"/>
  <c r="BL426" i="1"/>
  <c r="CH428" i="1"/>
  <c r="AVQ428" i="1" s="1"/>
  <c r="BL436" i="1"/>
  <c r="BN428" i="1"/>
  <c r="BO428" i="1" s="1"/>
  <c r="AA129" i="1"/>
  <c r="AA343" i="1"/>
  <c r="AP440" i="1"/>
  <c r="CF438" i="1"/>
  <c r="BL429" i="1"/>
  <c r="AA325" i="1"/>
  <c r="AA147" i="1"/>
  <c r="AA34" i="1"/>
  <c r="AP435" i="1"/>
  <c r="AA49" i="1"/>
  <c r="AA46" i="1"/>
  <c r="AN340" i="1"/>
  <c r="AA217" i="1"/>
  <c r="AA423" i="1"/>
  <c r="AA282" i="1"/>
  <c r="AA256" i="1"/>
  <c r="AA77" i="1"/>
  <c r="AA74" i="1"/>
  <c r="AN73" i="1"/>
  <c r="AA341" i="1"/>
  <c r="AA336" i="1"/>
  <c r="AA330" i="1"/>
  <c r="AA319" i="1"/>
  <c r="AA293" i="1"/>
  <c r="AN270" i="1"/>
  <c r="AA244" i="1"/>
  <c r="AA227" i="1"/>
  <c r="AA187" i="1"/>
  <c r="AN358" i="1"/>
  <c r="AA342" i="1"/>
  <c r="AA339" i="1"/>
  <c r="AA324" i="1"/>
  <c r="AN304" i="1"/>
  <c r="AA297" i="1"/>
  <c r="AN293" i="1"/>
  <c r="AA267" i="1"/>
  <c r="AA169" i="1"/>
  <c r="AN151" i="1"/>
  <c r="AA127" i="1"/>
  <c r="AA125" i="1"/>
  <c r="AA120" i="1"/>
  <c r="AA115" i="1"/>
  <c r="AN97" i="1"/>
  <c r="AN41" i="1"/>
  <c r="AN18" i="1"/>
  <c r="AP443" i="1"/>
  <c r="BL443" i="1"/>
  <c r="AP434" i="1"/>
  <c r="BL427" i="1"/>
  <c r="CE425" i="1"/>
  <c r="CF425" i="1" s="1"/>
  <c r="AP428" i="1"/>
  <c r="AP427" i="1"/>
  <c r="AN424" i="1"/>
  <c r="AN362" i="1"/>
  <c r="AA345" i="1"/>
  <c r="AN344" i="1"/>
  <c r="AA337" i="1"/>
  <c r="AA315" i="1"/>
  <c r="AA298" i="1"/>
  <c r="AA275" i="1"/>
  <c r="AA258" i="1"/>
  <c r="AA201" i="1"/>
  <c r="AA159" i="1"/>
  <c r="AA146" i="1"/>
  <c r="AA130" i="1"/>
  <c r="AA117" i="1"/>
  <c r="AN92" i="1"/>
  <c r="AA92" i="1"/>
  <c r="AA84" i="1"/>
  <c r="AA66" i="1"/>
  <c r="AA63" i="1"/>
  <c r="AA40" i="1"/>
  <c r="BL428" i="1"/>
  <c r="BI442" i="1"/>
  <c r="BJ442" i="1" s="1"/>
  <c r="CD442" i="1"/>
  <c r="AA177" i="1"/>
  <c r="AA143" i="1"/>
  <c r="AA141" i="1"/>
  <c r="AA136" i="1"/>
  <c r="AA126" i="1"/>
  <c r="AA118" i="1"/>
  <c r="AA90" i="1"/>
  <c r="AM70" i="1"/>
  <c r="AN70" i="1" s="1"/>
  <c r="AP430" i="1"/>
  <c r="BI425" i="1"/>
  <c r="BJ425" i="1" s="1"/>
  <c r="BL425" i="1"/>
  <c r="BM433" i="1"/>
  <c r="AUV433" i="1" s="1"/>
  <c r="AUW433" i="1" s="1"/>
  <c r="AUX433" i="1" s="1"/>
  <c r="AR433" i="1"/>
  <c r="AS433" i="1" s="1"/>
  <c r="CE439" i="1"/>
  <c r="CF439" i="1" s="1"/>
  <c r="CD443" i="1"/>
  <c r="BI443" i="1"/>
  <c r="BJ443" i="1" s="1"/>
  <c r="BN440" i="1"/>
  <c r="BO440" i="1" s="1"/>
  <c r="CH440" i="1"/>
  <c r="AVQ440" i="1" s="1"/>
  <c r="BN439" i="1"/>
  <c r="BO439" i="1" s="1"/>
  <c r="CH439" i="1"/>
  <c r="AVQ439" i="1" s="1"/>
  <c r="BL438" i="1"/>
  <c r="CH430" i="1"/>
  <c r="AVQ430" i="1" s="1"/>
  <c r="BN430" i="1"/>
  <c r="BO430" i="1" s="1"/>
  <c r="AP442" i="1"/>
  <c r="CE440" i="1"/>
  <c r="CF440" i="1" s="1"/>
  <c r="BL440" i="1"/>
  <c r="CH429" i="1"/>
  <c r="AVQ429" i="1" s="1"/>
  <c r="BN429" i="1"/>
  <c r="BO429" i="1" s="1"/>
  <c r="CE426" i="1"/>
  <c r="CF426" i="1" s="1"/>
  <c r="CH425" i="1"/>
  <c r="AVQ425" i="1" s="1"/>
  <c r="BN425" i="1"/>
  <c r="BO425" i="1" s="1"/>
  <c r="BN443" i="1"/>
  <c r="BO443" i="1" s="1"/>
  <c r="AP438" i="1"/>
  <c r="BM435" i="1"/>
  <c r="AUV435" i="1" s="1"/>
  <c r="AUW435" i="1" s="1"/>
  <c r="AUX435" i="1" s="1"/>
  <c r="BL435" i="1"/>
  <c r="AR435" i="1"/>
  <c r="AS435" i="1" s="1"/>
  <c r="CH434" i="1"/>
  <c r="AVQ434" i="1" s="1"/>
  <c r="BN434" i="1"/>
  <c r="BO434" i="1" s="1"/>
  <c r="CE435" i="1"/>
  <c r="CF435" i="1" s="1"/>
  <c r="CH437" i="1"/>
  <c r="AVQ437" i="1" s="1"/>
  <c r="BN437" i="1"/>
  <c r="BO437" i="1" s="1"/>
  <c r="CH438" i="1"/>
  <c r="AVQ438" i="1" s="1"/>
  <c r="BN438" i="1"/>
  <c r="BO438" i="1" s="1"/>
  <c r="CE427" i="1"/>
  <c r="CF427" i="1" s="1"/>
  <c r="BL430" i="1"/>
  <c r="BL442" i="1"/>
  <c r="AR442" i="1"/>
  <c r="AS442" i="1" s="1"/>
  <c r="BM442" i="1"/>
  <c r="AUV442" i="1" s="1"/>
  <c r="AUW442" i="1" s="1"/>
  <c r="AUX442" i="1" s="1"/>
  <c r="CE432" i="1"/>
  <c r="CF432" i="1" s="1"/>
  <c r="CH436" i="1"/>
  <c r="AVQ436" i="1" s="1"/>
  <c r="BN436" i="1"/>
  <c r="BO436" i="1" s="1"/>
  <c r="BM432" i="1"/>
  <c r="BL432" i="1"/>
  <c r="AR432" i="1"/>
  <c r="AS432" i="1" s="1"/>
  <c r="CE436" i="1"/>
  <c r="CF436" i="1" s="1"/>
  <c r="CE430" i="1"/>
  <c r="CF430" i="1" s="1"/>
  <c r="CH426" i="1"/>
  <c r="AVQ426" i="1" s="1"/>
  <c r="BN426" i="1"/>
  <c r="BO426" i="1" s="1"/>
  <c r="AM271" i="1"/>
  <c r="AN271" i="1" s="1"/>
  <c r="AM232" i="1"/>
  <c r="AN232" i="1" s="1"/>
  <c r="AR419" i="1"/>
  <c r="AS419" i="1" s="1"/>
  <c r="BM419" i="1"/>
  <c r="AUV419" i="1" s="1"/>
  <c r="AUW419" i="1" s="1"/>
  <c r="AUX419" i="1" s="1"/>
  <c r="AA421" i="1"/>
  <c r="AM419" i="1"/>
  <c r="AN419" i="1" s="1"/>
  <c r="BH419" i="1"/>
  <c r="AA417" i="1"/>
  <c r="AA409" i="1"/>
  <c r="AA401" i="1"/>
  <c r="AA397" i="1"/>
  <c r="AA389" i="1"/>
  <c r="AA376" i="1"/>
  <c r="AA372" i="1"/>
  <c r="AA369" i="1"/>
  <c r="AA364" i="1"/>
  <c r="AA360" i="1"/>
  <c r="AA347" i="1"/>
  <c r="AA344" i="1"/>
  <c r="AA340" i="1"/>
  <c r="AM328" i="1"/>
  <c r="AN328" i="1" s="1"/>
  <c r="AA313" i="1"/>
  <c r="AM221" i="1"/>
  <c r="AN221" i="1" s="1"/>
  <c r="AM167" i="1"/>
  <c r="AN167" i="1" s="1"/>
  <c r="AA356" i="1"/>
  <c r="AA348" i="1"/>
  <c r="AA331" i="1"/>
  <c r="AA327" i="1"/>
  <c r="AM324" i="1"/>
  <c r="AN324" i="1" s="1"/>
  <c r="AA322" i="1"/>
  <c r="AA300" i="1"/>
  <c r="AA272" i="1"/>
  <c r="AM238" i="1"/>
  <c r="AN238" i="1" s="1"/>
  <c r="AM203" i="1"/>
  <c r="AN203" i="1" s="1"/>
  <c r="AM176" i="1"/>
  <c r="AN176" i="1" s="1"/>
  <c r="AN414" i="1"/>
  <c r="AN406" i="1"/>
  <c r="AN402" i="1"/>
  <c r="AA424" i="1"/>
  <c r="AA422" i="1"/>
  <c r="AN421" i="1"/>
  <c r="AA420" i="1"/>
  <c r="BX419" i="1"/>
  <c r="AA419" i="1"/>
  <c r="AW419" i="1" s="1"/>
  <c r="BS419" i="1" s="1"/>
  <c r="CO419" i="1" s="1"/>
  <c r="AX419" i="1"/>
  <c r="BT419" i="1" s="1"/>
  <c r="V419" i="1"/>
  <c r="W419" i="1" s="1"/>
  <c r="AA416" i="1"/>
  <c r="AA415" i="1"/>
  <c r="AA414" i="1"/>
  <c r="AA412" i="1"/>
  <c r="AA408" i="1"/>
  <c r="AA406" i="1"/>
  <c r="AA404" i="1"/>
  <c r="AA402" i="1"/>
  <c r="AA399" i="1"/>
  <c r="AA395" i="1"/>
  <c r="AM392" i="1"/>
  <c r="AN392" i="1" s="1"/>
  <c r="AA392" i="1"/>
  <c r="AA391" i="1"/>
  <c r="AM388" i="1"/>
  <c r="AN388" i="1" s="1"/>
  <c r="AA388" i="1"/>
  <c r="AA387" i="1"/>
  <c r="AM379" i="1"/>
  <c r="AN379" i="1" s="1"/>
  <c r="AA379" i="1"/>
  <c r="AA378" i="1"/>
  <c r="AA377" i="1"/>
  <c r="AM375" i="1"/>
  <c r="AN375" i="1" s="1"/>
  <c r="AA375" i="1"/>
  <c r="AA374" i="1"/>
  <c r="AA370" i="1"/>
  <c r="AA358" i="1"/>
  <c r="AA357" i="1"/>
  <c r="AA335" i="1"/>
  <c r="AA329" i="1"/>
  <c r="AA328" i="1"/>
  <c r="AA323" i="1"/>
  <c r="AA316" i="1"/>
  <c r="AM305" i="1"/>
  <c r="AN305" i="1" s="1"/>
  <c r="AN300" i="1"/>
  <c r="AA287" i="1"/>
  <c r="AM281" i="1"/>
  <c r="AN281" i="1" s="1"/>
  <c r="AA281" i="1"/>
  <c r="AA273" i="1"/>
  <c r="AA270" i="1"/>
  <c r="AA268" i="1"/>
  <c r="AN267" i="1"/>
  <c r="AA252" i="1"/>
  <c r="AA247" i="1"/>
  <c r="AA240" i="1"/>
  <c r="AA229" i="1"/>
  <c r="AA223" i="1"/>
  <c r="AN217" i="1"/>
  <c r="AA213" i="1"/>
  <c r="AN199" i="1"/>
  <c r="AA195" i="1"/>
  <c r="AA186" i="1"/>
  <c r="AA181" i="1"/>
  <c r="AM173" i="1"/>
  <c r="AN173" i="1" s="1"/>
  <c r="AA172" i="1"/>
  <c r="AA170" i="1"/>
  <c r="AN169" i="1"/>
  <c r="AA168" i="1"/>
  <c r="AM164" i="1"/>
  <c r="AN164" i="1" s="1"/>
  <c r="AA269" i="1"/>
  <c r="AA264" i="1"/>
  <c r="AA253" i="1"/>
  <c r="AA248" i="1"/>
  <c r="AN247" i="1"/>
  <c r="AA242" i="1"/>
  <c r="AA236" i="1"/>
  <c r="AA232" i="1"/>
  <c r="AA230" i="1"/>
  <c r="AN229" i="1"/>
  <c r="AA225" i="1"/>
  <c r="AA219" i="1"/>
  <c r="AA214" i="1"/>
  <c r="AN213" i="1"/>
  <c r="AA209" i="1"/>
  <c r="AA203" i="1"/>
  <c r="AM191" i="1"/>
  <c r="AN191" i="1" s="1"/>
  <c r="AN186" i="1"/>
  <c r="AN181" i="1"/>
  <c r="AA179" i="1"/>
  <c r="AA176" i="1"/>
  <c r="AM89" i="1"/>
  <c r="AN89" i="1" s="1"/>
  <c r="AM30" i="1"/>
  <c r="AN30" i="1" s="1"/>
  <c r="AA334" i="1"/>
  <c r="AA333" i="1"/>
  <c r="AA318" i="1"/>
  <c r="AA314" i="1"/>
  <c r="AA305" i="1"/>
  <c r="AA280" i="1"/>
  <c r="AA271" i="1"/>
  <c r="AA265" i="1"/>
  <c r="AA262" i="1"/>
  <c r="AA260" i="1"/>
  <c r="AA249" i="1"/>
  <c r="AA245" i="1"/>
  <c r="AN242" i="1"/>
  <c r="AA238" i="1"/>
  <c r="AN225" i="1"/>
  <c r="AA221" i="1"/>
  <c r="AA210" i="1"/>
  <c r="AN209" i="1"/>
  <c r="AA194" i="1"/>
  <c r="AA192" i="1"/>
  <c r="AA188" i="1"/>
  <c r="AA166" i="1"/>
  <c r="AA164" i="1"/>
  <c r="AW164" i="1" s="1"/>
  <c r="BS164" i="1" s="1"/>
  <c r="AA202" i="1"/>
  <c r="AA199" i="1"/>
  <c r="AN195" i="1"/>
  <c r="AA191" i="1"/>
  <c r="AA184" i="1"/>
  <c r="AN177" i="1"/>
  <c r="AA173" i="1"/>
  <c r="AA154" i="1"/>
  <c r="AN147" i="1"/>
  <c r="AA139" i="1"/>
  <c r="AN130" i="1"/>
  <c r="AA123" i="1"/>
  <c r="AA121" i="1"/>
  <c r="AM103" i="1"/>
  <c r="AN103" i="1" s="1"/>
  <c r="AN139" i="1"/>
  <c r="AM82" i="1"/>
  <c r="AN82" i="1" s="1"/>
  <c r="AM78" i="1"/>
  <c r="AN78" i="1" s="1"/>
  <c r="AA157" i="1"/>
  <c r="AA151" i="1"/>
  <c r="AA150" i="1"/>
  <c r="AA133" i="1"/>
  <c r="AA131" i="1"/>
  <c r="AA124" i="1"/>
  <c r="AM14" i="1"/>
  <c r="AN14" i="1" s="1"/>
  <c r="AN118" i="1"/>
  <c r="AA110" i="1"/>
  <c r="AA107" i="1"/>
  <c r="AA91" i="1"/>
  <c r="AA88" i="1"/>
  <c r="AA80" i="1"/>
  <c r="AN66" i="1"/>
  <c r="AN49" i="1"/>
  <c r="AA41" i="1"/>
  <c r="AA24" i="1"/>
  <c r="AA18" i="1"/>
  <c r="AA103" i="1"/>
  <c r="AA101" i="1"/>
  <c r="AA82" i="1"/>
  <c r="AA78" i="1"/>
  <c r="AA68" i="1"/>
  <c r="AA30" i="1"/>
  <c r="AA27" i="1"/>
  <c r="AA26" i="1"/>
  <c r="AA20" i="1"/>
  <c r="AA14" i="1"/>
  <c r="AA11" i="1"/>
  <c r="AA9" i="1"/>
  <c r="AA112" i="1"/>
  <c r="AA102" i="1"/>
  <c r="AA97" i="1"/>
  <c r="AA89" i="1"/>
  <c r="AA48" i="1"/>
  <c r="AA29" i="1"/>
  <c r="AA25" i="1"/>
  <c r="AA23" i="1"/>
  <c r="AA22" i="1"/>
  <c r="AA13" i="1"/>
  <c r="BP419" i="1"/>
  <c r="AUY419" i="1" s="1"/>
  <c r="AM334" i="1"/>
  <c r="AN334" i="1" s="1"/>
  <c r="AM318" i="1"/>
  <c r="AN318" i="1" s="1"/>
  <c r="AN422" i="1"/>
  <c r="AA362" i="1"/>
  <c r="AA351" i="1"/>
  <c r="AM330" i="1"/>
  <c r="AN330" i="1" s="1"/>
  <c r="AA304" i="1"/>
  <c r="AM303" i="1"/>
  <c r="AN303" i="1" s="1"/>
  <c r="AM295" i="1"/>
  <c r="AN295" i="1" s="1"/>
  <c r="AM276" i="1"/>
  <c r="AN276" i="1" s="1"/>
  <c r="AM351" i="1"/>
  <c r="AN351" i="1" s="1"/>
  <c r="AN417" i="1"/>
  <c r="AN409" i="1"/>
  <c r="AN401" i="1"/>
  <c r="AN397" i="1"/>
  <c r="AN389" i="1"/>
  <c r="AN376" i="1"/>
  <c r="AN372" i="1"/>
  <c r="AN360" i="1"/>
  <c r="AM357" i="1"/>
  <c r="AN357" i="1" s="1"/>
  <c r="AM342" i="1"/>
  <c r="AN342" i="1" s="1"/>
  <c r="AA368" i="1"/>
  <c r="AM364" i="1"/>
  <c r="AN364" i="1" s="1"/>
  <c r="AM356" i="1"/>
  <c r="AN356" i="1" s="1"/>
  <c r="AM338" i="1"/>
  <c r="AN338" i="1" s="1"/>
  <c r="AM322" i="1"/>
  <c r="AN322" i="1" s="1"/>
  <c r="AM314" i="1"/>
  <c r="AN314" i="1" s="1"/>
  <c r="AA303" i="1"/>
  <c r="AA295" i="1"/>
  <c r="AM287" i="1"/>
  <c r="AN287" i="1" s="1"/>
  <c r="AN347" i="1"/>
  <c r="AN343" i="1"/>
  <c r="AN339" i="1"/>
  <c r="AN335" i="1"/>
  <c r="AN331" i="1"/>
  <c r="AN327" i="1"/>
  <c r="AN323" i="1"/>
  <c r="AN319" i="1"/>
  <c r="AN315" i="1"/>
  <c r="AN291" i="1"/>
  <c r="AM282" i="1"/>
  <c r="AN282" i="1" s="1"/>
  <c r="AA277" i="1"/>
  <c r="AA276" i="1"/>
  <c r="AN275" i="1"/>
  <c r="AA291" i="1"/>
  <c r="AA283" i="1"/>
  <c r="AM162" i="1"/>
  <c r="AN162" i="1" s="1"/>
  <c r="AM145" i="1"/>
  <c r="AN145" i="1" s="1"/>
  <c r="AM128" i="1"/>
  <c r="AN128" i="1" s="1"/>
  <c r="AM114" i="1"/>
  <c r="AN114" i="1" s="1"/>
  <c r="AM94" i="1"/>
  <c r="AN94" i="1" s="1"/>
  <c r="AN143" i="1"/>
  <c r="AM132" i="1"/>
  <c r="AN132" i="1" s="1"/>
  <c r="AN127" i="1"/>
  <c r="AM28" i="1"/>
  <c r="AN28" i="1" s="1"/>
  <c r="AN272" i="1"/>
  <c r="AN268" i="1"/>
  <c r="AN264" i="1"/>
  <c r="AN260" i="1"/>
  <c r="AN256" i="1"/>
  <c r="AN252" i="1"/>
  <c r="AN248" i="1"/>
  <c r="AN230" i="1"/>
  <c r="AN214" i="1"/>
  <c r="AN210" i="1"/>
  <c r="AN201" i="1"/>
  <c r="AN192" i="1"/>
  <c r="AN187" i="1"/>
  <c r="AN170" i="1"/>
  <c r="AN166" i="1"/>
  <c r="AA162" i="1"/>
  <c r="AA145" i="1"/>
  <c r="AM136" i="1"/>
  <c r="AN136" i="1" s="1"/>
  <c r="AN131" i="1"/>
  <c r="AA128" i="1"/>
  <c r="AM120" i="1"/>
  <c r="AN120" i="1" s="1"/>
  <c r="AA167" i="1"/>
  <c r="AM157" i="1"/>
  <c r="AN157" i="1" s="1"/>
  <c r="AA132" i="1"/>
  <c r="AM124" i="1"/>
  <c r="AN124" i="1" s="1"/>
  <c r="AM101" i="1"/>
  <c r="AN101" i="1" s="1"/>
  <c r="AA95" i="1"/>
  <c r="AA94" i="1"/>
  <c r="AA114" i="1"/>
  <c r="AM86" i="1"/>
  <c r="AN86" i="1" s="1"/>
  <c r="AM85" i="1"/>
  <c r="AN85" i="1" s="1"/>
  <c r="AA106" i="1"/>
  <c r="AM90" i="1"/>
  <c r="AN90" i="1" s="1"/>
  <c r="AA86" i="1"/>
  <c r="AN80" i="1"/>
  <c r="AA70" i="1"/>
  <c r="AM69" i="1"/>
  <c r="AN69" i="1" s="1"/>
  <c r="AM61" i="1"/>
  <c r="AN61" i="1" s="1"/>
  <c r="AM44" i="1"/>
  <c r="AN44" i="1" s="1"/>
  <c r="AM36" i="1"/>
  <c r="AN36" i="1" s="1"/>
  <c r="AA17" i="1"/>
  <c r="AA85" i="1"/>
  <c r="AN84" i="1"/>
  <c r="AA61" i="1"/>
  <c r="AA44" i="1"/>
  <c r="AA37" i="1"/>
  <c r="AA36" i="1"/>
  <c r="AA28" i="1"/>
  <c r="AM20" i="1"/>
  <c r="AN20" i="1" s="1"/>
  <c r="AA73" i="1"/>
  <c r="AA69" i="1"/>
  <c r="AN68" i="1"/>
  <c r="AM48" i="1"/>
  <c r="AN48" i="1" s="1"/>
  <c r="AM40" i="1"/>
  <c r="AN40" i="1" s="1"/>
  <c r="AM24" i="1"/>
  <c r="AN24" i="1" s="1"/>
  <c r="G31" i="3"/>
  <c r="G26" i="3"/>
  <c r="H26" i="3" s="1"/>
  <c r="J26" i="3"/>
  <c r="K26" i="3" s="1"/>
  <c r="L26" i="3"/>
  <c r="N26" i="3"/>
  <c r="O26" i="3"/>
  <c r="P26" i="3"/>
  <c r="Q26" i="3"/>
  <c r="R26" i="3"/>
  <c r="S26" i="3"/>
  <c r="T26" i="3"/>
  <c r="U26" i="3"/>
  <c r="V26" i="3"/>
  <c r="W26" i="3"/>
  <c r="X26" i="3"/>
  <c r="Y26" i="3" s="1"/>
  <c r="Z26" i="3" s="1"/>
  <c r="G27" i="3"/>
  <c r="H27" i="3" s="1"/>
  <c r="I27" i="3" s="1"/>
  <c r="J27" i="3"/>
  <c r="K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 s="1"/>
  <c r="Z27" i="3" s="1"/>
  <c r="G28" i="3"/>
  <c r="J28" i="3"/>
  <c r="L28" i="3"/>
  <c r="N28" i="3"/>
  <c r="O28" i="3"/>
  <c r="P28" i="3"/>
  <c r="Q28" i="3"/>
  <c r="R28" i="3"/>
  <c r="S28" i="3"/>
  <c r="T28" i="3"/>
  <c r="U28" i="3"/>
  <c r="V28" i="3"/>
  <c r="W28" i="3"/>
  <c r="X28" i="3"/>
  <c r="G25" i="3"/>
  <c r="U367" i="1" s="1"/>
  <c r="G24" i="3"/>
  <c r="H24" i="3" s="1"/>
  <c r="J24" i="3"/>
  <c r="K24" i="3" s="1"/>
  <c r="L24" i="3"/>
  <c r="N24" i="3"/>
  <c r="O24" i="3"/>
  <c r="P24" i="3"/>
  <c r="Q24" i="3"/>
  <c r="R24" i="3"/>
  <c r="S24" i="3"/>
  <c r="T24" i="3"/>
  <c r="U24" i="3"/>
  <c r="V24" i="3"/>
  <c r="W24" i="3"/>
  <c r="X24" i="3"/>
  <c r="Y24" i="3" s="1"/>
  <c r="Z24" i="3" s="1"/>
  <c r="G21" i="3"/>
  <c r="H21" i="3" s="1"/>
  <c r="J21" i="3"/>
  <c r="K21" i="3" s="1"/>
  <c r="L21" i="3"/>
  <c r="N21" i="3"/>
  <c r="O21" i="3"/>
  <c r="P21" i="3"/>
  <c r="Q21" i="3"/>
  <c r="R21" i="3"/>
  <c r="S21" i="3"/>
  <c r="T21" i="3"/>
  <c r="U21" i="3"/>
  <c r="V21" i="3"/>
  <c r="W21" i="3"/>
  <c r="X21" i="3"/>
  <c r="Y21" i="3" s="1"/>
  <c r="Z21" i="3" s="1"/>
  <c r="G22" i="3"/>
  <c r="J22" i="3"/>
  <c r="L22" i="3"/>
  <c r="N22" i="3"/>
  <c r="O22" i="3"/>
  <c r="P22" i="3"/>
  <c r="Q22" i="3"/>
  <c r="R22" i="3"/>
  <c r="S22" i="3"/>
  <c r="T22" i="3"/>
  <c r="U22" i="3"/>
  <c r="V22" i="3"/>
  <c r="W22" i="3"/>
  <c r="X22" i="3"/>
  <c r="G23" i="3"/>
  <c r="H23" i="3" s="1"/>
  <c r="I23" i="3" s="1"/>
  <c r="J23" i="3"/>
  <c r="K23" i="3" s="1"/>
  <c r="L23" i="3"/>
  <c r="N23" i="3"/>
  <c r="O23" i="3"/>
  <c r="P23" i="3"/>
  <c r="Q23" i="3"/>
  <c r="R23" i="3"/>
  <c r="S23" i="3"/>
  <c r="T23" i="3"/>
  <c r="U23" i="3"/>
  <c r="V23" i="3"/>
  <c r="W23" i="3"/>
  <c r="X23" i="3"/>
  <c r="Y23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M9" i="3"/>
  <c r="AB9" i="3" s="1"/>
  <c r="M10" i="3"/>
  <c r="AB10" i="3" s="1"/>
  <c r="M11" i="3"/>
  <c r="M12" i="3"/>
  <c r="M13" i="3"/>
  <c r="AB13" i="3" s="1"/>
  <c r="M14" i="3"/>
  <c r="AB14" i="3" s="1"/>
  <c r="AB19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28" i="3" l="1"/>
  <c r="U381" i="1"/>
  <c r="U312" i="1"/>
  <c r="U182" i="1"/>
  <c r="V182" i="1" s="1"/>
  <c r="W182" i="1" s="1"/>
  <c r="U72" i="1"/>
  <c r="AJ311" i="1"/>
  <c r="BF311" i="1" s="1"/>
  <c r="CB311" i="1" s="1"/>
  <c r="AVK311" i="1" s="1"/>
  <c r="AJ382" i="1"/>
  <c r="BF382" i="1" s="1"/>
  <c r="CB382" i="1" s="1"/>
  <c r="AVK382" i="1" s="1"/>
  <c r="AB382" i="1"/>
  <c r="AB311" i="1"/>
  <c r="BM144" i="1"/>
  <c r="CD144" i="1"/>
  <c r="AI382" i="1"/>
  <c r="BE382" i="1" s="1"/>
  <c r="CA382" i="1" s="1"/>
  <c r="AVJ382" i="1" s="1"/>
  <c r="AI311" i="1"/>
  <c r="BE311" i="1" s="1"/>
  <c r="CA311" i="1" s="1"/>
  <c r="AVJ311" i="1" s="1"/>
  <c r="Z382" i="1"/>
  <c r="AV382" i="1" s="1"/>
  <c r="BR382" i="1" s="1"/>
  <c r="Z311" i="1"/>
  <c r="AV311" i="1" s="1"/>
  <c r="BR311" i="1" s="1"/>
  <c r="AL381" i="1"/>
  <c r="AL312" i="1"/>
  <c r="AM312" i="1" s="1"/>
  <c r="AN312" i="1" s="1"/>
  <c r="AL182" i="1"/>
  <c r="AM182" i="1" s="1"/>
  <c r="AN182" i="1" s="1"/>
  <c r="AD381" i="1"/>
  <c r="AZ381" i="1" s="1"/>
  <c r="BV381" i="1" s="1"/>
  <c r="AVE381" i="1" s="1"/>
  <c r="AD312" i="1"/>
  <c r="AZ312" i="1" s="1"/>
  <c r="BV312" i="1" s="1"/>
  <c r="AVE312" i="1" s="1"/>
  <c r="AD182" i="1"/>
  <c r="AZ182" i="1" s="1"/>
  <c r="BV182" i="1" s="1"/>
  <c r="AVE182" i="1" s="1"/>
  <c r="AD382" i="1"/>
  <c r="AZ382" i="1" s="1"/>
  <c r="BV382" i="1" s="1"/>
  <c r="AVE382" i="1" s="1"/>
  <c r="AD311" i="1"/>
  <c r="AZ311" i="1" s="1"/>
  <c r="BV311" i="1" s="1"/>
  <c r="AVE311" i="1" s="1"/>
  <c r="AG381" i="1"/>
  <c r="BC381" i="1" s="1"/>
  <c r="BY381" i="1" s="1"/>
  <c r="AVH381" i="1" s="1"/>
  <c r="AG312" i="1"/>
  <c r="BC312" i="1" s="1"/>
  <c r="BY312" i="1" s="1"/>
  <c r="AVH312" i="1" s="1"/>
  <c r="AG182" i="1"/>
  <c r="BC182" i="1" s="1"/>
  <c r="BY182" i="1" s="1"/>
  <c r="AVH182" i="1" s="1"/>
  <c r="AK311" i="1"/>
  <c r="BG311" i="1" s="1"/>
  <c r="CC311" i="1" s="1"/>
  <c r="AVL311" i="1" s="1"/>
  <c r="AK382" i="1"/>
  <c r="BG382" i="1" s="1"/>
  <c r="CC382" i="1" s="1"/>
  <c r="AVL382" i="1" s="1"/>
  <c r="AF381" i="1"/>
  <c r="BB381" i="1" s="1"/>
  <c r="BX381" i="1" s="1"/>
  <c r="AVG381" i="1" s="1"/>
  <c r="AF312" i="1"/>
  <c r="BB312" i="1" s="1"/>
  <c r="BX312" i="1" s="1"/>
  <c r="AVG312" i="1" s="1"/>
  <c r="AF182" i="1"/>
  <c r="BB182" i="1" s="1"/>
  <c r="BX182" i="1" s="1"/>
  <c r="AVG182" i="1" s="1"/>
  <c r="AQ367" i="1"/>
  <c r="V367" i="1"/>
  <c r="W367" i="1" s="1"/>
  <c r="AE381" i="1"/>
  <c r="BA381" i="1" s="1"/>
  <c r="BW381" i="1" s="1"/>
  <c r="AVF381" i="1" s="1"/>
  <c r="AE312" i="1"/>
  <c r="BA312" i="1" s="1"/>
  <c r="BW312" i="1" s="1"/>
  <c r="AVF312" i="1" s="1"/>
  <c r="AE182" i="1"/>
  <c r="BA182" i="1" s="1"/>
  <c r="BW182" i="1" s="1"/>
  <c r="AVF182" i="1" s="1"/>
  <c r="AH382" i="1"/>
  <c r="BD382" i="1" s="1"/>
  <c r="BZ382" i="1" s="1"/>
  <c r="AVI382" i="1" s="1"/>
  <c r="AH311" i="1"/>
  <c r="BD311" i="1" s="1"/>
  <c r="BZ311" i="1" s="1"/>
  <c r="AVI311" i="1" s="1"/>
  <c r="X382" i="1"/>
  <c r="AT382" i="1" s="1"/>
  <c r="BP382" i="1" s="1"/>
  <c r="AUY382" i="1" s="1"/>
  <c r="X311" i="1"/>
  <c r="AT311" i="1" s="1"/>
  <c r="BP311" i="1" s="1"/>
  <c r="AUY311" i="1" s="1"/>
  <c r="AK312" i="1"/>
  <c r="BG312" i="1" s="1"/>
  <c r="CC312" i="1" s="1"/>
  <c r="AVL312" i="1" s="1"/>
  <c r="AK381" i="1"/>
  <c r="BG381" i="1" s="1"/>
  <c r="CC381" i="1" s="1"/>
  <c r="AVL381" i="1" s="1"/>
  <c r="AK182" i="1"/>
  <c r="BG182" i="1" s="1"/>
  <c r="CC182" i="1" s="1"/>
  <c r="AVL182" i="1" s="1"/>
  <c r="AC182" i="1"/>
  <c r="AY182" i="1" s="1"/>
  <c r="BU182" i="1" s="1"/>
  <c r="AVD182" i="1" s="1"/>
  <c r="AC381" i="1"/>
  <c r="AY381" i="1" s="1"/>
  <c r="BU381" i="1" s="1"/>
  <c r="AVD381" i="1" s="1"/>
  <c r="AC312" i="1"/>
  <c r="AY312" i="1" s="1"/>
  <c r="BU312" i="1" s="1"/>
  <c r="AVD312" i="1" s="1"/>
  <c r="AL382" i="1"/>
  <c r="AL311" i="1"/>
  <c r="AM311" i="1" s="1"/>
  <c r="AN311" i="1" s="1"/>
  <c r="H22" i="3"/>
  <c r="I22" i="3" s="1"/>
  <c r="U382" i="1"/>
  <c r="U311" i="1"/>
  <c r="AB182" i="1"/>
  <c r="AB381" i="1"/>
  <c r="AB312" i="1"/>
  <c r="AF382" i="1"/>
  <c r="BB382" i="1" s="1"/>
  <c r="BX382" i="1" s="1"/>
  <c r="AVG382" i="1" s="1"/>
  <c r="AF311" i="1"/>
  <c r="BB311" i="1" s="1"/>
  <c r="BX311" i="1" s="1"/>
  <c r="AVG311" i="1" s="1"/>
  <c r="AI381" i="1"/>
  <c r="BE381" i="1" s="1"/>
  <c r="CA381" i="1" s="1"/>
  <c r="AVJ381" i="1" s="1"/>
  <c r="AI312" i="1"/>
  <c r="BE312" i="1" s="1"/>
  <c r="CA312" i="1" s="1"/>
  <c r="AVJ312" i="1" s="1"/>
  <c r="AI182" i="1"/>
  <c r="BE182" i="1" s="1"/>
  <c r="CA182" i="1" s="1"/>
  <c r="AVJ182" i="1" s="1"/>
  <c r="Z381" i="1"/>
  <c r="AV381" i="1" s="1"/>
  <c r="BR381" i="1" s="1"/>
  <c r="Z312" i="1"/>
  <c r="AV312" i="1" s="1"/>
  <c r="BR312" i="1" s="1"/>
  <c r="Z182" i="1"/>
  <c r="AV182" i="1" s="1"/>
  <c r="BR182" i="1" s="1"/>
  <c r="AC382" i="1"/>
  <c r="AY382" i="1" s="1"/>
  <c r="BU382" i="1" s="1"/>
  <c r="AVD382" i="1" s="1"/>
  <c r="AC311" i="1"/>
  <c r="AY311" i="1" s="1"/>
  <c r="BU311" i="1" s="1"/>
  <c r="AVD311" i="1" s="1"/>
  <c r="AG382" i="1"/>
  <c r="BC382" i="1" s="1"/>
  <c r="BY382" i="1" s="1"/>
  <c r="AVH382" i="1" s="1"/>
  <c r="AG311" i="1"/>
  <c r="BC311" i="1" s="1"/>
  <c r="BY311" i="1" s="1"/>
  <c r="AVH311" i="1" s="1"/>
  <c r="AJ312" i="1"/>
  <c r="BF312" i="1" s="1"/>
  <c r="CB312" i="1" s="1"/>
  <c r="AVK312" i="1" s="1"/>
  <c r="AJ381" i="1"/>
  <c r="BF381" i="1" s="1"/>
  <c r="CB381" i="1" s="1"/>
  <c r="AVK381" i="1" s="1"/>
  <c r="AJ182" i="1"/>
  <c r="BF182" i="1" s="1"/>
  <c r="CB182" i="1" s="1"/>
  <c r="AVK182" i="1" s="1"/>
  <c r="AE382" i="1"/>
  <c r="BA382" i="1" s="1"/>
  <c r="BW382" i="1" s="1"/>
  <c r="AVF382" i="1" s="1"/>
  <c r="AE311" i="1"/>
  <c r="BA311" i="1" s="1"/>
  <c r="BW311" i="1" s="1"/>
  <c r="AVF311" i="1" s="1"/>
  <c r="AH381" i="1"/>
  <c r="BD381" i="1" s="1"/>
  <c r="BZ381" i="1" s="1"/>
  <c r="AVI381" i="1" s="1"/>
  <c r="AH312" i="1"/>
  <c r="BD312" i="1" s="1"/>
  <c r="BZ312" i="1" s="1"/>
  <c r="AVI312" i="1" s="1"/>
  <c r="AH182" i="1"/>
  <c r="BD182" i="1" s="1"/>
  <c r="BZ182" i="1" s="1"/>
  <c r="AVI182" i="1" s="1"/>
  <c r="X312" i="1"/>
  <c r="AT312" i="1" s="1"/>
  <c r="BP312" i="1" s="1"/>
  <c r="AUY312" i="1" s="1"/>
  <c r="X381" i="1"/>
  <c r="AT381" i="1" s="1"/>
  <c r="BP381" i="1" s="1"/>
  <c r="AUY381" i="1" s="1"/>
  <c r="X182" i="1"/>
  <c r="AT182" i="1" s="1"/>
  <c r="BP182" i="1" s="1"/>
  <c r="AUY182" i="1" s="1"/>
  <c r="CE442" i="1"/>
  <c r="CF442" i="1" s="1"/>
  <c r="AVM442" i="1"/>
  <c r="CT419" i="1"/>
  <c r="AVG419" i="1"/>
  <c r="AVN438" i="1"/>
  <c r="AVO438" i="1" s="1"/>
  <c r="AVN434" i="1"/>
  <c r="AVO434" i="1" s="1"/>
  <c r="AVN428" i="1"/>
  <c r="AVO428" i="1" s="1"/>
  <c r="CP419" i="1"/>
  <c r="AVC419" i="1"/>
  <c r="AVB419" i="1" s="1"/>
  <c r="CH443" i="1"/>
  <c r="AVQ443" i="1" s="1"/>
  <c r="AVM443" i="1"/>
  <c r="AVN433" i="1"/>
  <c r="AVO433" i="1" s="1"/>
  <c r="AVN429" i="1"/>
  <c r="AVO429" i="1" s="1"/>
  <c r="AVN437" i="1"/>
  <c r="AVO437" i="1" s="1"/>
  <c r="BH312" i="1"/>
  <c r="CE164" i="1"/>
  <c r="CF164" i="1" s="1"/>
  <c r="M24" i="3"/>
  <c r="J50" i="18"/>
  <c r="I54" i="19"/>
  <c r="I54" i="18"/>
  <c r="I50" i="18"/>
  <c r="I50" i="19"/>
  <c r="M48" i="18"/>
  <c r="L54" i="19"/>
  <c r="L54" i="18"/>
  <c r="I48" i="19"/>
  <c r="I48" i="18"/>
  <c r="I53" i="18"/>
  <c r="I53" i="19"/>
  <c r="J55" i="19"/>
  <c r="J51" i="18"/>
  <c r="J51" i="19"/>
  <c r="J50" i="19"/>
  <c r="I52" i="18"/>
  <c r="I52" i="19"/>
  <c r="I56" i="19"/>
  <c r="I56" i="18"/>
  <c r="I55" i="19"/>
  <c r="I55" i="18"/>
  <c r="I51" i="19"/>
  <c r="I51" i="18"/>
  <c r="J57" i="18"/>
  <c r="J56" i="18"/>
  <c r="J48" i="19"/>
  <c r="I57" i="19"/>
  <c r="I57" i="18"/>
  <c r="J55" i="18"/>
  <c r="L52" i="18"/>
  <c r="L52" i="19"/>
  <c r="L53" i="19"/>
  <c r="L53" i="18"/>
  <c r="J57" i="19"/>
  <c r="J56" i="19"/>
  <c r="J48" i="18"/>
  <c r="M48" i="19"/>
  <c r="S457" i="1"/>
  <c r="M27" i="3"/>
  <c r="AB27" i="3" s="1"/>
  <c r="AI451" i="1"/>
  <c r="BE451" i="1" s="1"/>
  <c r="CA451" i="1" s="1"/>
  <c r="AVJ451" i="1" s="1"/>
  <c r="AI448" i="1"/>
  <c r="BE448" i="1" s="1"/>
  <c r="CA448" i="1" s="1"/>
  <c r="AVJ448" i="1" s="1"/>
  <c r="AI446" i="1"/>
  <c r="BE446" i="1" s="1"/>
  <c r="CA446" i="1" s="1"/>
  <c r="AVJ446" i="1" s="1"/>
  <c r="AE451" i="1"/>
  <c r="BA451" i="1" s="1"/>
  <c r="BW451" i="1" s="1"/>
  <c r="AVF451" i="1" s="1"/>
  <c r="AE448" i="1"/>
  <c r="BA448" i="1" s="1"/>
  <c r="BW448" i="1" s="1"/>
  <c r="AVF448" i="1" s="1"/>
  <c r="AE446" i="1"/>
  <c r="BA446" i="1" s="1"/>
  <c r="BW446" i="1" s="1"/>
  <c r="AVF446" i="1" s="1"/>
  <c r="Z451" i="1"/>
  <c r="AV451" i="1" s="1"/>
  <c r="BR451" i="1" s="1"/>
  <c r="Z448" i="1"/>
  <c r="AV448" i="1" s="1"/>
  <c r="BR448" i="1" s="1"/>
  <c r="Z446" i="1"/>
  <c r="AV446" i="1" s="1"/>
  <c r="BR446" i="1" s="1"/>
  <c r="AH451" i="1"/>
  <c r="BD451" i="1" s="1"/>
  <c r="BZ451" i="1" s="1"/>
  <c r="AVI451" i="1" s="1"/>
  <c r="AH448" i="1"/>
  <c r="BD448" i="1" s="1"/>
  <c r="BZ448" i="1" s="1"/>
  <c r="AVI448" i="1" s="1"/>
  <c r="AH446" i="1"/>
  <c r="BD446" i="1" s="1"/>
  <c r="BZ446" i="1" s="1"/>
  <c r="AVI446" i="1" s="1"/>
  <c r="X446" i="1"/>
  <c r="AT446" i="1" s="1"/>
  <c r="BP446" i="1" s="1"/>
  <c r="AUY446" i="1" s="1"/>
  <c r="X451" i="1"/>
  <c r="AT451" i="1" s="1"/>
  <c r="BP451" i="1" s="1"/>
  <c r="AUY451" i="1" s="1"/>
  <c r="X448" i="1"/>
  <c r="AT448" i="1" s="1"/>
  <c r="BP448" i="1" s="1"/>
  <c r="AUY448" i="1" s="1"/>
  <c r="AL451" i="1"/>
  <c r="AL448" i="1"/>
  <c r="AL446" i="1"/>
  <c r="AD451" i="1"/>
  <c r="AZ451" i="1" s="1"/>
  <c r="BV451" i="1" s="1"/>
  <c r="AVE451" i="1" s="1"/>
  <c r="AD448" i="1"/>
  <c r="AZ448" i="1" s="1"/>
  <c r="BV448" i="1" s="1"/>
  <c r="AVE448" i="1" s="1"/>
  <c r="AD446" i="1"/>
  <c r="AZ446" i="1" s="1"/>
  <c r="BV446" i="1" s="1"/>
  <c r="AVE446" i="1" s="1"/>
  <c r="AK446" i="1"/>
  <c r="BG446" i="1" s="1"/>
  <c r="CC446" i="1" s="1"/>
  <c r="AVL446" i="1" s="1"/>
  <c r="AK451" i="1"/>
  <c r="BG451" i="1" s="1"/>
  <c r="CC451" i="1" s="1"/>
  <c r="AVL451" i="1" s="1"/>
  <c r="AK448" i="1"/>
  <c r="BG448" i="1" s="1"/>
  <c r="CC448" i="1" s="1"/>
  <c r="AVL448" i="1" s="1"/>
  <c r="AG446" i="1"/>
  <c r="BC446" i="1" s="1"/>
  <c r="BY446" i="1" s="1"/>
  <c r="AVH446" i="1" s="1"/>
  <c r="AG451" i="1"/>
  <c r="BC451" i="1" s="1"/>
  <c r="BY451" i="1" s="1"/>
  <c r="AVH451" i="1" s="1"/>
  <c r="AG448" i="1"/>
  <c r="BC448" i="1" s="1"/>
  <c r="BY448" i="1" s="1"/>
  <c r="AVH448" i="1" s="1"/>
  <c r="AC446" i="1"/>
  <c r="AY446" i="1" s="1"/>
  <c r="BU446" i="1" s="1"/>
  <c r="AVD446" i="1" s="1"/>
  <c r="AC451" i="1"/>
  <c r="AY451" i="1" s="1"/>
  <c r="BU451" i="1" s="1"/>
  <c r="AVD451" i="1" s="1"/>
  <c r="AC448" i="1"/>
  <c r="AY448" i="1" s="1"/>
  <c r="BU448" i="1" s="1"/>
  <c r="AVD448" i="1" s="1"/>
  <c r="AJ446" i="1"/>
  <c r="BF446" i="1" s="1"/>
  <c r="CB446" i="1" s="1"/>
  <c r="AVK446" i="1" s="1"/>
  <c r="AJ451" i="1"/>
  <c r="BF451" i="1" s="1"/>
  <c r="CB451" i="1" s="1"/>
  <c r="AVK451" i="1" s="1"/>
  <c r="AJ448" i="1"/>
  <c r="BF448" i="1" s="1"/>
  <c r="CB448" i="1" s="1"/>
  <c r="AVK448" i="1" s="1"/>
  <c r="AF446" i="1"/>
  <c r="BB446" i="1" s="1"/>
  <c r="BX446" i="1" s="1"/>
  <c r="AVG446" i="1" s="1"/>
  <c r="AF451" i="1"/>
  <c r="BB451" i="1" s="1"/>
  <c r="BX451" i="1" s="1"/>
  <c r="AVG451" i="1" s="1"/>
  <c r="AF448" i="1"/>
  <c r="BB448" i="1" s="1"/>
  <c r="BX448" i="1" s="1"/>
  <c r="AVG448" i="1" s="1"/>
  <c r="AB446" i="1"/>
  <c r="AB451" i="1"/>
  <c r="AB448" i="1"/>
  <c r="U446" i="1"/>
  <c r="U451" i="1"/>
  <c r="U448" i="1"/>
  <c r="BN433" i="1"/>
  <c r="BO433" i="1" s="1"/>
  <c r="AF21" i="1"/>
  <c r="AF45" i="1"/>
  <c r="AF12" i="1"/>
  <c r="AF16" i="1"/>
  <c r="AF15" i="1"/>
  <c r="AF39" i="1"/>
  <c r="AF43" i="1"/>
  <c r="AF64" i="1"/>
  <c r="AF104" i="1"/>
  <c r="AF108" i="1"/>
  <c r="AF116" i="1"/>
  <c r="AF42" i="1"/>
  <c r="AF38" i="1"/>
  <c r="AF105" i="1"/>
  <c r="AF109" i="1"/>
  <c r="AF134" i="1"/>
  <c r="AF138" i="1"/>
  <c r="AF155" i="1"/>
  <c r="AF137" i="1"/>
  <c r="AF140" i="1"/>
  <c r="AF149" i="1"/>
  <c r="AF153" i="1"/>
  <c r="AF135" i="1"/>
  <c r="AF152" i="1"/>
  <c r="AF156" i="1"/>
  <c r="AF175" i="1"/>
  <c r="AF193" i="1"/>
  <c r="AF197" i="1"/>
  <c r="AF211" i="1"/>
  <c r="AF215" i="1"/>
  <c r="AF174" i="1"/>
  <c r="AF178" i="1"/>
  <c r="AF196" i="1"/>
  <c r="AF148" i="1"/>
  <c r="AF158" i="1"/>
  <c r="AF204" i="1"/>
  <c r="AF212" i="1"/>
  <c r="AF216" i="1"/>
  <c r="AF234" i="1"/>
  <c r="AF251" i="1"/>
  <c r="AF255" i="1"/>
  <c r="AF259" i="1"/>
  <c r="AF285" i="1"/>
  <c r="AF317" i="1"/>
  <c r="AF321" i="1"/>
  <c r="AF200" i="1"/>
  <c r="AF218" i="1"/>
  <c r="AF222" i="1"/>
  <c r="AF250" i="1"/>
  <c r="AF254" i="1"/>
  <c r="AF284" i="1"/>
  <c r="AF289" i="1"/>
  <c r="AF320" i="1"/>
  <c r="AF171" i="1"/>
  <c r="AF231" i="1"/>
  <c r="AF257" i="1"/>
  <c r="AF288" i="1"/>
  <c r="AF292" i="1"/>
  <c r="AF239" i="1"/>
  <c r="AF352" i="1"/>
  <c r="AF393" i="1"/>
  <c r="AF396" i="1"/>
  <c r="AF326" i="1"/>
  <c r="AF346" i="1"/>
  <c r="AF350" i="1"/>
  <c r="AF403" i="1"/>
  <c r="AF349" i="1"/>
  <c r="AF390" i="1"/>
  <c r="AF394" i="1"/>
  <c r="AI72" i="1"/>
  <c r="AI76" i="1"/>
  <c r="AI71" i="1"/>
  <c r="AI75" i="1"/>
  <c r="AI79" i="1"/>
  <c r="AI163" i="1"/>
  <c r="AI87" i="1"/>
  <c r="AI119" i="1"/>
  <c r="AI161" i="1"/>
  <c r="AI122" i="1"/>
  <c r="AI183" i="1"/>
  <c r="AI142" i="1"/>
  <c r="AI185" i="1"/>
  <c r="AI224" i="1"/>
  <c r="AI241" i="1"/>
  <c r="AI266" i="1"/>
  <c r="AI180" i="1"/>
  <c r="AI261" i="1"/>
  <c r="AI296" i="1"/>
  <c r="AI226" i="1"/>
  <c r="AI243" i="1"/>
  <c r="AI299" i="1"/>
  <c r="AI263" i="1"/>
  <c r="AI294" i="1"/>
  <c r="AI361" i="1"/>
  <c r="AI407" i="1"/>
  <c r="AI302" i="1"/>
  <c r="AI359" i="1"/>
  <c r="AI363" i="1"/>
  <c r="AI373" i="1"/>
  <c r="AI410" i="1"/>
  <c r="AI332" i="1"/>
  <c r="AI405" i="1"/>
  <c r="AI413" i="1"/>
  <c r="AE72" i="1"/>
  <c r="AE76" i="1"/>
  <c r="AE71" i="1"/>
  <c r="AE75" i="1"/>
  <c r="AE79" i="1"/>
  <c r="AE87" i="1"/>
  <c r="AE163" i="1"/>
  <c r="AE119" i="1"/>
  <c r="AE161" i="1"/>
  <c r="AE183" i="1"/>
  <c r="AE142" i="1"/>
  <c r="AE122" i="1"/>
  <c r="AE180" i="1"/>
  <c r="AE224" i="1"/>
  <c r="AE241" i="1"/>
  <c r="AE266" i="1"/>
  <c r="AE261" i="1"/>
  <c r="AE296" i="1"/>
  <c r="AE226" i="1"/>
  <c r="AE243" i="1"/>
  <c r="AE299" i="1"/>
  <c r="AE185" i="1"/>
  <c r="AE263" i="1"/>
  <c r="AE294" i="1"/>
  <c r="AE361" i="1"/>
  <c r="AE302" i="1"/>
  <c r="AE407" i="1"/>
  <c r="AE359" i="1"/>
  <c r="AE363" i="1"/>
  <c r="AE373" i="1"/>
  <c r="AE410" i="1"/>
  <c r="AE332" i="1"/>
  <c r="AE405" i="1"/>
  <c r="AE413" i="1"/>
  <c r="Z72" i="1"/>
  <c r="Z76" i="1"/>
  <c r="Z71" i="1"/>
  <c r="Z75" i="1"/>
  <c r="Z79" i="1"/>
  <c r="Z163" i="1"/>
  <c r="Z161" i="1"/>
  <c r="Z119" i="1"/>
  <c r="Z142" i="1"/>
  <c r="Z183" i="1"/>
  <c r="Z122" i="1"/>
  <c r="Z87" i="1"/>
  <c r="Z224" i="1"/>
  <c r="Z241" i="1"/>
  <c r="Z266" i="1"/>
  <c r="Z261" i="1"/>
  <c r="Z296" i="1"/>
  <c r="Z185" i="1"/>
  <c r="Z226" i="1"/>
  <c r="Z243" i="1"/>
  <c r="Z299" i="1"/>
  <c r="Z180" i="1"/>
  <c r="Z263" i="1"/>
  <c r="Z294" i="1"/>
  <c r="Z302" i="1"/>
  <c r="Z361" i="1"/>
  <c r="Z407" i="1"/>
  <c r="Z359" i="1"/>
  <c r="Z363" i="1"/>
  <c r="Z373" i="1"/>
  <c r="Z410" i="1"/>
  <c r="Z332" i="1"/>
  <c r="Z405" i="1"/>
  <c r="Z413" i="1"/>
  <c r="AJ21" i="1"/>
  <c r="AJ45" i="1"/>
  <c r="AJ12" i="1"/>
  <c r="AJ16" i="1"/>
  <c r="AJ15" i="1"/>
  <c r="AJ39" i="1"/>
  <c r="AJ43" i="1"/>
  <c r="AJ64" i="1"/>
  <c r="AJ38" i="1"/>
  <c r="AJ104" i="1"/>
  <c r="AJ108" i="1"/>
  <c r="AJ42" i="1"/>
  <c r="AJ105" i="1"/>
  <c r="AJ109" i="1"/>
  <c r="AJ116" i="1"/>
  <c r="AJ134" i="1"/>
  <c r="AJ138" i="1"/>
  <c r="AJ155" i="1"/>
  <c r="AJ137" i="1"/>
  <c r="AJ140" i="1"/>
  <c r="AJ149" i="1"/>
  <c r="AJ153" i="1"/>
  <c r="AJ158" i="1"/>
  <c r="AJ175" i="1"/>
  <c r="AJ193" i="1"/>
  <c r="AJ197" i="1"/>
  <c r="AJ211" i="1"/>
  <c r="AJ215" i="1"/>
  <c r="AJ135" i="1"/>
  <c r="AJ152" i="1"/>
  <c r="AJ171" i="1"/>
  <c r="AJ174" i="1"/>
  <c r="AJ178" i="1"/>
  <c r="AJ196" i="1"/>
  <c r="AJ156" i="1"/>
  <c r="AJ148" i="1"/>
  <c r="AJ218" i="1"/>
  <c r="AJ222" i="1"/>
  <c r="AJ234" i="1"/>
  <c r="AJ251" i="1"/>
  <c r="AJ255" i="1"/>
  <c r="AJ259" i="1"/>
  <c r="AJ285" i="1"/>
  <c r="AJ317" i="1"/>
  <c r="AJ321" i="1"/>
  <c r="AJ204" i="1"/>
  <c r="AJ250" i="1"/>
  <c r="AJ254" i="1"/>
  <c r="AJ284" i="1"/>
  <c r="AJ289" i="1"/>
  <c r="AJ320" i="1"/>
  <c r="AJ200" i="1"/>
  <c r="AJ231" i="1"/>
  <c r="AJ257" i="1"/>
  <c r="AJ288" i="1"/>
  <c r="AJ292" i="1"/>
  <c r="AJ212" i="1"/>
  <c r="AJ216" i="1"/>
  <c r="AJ239" i="1"/>
  <c r="AJ326" i="1"/>
  <c r="AJ352" i="1"/>
  <c r="AJ393" i="1"/>
  <c r="AJ396" i="1"/>
  <c r="AJ346" i="1"/>
  <c r="AJ350" i="1"/>
  <c r="AJ403" i="1"/>
  <c r="AJ349" i="1"/>
  <c r="AJ390" i="1"/>
  <c r="AJ394" i="1"/>
  <c r="AB21" i="1"/>
  <c r="AB45" i="1"/>
  <c r="AB12" i="1"/>
  <c r="AB16" i="1"/>
  <c r="AB15" i="1"/>
  <c r="AB39" i="1"/>
  <c r="AB43" i="1"/>
  <c r="AB64" i="1"/>
  <c r="AB42" i="1"/>
  <c r="AB104" i="1"/>
  <c r="AB108" i="1"/>
  <c r="AB116" i="1"/>
  <c r="AB38" i="1"/>
  <c r="AB105" i="1"/>
  <c r="AB109" i="1"/>
  <c r="AB134" i="1"/>
  <c r="AB138" i="1"/>
  <c r="AB155" i="1"/>
  <c r="AB137" i="1"/>
  <c r="AB140" i="1"/>
  <c r="AB149" i="1"/>
  <c r="AB153" i="1"/>
  <c r="AB158" i="1"/>
  <c r="AB175" i="1"/>
  <c r="AB193" i="1"/>
  <c r="AB197" i="1"/>
  <c r="AB211" i="1"/>
  <c r="AB215" i="1"/>
  <c r="AB148" i="1"/>
  <c r="AB174" i="1"/>
  <c r="AB178" i="1"/>
  <c r="AB196" i="1"/>
  <c r="AB156" i="1"/>
  <c r="AB135" i="1"/>
  <c r="AB152" i="1"/>
  <c r="AB171" i="1"/>
  <c r="AB200" i="1"/>
  <c r="AB234" i="1"/>
  <c r="AB251" i="1"/>
  <c r="AB255" i="1"/>
  <c r="AB259" i="1"/>
  <c r="AB285" i="1"/>
  <c r="AB317" i="1"/>
  <c r="AB321" i="1"/>
  <c r="AB212" i="1"/>
  <c r="AB216" i="1"/>
  <c r="AB250" i="1"/>
  <c r="AB254" i="1"/>
  <c r="AB284" i="1"/>
  <c r="AB289" i="1"/>
  <c r="AB320" i="1"/>
  <c r="AB218" i="1"/>
  <c r="AB222" i="1"/>
  <c r="AB231" i="1"/>
  <c r="AB257" i="1"/>
  <c r="AB288" i="1"/>
  <c r="AB292" i="1"/>
  <c r="AB204" i="1"/>
  <c r="AB239" i="1"/>
  <c r="AB326" i="1"/>
  <c r="AB352" i="1"/>
  <c r="AB393" i="1"/>
  <c r="AB396" i="1"/>
  <c r="AB346" i="1"/>
  <c r="AB350" i="1"/>
  <c r="AB403" i="1"/>
  <c r="AB349" i="1"/>
  <c r="AB390" i="1"/>
  <c r="AB394" i="1"/>
  <c r="AI12" i="1"/>
  <c r="AI16" i="1"/>
  <c r="AI15" i="1"/>
  <c r="AI39" i="1"/>
  <c r="AI43" i="1"/>
  <c r="AI64" i="1"/>
  <c r="AI38" i="1"/>
  <c r="AI42" i="1"/>
  <c r="AI45" i="1"/>
  <c r="AI105" i="1"/>
  <c r="AI109" i="1"/>
  <c r="AI21" i="1"/>
  <c r="AI104" i="1"/>
  <c r="AI108" i="1"/>
  <c r="AI116" i="1"/>
  <c r="AI137" i="1"/>
  <c r="AI158" i="1"/>
  <c r="AI140" i="1"/>
  <c r="AI149" i="1"/>
  <c r="AI135" i="1"/>
  <c r="AI148" i="1"/>
  <c r="AI152" i="1"/>
  <c r="AI156" i="1"/>
  <c r="AI138" i="1"/>
  <c r="AI171" i="1"/>
  <c r="AI174" i="1"/>
  <c r="AI178" i="1"/>
  <c r="AI196" i="1"/>
  <c r="AI218" i="1"/>
  <c r="AI222" i="1"/>
  <c r="AI134" i="1"/>
  <c r="AI200" i="1"/>
  <c r="AI204" i="1"/>
  <c r="AI155" i="1"/>
  <c r="AI153" i="1"/>
  <c r="AI175" i="1"/>
  <c r="AI193" i="1"/>
  <c r="AI197" i="1"/>
  <c r="AI250" i="1"/>
  <c r="AI254" i="1"/>
  <c r="AI284" i="1"/>
  <c r="AI289" i="1"/>
  <c r="AI320" i="1"/>
  <c r="AI231" i="1"/>
  <c r="AI257" i="1"/>
  <c r="AI288" i="1"/>
  <c r="AI292" i="1"/>
  <c r="AI212" i="1"/>
  <c r="AI216" i="1"/>
  <c r="AI239" i="1"/>
  <c r="AI211" i="1"/>
  <c r="AI215" i="1"/>
  <c r="AI234" i="1"/>
  <c r="AI251" i="1"/>
  <c r="AI255" i="1"/>
  <c r="AI259" i="1"/>
  <c r="AI285" i="1"/>
  <c r="AI396" i="1"/>
  <c r="AI317" i="1"/>
  <c r="AI346" i="1"/>
  <c r="AI350" i="1"/>
  <c r="AI403" i="1"/>
  <c r="AI321" i="1"/>
  <c r="AI349" i="1"/>
  <c r="AI390" i="1"/>
  <c r="AI394" i="1"/>
  <c r="AI326" i="1"/>
  <c r="AI352" i="1"/>
  <c r="AI393" i="1"/>
  <c r="Z12" i="1"/>
  <c r="Z16" i="1"/>
  <c r="Z15" i="1"/>
  <c r="Z39" i="1"/>
  <c r="Z43" i="1"/>
  <c r="Z64" i="1"/>
  <c r="Z38" i="1"/>
  <c r="Z42" i="1"/>
  <c r="Z45" i="1"/>
  <c r="Z21" i="1"/>
  <c r="Z105" i="1"/>
  <c r="Z109" i="1"/>
  <c r="Z104" i="1"/>
  <c r="Z108" i="1"/>
  <c r="Z116" i="1"/>
  <c r="Z137" i="1"/>
  <c r="Z158" i="1"/>
  <c r="Z140" i="1"/>
  <c r="Z149" i="1"/>
  <c r="Z153" i="1"/>
  <c r="Z135" i="1"/>
  <c r="Z148" i="1"/>
  <c r="Z152" i="1"/>
  <c r="Z156" i="1"/>
  <c r="Z174" i="1"/>
  <c r="Z178" i="1"/>
  <c r="Z196" i="1"/>
  <c r="Z218" i="1"/>
  <c r="Z222" i="1"/>
  <c r="Z200" i="1"/>
  <c r="Z204" i="1"/>
  <c r="Z138" i="1"/>
  <c r="Z155" i="1"/>
  <c r="Z134" i="1"/>
  <c r="Z175" i="1"/>
  <c r="Z193" i="1"/>
  <c r="Z197" i="1"/>
  <c r="Z212" i="1"/>
  <c r="Z216" i="1"/>
  <c r="Z250" i="1"/>
  <c r="Z254" i="1"/>
  <c r="Z284" i="1"/>
  <c r="Z289" i="1"/>
  <c r="Z320" i="1"/>
  <c r="Z171" i="1"/>
  <c r="Z215" i="1"/>
  <c r="Z231" i="1"/>
  <c r="Z257" i="1"/>
  <c r="Z288" i="1"/>
  <c r="Z292" i="1"/>
  <c r="Z211" i="1"/>
  <c r="Z239" i="1"/>
  <c r="Z234" i="1"/>
  <c r="Z251" i="1"/>
  <c r="Z255" i="1"/>
  <c r="Z259" i="1"/>
  <c r="Z285" i="1"/>
  <c r="Z396" i="1"/>
  <c r="Z317" i="1"/>
  <c r="Z346" i="1"/>
  <c r="Z350" i="1"/>
  <c r="Z403" i="1"/>
  <c r="Z321" i="1"/>
  <c r="Z349" i="1"/>
  <c r="Z390" i="1"/>
  <c r="Z394" i="1"/>
  <c r="Z326" i="1"/>
  <c r="Z352" i="1"/>
  <c r="Z393" i="1"/>
  <c r="AH71" i="1"/>
  <c r="AH75" i="1"/>
  <c r="AH79" i="1"/>
  <c r="AH87" i="1"/>
  <c r="AH72" i="1"/>
  <c r="AH76" i="1"/>
  <c r="AH119" i="1"/>
  <c r="AH122" i="1"/>
  <c r="AH142" i="1"/>
  <c r="AH163" i="1"/>
  <c r="AH180" i="1"/>
  <c r="AH185" i="1"/>
  <c r="AH161" i="1"/>
  <c r="AH183" i="1"/>
  <c r="AH261" i="1"/>
  <c r="AH296" i="1"/>
  <c r="AH226" i="1"/>
  <c r="AH243" i="1"/>
  <c r="AH299" i="1"/>
  <c r="AH263" i="1"/>
  <c r="AH294" i="1"/>
  <c r="AH302" i="1"/>
  <c r="AH224" i="1"/>
  <c r="AH241" i="1"/>
  <c r="AH266" i="1"/>
  <c r="AH407" i="1"/>
  <c r="AH359" i="1"/>
  <c r="AH363" i="1"/>
  <c r="AH373" i="1"/>
  <c r="AH410" i="1"/>
  <c r="AH332" i="1"/>
  <c r="AH405" i="1"/>
  <c r="AH413" i="1"/>
  <c r="AH361" i="1"/>
  <c r="AD71" i="1"/>
  <c r="AD75" i="1"/>
  <c r="AD79" i="1"/>
  <c r="AD87" i="1"/>
  <c r="AD72" i="1"/>
  <c r="AD76" i="1"/>
  <c r="AD119" i="1"/>
  <c r="AD122" i="1"/>
  <c r="AD142" i="1"/>
  <c r="AD161" i="1"/>
  <c r="AD180" i="1"/>
  <c r="AD185" i="1"/>
  <c r="AD163" i="1"/>
  <c r="AD183" i="1"/>
  <c r="AD261" i="1"/>
  <c r="AD296" i="1"/>
  <c r="AD226" i="1"/>
  <c r="AD243" i="1"/>
  <c r="AD299" i="1"/>
  <c r="AD263" i="1"/>
  <c r="AD294" i="1"/>
  <c r="AD302" i="1"/>
  <c r="AD224" i="1"/>
  <c r="AD241" i="1"/>
  <c r="AD266" i="1"/>
  <c r="AD407" i="1"/>
  <c r="AD359" i="1"/>
  <c r="AD363" i="1"/>
  <c r="AD373" i="1"/>
  <c r="AD410" i="1"/>
  <c r="AD332" i="1"/>
  <c r="AD405" i="1"/>
  <c r="AD413" i="1"/>
  <c r="AD361" i="1"/>
  <c r="AH15" i="1"/>
  <c r="AH39" i="1"/>
  <c r="AH43" i="1"/>
  <c r="AH64" i="1"/>
  <c r="AH38" i="1"/>
  <c r="AH42" i="1"/>
  <c r="AH21" i="1"/>
  <c r="AH45" i="1"/>
  <c r="AH12" i="1"/>
  <c r="AH16" i="1"/>
  <c r="AH104" i="1"/>
  <c r="AH108" i="1"/>
  <c r="AH140" i="1"/>
  <c r="AH149" i="1"/>
  <c r="AH153" i="1"/>
  <c r="AH171" i="1"/>
  <c r="AH105" i="1"/>
  <c r="AH135" i="1"/>
  <c r="AH148" i="1"/>
  <c r="AH152" i="1"/>
  <c r="AH134" i="1"/>
  <c r="AH138" i="1"/>
  <c r="AH155" i="1"/>
  <c r="AH116" i="1"/>
  <c r="AH200" i="1"/>
  <c r="AH204" i="1"/>
  <c r="AH109" i="1"/>
  <c r="AH156" i="1"/>
  <c r="AH137" i="1"/>
  <c r="AH158" i="1"/>
  <c r="AH174" i="1"/>
  <c r="AH178" i="1"/>
  <c r="AH196" i="1"/>
  <c r="AH175" i="1"/>
  <c r="AH231" i="1"/>
  <c r="AH257" i="1"/>
  <c r="AH288" i="1"/>
  <c r="AH292" i="1"/>
  <c r="AH193" i="1"/>
  <c r="AH212" i="1"/>
  <c r="AH216" i="1"/>
  <c r="AH239" i="1"/>
  <c r="AH326" i="1"/>
  <c r="AH211" i="1"/>
  <c r="AH215" i="1"/>
  <c r="AH234" i="1"/>
  <c r="AH251" i="1"/>
  <c r="AH255" i="1"/>
  <c r="AH259" i="1"/>
  <c r="AH285" i="1"/>
  <c r="AH197" i="1"/>
  <c r="AH218" i="1"/>
  <c r="AH222" i="1"/>
  <c r="AH250" i="1"/>
  <c r="AH254" i="1"/>
  <c r="AH284" i="1"/>
  <c r="AH289" i="1"/>
  <c r="AH317" i="1"/>
  <c r="AH346" i="1"/>
  <c r="AH350" i="1"/>
  <c r="AH403" i="1"/>
  <c r="AH320" i="1"/>
  <c r="AH321" i="1"/>
  <c r="AH349" i="1"/>
  <c r="AH390" i="1"/>
  <c r="AH394" i="1"/>
  <c r="AH352" i="1"/>
  <c r="AH393" i="1"/>
  <c r="AH396" i="1"/>
  <c r="AD15" i="1"/>
  <c r="AD39" i="1"/>
  <c r="AD43" i="1"/>
  <c r="AD64" i="1"/>
  <c r="AD38" i="1"/>
  <c r="AD42" i="1"/>
  <c r="AD21" i="1"/>
  <c r="AD45" i="1"/>
  <c r="AD12" i="1"/>
  <c r="AD16" i="1"/>
  <c r="AD104" i="1"/>
  <c r="AD108" i="1"/>
  <c r="AD105" i="1"/>
  <c r="AD140" i="1"/>
  <c r="AD149" i="1"/>
  <c r="AD153" i="1"/>
  <c r="AD171" i="1"/>
  <c r="AD116" i="1"/>
  <c r="AD135" i="1"/>
  <c r="AD148" i="1"/>
  <c r="AD152" i="1"/>
  <c r="AD109" i="1"/>
  <c r="AD134" i="1"/>
  <c r="AD138" i="1"/>
  <c r="AD155" i="1"/>
  <c r="AD200" i="1"/>
  <c r="AD204" i="1"/>
  <c r="AD158" i="1"/>
  <c r="AD137" i="1"/>
  <c r="AD156" i="1"/>
  <c r="AD174" i="1"/>
  <c r="AD178" i="1"/>
  <c r="AD196" i="1"/>
  <c r="AD193" i="1"/>
  <c r="AD218" i="1"/>
  <c r="AD222" i="1"/>
  <c r="AD231" i="1"/>
  <c r="AD257" i="1"/>
  <c r="AD288" i="1"/>
  <c r="AD292" i="1"/>
  <c r="AD239" i="1"/>
  <c r="AD326" i="1"/>
  <c r="AD197" i="1"/>
  <c r="AD212" i="1"/>
  <c r="AD216" i="1"/>
  <c r="AD234" i="1"/>
  <c r="AD251" i="1"/>
  <c r="AD255" i="1"/>
  <c r="AD259" i="1"/>
  <c r="AD285" i="1"/>
  <c r="AD175" i="1"/>
  <c r="AD211" i="1"/>
  <c r="AD215" i="1"/>
  <c r="AD250" i="1"/>
  <c r="AD254" i="1"/>
  <c r="AD284" i="1"/>
  <c r="AD289" i="1"/>
  <c r="AD346" i="1"/>
  <c r="AD350" i="1"/>
  <c r="AD403" i="1"/>
  <c r="AD349" i="1"/>
  <c r="AD390" i="1"/>
  <c r="AD394" i="1"/>
  <c r="AD317" i="1"/>
  <c r="AD352" i="1"/>
  <c r="AD393" i="1"/>
  <c r="AD320" i="1"/>
  <c r="AD321" i="1"/>
  <c r="AD396" i="1"/>
  <c r="AG72" i="1"/>
  <c r="AG76" i="1"/>
  <c r="AG71" i="1"/>
  <c r="AG75" i="1"/>
  <c r="AG79" i="1"/>
  <c r="AG87" i="1"/>
  <c r="AG119" i="1"/>
  <c r="AG161" i="1"/>
  <c r="AG122" i="1"/>
  <c r="AG142" i="1"/>
  <c r="AG163" i="1"/>
  <c r="AG180" i="1"/>
  <c r="AG185" i="1"/>
  <c r="AG183" i="1"/>
  <c r="AG226" i="1"/>
  <c r="AG243" i="1"/>
  <c r="AG299" i="1"/>
  <c r="AG263" i="1"/>
  <c r="AG294" i="1"/>
  <c r="AG302" i="1"/>
  <c r="AG224" i="1"/>
  <c r="AG241" i="1"/>
  <c r="AG266" i="1"/>
  <c r="AG261" i="1"/>
  <c r="AG296" i="1"/>
  <c r="AG359" i="1"/>
  <c r="AG363" i="1"/>
  <c r="AG373" i="1"/>
  <c r="AG410" i="1"/>
  <c r="AG332" i="1"/>
  <c r="AG405" i="1"/>
  <c r="AG413" i="1"/>
  <c r="AG361" i="1"/>
  <c r="AG407" i="1"/>
  <c r="AC72" i="1"/>
  <c r="AC76" i="1"/>
  <c r="AC71" i="1"/>
  <c r="AC75" i="1"/>
  <c r="AC79" i="1"/>
  <c r="AC87" i="1"/>
  <c r="AC161" i="1"/>
  <c r="AC119" i="1"/>
  <c r="AC122" i="1"/>
  <c r="AC142" i="1"/>
  <c r="AC163" i="1"/>
  <c r="AC180" i="1"/>
  <c r="AC185" i="1"/>
  <c r="AC226" i="1"/>
  <c r="AC243" i="1"/>
  <c r="AC299" i="1"/>
  <c r="AC263" i="1"/>
  <c r="AC294" i="1"/>
  <c r="AC302" i="1"/>
  <c r="AC224" i="1"/>
  <c r="AC241" i="1"/>
  <c r="AC266" i="1"/>
  <c r="AC183" i="1"/>
  <c r="AC261" i="1"/>
  <c r="AC296" i="1"/>
  <c r="AC359" i="1"/>
  <c r="AC363" i="1"/>
  <c r="AC373" i="1"/>
  <c r="AC410" i="1"/>
  <c r="AC332" i="1"/>
  <c r="AC405" i="1"/>
  <c r="AC413" i="1"/>
  <c r="AC361" i="1"/>
  <c r="AC407" i="1"/>
  <c r="AE12" i="1"/>
  <c r="AE16" i="1"/>
  <c r="AE15" i="1"/>
  <c r="AE39" i="1"/>
  <c r="AE43" i="1"/>
  <c r="AE64" i="1"/>
  <c r="AE38" i="1"/>
  <c r="AE42" i="1"/>
  <c r="AE45" i="1"/>
  <c r="AE21" i="1"/>
  <c r="AE105" i="1"/>
  <c r="AE109" i="1"/>
  <c r="AE104" i="1"/>
  <c r="AE108" i="1"/>
  <c r="AE116" i="1"/>
  <c r="AE137" i="1"/>
  <c r="AE158" i="1"/>
  <c r="AE140" i="1"/>
  <c r="AE149" i="1"/>
  <c r="AE135" i="1"/>
  <c r="AE148" i="1"/>
  <c r="AE152" i="1"/>
  <c r="AE156" i="1"/>
  <c r="AE134" i="1"/>
  <c r="AE155" i="1"/>
  <c r="AE174" i="1"/>
  <c r="AE178" i="1"/>
  <c r="AE196" i="1"/>
  <c r="AE218" i="1"/>
  <c r="AE222" i="1"/>
  <c r="AE153" i="1"/>
  <c r="AE171" i="1"/>
  <c r="AE200" i="1"/>
  <c r="AE204" i="1"/>
  <c r="AE138" i="1"/>
  <c r="AE175" i="1"/>
  <c r="AE193" i="1"/>
  <c r="AE197" i="1"/>
  <c r="AE211" i="1"/>
  <c r="AE215" i="1"/>
  <c r="AE250" i="1"/>
  <c r="AE254" i="1"/>
  <c r="AE284" i="1"/>
  <c r="AE289" i="1"/>
  <c r="AE320" i="1"/>
  <c r="AE231" i="1"/>
  <c r="AE257" i="1"/>
  <c r="AE288" i="1"/>
  <c r="AE292" i="1"/>
  <c r="AE239" i="1"/>
  <c r="AE212" i="1"/>
  <c r="AE216" i="1"/>
  <c r="AE234" i="1"/>
  <c r="AE251" i="1"/>
  <c r="AE255" i="1"/>
  <c r="AE259" i="1"/>
  <c r="AE285" i="1"/>
  <c r="AE321" i="1"/>
  <c r="AE396" i="1"/>
  <c r="AE326" i="1"/>
  <c r="AE346" i="1"/>
  <c r="AE350" i="1"/>
  <c r="AE403" i="1"/>
  <c r="AE349" i="1"/>
  <c r="AE390" i="1"/>
  <c r="AE394" i="1"/>
  <c r="AE317" i="1"/>
  <c r="AE352" i="1"/>
  <c r="AE393" i="1"/>
  <c r="Y28" i="3"/>
  <c r="AL71" i="1"/>
  <c r="AL75" i="1"/>
  <c r="AL79" i="1"/>
  <c r="AL87" i="1"/>
  <c r="AM87" i="1" s="1"/>
  <c r="AN87" i="1" s="1"/>
  <c r="AL72" i="1"/>
  <c r="AL76" i="1"/>
  <c r="AM76" i="1" s="1"/>
  <c r="AN76" i="1" s="1"/>
  <c r="AL119" i="1"/>
  <c r="AL122" i="1"/>
  <c r="AM122" i="1" s="1"/>
  <c r="AN122" i="1" s="1"/>
  <c r="AL142" i="1"/>
  <c r="AM142" i="1" s="1"/>
  <c r="AN142" i="1" s="1"/>
  <c r="AL161" i="1"/>
  <c r="AL180" i="1"/>
  <c r="AM180" i="1" s="1"/>
  <c r="AN180" i="1" s="1"/>
  <c r="AL185" i="1"/>
  <c r="AL163" i="1"/>
  <c r="AM163" i="1" s="1"/>
  <c r="AN163" i="1" s="1"/>
  <c r="AL183" i="1"/>
  <c r="AL261" i="1"/>
  <c r="AM261" i="1" s="1"/>
  <c r="AN261" i="1" s="1"/>
  <c r="AL296" i="1"/>
  <c r="AM296" i="1" s="1"/>
  <c r="AN296" i="1" s="1"/>
  <c r="AL226" i="1"/>
  <c r="AL243" i="1"/>
  <c r="AL299" i="1"/>
  <c r="AM299" i="1" s="1"/>
  <c r="AN299" i="1" s="1"/>
  <c r="AL263" i="1"/>
  <c r="AL294" i="1"/>
  <c r="AL302" i="1"/>
  <c r="AL224" i="1"/>
  <c r="AL241" i="1"/>
  <c r="AM241" i="1" s="1"/>
  <c r="AN241" i="1" s="1"/>
  <c r="AL266" i="1"/>
  <c r="AM266" i="1" s="1"/>
  <c r="AN266" i="1" s="1"/>
  <c r="AL407" i="1"/>
  <c r="AM407" i="1" s="1"/>
  <c r="AN407" i="1" s="1"/>
  <c r="AL359" i="1"/>
  <c r="AL363" i="1"/>
  <c r="AL373" i="1"/>
  <c r="AM373" i="1" s="1"/>
  <c r="AN373" i="1" s="1"/>
  <c r="AL410" i="1"/>
  <c r="AL332" i="1"/>
  <c r="AM332" i="1" s="1"/>
  <c r="AN332" i="1" s="1"/>
  <c r="AL405" i="1"/>
  <c r="AL413" i="1"/>
  <c r="AL361" i="1"/>
  <c r="AM361" i="1" s="1"/>
  <c r="AN361" i="1" s="1"/>
  <c r="K28" i="3"/>
  <c r="X72" i="1"/>
  <c r="X76" i="1"/>
  <c r="X71" i="1"/>
  <c r="X75" i="1"/>
  <c r="X79" i="1"/>
  <c r="X87" i="1"/>
  <c r="X161" i="1"/>
  <c r="X122" i="1"/>
  <c r="X142" i="1"/>
  <c r="X119" i="1"/>
  <c r="X163" i="1"/>
  <c r="X180" i="1"/>
  <c r="X185" i="1"/>
  <c r="X224" i="1"/>
  <c r="X226" i="1"/>
  <c r="X243" i="1"/>
  <c r="X299" i="1"/>
  <c r="X263" i="1"/>
  <c r="X294" i="1"/>
  <c r="X302" i="1"/>
  <c r="X183" i="1"/>
  <c r="X241" i="1"/>
  <c r="X266" i="1"/>
  <c r="X261" i="1"/>
  <c r="X296" i="1"/>
  <c r="X359" i="1"/>
  <c r="X363" i="1"/>
  <c r="X373" i="1"/>
  <c r="X410" i="1"/>
  <c r="X332" i="1"/>
  <c r="X405" i="1"/>
  <c r="X413" i="1"/>
  <c r="X361" i="1"/>
  <c r="X407" i="1"/>
  <c r="Y22" i="3"/>
  <c r="Z22" i="3" s="1"/>
  <c r="AL15" i="1"/>
  <c r="AM15" i="1" s="1"/>
  <c r="AN15" i="1" s="1"/>
  <c r="AL39" i="1"/>
  <c r="AL43" i="1"/>
  <c r="AL64" i="1"/>
  <c r="AL38" i="1"/>
  <c r="AM38" i="1" s="1"/>
  <c r="AN38" i="1" s="1"/>
  <c r="AL42" i="1"/>
  <c r="AL21" i="1"/>
  <c r="AM21" i="1" s="1"/>
  <c r="AN21" i="1" s="1"/>
  <c r="AL45" i="1"/>
  <c r="AM45" i="1" s="1"/>
  <c r="AN45" i="1" s="1"/>
  <c r="AL12" i="1"/>
  <c r="AM12" i="1" s="1"/>
  <c r="AN12" i="1" s="1"/>
  <c r="AL16" i="1"/>
  <c r="AM16" i="1" s="1"/>
  <c r="AN16" i="1" s="1"/>
  <c r="AL104" i="1"/>
  <c r="AL108" i="1"/>
  <c r="AM108" i="1" s="1"/>
  <c r="AN108" i="1" s="1"/>
  <c r="AL109" i="1"/>
  <c r="AM109" i="1" s="1"/>
  <c r="AN109" i="1" s="1"/>
  <c r="AL140" i="1"/>
  <c r="AM140" i="1" s="1"/>
  <c r="AN140" i="1" s="1"/>
  <c r="AL149" i="1"/>
  <c r="AM149" i="1" s="1"/>
  <c r="AN149" i="1" s="1"/>
  <c r="AL153" i="1"/>
  <c r="AM153" i="1" s="1"/>
  <c r="AN153" i="1" s="1"/>
  <c r="AL171" i="1"/>
  <c r="AM171" i="1" s="1"/>
  <c r="AN171" i="1" s="1"/>
  <c r="AL135" i="1"/>
  <c r="AL148" i="1"/>
  <c r="AL152" i="1"/>
  <c r="AL105" i="1"/>
  <c r="AM105" i="1" s="1"/>
  <c r="AN105" i="1" s="1"/>
  <c r="AL116" i="1"/>
  <c r="AM116" i="1" s="1"/>
  <c r="AN116" i="1" s="1"/>
  <c r="AL134" i="1"/>
  <c r="AL138" i="1"/>
  <c r="AM138" i="1" s="1"/>
  <c r="AN138" i="1" s="1"/>
  <c r="AL155" i="1"/>
  <c r="AM155" i="1" s="1"/>
  <c r="AN155" i="1" s="1"/>
  <c r="AL137" i="1"/>
  <c r="AM137" i="1" s="1"/>
  <c r="AN137" i="1" s="1"/>
  <c r="AL200" i="1"/>
  <c r="AL204" i="1"/>
  <c r="AL158" i="1"/>
  <c r="AM158" i="1" s="1"/>
  <c r="AN158" i="1" s="1"/>
  <c r="AL156" i="1"/>
  <c r="AM156" i="1" s="1"/>
  <c r="AN156" i="1" s="1"/>
  <c r="AL174" i="1"/>
  <c r="AL178" i="1"/>
  <c r="AL196" i="1"/>
  <c r="AL197" i="1"/>
  <c r="AM197" i="1" s="1"/>
  <c r="AN197" i="1" s="1"/>
  <c r="AL212" i="1"/>
  <c r="AM212" i="1" s="1"/>
  <c r="AN212" i="1" s="1"/>
  <c r="AL216" i="1"/>
  <c r="AM216" i="1" s="1"/>
  <c r="AN216" i="1" s="1"/>
  <c r="AL231" i="1"/>
  <c r="AM231" i="1" s="1"/>
  <c r="AN231" i="1" s="1"/>
  <c r="AL257" i="1"/>
  <c r="AM257" i="1" s="1"/>
  <c r="AN257" i="1" s="1"/>
  <c r="AL288" i="1"/>
  <c r="AL292" i="1"/>
  <c r="AM292" i="1" s="1"/>
  <c r="AN292" i="1" s="1"/>
  <c r="AL175" i="1"/>
  <c r="AM175" i="1" s="1"/>
  <c r="AN175" i="1" s="1"/>
  <c r="AL211" i="1"/>
  <c r="AM211" i="1" s="1"/>
  <c r="AN211" i="1" s="1"/>
  <c r="AL215" i="1"/>
  <c r="AM215" i="1" s="1"/>
  <c r="AN215" i="1" s="1"/>
  <c r="AL239" i="1"/>
  <c r="AL326" i="1"/>
  <c r="AM326" i="1" s="1"/>
  <c r="AN326" i="1" s="1"/>
  <c r="AL193" i="1"/>
  <c r="AM193" i="1" s="1"/>
  <c r="AN193" i="1" s="1"/>
  <c r="AL218" i="1"/>
  <c r="AL222" i="1"/>
  <c r="AL234" i="1"/>
  <c r="AL251" i="1"/>
  <c r="AL255" i="1"/>
  <c r="AM255" i="1" s="1"/>
  <c r="AN255" i="1" s="1"/>
  <c r="AL259" i="1"/>
  <c r="AL285" i="1"/>
  <c r="AL250" i="1"/>
  <c r="AM250" i="1" s="1"/>
  <c r="AN250" i="1" s="1"/>
  <c r="AL254" i="1"/>
  <c r="AL284" i="1"/>
  <c r="AM284" i="1" s="1"/>
  <c r="AN284" i="1" s="1"/>
  <c r="AL289" i="1"/>
  <c r="AL346" i="1"/>
  <c r="AM346" i="1" s="1"/>
  <c r="AN346" i="1" s="1"/>
  <c r="AL350" i="1"/>
  <c r="AL403" i="1"/>
  <c r="AM403" i="1" s="1"/>
  <c r="AN403" i="1" s="1"/>
  <c r="AL349" i="1"/>
  <c r="AM349" i="1" s="1"/>
  <c r="AN349" i="1" s="1"/>
  <c r="AL390" i="1"/>
  <c r="AM390" i="1" s="1"/>
  <c r="AN390" i="1" s="1"/>
  <c r="AL394" i="1"/>
  <c r="AM394" i="1" s="1"/>
  <c r="AN394" i="1" s="1"/>
  <c r="AL317" i="1"/>
  <c r="AM317" i="1" s="1"/>
  <c r="AN317" i="1" s="1"/>
  <c r="AL352" i="1"/>
  <c r="AM352" i="1" s="1"/>
  <c r="AN352" i="1" s="1"/>
  <c r="AL393" i="1"/>
  <c r="AL320" i="1"/>
  <c r="AM320" i="1" s="1"/>
  <c r="AN320" i="1" s="1"/>
  <c r="AL321" i="1"/>
  <c r="AM321" i="1" s="1"/>
  <c r="AN321" i="1" s="1"/>
  <c r="AL396" i="1"/>
  <c r="AM396" i="1" s="1"/>
  <c r="AN396" i="1" s="1"/>
  <c r="K22" i="3"/>
  <c r="X38" i="1"/>
  <c r="X42" i="1"/>
  <c r="X21" i="1"/>
  <c r="X45" i="1"/>
  <c r="X12" i="1"/>
  <c r="X16" i="1"/>
  <c r="X15" i="1"/>
  <c r="X43" i="1"/>
  <c r="X105" i="1"/>
  <c r="X109" i="1"/>
  <c r="X39" i="1"/>
  <c r="X64" i="1"/>
  <c r="X108" i="1"/>
  <c r="X135" i="1"/>
  <c r="X148" i="1"/>
  <c r="X152" i="1"/>
  <c r="X156" i="1"/>
  <c r="X134" i="1"/>
  <c r="X138" i="1"/>
  <c r="X104" i="1"/>
  <c r="X116" i="1"/>
  <c r="X137" i="1"/>
  <c r="X158" i="1"/>
  <c r="X140" i="1"/>
  <c r="X212" i="1"/>
  <c r="X216" i="1"/>
  <c r="X149" i="1"/>
  <c r="X155" i="1"/>
  <c r="X171" i="1"/>
  <c r="X175" i="1"/>
  <c r="X193" i="1"/>
  <c r="X197" i="1"/>
  <c r="X211" i="1"/>
  <c r="X153" i="1"/>
  <c r="X200" i="1"/>
  <c r="X204" i="1"/>
  <c r="X196" i="1"/>
  <c r="X218" i="1"/>
  <c r="X222" i="1"/>
  <c r="X239" i="1"/>
  <c r="X326" i="1"/>
  <c r="X174" i="1"/>
  <c r="X234" i="1"/>
  <c r="X251" i="1"/>
  <c r="X255" i="1"/>
  <c r="X259" i="1"/>
  <c r="X285" i="1"/>
  <c r="X317" i="1"/>
  <c r="X321" i="1"/>
  <c r="X250" i="1"/>
  <c r="X254" i="1"/>
  <c r="X284" i="1"/>
  <c r="X289" i="1"/>
  <c r="X178" i="1"/>
  <c r="X215" i="1"/>
  <c r="X231" i="1"/>
  <c r="X257" i="1"/>
  <c r="X288" i="1"/>
  <c r="X292" i="1"/>
  <c r="X320" i="1"/>
  <c r="X349" i="1"/>
  <c r="X390" i="1"/>
  <c r="X394" i="1"/>
  <c r="X352" i="1"/>
  <c r="X393" i="1"/>
  <c r="X396" i="1"/>
  <c r="X346" i="1"/>
  <c r="X350" i="1"/>
  <c r="X403" i="1"/>
  <c r="AK72" i="1"/>
  <c r="AK76" i="1"/>
  <c r="AK71" i="1"/>
  <c r="AK75" i="1"/>
  <c r="AK79" i="1"/>
  <c r="AK87" i="1"/>
  <c r="AK119" i="1"/>
  <c r="AK161" i="1"/>
  <c r="AK122" i="1"/>
  <c r="AK142" i="1"/>
  <c r="AK163" i="1"/>
  <c r="AK180" i="1"/>
  <c r="AK185" i="1"/>
  <c r="AK226" i="1"/>
  <c r="AK243" i="1"/>
  <c r="AK299" i="1"/>
  <c r="AK183" i="1"/>
  <c r="AK263" i="1"/>
  <c r="AK294" i="1"/>
  <c r="AK302" i="1"/>
  <c r="AK224" i="1"/>
  <c r="AK241" i="1"/>
  <c r="AK266" i="1"/>
  <c r="AK261" i="1"/>
  <c r="AK359" i="1"/>
  <c r="AK363" i="1"/>
  <c r="AK373" i="1"/>
  <c r="AK410" i="1"/>
  <c r="AK296" i="1"/>
  <c r="AK332" i="1"/>
  <c r="AK405" i="1"/>
  <c r="AK413" i="1"/>
  <c r="AK361" i="1"/>
  <c r="AK407" i="1"/>
  <c r="M26" i="3"/>
  <c r="AK38" i="1"/>
  <c r="AK42" i="1"/>
  <c r="AK21" i="1"/>
  <c r="AK45" i="1"/>
  <c r="AK12" i="1"/>
  <c r="AK16" i="1"/>
  <c r="AK15" i="1"/>
  <c r="AK105" i="1"/>
  <c r="AK109" i="1"/>
  <c r="AK39" i="1"/>
  <c r="AK64" i="1"/>
  <c r="AK43" i="1"/>
  <c r="AK135" i="1"/>
  <c r="AK148" i="1"/>
  <c r="AK152" i="1"/>
  <c r="AK156" i="1"/>
  <c r="AK104" i="1"/>
  <c r="AK116" i="1"/>
  <c r="AK134" i="1"/>
  <c r="AK138" i="1"/>
  <c r="AK137" i="1"/>
  <c r="AK158" i="1"/>
  <c r="AK149" i="1"/>
  <c r="AK153" i="1"/>
  <c r="AK212" i="1"/>
  <c r="AK216" i="1"/>
  <c r="AK175" i="1"/>
  <c r="AK193" i="1"/>
  <c r="AK197" i="1"/>
  <c r="AK108" i="1"/>
  <c r="AK140" i="1"/>
  <c r="AK155" i="1"/>
  <c r="AK200" i="1"/>
  <c r="AK204" i="1"/>
  <c r="AK174" i="1"/>
  <c r="AK211" i="1"/>
  <c r="AK215" i="1"/>
  <c r="AK239" i="1"/>
  <c r="AK326" i="1"/>
  <c r="AK218" i="1"/>
  <c r="AK222" i="1"/>
  <c r="AK234" i="1"/>
  <c r="AK251" i="1"/>
  <c r="AK255" i="1"/>
  <c r="AK259" i="1"/>
  <c r="AK285" i="1"/>
  <c r="AK317" i="1"/>
  <c r="AK321" i="1"/>
  <c r="AK178" i="1"/>
  <c r="AK250" i="1"/>
  <c r="AK254" i="1"/>
  <c r="AK284" i="1"/>
  <c r="AK289" i="1"/>
  <c r="AK171" i="1"/>
  <c r="AK196" i="1"/>
  <c r="AK231" i="1"/>
  <c r="AK257" i="1"/>
  <c r="AK288" i="1"/>
  <c r="AK292" i="1"/>
  <c r="AK349" i="1"/>
  <c r="AK390" i="1"/>
  <c r="AK394" i="1"/>
  <c r="AK352" i="1"/>
  <c r="AK393" i="1"/>
  <c r="AK320" i="1"/>
  <c r="AK396" i="1"/>
  <c r="AK346" i="1"/>
  <c r="AK350" i="1"/>
  <c r="AK403" i="1"/>
  <c r="AG38" i="1"/>
  <c r="AG42" i="1"/>
  <c r="AG21" i="1"/>
  <c r="AG45" i="1"/>
  <c r="AG12" i="1"/>
  <c r="AG16" i="1"/>
  <c r="AG15" i="1"/>
  <c r="AG39" i="1"/>
  <c r="AG64" i="1"/>
  <c r="AG105" i="1"/>
  <c r="AG109" i="1"/>
  <c r="AG43" i="1"/>
  <c r="AG104" i="1"/>
  <c r="AG135" i="1"/>
  <c r="AG148" i="1"/>
  <c r="AG152" i="1"/>
  <c r="AG156" i="1"/>
  <c r="AG134" i="1"/>
  <c r="AG138" i="1"/>
  <c r="AG108" i="1"/>
  <c r="AG116" i="1"/>
  <c r="AG137" i="1"/>
  <c r="AG158" i="1"/>
  <c r="AG212" i="1"/>
  <c r="AG216" i="1"/>
  <c r="AG155" i="1"/>
  <c r="AG175" i="1"/>
  <c r="AG193" i="1"/>
  <c r="AG197" i="1"/>
  <c r="AG140" i="1"/>
  <c r="AG153" i="1"/>
  <c r="AG149" i="1"/>
  <c r="AG171" i="1"/>
  <c r="AG200" i="1"/>
  <c r="AG204" i="1"/>
  <c r="AG239" i="1"/>
  <c r="AG326" i="1"/>
  <c r="AG178" i="1"/>
  <c r="AG211" i="1"/>
  <c r="AG215" i="1"/>
  <c r="AG234" i="1"/>
  <c r="AG251" i="1"/>
  <c r="AG255" i="1"/>
  <c r="AG259" i="1"/>
  <c r="AG285" i="1"/>
  <c r="AG317" i="1"/>
  <c r="AG321" i="1"/>
  <c r="AG196" i="1"/>
  <c r="AG218" i="1"/>
  <c r="AG222" i="1"/>
  <c r="AG250" i="1"/>
  <c r="AG254" i="1"/>
  <c r="AG284" i="1"/>
  <c r="AG289" i="1"/>
  <c r="AG174" i="1"/>
  <c r="AG231" i="1"/>
  <c r="AG257" i="1"/>
  <c r="AG288" i="1"/>
  <c r="AG292" i="1"/>
  <c r="AG320" i="1"/>
  <c r="AG349" i="1"/>
  <c r="AG390" i="1"/>
  <c r="AG394" i="1"/>
  <c r="AG352" i="1"/>
  <c r="AG393" i="1"/>
  <c r="AG396" i="1"/>
  <c r="AG346" i="1"/>
  <c r="AG350" i="1"/>
  <c r="AG403" i="1"/>
  <c r="AC38" i="1"/>
  <c r="AC42" i="1"/>
  <c r="AC21" i="1"/>
  <c r="AC45" i="1"/>
  <c r="AC12" i="1"/>
  <c r="AC16" i="1"/>
  <c r="AC15" i="1"/>
  <c r="AC105" i="1"/>
  <c r="AC109" i="1"/>
  <c r="AC43" i="1"/>
  <c r="AC39" i="1"/>
  <c r="AC64" i="1"/>
  <c r="AC116" i="1"/>
  <c r="AC135" i="1"/>
  <c r="AC148" i="1"/>
  <c r="AC152" i="1"/>
  <c r="AC156" i="1"/>
  <c r="AC108" i="1"/>
  <c r="AC134" i="1"/>
  <c r="AC138" i="1"/>
  <c r="AC137" i="1"/>
  <c r="AC158" i="1"/>
  <c r="AC153" i="1"/>
  <c r="AC171" i="1"/>
  <c r="AC212" i="1"/>
  <c r="AC216" i="1"/>
  <c r="AC140" i="1"/>
  <c r="AC175" i="1"/>
  <c r="AC193" i="1"/>
  <c r="AC197" i="1"/>
  <c r="AC211" i="1"/>
  <c r="AC149" i="1"/>
  <c r="AC104" i="1"/>
  <c r="AC155" i="1"/>
  <c r="AC200" i="1"/>
  <c r="AC204" i="1"/>
  <c r="AC178" i="1"/>
  <c r="AC239" i="1"/>
  <c r="AC326" i="1"/>
  <c r="AC196" i="1"/>
  <c r="AC234" i="1"/>
  <c r="AC251" i="1"/>
  <c r="AC255" i="1"/>
  <c r="AC259" i="1"/>
  <c r="AC285" i="1"/>
  <c r="AC317" i="1"/>
  <c r="AC321" i="1"/>
  <c r="AC174" i="1"/>
  <c r="AC215" i="1"/>
  <c r="AC250" i="1"/>
  <c r="AC254" i="1"/>
  <c r="AC284" i="1"/>
  <c r="AC289" i="1"/>
  <c r="AC218" i="1"/>
  <c r="AC222" i="1"/>
  <c r="AC231" i="1"/>
  <c r="AC257" i="1"/>
  <c r="AC288" i="1"/>
  <c r="AC292" i="1"/>
  <c r="AC349" i="1"/>
  <c r="AC390" i="1"/>
  <c r="AC394" i="1"/>
  <c r="AC352" i="1"/>
  <c r="AC393" i="1"/>
  <c r="AC320" i="1"/>
  <c r="AC396" i="1"/>
  <c r="AC346" i="1"/>
  <c r="AC350" i="1"/>
  <c r="AC403" i="1"/>
  <c r="AJ72" i="1"/>
  <c r="AJ76" i="1"/>
  <c r="AJ71" i="1"/>
  <c r="AJ75" i="1"/>
  <c r="AJ79" i="1"/>
  <c r="AJ87" i="1"/>
  <c r="AJ122" i="1"/>
  <c r="AJ142" i="1"/>
  <c r="AJ183" i="1"/>
  <c r="AJ119" i="1"/>
  <c r="AJ161" i="1"/>
  <c r="AJ180" i="1"/>
  <c r="AJ185" i="1"/>
  <c r="AJ263" i="1"/>
  <c r="AJ294" i="1"/>
  <c r="AJ302" i="1"/>
  <c r="AJ224" i="1"/>
  <c r="AJ241" i="1"/>
  <c r="AJ266" i="1"/>
  <c r="AJ261" i="1"/>
  <c r="AJ296" i="1"/>
  <c r="AJ163" i="1"/>
  <c r="AJ226" i="1"/>
  <c r="AJ243" i="1"/>
  <c r="AJ332" i="1"/>
  <c r="AJ405" i="1"/>
  <c r="AJ413" i="1"/>
  <c r="AJ361" i="1"/>
  <c r="AJ407" i="1"/>
  <c r="AJ299" i="1"/>
  <c r="AJ359" i="1"/>
  <c r="AJ363" i="1"/>
  <c r="AJ373" i="1"/>
  <c r="AJ410" i="1"/>
  <c r="AF72" i="1"/>
  <c r="AF76" i="1"/>
  <c r="AF71" i="1"/>
  <c r="AF75" i="1"/>
  <c r="AF79" i="1"/>
  <c r="AF87" i="1"/>
  <c r="AF122" i="1"/>
  <c r="AF142" i="1"/>
  <c r="AF163" i="1"/>
  <c r="AF119" i="1"/>
  <c r="AF161" i="1"/>
  <c r="AF183" i="1"/>
  <c r="AF180" i="1"/>
  <c r="AF185" i="1"/>
  <c r="AF263" i="1"/>
  <c r="AF294" i="1"/>
  <c r="AF302" i="1"/>
  <c r="AF224" i="1"/>
  <c r="AF241" i="1"/>
  <c r="AF266" i="1"/>
  <c r="AF261" i="1"/>
  <c r="AF296" i="1"/>
  <c r="AF226" i="1"/>
  <c r="AF243" i="1"/>
  <c r="AF332" i="1"/>
  <c r="AF405" i="1"/>
  <c r="AF413" i="1"/>
  <c r="AF361" i="1"/>
  <c r="AF299" i="1"/>
  <c r="AF407" i="1"/>
  <c r="AF359" i="1"/>
  <c r="AF363" i="1"/>
  <c r="AF373" i="1"/>
  <c r="AF410" i="1"/>
  <c r="M28" i="3"/>
  <c r="AB28" i="3" s="1"/>
  <c r="AB72" i="1"/>
  <c r="AB76" i="1"/>
  <c r="AB71" i="1"/>
  <c r="AB75" i="1"/>
  <c r="AA75" i="1" s="1"/>
  <c r="AB79" i="1"/>
  <c r="AA79" i="1" s="1"/>
  <c r="AB87" i="1"/>
  <c r="AA87" i="1" s="1"/>
  <c r="AB119" i="1"/>
  <c r="AB122" i="1"/>
  <c r="AB142" i="1"/>
  <c r="AB183" i="1"/>
  <c r="AB161" i="1"/>
  <c r="AB180" i="1"/>
  <c r="AB185" i="1"/>
  <c r="AB263" i="1"/>
  <c r="AB294" i="1"/>
  <c r="AB302" i="1"/>
  <c r="AB224" i="1"/>
  <c r="AB241" i="1"/>
  <c r="AB266" i="1"/>
  <c r="AB163" i="1"/>
  <c r="AB261" i="1"/>
  <c r="AB296" i="1"/>
  <c r="AB226" i="1"/>
  <c r="AB243" i="1"/>
  <c r="AB332" i="1"/>
  <c r="AB405" i="1"/>
  <c r="AB413" i="1"/>
  <c r="AB299" i="1"/>
  <c r="AB361" i="1"/>
  <c r="AB407" i="1"/>
  <c r="AB359" i="1"/>
  <c r="AB363" i="1"/>
  <c r="AB373" i="1"/>
  <c r="AB410" i="1"/>
  <c r="I28" i="3"/>
  <c r="AP419" i="1"/>
  <c r="CH433" i="1"/>
  <c r="AVQ433" i="1" s="1"/>
  <c r="CH435" i="1"/>
  <c r="AVQ435" i="1" s="1"/>
  <c r="BN435" i="1"/>
  <c r="BO435" i="1" s="1"/>
  <c r="BN442" i="1"/>
  <c r="BO442" i="1" s="1"/>
  <c r="CH442" i="1"/>
  <c r="AVQ442" i="1" s="1"/>
  <c r="CE443" i="1"/>
  <c r="CF443" i="1" s="1"/>
  <c r="CH432" i="1"/>
  <c r="BN432" i="1"/>
  <c r="BO432" i="1" s="1"/>
  <c r="BI419" i="1"/>
  <c r="BJ419" i="1" s="1"/>
  <c r="CD419" i="1"/>
  <c r="BL419" i="1"/>
  <c r="BN419" i="1"/>
  <c r="CI419" i="1"/>
  <c r="CL419" i="1"/>
  <c r="I26" i="3"/>
  <c r="Z28" i="3"/>
  <c r="AB26" i="3"/>
  <c r="M22" i="3"/>
  <c r="AB22" i="3" s="1"/>
  <c r="M23" i="3"/>
  <c r="M21" i="3"/>
  <c r="AB21" i="3" s="1"/>
  <c r="I24" i="3"/>
  <c r="AB24" i="3"/>
  <c r="AB23" i="3"/>
  <c r="I21" i="3"/>
  <c r="Z23" i="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5" i="13"/>
  <c r="BH182" i="1" l="1"/>
  <c r="CD182" i="1" s="1"/>
  <c r="AVM182" i="1" s="1"/>
  <c r="AVA381" i="1"/>
  <c r="BH311" i="1"/>
  <c r="CD311" i="1" s="1"/>
  <c r="AVM311" i="1" s="1"/>
  <c r="AA382" i="1"/>
  <c r="AW382" i="1" s="1"/>
  <c r="BS382" i="1" s="1"/>
  <c r="AX382" i="1"/>
  <c r="BT382" i="1" s="1"/>
  <c r="AVC382" i="1" s="1"/>
  <c r="AVB382" i="1" s="1"/>
  <c r="Y382" i="1"/>
  <c r="AU382" i="1" s="1"/>
  <c r="BQ382" i="1" s="1"/>
  <c r="AUZ382" i="1" s="1"/>
  <c r="Y311" i="1"/>
  <c r="AU311" i="1" s="1"/>
  <c r="BQ311" i="1" s="1"/>
  <c r="AUZ311" i="1" s="1"/>
  <c r="AA312" i="1"/>
  <c r="AW312" i="1" s="1"/>
  <c r="BS312" i="1" s="1"/>
  <c r="AX312" i="1"/>
  <c r="BT312" i="1" s="1"/>
  <c r="AVC312" i="1" s="1"/>
  <c r="AVB312" i="1" s="1"/>
  <c r="Y381" i="1"/>
  <c r="AU381" i="1" s="1"/>
  <c r="BQ381" i="1" s="1"/>
  <c r="AUZ381" i="1" s="1"/>
  <c r="Y312" i="1"/>
  <c r="AU312" i="1" s="1"/>
  <c r="BQ312" i="1" s="1"/>
  <c r="AUZ312" i="1" s="1"/>
  <c r="Y182" i="1"/>
  <c r="AU182" i="1" s="1"/>
  <c r="BQ182" i="1" s="1"/>
  <c r="AUZ182" i="1" s="1"/>
  <c r="AA381" i="1"/>
  <c r="AW381" i="1" s="1"/>
  <c r="BS381" i="1" s="1"/>
  <c r="AX381" i="1"/>
  <c r="BT381" i="1" s="1"/>
  <c r="AVC381" i="1" s="1"/>
  <c r="AVB381" i="1" s="1"/>
  <c r="AVA382" i="1"/>
  <c r="AM382" i="1"/>
  <c r="AN382" i="1" s="1"/>
  <c r="BH382" i="1"/>
  <c r="AM381" i="1"/>
  <c r="AN381" i="1" s="1"/>
  <c r="BH381" i="1"/>
  <c r="V382" i="1"/>
  <c r="W382" i="1" s="1"/>
  <c r="AQ382" i="1"/>
  <c r="CE144" i="1"/>
  <c r="CF144" i="1" s="1"/>
  <c r="AVM144" i="1"/>
  <c r="AVN144" i="1" s="1"/>
  <c r="AVO144" i="1" s="1"/>
  <c r="V312" i="1"/>
  <c r="W312" i="1" s="1"/>
  <c r="BM367" i="1"/>
  <c r="AR367" i="1"/>
  <c r="AS367" i="1" s="1"/>
  <c r="V311" i="1"/>
  <c r="W311" i="1" s="1"/>
  <c r="AUV144" i="1"/>
  <c r="AUW144" i="1" s="1"/>
  <c r="AUX144" i="1" s="1"/>
  <c r="CH144" i="1"/>
  <c r="AVQ144" i="1" s="1"/>
  <c r="BN144" i="1"/>
  <c r="BO144" i="1" s="1"/>
  <c r="V381" i="1"/>
  <c r="W381" i="1" s="1"/>
  <c r="AQ381" i="1"/>
  <c r="AA182" i="1"/>
  <c r="AX182" i="1"/>
  <c r="BT182" i="1" s="1"/>
  <c r="AVC182" i="1" s="1"/>
  <c r="AVB182" i="1" s="1"/>
  <c r="AA311" i="1"/>
  <c r="AW311" i="1" s="1"/>
  <c r="BS311" i="1" s="1"/>
  <c r="AX311" i="1"/>
  <c r="BT311" i="1" s="1"/>
  <c r="AVC311" i="1" s="1"/>
  <c r="AVB311" i="1" s="1"/>
  <c r="AVA448" i="1"/>
  <c r="AVA446" i="1"/>
  <c r="CH419" i="1"/>
  <c r="AVM419" i="1"/>
  <c r="AVN182" i="1"/>
  <c r="AVO182" i="1" s="1"/>
  <c r="AVN443" i="1"/>
  <c r="AVO443" i="1" s="1"/>
  <c r="AVN442" i="1"/>
  <c r="AVO442" i="1" s="1"/>
  <c r="AVA451" i="1"/>
  <c r="BI312" i="1"/>
  <c r="BJ312" i="1" s="1"/>
  <c r="CD312" i="1"/>
  <c r="AVM312" i="1" s="1"/>
  <c r="BJ182" i="1"/>
  <c r="CF182" i="1" s="1"/>
  <c r="BI182" i="1"/>
  <c r="CE182" i="1" s="1"/>
  <c r="AA71" i="1"/>
  <c r="AA72" i="1"/>
  <c r="R57" i="19"/>
  <c r="R51" i="19"/>
  <c r="J53" i="19"/>
  <c r="R53" i="19" s="1"/>
  <c r="R55" i="18"/>
  <c r="J54" i="19"/>
  <c r="R54" i="19" s="1"/>
  <c r="R50" i="18"/>
  <c r="J53" i="18"/>
  <c r="R53" i="18" s="1"/>
  <c r="R56" i="19"/>
  <c r="R50" i="19"/>
  <c r="J52" i="19"/>
  <c r="R52" i="19" s="1"/>
  <c r="R57" i="18"/>
  <c r="R55" i="19"/>
  <c r="J54" i="18"/>
  <c r="R54" i="18" s="1"/>
  <c r="R48" i="18"/>
  <c r="J52" i="18"/>
  <c r="R52" i="18" s="1"/>
  <c r="R51" i="18"/>
  <c r="R56" i="18"/>
  <c r="R48" i="19"/>
  <c r="AA361" i="1"/>
  <c r="AA261" i="1"/>
  <c r="AQ446" i="1"/>
  <c r="V446" i="1"/>
  <c r="W446" i="1" s="1"/>
  <c r="BH451" i="1"/>
  <c r="AM451" i="1"/>
  <c r="AN451" i="1" s="1"/>
  <c r="AX448" i="1"/>
  <c r="BT448" i="1" s="1"/>
  <c r="AVC448" i="1" s="1"/>
  <c r="AVB448" i="1" s="1"/>
  <c r="AA448" i="1"/>
  <c r="AW448" i="1" s="1"/>
  <c r="BS448" i="1" s="1"/>
  <c r="Y451" i="1"/>
  <c r="AU451" i="1" s="1"/>
  <c r="BQ451" i="1" s="1"/>
  <c r="AUZ451" i="1" s="1"/>
  <c r="Y448" i="1"/>
  <c r="AU448" i="1" s="1"/>
  <c r="BQ448" i="1" s="1"/>
  <c r="AUZ448" i="1" s="1"/>
  <c r="Y446" i="1"/>
  <c r="AU446" i="1" s="1"/>
  <c r="BQ446" i="1" s="1"/>
  <c r="AUZ446" i="1" s="1"/>
  <c r="AQ448" i="1"/>
  <c r="V448" i="1"/>
  <c r="W448" i="1" s="1"/>
  <c r="AX451" i="1"/>
  <c r="BT451" i="1" s="1"/>
  <c r="AVC451" i="1" s="1"/>
  <c r="AVB451" i="1" s="1"/>
  <c r="AA451" i="1"/>
  <c r="AW451" i="1" s="1"/>
  <c r="BS451" i="1" s="1"/>
  <c r="BH446" i="1"/>
  <c r="AM446" i="1"/>
  <c r="AN446" i="1" s="1"/>
  <c r="V451" i="1"/>
  <c r="W451" i="1" s="1"/>
  <c r="AQ451" i="1"/>
  <c r="AX446" i="1"/>
  <c r="BT446" i="1" s="1"/>
  <c r="AVC446" i="1" s="1"/>
  <c r="AVB446" i="1" s="1"/>
  <c r="AA446" i="1"/>
  <c r="AW446" i="1" s="1"/>
  <c r="BS446" i="1" s="1"/>
  <c r="BH448" i="1"/>
  <c r="AM448" i="1"/>
  <c r="AN448" i="1" s="1"/>
  <c r="E21" i="13"/>
  <c r="I21" i="13"/>
  <c r="M21" i="13"/>
  <c r="AA243" i="1"/>
  <c r="AA163" i="1"/>
  <c r="AA332" i="1"/>
  <c r="AA185" i="1"/>
  <c r="AA224" i="1"/>
  <c r="AA302" i="1"/>
  <c r="AA373" i="1"/>
  <c r="AA142" i="1"/>
  <c r="AA226" i="1"/>
  <c r="AA299" i="1"/>
  <c r="AA180" i="1"/>
  <c r="AA359" i="1"/>
  <c r="AA413" i="1"/>
  <c r="AA266" i="1"/>
  <c r="AA294" i="1"/>
  <c r="AA161" i="1"/>
  <c r="AA119" i="1"/>
  <c r="AA363" i="1"/>
  <c r="AA122" i="1"/>
  <c r="AA410" i="1"/>
  <c r="AA407" i="1"/>
  <c r="AA405" i="1"/>
  <c r="AA296" i="1"/>
  <c r="AA241" i="1"/>
  <c r="AA263" i="1"/>
  <c r="AA183" i="1"/>
  <c r="AA76" i="1"/>
  <c r="AM350" i="1"/>
  <c r="AN350" i="1" s="1"/>
  <c r="AM254" i="1"/>
  <c r="AN254" i="1" s="1"/>
  <c r="AM218" i="1"/>
  <c r="AN218" i="1" s="1"/>
  <c r="AM288" i="1"/>
  <c r="AN288" i="1" s="1"/>
  <c r="AM174" i="1"/>
  <c r="AN174" i="1" s="1"/>
  <c r="AM200" i="1"/>
  <c r="AN200" i="1" s="1"/>
  <c r="AM134" i="1"/>
  <c r="AN134" i="1" s="1"/>
  <c r="AM148" i="1"/>
  <c r="AN148" i="1" s="1"/>
  <c r="AM104" i="1"/>
  <c r="AN104" i="1" s="1"/>
  <c r="AM43" i="1"/>
  <c r="AN43" i="1" s="1"/>
  <c r="AM413" i="1"/>
  <c r="AN413" i="1" s="1"/>
  <c r="AM294" i="1"/>
  <c r="AN294" i="1" s="1"/>
  <c r="AM226" i="1"/>
  <c r="AN226" i="1" s="1"/>
  <c r="AM72" i="1"/>
  <c r="AN72" i="1" s="1"/>
  <c r="AM71" i="1"/>
  <c r="AN71" i="1" s="1"/>
  <c r="AA390" i="1"/>
  <c r="AA346" i="1"/>
  <c r="AA326" i="1"/>
  <c r="AA288" i="1"/>
  <c r="AA218" i="1"/>
  <c r="AA254" i="1"/>
  <c r="AA321" i="1"/>
  <c r="AA255" i="1"/>
  <c r="AA171" i="1"/>
  <c r="AA196" i="1"/>
  <c r="AA215" i="1"/>
  <c r="AA175" i="1"/>
  <c r="AA140" i="1"/>
  <c r="AA134" i="1"/>
  <c r="AA116" i="1"/>
  <c r="AA64" i="1"/>
  <c r="AA16" i="1"/>
  <c r="Y15" i="1"/>
  <c r="Y39" i="1"/>
  <c r="Y43" i="1"/>
  <c r="Y64" i="1"/>
  <c r="Y38" i="1"/>
  <c r="Y42" i="1"/>
  <c r="Y21" i="1"/>
  <c r="Y45" i="1"/>
  <c r="Y12" i="1"/>
  <c r="Y16" i="1"/>
  <c r="Y104" i="1"/>
  <c r="Y108" i="1"/>
  <c r="Y140" i="1"/>
  <c r="Y149" i="1"/>
  <c r="Y153" i="1"/>
  <c r="Y171" i="1"/>
  <c r="Y109" i="1"/>
  <c r="Y135" i="1"/>
  <c r="Y148" i="1"/>
  <c r="Y152" i="1"/>
  <c r="Y134" i="1"/>
  <c r="Y138" i="1"/>
  <c r="Y155" i="1"/>
  <c r="Y200" i="1"/>
  <c r="Y204" i="1"/>
  <c r="Y105" i="1"/>
  <c r="Y137" i="1"/>
  <c r="Y156" i="1"/>
  <c r="Y116" i="1"/>
  <c r="Y158" i="1"/>
  <c r="Y174" i="1"/>
  <c r="Y178" i="1"/>
  <c r="Y196" i="1"/>
  <c r="Y215" i="1"/>
  <c r="Y231" i="1"/>
  <c r="Y257" i="1"/>
  <c r="Y288" i="1"/>
  <c r="Y292" i="1"/>
  <c r="Y197" i="1"/>
  <c r="Y211" i="1"/>
  <c r="Y218" i="1"/>
  <c r="Y222" i="1"/>
  <c r="Y239" i="1"/>
  <c r="Y326" i="1"/>
  <c r="Y175" i="1"/>
  <c r="Y234" i="1"/>
  <c r="Y251" i="1"/>
  <c r="Y255" i="1"/>
  <c r="Y259" i="1"/>
  <c r="Y285" i="1"/>
  <c r="Y193" i="1"/>
  <c r="Y212" i="1"/>
  <c r="Y216" i="1"/>
  <c r="Y250" i="1"/>
  <c r="Y254" i="1"/>
  <c r="Y284" i="1"/>
  <c r="Y289" i="1"/>
  <c r="Y317" i="1"/>
  <c r="Y346" i="1"/>
  <c r="Y350" i="1"/>
  <c r="Y403" i="1"/>
  <c r="Y320" i="1"/>
  <c r="Y321" i="1"/>
  <c r="Y349" i="1"/>
  <c r="Y390" i="1"/>
  <c r="Y394" i="1"/>
  <c r="Y352" i="1"/>
  <c r="Y393" i="1"/>
  <c r="Y396" i="1"/>
  <c r="AM393" i="1"/>
  <c r="AN393" i="1" s="1"/>
  <c r="AM251" i="1"/>
  <c r="AN251" i="1" s="1"/>
  <c r="AM135" i="1"/>
  <c r="AN135" i="1" s="1"/>
  <c r="AM42" i="1"/>
  <c r="AN42" i="1" s="1"/>
  <c r="AM39" i="1"/>
  <c r="AN39" i="1" s="1"/>
  <c r="AM405" i="1"/>
  <c r="AN405" i="1" s="1"/>
  <c r="AM363" i="1"/>
  <c r="AN363" i="1" s="1"/>
  <c r="AM263" i="1"/>
  <c r="AN263" i="1" s="1"/>
  <c r="AM185" i="1"/>
  <c r="AN185" i="1" s="1"/>
  <c r="AA349" i="1"/>
  <c r="AA396" i="1"/>
  <c r="AA239" i="1"/>
  <c r="AA257" i="1"/>
  <c r="AA320" i="1"/>
  <c r="AA250" i="1"/>
  <c r="AA317" i="1"/>
  <c r="AA251" i="1"/>
  <c r="AA152" i="1"/>
  <c r="AA178" i="1"/>
  <c r="AA211" i="1"/>
  <c r="AA158" i="1"/>
  <c r="AA137" i="1"/>
  <c r="AA109" i="1"/>
  <c r="AA108" i="1"/>
  <c r="AA43" i="1"/>
  <c r="AA12" i="1"/>
  <c r="AM289" i="1"/>
  <c r="AN289" i="1" s="1"/>
  <c r="AM285" i="1"/>
  <c r="AN285" i="1" s="1"/>
  <c r="AM234" i="1"/>
  <c r="AN234" i="1" s="1"/>
  <c r="AM196" i="1"/>
  <c r="AN196" i="1" s="1"/>
  <c r="Y71" i="1"/>
  <c r="Y75" i="1"/>
  <c r="Y79" i="1"/>
  <c r="Y87" i="1"/>
  <c r="Y72" i="1"/>
  <c r="Y76" i="1"/>
  <c r="Y119" i="1"/>
  <c r="Y122" i="1"/>
  <c r="Y142" i="1"/>
  <c r="Y163" i="1"/>
  <c r="Y180" i="1"/>
  <c r="Y185" i="1"/>
  <c r="Y161" i="1"/>
  <c r="Y183" i="1"/>
  <c r="Y261" i="1"/>
  <c r="Y296" i="1"/>
  <c r="Y226" i="1"/>
  <c r="Y243" i="1"/>
  <c r="Y299" i="1"/>
  <c r="Y263" i="1"/>
  <c r="Y294" i="1"/>
  <c r="Y302" i="1"/>
  <c r="Y224" i="1"/>
  <c r="Y241" i="1"/>
  <c r="Y266" i="1"/>
  <c r="Y407" i="1"/>
  <c r="Y359" i="1"/>
  <c r="Y363" i="1"/>
  <c r="Y373" i="1"/>
  <c r="Y410" i="1"/>
  <c r="Y332" i="1"/>
  <c r="Y405" i="1"/>
  <c r="Y413" i="1"/>
  <c r="Y361" i="1"/>
  <c r="AM359" i="1"/>
  <c r="AN359" i="1" s="1"/>
  <c r="AM224" i="1"/>
  <c r="AN224" i="1" s="1"/>
  <c r="AM119" i="1"/>
  <c r="AN119" i="1" s="1"/>
  <c r="AM79" i="1"/>
  <c r="AN79" i="1" s="1"/>
  <c r="AA403" i="1"/>
  <c r="AA393" i="1"/>
  <c r="AA204" i="1"/>
  <c r="AA231" i="1"/>
  <c r="AA289" i="1"/>
  <c r="AA216" i="1"/>
  <c r="AA285" i="1"/>
  <c r="AA234" i="1"/>
  <c r="AA135" i="1"/>
  <c r="AA174" i="1"/>
  <c r="AA197" i="1"/>
  <c r="AA153" i="1"/>
  <c r="AA155" i="1"/>
  <c r="AA105" i="1"/>
  <c r="AA104" i="1"/>
  <c r="AA39" i="1"/>
  <c r="AA45" i="1"/>
  <c r="AM259" i="1"/>
  <c r="AN259" i="1" s="1"/>
  <c r="AM222" i="1"/>
  <c r="AN222" i="1" s="1"/>
  <c r="AM239" i="1"/>
  <c r="AN239" i="1" s="1"/>
  <c r="AM178" i="1"/>
  <c r="AN178" i="1" s="1"/>
  <c r="AM204" i="1"/>
  <c r="AN204" i="1" s="1"/>
  <c r="AM152" i="1"/>
  <c r="AN152" i="1" s="1"/>
  <c r="AM64" i="1"/>
  <c r="AN64" i="1" s="1"/>
  <c r="AM410" i="1"/>
  <c r="AN410" i="1" s="1"/>
  <c r="AM302" i="1"/>
  <c r="AN302" i="1" s="1"/>
  <c r="AM243" i="1"/>
  <c r="AN243" i="1" s="1"/>
  <c r="AM183" i="1"/>
  <c r="AN183" i="1" s="1"/>
  <c r="AM161" i="1"/>
  <c r="AN161" i="1" s="1"/>
  <c r="AM75" i="1"/>
  <c r="AN75" i="1" s="1"/>
  <c r="AA394" i="1"/>
  <c r="AA350" i="1"/>
  <c r="AA352" i="1"/>
  <c r="AA292" i="1"/>
  <c r="AA222" i="1"/>
  <c r="AA284" i="1"/>
  <c r="AA212" i="1"/>
  <c r="AA259" i="1"/>
  <c r="AA200" i="1"/>
  <c r="AA156" i="1"/>
  <c r="AA148" i="1"/>
  <c r="AA193" i="1"/>
  <c r="AA149" i="1"/>
  <c r="AA138" i="1"/>
  <c r="AA38" i="1"/>
  <c r="AA42" i="1"/>
  <c r="AA15" i="1"/>
  <c r="AA21" i="1"/>
  <c r="BO419" i="1"/>
  <c r="CK419" i="1" s="1"/>
  <c r="CJ419" i="1"/>
  <c r="CE419" i="1"/>
  <c r="DA419" i="1" s="1"/>
  <c r="CZ419" i="1"/>
  <c r="EU6" i="15"/>
  <c r="EU7" i="15"/>
  <c r="EU8" i="15"/>
  <c r="EU9" i="15"/>
  <c r="EU10" i="15"/>
  <c r="EU11" i="15"/>
  <c r="EU12" i="15"/>
  <c r="EU13" i="15"/>
  <c r="EU14" i="15"/>
  <c r="EU15" i="15"/>
  <c r="EU16" i="15"/>
  <c r="EU17" i="15"/>
  <c r="EU18" i="15"/>
  <c r="EU5" i="15"/>
  <c r="EP6" i="15"/>
  <c r="EP7" i="15"/>
  <c r="EP8" i="15"/>
  <c r="EP9" i="15"/>
  <c r="EP10" i="15"/>
  <c r="EP11" i="15"/>
  <c r="EP12" i="15"/>
  <c r="EP13" i="15"/>
  <c r="EP14" i="15"/>
  <c r="EP15" i="15"/>
  <c r="EP16" i="15"/>
  <c r="EP17" i="15"/>
  <c r="EP18" i="15"/>
  <c r="EP5" i="15"/>
  <c r="ER6" i="15"/>
  <c r="ES6" i="15"/>
  <c r="ET6" i="15"/>
  <c r="ER7" i="15"/>
  <c r="ES7" i="15"/>
  <c r="ET7" i="15"/>
  <c r="ER8" i="15"/>
  <c r="ES8" i="15"/>
  <c r="ET8" i="15"/>
  <c r="ER9" i="15"/>
  <c r="ES9" i="15"/>
  <c r="ET9" i="15"/>
  <c r="ER10" i="15"/>
  <c r="ES10" i="15"/>
  <c r="ET10" i="15"/>
  <c r="ER11" i="15"/>
  <c r="ES11" i="15"/>
  <c r="ET11" i="15"/>
  <c r="ER12" i="15"/>
  <c r="ES12" i="15"/>
  <c r="ET12" i="15"/>
  <c r="ER13" i="15"/>
  <c r="ES13" i="15"/>
  <c r="ET13" i="15"/>
  <c r="ER14" i="15"/>
  <c r="ES14" i="15"/>
  <c r="ET14" i="15"/>
  <c r="ER15" i="15"/>
  <c r="ES15" i="15"/>
  <c r="ET15" i="15"/>
  <c r="ER16" i="15"/>
  <c r="ES16" i="15"/>
  <c r="ET16" i="15"/>
  <c r="ER17" i="15"/>
  <c r="ES17" i="15"/>
  <c r="ET17" i="15"/>
  <c r="ER18" i="15"/>
  <c r="ES18" i="15"/>
  <c r="ET18" i="15"/>
  <c r="ES5" i="15"/>
  <c r="ET5" i="15"/>
  <c r="ER5" i="15"/>
  <c r="BE6" i="15"/>
  <c r="BW6" i="15"/>
  <c r="BX6" i="15"/>
  <c r="BZ6" i="15"/>
  <c r="CA6" i="15"/>
  <c r="CC6" i="15"/>
  <c r="CD6" i="15"/>
  <c r="CH6" i="15"/>
  <c r="CI6" i="15"/>
  <c r="CU6" i="15"/>
  <c r="CV6" i="15"/>
  <c r="CW6" i="15"/>
  <c r="BE7" i="15"/>
  <c r="BW7" i="15"/>
  <c r="CI7" i="15"/>
  <c r="CU7" i="15"/>
  <c r="CV7" i="15"/>
  <c r="CW7" i="15"/>
  <c r="BE8" i="15"/>
  <c r="BW8" i="15"/>
  <c r="BX8" i="15"/>
  <c r="BZ8" i="15"/>
  <c r="CA8" i="15"/>
  <c r="CC8" i="15"/>
  <c r="CD8" i="15"/>
  <c r="CH8" i="15"/>
  <c r="CI8" i="15"/>
  <c r="CU8" i="15"/>
  <c r="CV8" i="15"/>
  <c r="CW8" i="15"/>
  <c r="BE9" i="15"/>
  <c r="BW9" i="15"/>
  <c r="CI9" i="15"/>
  <c r="CU9" i="15"/>
  <c r="CV9" i="15"/>
  <c r="CW9" i="15"/>
  <c r="BE10" i="15"/>
  <c r="BW10" i="15"/>
  <c r="BX10" i="15"/>
  <c r="BZ10" i="15"/>
  <c r="CA10" i="15"/>
  <c r="CC10" i="15"/>
  <c r="CD10" i="15"/>
  <c r="CH10" i="15"/>
  <c r="CI10" i="15"/>
  <c r="CU10" i="15"/>
  <c r="CV10" i="15"/>
  <c r="CW10" i="15"/>
  <c r="BE11" i="15"/>
  <c r="BW11" i="15"/>
  <c r="BX11" i="15"/>
  <c r="BZ11" i="15"/>
  <c r="CA11" i="15"/>
  <c r="CC11" i="15"/>
  <c r="CD11" i="15"/>
  <c r="CH11" i="15"/>
  <c r="CI11" i="15"/>
  <c r="CU11" i="15"/>
  <c r="CV11" i="15"/>
  <c r="CW11" i="15"/>
  <c r="BE12" i="15"/>
  <c r="BW12" i="15"/>
  <c r="CI12" i="15"/>
  <c r="CU12" i="15"/>
  <c r="CV12" i="15"/>
  <c r="CW12" i="15"/>
  <c r="BE13" i="15"/>
  <c r="BW13" i="15"/>
  <c r="BX13" i="15"/>
  <c r="BZ13" i="15"/>
  <c r="CA13" i="15"/>
  <c r="CC13" i="15"/>
  <c r="CD13" i="15"/>
  <c r="CH13" i="15"/>
  <c r="CI13" i="15"/>
  <c r="CU13" i="15"/>
  <c r="CV13" i="15"/>
  <c r="CW13" i="15"/>
  <c r="BE14" i="15"/>
  <c r="BW14" i="15"/>
  <c r="BX14" i="15"/>
  <c r="BZ14" i="15"/>
  <c r="CA14" i="15"/>
  <c r="CC14" i="15"/>
  <c r="CD14" i="15"/>
  <c r="CH14" i="15"/>
  <c r="CI14" i="15"/>
  <c r="CU14" i="15"/>
  <c r="CV14" i="15"/>
  <c r="CW14" i="15"/>
  <c r="BE15" i="15"/>
  <c r="BW15" i="15"/>
  <c r="BX15" i="15"/>
  <c r="BZ15" i="15"/>
  <c r="CA15" i="15"/>
  <c r="CC15" i="15"/>
  <c r="CD15" i="15"/>
  <c r="CH15" i="15"/>
  <c r="CI15" i="15"/>
  <c r="CU15" i="15"/>
  <c r="CV15" i="15"/>
  <c r="CW15" i="15"/>
  <c r="BE16" i="15"/>
  <c r="BW16" i="15"/>
  <c r="CI16" i="15"/>
  <c r="CU16" i="15"/>
  <c r="CV16" i="15"/>
  <c r="CW16" i="15"/>
  <c r="BE17" i="15"/>
  <c r="BW17" i="15"/>
  <c r="BX17" i="15"/>
  <c r="BZ17" i="15"/>
  <c r="CA17" i="15"/>
  <c r="CC17" i="15"/>
  <c r="CD17" i="15"/>
  <c r="CH17" i="15"/>
  <c r="CI17" i="15"/>
  <c r="CU17" i="15"/>
  <c r="CV17" i="15"/>
  <c r="CW17" i="15"/>
  <c r="BE18" i="15"/>
  <c r="BW18" i="15"/>
  <c r="CI18" i="15"/>
  <c r="CU18" i="15"/>
  <c r="CV18" i="15"/>
  <c r="CW18" i="15"/>
  <c r="CW5" i="15"/>
  <c r="CV5" i="15"/>
  <c r="CU5" i="15"/>
  <c r="EB21" i="15"/>
  <c r="DZ21" i="15"/>
  <c r="DK21" i="15"/>
  <c r="DI21" i="15"/>
  <c r="ED20" i="15"/>
  <c r="EC20" i="15"/>
  <c r="DY20" i="15"/>
  <c r="DX20" i="15"/>
  <c r="DV20" i="15"/>
  <c r="DU20" i="15"/>
  <c r="DS20" i="15"/>
  <c r="DR20" i="15"/>
  <c r="ED19" i="15"/>
  <c r="EC19" i="15"/>
  <c r="DY19" i="15"/>
  <c r="DX19" i="15"/>
  <c r="DV19" i="15"/>
  <c r="DU19" i="15"/>
  <c r="DS19" i="15"/>
  <c r="DR19" i="15"/>
  <c r="ED18" i="15"/>
  <c r="DR18" i="15"/>
  <c r="CZ18" i="15"/>
  <c r="ED17" i="15"/>
  <c r="EC17" i="15"/>
  <c r="DY17" i="15"/>
  <c r="DX17" i="15"/>
  <c r="DV17" i="15"/>
  <c r="DU17" i="15"/>
  <c r="DS17" i="15"/>
  <c r="DR17" i="15"/>
  <c r="CZ17" i="15"/>
  <c r="ED16" i="15"/>
  <c r="DR16" i="15"/>
  <c r="CZ16" i="15"/>
  <c r="ED15" i="15"/>
  <c r="EC15" i="15"/>
  <c r="DY15" i="15"/>
  <c r="DX15" i="15"/>
  <c r="DV15" i="15"/>
  <c r="DU15" i="15"/>
  <c r="DS15" i="15"/>
  <c r="DR15" i="15"/>
  <c r="CZ15" i="15"/>
  <c r="ED14" i="15"/>
  <c r="EC14" i="15"/>
  <c r="DY14" i="15"/>
  <c r="DX14" i="15"/>
  <c r="DV14" i="15"/>
  <c r="DU14" i="15"/>
  <c r="DS14" i="15"/>
  <c r="DR14" i="15"/>
  <c r="CZ14" i="15"/>
  <c r="ED13" i="15"/>
  <c r="EC13" i="15"/>
  <c r="DY13" i="15"/>
  <c r="DX13" i="15"/>
  <c r="DV13" i="15"/>
  <c r="DU13" i="15"/>
  <c r="DS13" i="15"/>
  <c r="DR13" i="15"/>
  <c r="CZ13" i="15"/>
  <c r="ED12" i="15"/>
  <c r="DR12" i="15"/>
  <c r="CZ12" i="15"/>
  <c r="ED11" i="15"/>
  <c r="EC11" i="15"/>
  <c r="DY11" i="15"/>
  <c r="DX11" i="15"/>
  <c r="DV11" i="15"/>
  <c r="DU11" i="15"/>
  <c r="DS11" i="15"/>
  <c r="DR11" i="15"/>
  <c r="CZ11" i="15"/>
  <c r="ED10" i="15"/>
  <c r="EC10" i="15"/>
  <c r="DY10" i="15"/>
  <c r="DX10" i="15"/>
  <c r="DV10" i="15"/>
  <c r="DU10" i="15"/>
  <c r="DS10" i="15"/>
  <c r="DR10" i="15"/>
  <c r="CZ10" i="15"/>
  <c r="ED9" i="15"/>
  <c r="DR9" i="15"/>
  <c r="CZ9" i="15"/>
  <c r="ED8" i="15"/>
  <c r="EC8" i="15"/>
  <c r="DY8" i="15"/>
  <c r="DX8" i="15"/>
  <c r="DV8" i="15"/>
  <c r="DU8" i="15"/>
  <c r="DS8" i="15"/>
  <c r="DR8" i="15"/>
  <c r="CZ8" i="15"/>
  <c r="ED7" i="15"/>
  <c r="DR7" i="15"/>
  <c r="CZ7" i="15"/>
  <c r="ED6" i="15"/>
  <c r="EC6" i="15"/>
  <c r="DY6" i="15"/>
  <c r="DX6" i="15"/>
  <c r="DV6" i="15"/>
  <c r="DU6" i="15"/>
  <c r="DS6" i="15"/>
  <c r="DR6" i="15"/>
  <c r="CZ6" i="15"/>
  <c r="ED5" i="15"/>
  <c r="EC5" i="15"/>
  <c r="DY5" i="15"/>
  <c r="DX5" i="15"/>
  <c r="DV5" i="15"/>
  <c r="DU5" i="15"/>
  <c r="DS5" i="15"/>
  <c r="DR5" i="15"/>
  <c r="CZ5" i="15"/>
  <c r="CG21" i="15"/>
  <c r="CE21" i="15"/>
  <c r="BP21" i="15"/>
  <c r="BN21" i="15"/>
  <c r="CI20" i="15"/>
  <c r="CH20" i="15"/>
  <c r="CD20" i="15"/>
  <c r="CC20" i="15"/>
  <c r="CA20" i="15"/>
  <c r="BZ20" i="15"/>
  <c r="BX20" i="15"/>
  <c r="BW20" i="15"/>
  <c r="CI19" i="15"/>
  <c r="CH19" i="15"/>
  <c r="CD19" i="15"/>
  <c r="CC19" i="15"/>
  <c r="CA19" i="15"/>
  <c r="BZ19" i="15"/>
  <c r="BX19" i="15"/>
  <c r="BW19" i="15"/>
  <c r="CI5" i="15"/>
  <c r="CH5" i="15"/>
  <c r="CD5" i="15"/>
  <c r="CC5" i="15"/>
  <c r="CA5" i="15"/>
  <c r="BZ5" i="15"/>
  <c r="BX5" i="15"/>
  <c r="BW5" i="15"/>
  <c r="BE5" i="15"/>
  <c r="AP382" i="1" l="1"/>
  <c r="BI311" i="1"/>
  <c r="BJ311" i="1" s="1"/>
  <c r="AP381" i="1"/>
  <c r="AP311" i="1"/>
  <c r="AP312" i="1"/>
  <c r="CD382" i="1"/>
  <c r="BI382" i="1"/>
  <c r="BJ382" i="1" s="1"/>
  <c r="BM381" i="1"/>
  <c r="AR381" i="1"/>
  <c r="AS381" i="1" s="1"/>
  <c r="BL381" i="1"/>
  <c r="AP182" i="1"/>
  <c r="AW182" i="1"/>
  <c r="BS182" i="1" s="1"/>
  <c r="AR382" i="1"/>
  <c r="AS382" i="1" s="1"/>
  <c r="BM382" i="1"/>
  <c r="BL382" i="1"/>
  <c r="AUV367" i="1"/>
  <c r="AUW367" i="1" s="1"/>
  <c r="AUX367" i="1" s="1"/>
  <c r="BN367" i="1"/>
  <c r="BO367" i="1" s="1"/>
  <c r="BI381" i="1"/>
  <c r="BJ381" i="1" s="1"/>
  <c r="CD381" i="1"/>
  <c r="AVN312" i="1"/>
  <c r="AVO312" i="1" s="1"/>
  <c r="DD419" i="1"/>
  <c r="AVQ419" i="1"/>
  <c r="AVN311" i="1"/>
  <c r="AVO311" i="1" s="1"/>
  <c r="AVN419" i="1"/>
  <c r="AVO419" i="1" s="1"/>
  <c r="CE312" i="1"/>
  <c r="CF312" i="1" s="1"/>
  <c r="CE311" i="1"/>
  <c r="CF311" i="1" s="1"/>
  <c r="AP451" i="1"/>
  <c r="AP448" i="1"/>
  <c r="CD448" i="1"/>
  <c r="BI448" i="1"/>
  <c r="BJ448" i="1" s="1"/>
  <c r="CD446" i="1"/>
  <c r="BI446" i="1"/>
  <c r="BJ446" i="1" s="1"/>
  <c r="CD451" i="1"/>
  <c r="BI451" i="1"/>
  <c r="BJ451" i="1" s="1"/>
  <c r="BL451" i="1"/>
  <c r="AR451" i="1"/>
  <c r="AS451" i="1" s="1"/>
  <c r="BM451" i="1"/>
  <c r="AUV451" i="1" s="1"/>
  <c r="AUW451" i="1" s="1"/>
  <c r="AUX451" i="1" s="1"/>
  <c r="BM448" i="1"/>
  <c r="AUV448" i="1" s="1"/>
  <c r="AUW448" i="1" s="1"/>
  <c r="AUX448" i="1" s="1"/>
  <c r="AR448" i="1"/>
  <c r="AS448" i="1" s="1"/>
  <c r="BL448" i="1"/>
  <c r="AP446" i="1"/>
  <c r="BL446" i="1"/>
  <c r="AR446" i="1"/>
  <c r="AS446" i="1" s="1"/>
  <c r="BM446" i="1"/>
  <c r="AUV446" i="1" s="1"/>
  <c r="AUW446" i="1" s="1"/>
  <c r="AUX446" i="1" s="1"/>
  <c r="CF419" i="1"/>
  <c r="DB419" i="1" s="1"/>
  <c r="DW11" i="15"/>
  <c r="DW5" i="15"/>
  <c r="CX16" i="15"/>
  <c r="CX12" i="15"/>
  <c r="CX8" i="15"/>
  <c r="BY20" i="15"/>
  <c r="DW14" i="15"/>
  <c r="DW15" i="15"/>
  <c r="CX17" i="15"/>
  <c r="CX15" i="15"/>
  <c r="CX14" i="15"/>
  <c r="CX13" i="15"/>
  <c r="CX11" i="15"/>
  <c r="CX10" i="15"/>
  <c r="CX9" i="15"/>
  <c r="CX7" i="15"/>
  <c r="CX6" i="15"/>
  <c r="DW8" i="15"/>
  <c r="DT13" i="15"/>
  <c r="DW10" i="15"/>
  <c r="DT11" i="15"/>
  <c r="DT14" i="15"/>
  <c r="DT20" i="15"/>
  <c r="CX18" i="15"/>
  <c r="BY13" i="15"/>
  <c r="BY19" i="15"/>
  <c r="CB11" i="15"/>
  <c r="DT8" i="15"/>
  <c r="DT17" i="15"/>
  <c r="DW19" i="15"/>
  <c r="CB15" i="15"/>
  <c r="DT10" i="15"/>
  <c r="CB5" i="15"/>
  <c r="DT19" i="15"/>
  <c r="BY14" i="15"/>
  <c r="BY10" i="15"/>
  <c r="BY8" i="15"/>
  <c r="BY6" i="15"/>
  <c r="ED21" i="15"/>
  <c r="DW17" i="15"/>
  <c r="DW20" i="15"/>
  <c r="BY17" i="15"/>
  <c r="CB13" i="15"/>
  <c r="CB20" i="15"/>
  <c r="DR21" i="15"/>
  <c r="CB19" i="15"/>
  <c r="DT6" i="15"/>
  <c r="DW13" i="15"/>
  <c r="DT15" i="15"/>
  <c r="CB17" i="15"/>
  <c r="BY15" i="15"/>
  <c r="CB14" i="15"/>
  <c r="BY11" i="15"/>
  <c r="CB10" i="15"/>
  <c r="CB8" i="15"/>
  <c r="CB6" i="15"/>
  <c r="DW6" i="15"/>
  <c r="BW21" i="15"/>
  <c r="CX5" i="15"/>
  <c r="DT5" i="15"/>
  <c r="BY5" i="15"/>
  <c r="CI21" i="15"/>
  <c r="AUV382" i="1" l="1"/>
  <c r="AUW382" i="1" s="1"/>
  <c r="AUX382" i="1" s="1"/>
  <c r="BN382" i="1"/>
  <c r="BO382" i="1" s="1"/>
  <c r="CH382" i="1"/>
  <c r="AVQ382" i="1" s="1"/>
  <c r="AVM382" i="1"/>
  <c r="AVN382" i="1" s="1"/>
  <c r="AVO382" i="1" s="1"/>
  <c r="CE382" i="1"/>
  <c r="CF382" i="1" s="1"/>
  <c r="AVM381" i="1"/>
  <c r="AVN381" i="1" s="1"/>
  <c r="AVO381" i="1" s="1"/>
  <c r="CE381" i="1"/>
  <c r="CF381" i="1" s="1"/>
  <c r="AUV381" i="1"/>
  <c r="AUW381" i="1" s="1"/>
  <c r="AUX381" i="1" s="1"/>
  <c r="CH381" i="1"/>
  <c r="AVQ381" i="1" s="1"/>
  <c r="BN381" i="1"/>
  <c r="BO381" i="1" s="1"/>
  <c r="CE451" i="1"/>
  <c r="CF451" i="1" s="1"/>
  <c r="AVM451" i="1"/>
  <c r="CE448" i="1"/>
  <c r="CF448" i="1" s="1"/>
  <c r="AVM448" i="1"/>
  <c r="CE446" i="1"/>
  <c r="CF446" i="1" s="1"/>
  <c r="AVM446" i="1"/>
  <c r="CF15" i="15"/>
  <c r="CH446" i="1"/>
  <c r="AVQ446" i="1" s="1"/>
  <c r="BN446" i="1"/>
  <c r="BO446" i="1" s="1"/>
  <c r="CH448" i="1"/>
  <c r="AVQ448" i="1" s="1"/>
  <c r="BN448" i="1"/>
  <c r="BO448" i="1" s="1"/>
  <c r="BN451" i="1"/>
  <c r="BO451" i="1" s="1"/>
  <c r="CH451" i="1"/>
  <c r="AVQ451" i="1" s="1"/>
  <c r="EA11" i="15"/>
  <c r="CF11" i="15"/>
  <c r="CF10" i="15"/>
  <c r="EA8" i="15"/>
  <c r="EA20" i="15"/>
  <c r="CF14" i="15"/>
  <c r="CF13" i="15"/>
  <c r="EA14" i="15"/>
  <c r="EA19" i="15"/>
  <c r="EA13" i="15"/>
  <c r="CF8" i="15"/>
  <c r="CF20" i="15"/>
  <c r="EA15" i="15"/>
  <c r="CF6" i="15"/>
  <c r="EA10" i="15"/>
  <c r="CF19" i="15"/>
  <c r="EA17" i="15"/>
  <c r="CF17" i="15"/>
  <c r="EA6" i="15"/>
  <c r="EA5" i="15"/>
  <c r="CF5" i="15"/>
  <c r="D6" i="15"/>
  <c r="E6" i="15"/>
  <c r="F6" i="15"/>
  <c r="G6" i="15"/>
  <c r="H6" i="15"/>
  <c r="I6" i="15"/>
  <c r="D7" i="15"/>
  <c r="E7" i="15"/>
  <c r="F7" i="15"/>
  <c r="G7" i="15"/>
  <c r="H7" i="15"/>
  <c r="I7" i="15"/>
  <c r="D8" i="15"/>
  <c r="E8" i="15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I12" i="15"/>
  <c r="D13" i="15"/>
  <c r="E13" i="15"/>
  <c r="F13" i="15"/>
  <c r="G13" i="15"/>
  <c r="H13" i="15"/>
  <c r="I13" i="15"/>
  <c r="D14" i="15"/>
  <c r="E14" i="15"/>
  <c r="F14" i="15"/>
  <c r="G14" i="15"/>
  <c r="H14" i="15"/>
  <c r="I14" i="15"/>
  <c r="D15" i="15"/>
  <c r="E15" i="15"/>
  <c r="F15" i="15"/>
  <c r="G15" i="15"/>
  <c r="H15" i="15"/>
  <c r="I15" i="15"/>
  <c r="D16" i="15"/>
  <c r="E16" i="15"/>
  <c r="F16" i="15"/>
  <c r="G16" i="15"/>
  <c r="H16" i="15"/>
  <c r="I16" i="15"/>
  <c r="D17" i="15"/>
  <c r="E17" i="15"/>
  <c r="F17" i="15"/>
  <c r="G17" i="15"/>
  <c r="H17" i="15"/>
  <c r="I17" i="15"/>
  <c r="D18" i="15"/>
  <c r="E18" i="15"/>
  <c r="F18" i="15"/>
  <c r="G18" i="15"/>
  <c r="H18" i="15"/>
  <c r="I18" i="15"/>
  <c r="I5" i="15"/>
  <c r="H5" i="15"/>
  <c r="G5" i="15"/>
  <c r="F5" i="15"/>
  <c r="E5" i="15"/>
  <c r="D5" i="15"/>
  <c r="C5" i="15"/>
  <c r="BA7" i="15"/>
  <c r="BA18" i="15"/>
  <c r="R49" i="15"/>
  <c r="R48" i="15"/>
  <c r="R55" i="15" s="1"/>
  <c r="R47" i="15"/>
  <c r="S51" i="15" s="1"/>
  <c r="AA46" i="15"/>
  <c r="C46" i="15"/>
  <c r="AA45" i="15"/>
  <c r="C45" i="15"/>
  <c r="AA44" i="15"/>
  <c r="C44" i="15"/>
  <c r="AA43" i="15"/>
  <c r="C43" i="15"/>
  <c r="AA42" i="15"/>
  <c r="C42" i="15"/>
  <c r="AA41" i="15"/>
  <c r="C41" i="15"/>
  <c r="AA40" i="15"/>
  <c r="C40" i="15"/>
  <c r="AA39" i="15"/>
  <c r="C39" i="15"/>
  <c r="AA38" i="15"/>
  <c r="C38" i="15"/>
  <c r="AM37" i="15"/>
  <c r="AA37" i="15"/>
  <c r="C37" i="15"/>
  <c r="C36" i="15"/>
  <c r="C35" i="15"/>
  <c r="C34" i="15"/>
  <c r="C33" i="15"/>
  <c r="AS32" i="15"/>
  <c r="AV29" i="15"/>
  <c r="AV28" i="15"/>
  <c r="AV27" i="15"/>
  <c r="AV26" i="15"/>
  <c r="AP26" i="15"/>
  <c r="AV25" i="15"/>
  <c r="AP25" i="15"/>
  <c r="AM25" i="15"/>
  <c r="AL25" i="15"/>
  <c r="AB25" i="15"/>
  <c r="AA25" i="15"/>
  <c r="C25" i="15"/>
  <c r="AV24" i="15"/>
  <c r="AP24" i="15"/>
  <c r="AM24" i="15"/>
  <c r="AL24" i="15"/>
  <c r="AB24" i="15"/>
  <c r="AA24" i="15"/>
  <c r="C24" i="15"/>
  <c r="AV22" i="15"/>
  <c r="AK21" i="15"/>
  <c r="AI21" i="15"/>
  <c r="T21" i="15"/>
  <c r="R21" i="15"/>
  <c r="AM20" i="15"/>
  <c r="AL20" i="15"/>
  <c r="AH20" i="15"/>
  <c r="AG20" i="15"/>
  <c r="AE20" i="15"/>
  <c r="AD20" i="15"/>
  <c r="AB20" i="15"/>
  <c r="AA20" i="15"/>
  <c r="C20" i="15"/>
  <c r="AM19" i="15"/>
  <c r="AL19" i="15"/>
  <c r="AH19" i="15"/>
  <c r="AG19" i="15"/>
  <c r="AE19" i="15"/>
  <c r="AD19" i="15"/>
  <c r="AB19" i="15"/>
  <c r="AA19" i="15"/>
  <c r="C19" i="15"/>
  <c r="AM18" i="15"/>
  <c r="AA18" i="15"/>
  <c r="C18" i="15"/>
  <c r="AM17" i="15"/>
  <c r="AL17" i="15"/>
  <c r="AH17" i="15"/>
  <c r="AG17" i="15"/>
  <c r="AE17" i="15"/>
  <c r="AD17" i="15"/>
  <c r="AB17" i="15"/>
  <c r="AA17" i="15"/>
  <c r="C17" i="15"/>
  <c r="AM16" i="15"/>
  <c r="AA16" i="15"/>
  <c r="C16" i="15"/>
  <c r="AM15" i="15"/>
  <c r="AL15" i="15"/>
  <c r="AH15" i="15"/>
  <c r="AG15" i="15"/>
  <c r="AE15" i="15"/>
  <c r="AD15" i="15"/>
  <c r="AB15" i="15"/>
  <c r="AA15" i="15"/>
  <c r="C15" i="15"/>
  <c r="AM14" i="15"/>
  <c r="AL14" i="15"/>
  <c r="AH14" i="15"/>
  <c r="AG14" i="15"/>
  <c r="AE14" i="15"/>
  <c r="AD14" i="15"/>
  <c r="AB14" i="15"/>
  <c r="AA14" i="15"/>
  <c r="C14" i="15"/>
  <c r="AM13" i="15"/>
  <c r="AL13" i="15"/>
  <c r="AH13" i="15"/>
  <c r="AG13" i="15"/>
  <c r="AE13" i="15"/>
  <c r="AD13" i="15"/>
  <c r="AB13" i="15"/>
  <c r="AA13" i="15"/>
  <c r="C13" i="15"/>
  <c r="AM12" i="15"/>
  <c r="AA12" i="15"/>
  <c r="C12" i="15"/>
  <c r="AM11" i="15"/>
  <c r="AL11" i="15"/>
  <c r="AH11" i="15"/>
  <c r="AG11" i="15"/>
  <c r="AE11" i="15"/>
  <c r="AD11" i="15"/>
  <c r="AB11" i="15"/>
  <c r="AA11" i="15"/>
  <c r="C11" i="15"/>
  <c r="AM10" i="15"/>
  <c r="AL10" i="15"/>
  <c r="AH10" i="15"/>
  <c r="AG10" i="15"/>
  <c r="AE10" i="15"/>
  <c r="AD10" i="15"/>
  <c r="AB10" i="15"/>
  <c r="AA10" i="15"/>
  <c r="C10" i="15"/>
  <c r="AM9" i="15"/>
  <c r="AA9" i="15"/>
  <c r="C9" i="15"/>
  <c r="AM8" i="15"/>
  <c r="AL8" i="15"/>
  <c r="AH8" i="15"/>
  <c r="AG8" i="15"/>
  <c r="AE8" i="15"/>
  <c r="AD8" i="15"/>
  <c r="AB8" i="15"/>
  <c r="AA8" i="15"/>
  <c r="C8" i="15"/>
  <c r="AM7" i="15"/>
  <c r="AA7" i="15"/>
  <c r="C7" i="15"/>
  <c r="AM6" i="15"/>
  <c r="AL6" i="15"/>
  <c r="AH6" i="15"/>
  <c r="AG6" i="15"/>
  <c r="AE6" i="15"/>
  <c r="AD6" i="15"/>
  <c r="AB6" i="15"/>
  <c r="AA6" i="15"/>
  <c r="C6" i="15"/>
  <c r="AM5" i="15"/>
  <c r="AL5" i="15"/>
  <c r="AH5" i="15"/>
  <c r="AG5" i="15"/>
  <c r="AE5" i="15"/>
  <c r="AD5" i="15"/>
  <c r="AB5" i="15"/>
  <c r="AA5" i="15"/>
  <c r="AVN446" i="1" l="1"/>
  <c r="AVO446" i="1" s="1"/>
  <c r="AVN451" i="1"/>
  <c r="AVO451" i="1" s="1"/>
  <c r="AVN448" i="1"/>
  <c r="AVO448" i="1" s="1"/>
  <c r="AB26" i="15"/>
  <c r="AA26" i="15"/>
  <c r="AC20" i="15"/>
  <c r="AC19" i="15"/>
  <c r="AC5" i="15"/>
  <c r="AF15" i="15"/>
  <c r="C48" i="15"/>
  <c r="AF8" i="15"/>
  <c r="AC14" i="15"/>
  <c r="AF13" i="15"/>
  <c r="AC15" i="15"/>
  <c r="AF19" i="15"/>
  <c r="AM26" i="15"/>
  <c r="AF6" i="15"/>
  <c r="AC8" i="15"/>
  <c r="AF10" i="15"/>
  <c r="AF14" i="15"/>
  <c r="AF17" i="15"/>
  <c r="AF20" i="15"/>
  <c r="AA21" i="15"/>
  <c r="AM21" i="15"/>
  <c r="AF11" i="15"/>
  <c r="AC13" i="15"/>
  <c r="C26" i="15"/>
  <c r="C21" i="15"/>
  <c r="AC10" i="15"/>
  <c r="AC11" i="15"/>
  <c r="AF5" i="15"/>
  <c r="AC6" i="15"/>
  <c r="C49" i="15"/>
  <c r="AC17" i="15"/>
  <c r="AL26" i="15"/>
  <c r="C47" i="15"/>
  <c r="S58" i="2"/>
  <c r="AJ20" i="15" l="1"/>
  <c r="AJ19" i="15"/>
  <c r="AJ13" i="15"/>
  <c r="AJ15" i="15"/>
  <c r="AJ14" i="15"/>
  <c r="AJ11" i="15"/>
  <c r="AJ8" i="15"/>
  <c r="AJ6" i="15"/>
  <c r="AJ17" i="15"/>
  <c r="AJ10" i="15"/>
  <c r="AJ5" i="15"/>
  <c r="AU162" i="12" l="1"/>
  <c r="AU163" i="12"/>
  <c r="AU165" i="12"/>
  <c r="AU166" i="12"/>
  <c r="AU168" i="12"/>
  <c r="AU169" i="12"/>
  <c r="AU171" i="12"/>
  <c r="AU172" i="12"/>
  <c r="AU174" i="12"/>
  <c r="AU175" i="12"/>
  <c r="AU177" i="12"/>
  <c r="AU178" i="12"/>
  <c r="AU180" i="12"/>
  <c r="AU181" i="12"/>
  <c r="AU183" i="12"/>
  <c r="AU184" i="12"/>
  <c r="AU186" i="12"/>
  <c r="AU187" i="12"/>
  <c r="AU189" i="12"/>
  <c r="AU190" i="12"/>
  <c r="AU192" i="12"/>
  <c r="AU193" i="12"/>
  <c r="AU195" i="12"/>
  <c r="AU196" i="12"/>
  <c r="AU198" i="12"/>
  <c r="AU199" i="12"/>
  <c r="AU201" i="12"/>
  <c r="AU202" i="12"/>
  <c r="AU204" i="12"/>
  <c r="AU205" i="12"/>
  <c r="AU207" i="12"/>
  <c r="AU208" i="12"/>
  <c r="AU210" i="12"/>
  <c r="AU211" i="12"/>
  <c r="AU213" i="12"/>
  <c r="AU214" i="12"/>
  <c r="L42" i="3" l="1"/>
  <c r="L41" i="3"/>
  <c r="L40" i="3"/>
  <c r="J31" i="3"/>
  <c r="L33" i="3"/>
  <c r="L32" i="3"/>
  <c r="L31" i="3"/>
  <c r="L30" i="3"/>
  <c r="L29" i="3"/>
  <c r="Z93" i="1" s="1"/>
  <c r="L25" i="3"/>
  <c r="Z367" i="1" s="1"/>
  <c r="AV367" i="1" s="1"/>
  <c r="BR367" i="1" s="1"/>
  <c r="AVA367" i="1" s="1"/>
  <c r="L20" i="3"/>
  <c r="J20" i="3"/>
  <c r="J25" i="3"/>
  <c r="X367" i="1" s="1"/>
  <c r="J30" i="3"/>
  <c r="J29" i="3"/>
  <c r="X93" i="1" s="1"/>
  <c r="J32" i="3"/>
  <c r="J33" i="3"/>
  <c r="J40" i="3"/>
  <c r="J41" i="3"/>
  <c r="J42" i="3"/>
  <c r="AT367" i="1" l="1"/>
  <c r="X384" i="1"/>
  <c r="AT384" i="1" s="1"/>
  <c r="BP384" i="1" s="1"/>
  <c r="AUY384" i="1" s="1"/>
  <c r="X383" i="1"/>
  <c r="AT383" i="1" s="1"/>
  <c r="BP383" i="1" s="1"/>
  <c r="AUY383" i="1" s="1"/>
  <c r="X353" i="1"/>
  <c r="AT353" i="1" s="1"/>
  <c r="BP353" i="1" s="1"/>
  <c r="X6" i="1"/>
  <c r="AT6" i="1" s="1"/>
  <c r="BP6" i="1" s="1"/>
  <c r="AUY6" i="1" s="1"/>
  <c r="Z6" i="1"/>
  <c r="AV6" i="1" s="1"/>
  <c r="BR6" i="1" s="1"/>
  <c r="Z384" i="1"/>
  <c r="AV384" i="1" s="1"/>
  <c r="BR384" i="1" s="1"/>
  <c r="Z383" i="1"/>
  <c r="AV383" i="1" s="1"/>
  <c r="BR383" i="1" s="1"/>
  <c r="Z353" i="1"/>
  <c r="AV353" i="1" s="1"/>
  <c r="BR353" i="1" s="1"/>
  <c r="X50" i="1"/>
  <c r="X8" i="1"/>
  <c r="X33" i="1"/>
  <c r="X62" i="1"/>
  <c r="X32" i="1"/>
  <c r="X19" i="1"/>
  <c r="X31" i="1"/>
  <c r="X35" i="1"/>
  <c r="X51" i="1"/>
  <c r="X113" i="1"/>
  <c r="X47" i="1"/>
  <c r="X111" i="1"/>
  <c r="X98" i="1"/>
  <c r="X207" i="1"/>
  <c r="X220" i="1"/>
  <c r="X206" i="1"/>
  <c r="X235" i="1"/>
  <c r="X290" i="1"/>
  <c r="X228" i="1"/>
  <c r="X237" i="1"/>
  <c r="X301" i="1"/>
  <c r="X205" i="1"/>
  <c r="X386" i="1"/>
  <c r="X398" i="1"/>
  <c r="X418" i="1"/>
  <c r="X385" i="1"/>
  <c r="X400" i="1"/>
  <c r="X67" i="1"/>
  <c r="X65" i="1"/>
  <c r="X81" i="1"/>
  <c r="X83" i="1"/>
  <c r="X355" i="1"/>
  <c r="X365" i="1"/>
  <c r="X371" i="1"/>
  <c r="X411" i="1"/>
  <c r="X431" i="1"/>
  <c r="AT431" i="1" s="1"/>
  <c r="BP431" i="1" s="1"/>
  <c r="AUY431" i="1" s="1"/>
  <c r="X274" i="1"/>
  <c r="X457" i="1" s="1"/>
  <c r="Z32" i="1"/>
  <c r="Z19" i="1"/>
  <c r="Z31" i="1"/>
  <c r="Z35" i="1"/>
  <c r="Z47" i="1"/>
  <c r="Z51" i="1"/>
  <c r="Z50" i="1"/>
  <c r="Z8" i="1"/>
  <c r="Z62" i="1"/>
  <c r="Z111" i="1"/>
  <c r="Z33" i="1"/>
  <c r="Z98" i="1"/>
  <c r="Z113" i="1"/>
  <c r="Z205" i="1"/>
  <c r="Z206" i="1"/>
  <c r="Z220" i="1"/>
  <c r="Z228" i="1"/>
  <c r="Z237" i="1"/>
  <c r="Z301" i="1"/>
  <c r="Z207" i="1"/>
  <c r="Z235" i="1"/>
  <c r="Z290" i="1"/>
  <c r="Z400" i="1"/>
  <c r="Z386" i="1"/>
  <c r="Z398" i="1"/>
  <c r="Z418" i="1"/>
  <c r="Z385" i="1"/>
  <c r="Z65" i="1"/>
  <c r="Z67" i="1"/>
  <c r="Z83" i="1"/>
  <c r="Z81" i="1"/>
  <c r="Z365" i="1"/>
  <c r="Z371" i="1"/>
  <c r="Z411" i="1"/>
  <c r="Z355" i="1"/>
  <c r="Z431" i="1"/>
  <c r="AV431" i="1" s="1"/>
  <c r="BR431" i="1" s="1"/>
  <c r="Z274" i="1"/>
  <c r="Z457" i="1" s="1"/>
  <c r="R10" i="14"/>
  <c r="R7" i="14"/>
  <c r="R6" i="14"/>
  <c r="R5" i="14"/>
  <c r="R4" i="14"/>
  <c r="AUY353" i="1" l="1"/>
  <c r="CL353" i="1"/>
  <c r="CN353" i="1"/>
  <c r="BP367" i="1"/>
  <c r="Z456" i="1"/>
  <c r="Z458" i="1" s="1"/>
  <c r="Z459" i="1" s="1"/>
  <c r="N261" i="12"/>
  <c r="N252" i="12"/>
  <c r="N243" i="12"/>
  <c r="N234" i="12"/>
  <c r="N225" i="12"/>
  <c r="N216" i="12"/>
  <c r="N207" i="12"/>
  <c r="N198" i="12"/>
  <c r="N270" i="12"/>
  <c r="N189" i="12"/>
  <c r="N144" i="12"/>
  <c r="N258" i="12"/>
  <c r="N249" i="12"/>
  <c r="N240" i="12"/>
  <c r="N231" i="12"/>
  <c r="N213" i="12"/>
  <c r="N204" i="12"/>
  <c r="N195" i="12"/>
  <c r="N267" i="12"/>
  <c r="N141" i="12"/>
  <c r="N123" i="12"/>
  <c r="N150" i="12"/>
  <c r="S25" i="2"/>
  <c r="E23" i="2"/>
  <c r="F23" i="2" s="1"/>
  <c r="E24" i="2"/>
  <c r="F24" i="2" s="1"/>
  <c r="AUY367" i="1" l="1"/>
  <c r="W27" i="2"/>
  <c r="U25" i="2"/>
  <c r="N132" i="12"/>
  <c r="N186" i="12"/>
  <c r="N99" i="12"/>
  <c r="N18" i="12"/>
  <c r="N162" i="12"/>
  <c r="N126" i="12"/>
  <c r="N177" i="12"/>
  <c r="N42" i="12"/>
  <c r="N114" i="12"/>
  <c r="N153" i="12"/>
  <c r="N171" i="12"/>
  <c r="N81" i="12"/>
  <c r="N90" i="12"/>
  <c r="N135" i="12"/>
  <c r="N108" i="12"/>
  <c r="N54" i="12"/>
  <c r="N180" i="12"/>
  <c r="N9" i="12"/>
  <c r="N27" i="12"/>
  <c r="N36" i="12"/>
  <c r="N45" i="12"/>
  <c r="N72" i="12"/>
  <c r="N63" i="12"/>
  <c r="N117" i="12"/>
  <c r="N96" i="12"/>
  <c r="N15" i="12"/>
  <c r="N51" i="12"/>
  <c r="N69" i="12"/>
  <c r="N168" i="12"/>
  <c r="N78" i="12"/>
  <c r="N222" i="12"/>
  <c r="N105" i="12"/>
  <c r="N6" i="12"/>
  <c r="N24" i="12"/>
  <c r="N159" i="12"/>
  <c r="N87" i="12"/>
  <c r="N33" i="12"/>
  <c r="N60" i="12"/>
  <c r="Y159" i="12"/>
  <c r="P141" i="12"/>
  <c r="X141" i="12"/>
  <c r="Q132" i="12"/>
  <c r="S132" i="12"/>
  <c r="U132" i="12"/>
  <c r="W132" i="12"/>
  <c r="Y132" i="12"/>
  <c r="V204" i="12"/>
  <c r="V213" i="12"/>
  <c r="AC222" i="12"/>
  <c r="S231" i="12"/>
  <c r="W231" i="12"/>
  <c r="P240" i="12"/>
  <c r="X240" i="12"/>
  <c r="U249" i="12"/>
  <c r="R258" i="12"/>
  <c r="U153" i="12"/>
  <c r="R162" i="12"/>
  <c r="V162" i="12"/>
  <c r="AC72" i="12"/>
  <c r="R144" i="12"/>
  <c r="V144" i="12"/>
  <c r="P135" i="12"/>
  <c r="X135" i="12"/>
  <c r="AC189" i="12"/>
  <c r="U270" i="12"/>
  <c r="Y270" i="12"/>
  <c r="V225" i="12"/>
  <c r="Q252" i="12"/>
  <c r="U252" i="12"/>
  <c r="Y252" i="12"/>
  <c r="AC252" i="12"/>
  <c r="Q150" i="12"/>
  <c r="U150" i="12"/>
  <c r="W150" i="12"/>
  <c r="Y150" i="12"/>
  <c r="AC150" i="12"/>
  <c r="AC42" i="12"/>
  <c r="AC159" i="12"/>
  <c r="AC51" i="12"/>
  <c r="AC69" i="12"/>
  <c r="Q168" i="12"/>
  <c r="S168" i="12"/>
  <c r="U168" i="12"/>
  <c r="W168" i="12"/>
  <c r="Y168" i="12"/>
  <c r="AC168" i="12"/>
  <c r="S141" i="12"/>
  <c r="AC132" i="12"/>
  <c r="P186" i="12"/>
  <c r="X186" i="12"/>
  <c r="R267" i="12"/>
  <c r="V267" i="12"/>
  <c r="W267" i="12"/>
  <c r="Q204" i="12"/>
  <c r="W213" i="12"/>
  <c r="Q222" i="12"/>
  <c r="S222" i="12"/>
  <c r="U222" i="12"/>
  <c r="W222" i="12"/>
  <c r="Y222" i="12"/>
  <c r="AC231" i="12"/>
  <c r="Y240" i="12"/>
  <c r="AC249" i="12"/>
  <c r="AC9" i="12"/>
  <c r="AC18" i="12"/>
  <c r="AC153" i="12"/>
  <c r="R171" i="12"/>
  <c r="V171" i="12"/>
  <c r="W189" i="12"/>
  <c r="P270" i="12"/>
  <c r="V270" i="12"/>
  <c r="X270" i="12"/>
  <c r="AC270" i="12"/>
  <c r="Q270" i="12"/>
  <c r="Q216" i="12"/>
  <c r="U216" i="12"/>
  <c r="Y216" i="12"/>
  <c r="Q225" i="12"/>
  <c r="W225" i="12"/>
  <c r="AC225" i="12"/>
  <c r="S234" i="12"/>
  <c r="W234" i="12"/>
  <c r="U243" i="12"/>
  <c r="Y243" i="12"/>
  <c r="R261" i="12"/>
  <c r="AC177" i="12"/>
  <c r="S150" i="12"/>
  <c r="AC33" i="12"/>
  <c r="AC105" i="12"/>
  <c r="AC15" i="12"/>
  <c r="P150" i="12"/>
  <c r="R150" i="12"/>
  <c r="V150" i="12"/>
  <c r="X150" i="12"/>
  <c r="Q159" i="12"/>
  <c r="S159" i="12"/>
  <c r="U159" i="12"/>
  <c r="W159" i="12"/>
  <c r="R168" i="12"/>
  <c r="V168" i="12"/>
  <c r="X168" i="12"/>
  <c r="AC114" i="12"/>
  <c r="R132" i="12"/>
  <c r="V132" i="12"/>
  <c r="Q267" i="12"/>
  <c r="S267" i="12"/>
  <c r="U267" i="12"/>
  <c r="Y267" i="12"/>
  <c r="AC267" i="12"/>
  <c r="S204" i="12"/>
  <c r="W204" i="12"/>
  <c r="P213" i="12"/>
  <c r="X213" i="12"/>
  <c r="R222" i="12"/>
  <c r="X222" i="12"/>
  <c r="R231" i="12"/>
  <c r="V231" i="12"/>
  <c r="X231" i="12"/>
  <c r="Q240" i="12"/>
  <c r="S240" i="12"/>
  <c r="W240" i="12"/>
  <c r="S249" i="12"/>
  <c r="W249" i="12"/>
  <c r="P258" i="12"/>
  <c r="X258" i="12"/>
  <c r="AC258" i="12"/>
  <c r="S153" i="12"/>
  <c r="W153" i="12"/>
  <c r="Q162" i="12"/>
  <c r="S162" i="12"/>
  <c r="U162" i="12"/>
  <c r="W162" i="12"/>
  <c r="Y162" i="12"/>
  <c r="S171" i="12"/>
  <c r="W171" i="12"/>
  <c r="AC81" i="12"/>
  <c r="AC117" i="12"/>
  <c r="Q144" i="12"/>
  <c r="S144" i="12"/>
  <c r="U144" i="12"/>
  <c r="W144" i="12"/>
  <c r="Y144" i="12"/>
  <c r="AC135" i="12"/>
  <c r="Q189" i="12"/>
  <c r="U189" i="12"/>
  <c r="S270" i="12"/>
  <c r="W270" i="12"/>
  <c r="AC198" i="12"/>
  <c r="R207" i="12"/>
  <c r="V207" i="12"/>
  <c r="AC207" i="12"/>
  <c r="R216" i="12"/>
  <c r="V216" i="12"/>
  <c r="X216" i="12"/>
  <c r="S225" i="12"/>
  <c r="P234" i="12"/>
  <c r="R234" i="12"/>
  <c r="V234" i="12"/>
  <c r="X234" i="12"/>
  <c r="AC234" i="12"/>
  <c r="R243" i="12"/>
  <c r="V243" i="12"/>
  <c r="R252" i="12"/>
  <c r="V252" i="12"/>
  <c r="X252" i="12"/>
  <c r="P261" i="12"/>
  <c r="X261" i="12"/>
  <c r="AC261" i="12"/>
  <c r="AC96" i="12"/>
  <c r="AC6" i="12"/>
  <c r="AC24" i="12"/>
  <c r="R159" i="12"/>
  <c r="V159" i="12"/>
  <c r="X159" i="12"/>
  <c r="AC60" i="12"/>
  <c r="AC78" i="12"/>
  <c r="AC87" i="12"/>
  <c r="AC123" i="12"/>
  <c r="Q141" i="12"/>
  <c r="U141" i="12"/>
  <c r="W141" i="12"/>
  <c r="Y141" i="12"/>
  <c r="AC141" i="12"/>
  <c r="R141" i="12"/>
  <c r="V141" i="12"/>
  <c r="X132" i="12"/>
  <c r="Q186" i="12"/>
  <c r="S186" i="12"/>
  <c r="U186" i="12"/>
  <c r="W186" i="12"/>
  <c r="Y186" i="12"/>
  <c r="AC186" i="12"/>
  <c r="R186" i="12"/>
  <c r="V186" i="12"/>
  <c r="X267" i="12"/>
  <c r="AC195" i="12"/>
  <c r="R204" i="12"/>
  <c r="X204" i="12"/>
  <c r="U204" i="12"/>
  <c r="Y204" i="12"/>
  <c r="AC204" i="12"/>
  <c r="Q213" i="12"/>
  <c r="S213" i="12"/>
  <c r="U213" i="12"/>
  <c r="Y213" i="12"/>
  <c r="AC213" i="12"/>
  <c r="R213" i="12"/>
  <c r="V222" i="12"/>
  <c r="Q231" i="12"/>
  <c r="U231" i="12"/>
  <c r="Y231" i="12"/>
  <c r="P231" i="12"/>
  <c r="R240" i="12"/>
  <c r="V240" i="12"/>
  <c r="AC240" i="12"/>
  <c r="U240" i="12"/>
  <c r="R249" i="12"/>
  <c r="V249" i="12"/>
  <c r="X249" i="12"/>
  <c r="Q249" i="12"/>
  <c r="Y249" i="12"/>
  <c r="Q258" i="12"/>
  <c r="S258" i="12"/>
  <c r="U258" i="12"/>
  <c r="W258" i="12"/>
  <c r="Y258" i="12"/>
  <c r="V258" i="12"/>
  <c r="AC99" i="12"/>
  <c r="AC108" i="12"/>
  <c r="AC180" i="12"/>
  <c r="AC27" i="12"/>
  <c r="P153" i="12"/>
  <c r="R153" i="12"/>
  <c r="V153" i="12"/>
  <c r="X153" i="12"/>
  <c r="Q153" i="12"/>
  <c r="Y153" i="12"/>
  <c r="AC36" i="12"/>
  <c r="AC45" i="12"/>
  <c r="P162" i="12"/>
  <c r="X162" i="12"/>
  <c r="AC162" i="12"/>
  <c r="AC63" i="12"/>
  <c r="AC54" i="12"/>
  <c r="P171" i="12"/>
  <c r="X171" i="12"/>
  <c r="Q171" i="12"/>
  <c r="U171" i="12"/>
  <c r="Y171" i="12"/>
  <c r="AC171" i="12"/>
  <c r="AC90" i="12"/>
  <c r="AC126" i="12"/>
  <c r="P144" i="12"/>
  <c r="X144" i="12"/>
  <c r="AC144" i="12"/>
  <c r="Q135" i="12"/>
  <c r="S135" i="12"/>
  <c r="U135" i="12"/>
  <c r="W135" i="12"/>
  <c r="Y135" i="12"/>
  <c r="R135" i="12"/>
  <c r="V135" i="12"/>
  <c r="P189" i="12"/>
  <c r="R189" i="12"/>
  <c r="V189" i="12"/>
  <c r="X189" i="12"/>
  <c r="S189" i="12"/>
  <c r="Y189" i="12"/>
  <c r="R270" i="12"/>
  <c r="Q207" i="12"/>
  <c r="S207" i="12"/>
  <c r="U207" i="12"/>
  <c r="W207" i="12"/>
  <c r="Y207" i="12"/>
  <c r="P207" i="12"/>
  <c r="X207" i="12"/>
  <c r="S216" i="12"/>
  <c r="W216" i="12"/>
  <c r="AC216" i="12"/>
  <c r="R225" i="12"/>
  <c r="X225" i="12"/>
  <c r="U225" i="12"/>
  <c r="Y225" i="12"/>
  <c r="Q234" i="12"/>
  <c r="U234" i="12"/>
  <c r="Y234" i="12"/>
  <c r="Q243" i="12"/>
  <c r="S243" i="12"/>
  <c r="W243" i="12"/>
  <c r="X243" i="12"/>
  <c r="AC243" i="12"/>
  <c r="S252" i="12"/>
  <c r="W252" i="12"/>
  <c r="Q261" i="12"/>
  <c r="S261" i="12"/>
  <c r="U261" i="12"/>
  <c r="W261" i="12"/>
  <c r="Y261" i="12"/>
  <c r="V261" i="12"/>
  <c r="AB28" i="2"/>
  <c r="AB29" i="2"/>
  <c r="AB30" i="2"/>
  <c r="S60" i="2"/>
  <c r="S59" i="2"/>
  <c r="S68" i="2" s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44" i="2"/>
  <c r="E9" i="2"/>
  <c r="F9" i="2" s="1"/>
  <c r="O243" i="12" l="1"/>
  <c r="P243" i="12"/>
  <c r="T144" i="12"/>
  <c r="Z240" i="12"/>
  <c r="T204" i="12"/>
  <c r="T189" i="12"/>
  <c r="T249" i="12"/>
  <c r="P168" i="12"/>
  <c r="I213" i="12"/>
  <c r="Z207" i="12"/>
  <c r="T153" i="12"/>
  <c r="AA171" i="12"/>
  <c r="O207" i="12"/>
  <c r="T225" i="12"/>
  <c r="I258" i="12"/>
  <c r="T159" i="12"/>
  <c r="AB204" i="12"/>
  <c r="Z153" i="12"/>
  <c r="I240" i="12"/>
  <c r="P249" i="12"/>
  <c r="O267" i="12"/>
  <c r="AA213" i="12"/>
  <c r="O204" i="12"/>
  <c r="I141" i="12"/>
  <c r="O141" i="12"/>
  <c r="Z261" i="12"/>
  <c r="O252" i="12"/>
  <c r="Z216" i="12"/>
  <c r="P225" i="12"/>
  <c r="P216" i="12"/>
  <c r="AA270" i="12"/>
  <c r="O135" i="12"/>
  <c r="O171" i="12"/>
  <c r="O258" i="12"/>
  <c r="P222" i="12"/>
  <c r="O213" i="12"/>
  <c r="Z258" i="12"/>
  <c r="O249" i="12"/>
  <c r="T240" i="12"/>
  <c r="P267" i="12"/>
  <c r="P204" i="12"/>
  <c r="Z141" i="12"/>
  <c r="P132" i="12"/>
  <c r="T141" i="12"/>
  <c r="O150" i="12"/>
  <c r="Z204" i="12"/>
  <c r="Z243" i="12"/>
  <c r="I243" i="12"/>
  <c r="P252" i="12"/>
  <c r="I207" i="12"/>
  <c r="O216" i="12"/>
  <c r="T207" i="12"/>
  <c r="O189" i="12"/>
  <c r="Z189" i="12"/>
  <c r="T135" i="12"/>
  <c r="Z144" i="12"/>
  <c r="O144" i="12"/>
  <c r="I171" i="12"/>
  <c r="T270" i="12"/>
  <c r="T171" i="12"/>
  <c r="Z186" i="12"/>
  <c r="T261" i="12"/>
  <c r="T234" i="12"/>
  <c r="O270" i="12"/>
  <c r="T258" i="12"/>
  <c r="T231" i="12"/>
  <c r="Z213" i="12"/>
  <c r="O159" i="12"/>
  <c r="T150" i="12"/>
  <c r="AA204" i="12"/>
  <c r="Z267" i="12"/>
  <c r="O132" i="12"/>
  <c r="O168" i="12"/>
  <c r="Z168" i="12"/>
  <c r="O261" i="12"/>
  <c r="O153" i="12"/>
  <c r="T162" i="12"/>
  <c r="T267" i="12"/>
  <c r="O186" i="12"/>
  <c r="P159" i="12"/>
  <c r="T252" i="12"/>
  <c r="T216" i="12"/>
  <c r="Z171" i="12"/>
  <c r="O240" i="12"/>
  <c r="T222" i="12"/>
  <c r="T213" i="12"/>
  <c r="T132" i="12"/>
  <c r="T168" i="12"/>
  <c r="T186" i="12"/>
  <c r="T243" i="12"/>
  <c r="E60" i="2"/>
  <c r="E59" i="2"/>
  <c r="E58" i="2"/>
  <c r="Z270" i="12" l="1"/>
  <c r="I150" i="12"/>
  <c r="I261" i="12"/>
  <c r="AA135" i="12"/>
  <c r="Z135" i="12"/>
  <c r="AB261" i="12"/>
  <c r="Z132" i="12"/>
  <c r="J213" i="12"/>
  <c r="I222" i="12"/>
  <c r="AA258" i="12"/>
  <c r="AB240" i="12"/>
  <c r="O231" i="12"/>
  <c r="I252" i="12"/>
  <c r="J243" i="12"/>
  <c r="AA144" i="12"/>
  <c r="O234" i="12"/>
  <c r="I204" i="12"/>
  <c r="AA240" i="12"/>
  <c r="J150" i="12"/>
  <c r="Z150" i="12"/>
  <c r="I132" i="12"/>
  <c r="Z222" i="12"/>
  <c r="I231" i="12"/>
  <c r="AA267" i="12"/>
  <c r="Z231" i="12"/>
  <c r="Z249" i="12"/>
  <c r="I144" i="12"/>
  <c r="I135" i="12"/>
  <c r="I225" i="12"/>
  <c r="I216" i="12"/>
  <c r="Z234" i="12"/>
  <c r="J261" i="12"/>
  <c r="Z252" i="12"/>
  <c r="AA189" i="12"/>
  <c r="J171" i="12"/>
  <c r="AA216" i="12"/>
  <c r="Z225" i="12"/>
  <c r="I234" i="12"/>
  <c r="I159" i="12"/>
  <c r="Z159" i="12"/>
  <c r="AB213" i="12"/>
  <c r="Z162" i="12"/>
  <c r="AB270" i="12"/>
  <c r="AA168" i="12"/>
  <c r="J141" i="12"/>
  <c r="AA141" i="12"/>
  <c r="I267" i="12"/>
  <c r="I168" i="12"/>
  <c r="J240" i="12"/>
  <c r="I249" i="12"/>
  <c r="J207" i="12"/>
  <c r="I162" i="12"/>
  <c r="I189" i="12"/>
  <c r="AA261" i="12"/>
  <c r="AA243" i="12"/>
  <c r="AA153" i="12"/>
  <c r="I153" i="12"/>
  <c r="AB216" i="12"/>
  <c r="I270" i="12"/>
  <c r="AA186" i="12"/>
  <c r="I186" i="12"/>
  <c r="J186" i="12"/>
  <c r="AA207" i="12" l="1"/>
  <c r="AB171" i="12"/>
  <c r="K258" i="12"/>
  <c r="AB186" i="12"/>
  <c r="J258" i="12"/>
  <c r="K132" i="12"/>
  <c r="J168" i="12"/>
  <c r="AA150" i="12"/>
  <c r="AA249" i="12"/>
  <c r="J267" i="12"/>
  <c r="J249" i="12"/>
  <c r="J144" i="12"/>
  <c r="J135" i="12"/>
  <c r="AA252" i="12"/>
  <c r="O162" i="12"/>
  <c r="J225" i="12"/>
  <c r="J204" i="12"/>
  <c r="AA231" i="12"/>
  <c r="K222" i="12"/>
  <c r="J222" i="12"/>
  <c r="AA132" i="12"/>
  <c r="AA225" i="12"/>
  <c r="AA234" i="12"/>
  <c r="J252" i="12"/>
  <c r="J270" i="12"/>
  <c r="AB243" i="12"/>
  <c r="K207" i="12"/>
  <c r="K240" i="12"/>
  <c r="K141" i="12"/>
  <c r="K171" i="12"/>
  <c r="AB189" i="12"/>
  <c r="AB267" i="12"/>
  <c r="AA159" i="12"/>
  <c r="K150" i="12"/>
  <c r="AB144" i="12"/>
  <c r="AB153" i="12"/>
  <c r="AA222" i="12"/>
  <c r="J231" i="12"/>
  <c r="J132" i="12"/>
  <c r="J234" i="12"/>
  <c r="J189" i="12"/>
  <c r="J162" i="12"/>
  <c r="J153" i="12"/>
  <c r="J216" i="12"/>
  <c r="AB207" i="12"/>
  <c r="AB141" i="12"/>
  <c r="AB168" i="12"/>
  <c r="K261" i="12"/>
  <c r="K243" i="12"/>
  <c r="AA162" i="12"/>
  <c r="J159" i="12"/>
  <c r="AB258" i="12"/>
  <c r="K213" i="12"/>
  <c r="AB135" i="12" l="1"/>
  <c r="K159" i="12"/>
  <c r="AB159" i="12"/>
  <c r="K186" i="12"/>
  <c r="AB162" i="12"/>
  <c r="K225" i="12"/>
  <c r="K153" i="12"/>
  <c r="K231" i="12"/>
  <c r="AB222" i="12"/>
  <c r="K270" i="12"/>
  <c r="AB231" i="12"/>
  <c r="AB252" i="12"/>
  <c r="K144" i="12"/>
  <c r="K267" i="12"/>
  <c r="AB150" i="12"/>
  <c r="K162" i="12"/>
  <c r="K216" i="12"/>
  <c r="K189" i="12"/>
  <c r="K234" i="12"/>
  <c r="K252" i="12"/>
  <c r="AB234" i="12"/>
  <c r="AB225" i="12"/>
  <c r="AB132" i="12"/>
  <c r="K204" i="12"/>
  <c r="K135" i="12"/>
  <c r="K249" i="12"/>
  <c r="AB249" i="12"/>
  <c r="K168" i="12"/>
  <c r="U420" i="1" l="1"/>
  <c r="AV420" i="1"/>
  <c r="BR420" i="1" s="1"/>
  <c r="AX420" i="1"/>
  <c r="BT420" i="1" s="1"/>
  <c r="AVC420" i="1" s="1"/>
  <c r="AY420" i="1"/>
  <c r="BU420" i="1" s="1"/>
  <c r="AVD420" i="1" s="1"/>
  <c r="AZ420" i="1"/>
  <c r="BV420" i="1" s="1"/>
  <c r="AVE420" i="1" s="1"/>
  <c r="BA420" i="1"/>
  <c r="BW420" i="1" s="1"/>
  <c r="AVF420" i="1" s="1"/>
  <c r="BB420" i="1"/>
  <c r="BC420" i="1"/>
  <c r="BY420" i="1" s="1"/>
  <c r="AVH420" i="1" s="1"/>
  <c r="BD420" i="1"/>
  <c r="BZ420" i="1" s="1"/>
  <c r="AVI420" i="1" s="1"/>
  <c r="BE420" i="1"/>
  <c r="CA420" i="1" s="1"/>
  <c r="AVJ420" i="1" s="1"/>
  <c r="BF420" i="1"/>
  <c r="CB420" i="1" s="1"/>
  <c r="AVK420" i="1" s="1"/>
  <c r="BG420" i="1"/>
  <c r="CC420" i="1" s="1"/>
  <c r="AVL420" i="1" s="1"/>
  <c r="BK420" i="1"/>
  <c r="CG420" i="1" s="1"/>
  <c r="AVP420" i="1" s="1"/>
  <c r="U421" i="1"/>
  <c r="AV421" i="1"/>
  <c r="BR421" i="1" s="1"/>
  <c r="AX421" i="1"/>
  <c r="BT421" i="1" s="1"/>
  <c r="AY421" i="1"/>
  <c r="BU421" i="1" s="1"/>
  <c r="AZ421" i="1"/>
  <c r="BV421" i="1" s="1"/>
  <c r="BA421" i="1"/>
  <c r="BW421" i="1" s="1"/>
  <c r="BB421" i="1"/>
  <c r="BC421" i="1"/>
  <c r="BY421" i="1" s="1"/>
  <c r="BD421" i="1"/>
  <c r="BZ421" i="1" s="1"/>
  <c r="BE421" i="1"/>
  <c r="CA421" i="1" s="1"/>
  <c r="BF421" i="1"/>
  <c r="CB421" i="1" s="1"/>
  <c r="BG421" i="1"/>
  <c r="CC421" i="1" s="1"/>
  <c r="BK421" i="1"/>
  <c r="CG421" i="1" s="1"/>
  <c r="U422" i="1"/>
  <c r="AV422" i="1"/>
  <c r="BR422" i="1" s="1"/>
  <c r="AY422" i="1"/>
  <c r="BU422" i="1" s="1"/>
  <c r="AZ422" i="1"/>
  <c r="BV422" i="1" s="1"/>
  <c r="BA422" i="1"/>
  <c r="BW422" i="1" s="1"/>
  <c r="BB422" i="1"/>
  <c r="BC422" i="1"/>
  <c r="BY422" i="1" s="1"/>
  <c r="BD422" i="1"/>
  <c r="BZ422" i="1" s="1"/>
  <c r="BE422" i="1"/>
  <c r="CA422" i="1" s="1"/>
  <c r="BF422" i="1"/>
  <c r="CB422" i="1" s="1"/>
  <c r="BG422" i="1"/>
  <c r="CC422" i="1" s="1"/>
  <c r="BK422" i="1"/>
  <c r="CG422" i="1" s="1"/>
  <c r="AV423" i="1"/>
  <c r="BR423" i="1" s="1"/>
  <c r="BK423" i="1"/>
  <c r="CG423" i="1" s="1"/>
  <c r="AVP423" i="1" s="1"/>
  <c r="U424" i="1"/>
  <c r="AV424" i="1"/>
  <c r="BR424" i="1" s="1"/>
  <c r="AX424" i="1"/>
  <c r="BT424" i="1" s="1"/>
  <c r="AY424" i="1"/>
  <c r="BU424" i="1" s="1"/>
  <c r="BA424" i="1"/>
  <c r="BW424" i="1" s="1"/>
  <c r="BB424" i="1"/>
  <c r="BC424" i="1"/>
  <c r="BY424" i="1" s="1"/>
  <c r="BD424" i="1"/>
  <c r="BZ424" i="1" s="1"/>
  <c r="BE424" i="1"/>
  <c r="CA424" i="1" s="1"/>
  <c r="BF424" i="1"/>
  <c r="CB424" i="1" s="1"/>
  <c r="BG424" i="1"/>
  <c r="CC424" i="1" s="1"/>
  <c r="BK424" i="1"/>
  <c r="CG424" i="1" s="1"/>
  <c r="N201" i="12"/>
  <c r="N210" i="12"/>
  <c r="N228" i="12"/>
  <c r="N237" i="12"/>
  <c r="N246" i="12"/>
  <c r="N255" i="12"/>
  <c r="CY421" i="1" l="1"/>
  <c r="AVL421" i="1"/>
  <c r="CW421" i="1"/>
  <c r="AVJ421" i="1"/>
  <c r="CU421" i="1"/>
  <c r="AVH421" i="1"/>
  <c r="CS421" i="1"/>
  <c r="AVF421" i="1"/>
  <c r="CQ421" i="1"/>
  <c r="AVD421" i="1"/>
  <c r="DC421" i="1"/>
  <c r="AVP421" i="1"/>
  <c r="CX421" i="1"/>
  <c r="AVK421" i="1"/>
  <c r="CV421" i="1"/>
  <c r="AVI421" i="1"/>
  <c r="CR421" i="1"/>
  <c r="AVE421" i="1"/>
  <c r="CP421" i="1"/>
  <c r="AVC421" i="1"/>
  <c r="AVA420" i="1"/>
  <c r="CN424" i="1"/>
  <c r="AVA424" i="1"/>
  <c r="CW424" i="1"/>
  <c r="AVJ424" i="1"/>
  <c r="CS424" i="1"/>
  <c r="AVF424" i="1"/>
  <c r="CX424" i="1"/>
  <c r="AVK424" i="1"/>
  <c r="CY424" i="1"/>
  <c r="AVL424" i="1"/>
  <c r="CU424" i="1"/>
  <c r="AVH424" i="1"/>
  <c r="CP424" i="1"/>
  <c r="AVC424" i="1"/>
  <c r="DC424" i="1"/>
  <c r="AVP424" i="1"/>
  <c r="CV424" i="1"/>
  <c r="AVI424" i="1"/>
  <c r="CQ424" i="1"/>
  <c r="AVD424" i="1"/>
  <c r="AVB420" i="1"/>
  <c r="CN421" i="1"/>
  <c r="AVA421" i="1"/>
  <c r="N264" i="12"/>
  <c r="AVA422" i="1"/>
  <c r="N24" i="19"/>
  <c r="N24" i="18"/>
  <c r="V422" i="1"/>
  <c r="W422" i="1" s="1"/>
  <c r="AP422" i="1"/>
  <c r="V421" i="1"/>
  <c r="W421" i="1" s="1"/>
  <c r="AP421" i="1"/>
  <c r="V424" i="1"/>
  <c r="W424" i="1" s="1"/>
  <c r="AP424" i="1"/>
  <c r="V420" i="1"/>
  <c r="W420" i="1" s="1"/>
  <c r="AP420" i="1"/>
  <c r="O44" i="15"/>
  <c r="AG44" i="15"/>
  <c r="O42" i="15"/>
  <c r="AG42" i="15"/>
  <c r="O40" i="15"/>
  <c r="AG40" i="15"/>
  <c r="O46" i="15"/>
  <c r="AG46" i="15"/>
  <c r="O37" i="15"/>
  <c r="AG37" i="15"/>
  <c r="O45" i="15"/>
  <c r="AG45" i="15"/>
  <c r="O43" i="15"/>
  <c r="AG43" i="15"/>
  <c r="O41" i="15"/>
  <c r="AG41" i="15"/>
  <c r="O39" i="15"/>
  <c r="AG39" i="15"/>
  <c r="N192" i="12"/>
  <c r="N219" i="12"/>
  <c r="N183" i="12"/>
  <c r="AQ421" i="1"/>
  <c r="X255" i="12"/>
  <c r="V255" i="12"/>
  <c r="R255" i="12"/>
  <c r="AC246" i="12"/>
  <c r="Y246" i="12"/>
  <c r="W246" i="12"/>
  <c r="U246" i="12"/>
  <c r="Q246" i="12"/>
  <c r="AC237" i="12"/>
  <c r="Y237" i="12"/>
  <c r="W237" i="12"/>
  <c r="U237" i="12"/>
  <c r="S237" i="12"/>
  <c r="Q237" i="12"/>
  <c r="X228" i="12"/>
  <c r="V228" i="12"/>
  <c r="R228" i="12"/>
  <c r="P228" i="12"/>
  <c r="X219" i="12"/>
  <c r="V219" i="12"/>
  <c r="R219" i="12"/>
  <c r="X210" i="12"/>
  <c r="V210" i="12"/>
  <c r="R210" i="12"/>
  <c r="AC201" i="12"/>
  <c r="Y201" i="12"/>
  <c r="W201" i="12"/>
  <c r="U201" i="12"/>
  <c r="S201" i="12"/>
  <c r="CN423" i="1"/>
  <c r="CX422" i="1"/>
  <c r="X264" i="12"/>
  <c r="CV422" i="1"/>
  <c r="V264" i="12"/>
  <c r="CR422" i="1"/>
  <c r="R264" i="12"/>
  <c r="CN422" i="1"/>
  <c r="CY420" i="1"/>
  <c r="Y183" i="12"/>
  <c r="DC420" i="1"/>
  <c r="AC183" i="12"/>
  <c r="CW420" i="1"/>
  <c r="W183" i="12"/>
  <c r="CU420" i="1"/>
  <c r="U183" i="12"/>
  <c r="CS420" i="1"/>
  <c r="S183" i="12"/>
  <c r="CQ420" i="1"/>
  <c r="Q183" i="12"/>
  <c r="AC255" i="12"/>
  <c r="Y255" i="12"/>
  <c r="W255" i="12"/>
  <c r="U255" i="12"/>
  <c r="S255" i="12"/>
  <c r="Q255" i="12"/>
  <c r="X246" i="12"/>
  <c r="V246" i="12"/>
  <c r="R246" i="12"/>
  <c r="P246" i="12"/>
  <c r="X237" i="12"/>
  <c r="V237" i="12"/>
  <c r="R237" i="12"/>
  <c r="AC228" i="12"/>
  <c r="Y228" i="12"/>
  <c r="W228" i="12"/>
  <c r="U228" i="12"/>
  <c r="S228" i="12"/>
  <c r="AC219" i="12"/>
  <c r="Y219" i="12"/>
  <c r="W219" i="12"/>
  <c r="U219" i="12"/>
  <c r="S219" i="12"/>
  <c r="Q219" i="12"/>
  <c r="AC210" i="12"/>
  <c r="Y210" i="12"/>
  <c r="W210" i="12"/>
  <c r="U210" i="12"/>
  <c r="S210" i="12"/>
  <c r="Q210" i="12"/>
  <c r="X201" i="12"/>
  <c r="V201" i="12"/>
  <c r="R201" i="12"/>
  <c r="P201" i="12"/>
  <c r="DC423" i="1"/>
  <c r="AC192" i="12"/>
  <c r="DC422" i="1"/>
  <c r="AC264" i="12"/>
  <c r="CY422" i="1"/>
  <c r="Y264" i="12"/>
  <c r="CW422" i="1"/>
  <c r="W264" i="12"/>
  <c r="CU422" i="1"/>
  <c r="U264" i="12"/>
  <c r="CS422" i="1"/>
  <c r="S264" i="12"/>
  <c r="CQ422" i="1"/>
  <c r="Q264" i="12"/>
  <c r="CN420" i="1"/>
  <c r="CX420" i="1"/>
  <c r="X183" i="12"/>
  <c r="CV420" i="1"/>
  <c r="V183" i="12"/>
  <c r="CR420" i="1"/>
  <c r="R183" i="12"/>
  <c r="CP420" i="1"/>
  <c r="P183" i="12"/>
  <c r="AA210" i="12"/>
  <c r="BX420" i="1"/>
  <c r="AVG420" i="1" s="1"/>
  <c r="BX424" i="1"/>
  <c r="BH422" i="1"/>
  <c r="BI422" i="1" s="1"/>
  <c r="BX421" i="1"/>
  <c r="P50" i="2"/>
  <c r="P53" i="2"/>
  <c r="P51" i="2"/>
  <c r="P57" i="2"/>
  <c r="P55" i="2"/>
  <c r="P52" i="2"/>
  <c r="P48" i="2"/>
  <c r="P54" i="2"/>
  <c r="BH421" i="1"/>
  <c r="BI421" i="1" s="1"/>
  <c r="BJ421" i="1" s="1"/>
  <c r="P56" i="2"/>
  <c r="BX422" i="1"/>
  <c r="Z201" i="12"/>
  <c r="AQ424" i="1"/>
  <c r="AQ420" i="1"/>
  <c r="AW422" i="1"/>
  <c r="BS422" i="1" s="1"/>
  <c r="AVB422" i="1" s="1"/>
  <c r="AX422" i="1"/>
  <c r="BT422" i="1" s="1"/>
  <c r="BH424" i="1"/>
  <c r="AZ424" i="1"/>
  <c r="BV424" i="1" s="1"/>
  <c r="AQ422" i="1"/>
  <c r="BH420" i="1"/>
  <c r="CT421" i="1" l="1"/>
  <c r="AVG421" i="1"/>
  <c r="CR424" i="1"/>
  <c r="AVE424" i="1"/>
  <c r="AVB424" i="1" s="1"/>
  <c r="CT424" i="1"/>
  <c r="AVG424" i="1"/>
  <c r="K24" i="18"/>
  <c r="K24" i="19"/>
  <c r="O24" i="19"/>
  <c r="M24" i="19" s="1"/>
  <c r="O24" i="18"/>
  <c r="M24" i="18" s="1"/>
  <c r="AD40" i="15"/>
  <c r="L40" i="15"/>
  <c r="AD43" i="15"/>
  <c r="L43" i="15"/>
  <c r="T264" i="12"/>
  <c r="AH46" i="15"/>
  <c r="AF46" i="15" s="1"/>
  <c r="P46" i="15"/>
  <c r="N46" i="15" s="1"/>
  <c r="T246" i="12"/>
  <c r="AH44" i="15"/>
  <c r="AF44" i="15" s="1"/>
  <c r="P44" i="15"/>
  <c r="N44" i="15" s="1"/>
  <c r="AD42" i="15"/>
  <c r="L42" i="15"/>
  <c r="AD45" i="15"/>
  <c r="L45" i="15"/>
  <c r="AD46" i="15"/>
  <c r="L46" i="15"/>
  <c r="AD39" i="15"/>
  <c r="L39" i="15"/>
  <c r="T255" i="12"/>
  <c r="AH45" i="15"/>
  <c r="AF45" i="15" s="1"/>
  <c r="P45" i="15"/>
  <c r="N45" i="15" s="1"/>
  <c r="T210" i="12"/>
  <c r="AH40" i="15"/>
  <c r="AF40" i="15" s="1"/>
  <c r="P40" i="15"/>
  <c r="N40" i="15" s="1"/>
  <c r="AD37" i="15"/>
  <c r="L37" i="15"/>
  <c r="AH41" i="15"/>
  <c r="AF41" i="15" s="1"/>
  <c r="P41" i="15"/>
  <c r="N41" i="15" s="1"/>
  <c r="M42" i="15"/>
  <c r="AE42" i="15"/>
  <c r="T201" i="12"/>
  <c r="AH39" i="15"/>
  <c r="AF39" i="15" s="1"/>
  <c r="P39" i="15"/>
  <c r="N39" i="15" s="1"/>
  <c r="AD41" i="15"/>
  <c r="L41" i="15"/>
  <c r="P37" i="15"/>
  <c r="AH37" i="15"/>
  <c r="AF37" i="15" s="1"/>
  <c r="AD44" i="15"/>
  <c r="L44" i="15"/>
  <c r="T228" i="12"/>
  <c r="AH42" i="15"/>
  <c r="AF42" i="15" s="1"/>
  <c r="P42" i="15"/>
  <c r="N42" i="15" s="1"/>
  <c r="T237" i="12"/>
  <c r="AH43" i="15"/>
  <c r="AF43" i="15" s="1"/>
  <c r="P43" i="15"/>
  <c r="N43" i="15" s="1"/>
  <c r="M53" i="2"/>
  <c r="M55" i="2"/>
  <c r="Q54" i="2"/>
  <c r="O54" i="2" s="1"/>
  <c r="AR421" i="1"/>
  <c r="AS421" i="1" s="1"/>
  <c r="BM421" i="1"/>
  <c r="Q48" i="2"/>
  <c r="O48" i="2" s="1"/>
  <c r="CT420" i="1"/>
  <c r="AA246" i="12"/>
  <c r="T219" i="12"/>
  <c r="Q201" i="12"/>
  <c r="CP422" i="1"/>
  <c r="P264" i="12"/>
  <c r="O237" i="12"/>
  <c r="P210" i="12"/>
  <c r="Q228" i="12"/>
  <c r="T183" i="12"/>
  <c r="Z210" i="12"/>
  <c r="P219" i="12"/>
  <c r="CO422" i="1"/>
  <c r="O264" i="12"/>
  <c r="Z228" i="12"/>
  <c r="P237" i="12"/>
  <c r="P255" i="12"/>
  <c r="O210" i="12"/>
  <c r="S246" i="12"/>
  <c r="O255" i="12"/>
  <c r="J228" i="12"/>
  <c r="I228" i="12"/>
  <c r="O246" i="12"/>
  <c r="BJ422" i="1"/>
  <c r="CD421" i="1"/>
  <c r="CD422" i="1"/>
  <c r="Z264" i="12" s="1"/>
  <c r="Q55" i="2"/>
  <c r="O55" i="2" s="1"/>
  <c r="M51" i="2"/>
  <c r="M48" i="2"/>
  <c r="CT422" i="1"/>
  <c r="Q57" i="2"/>
  <c r="O57" i="2" s="1"/>
  <c r="Q51" i="2"/>
  <c r="O51" i="2" s="1"/>
  <c r="N53" i="2"/>
  <c r="M57" i="2"/>
  <c r="Q52" i="2"/>
  <c r="O52" i="2" s="1"/>
  <c r="M52" i="2"/>
  <c r="M56" i="2"/>
  <c r="M54" i="2"/>
  <c r="M50" i="2"/>
  <c r="AA201" i="12"/>
  <c r="Q56" i="2"/>
  <c r="O56" i="2" s="1"/>
  <c r="Q53" i="2"/>
  <c r="O53" i="2" s="1"/>
  <c r="Q50" i="2"/>
  <c r="O50" i="2" s="1"/>
  <c r="AR424" i="1"/>
  <c r="AS424" i="1" s="1"/>
  <c r="BM424" i="1"/>
  <c r="AUV424" i="1" s="1"/>
  <c r="AUW424" i="1" s="1"/>
  <c r="AUX424" i="1" s="1"/>
  <c r="AR420" i="1"/>
  <c r="AS420" i="1" s="1"/>
  <c r="BM420" i="1"/>
  <c r="AUV420" i="1" s="1"/>
  <c r="AUW420" i="1" s="1"/>
  <c r="AUX420" i="1" s="1"/>
  <c r="O228" i="12"/>
  <c r="AW420" i="1"/>
  <c r="AW421" i="1"/>
  <c r="Z219" i="12"/>
  <c r="BM422" i="1"/>
  <c r="AR422" i="1"/>
  <c r="AS422" i="1" s="1"/>
  <c r="AA228" i="12"/>
  <c r="CD424" i="1"/>
  <c r="BI424" i="1"/>
  <c r="BJ424" i="1" s="1"/>
  <c r="CD420" i="1"/>
  <c r="AVM420" i="1" s="1"/>
  <c r="BI420" i="1"/>
  <c r="BJ420" i="1" s="1"/>
  <c r="AW424" i="1"/>
  <c r="CZ421" i="1" l="1"/>
  <c r="AVM421" i="1"/>
  <c r="AVN421" i="1" s="1"/>
  <c r="AVO421" i="1" s="1"/>
  <c r="CI421" i="1"/>
  <c r="AUV421" i="1"/>
  <c r="AUW421" i="1" s="1"/>
  <c r="AUX421" i="1" s="1"/>
  <c r="AVN420" i="1"/>
  <c r="AVO420" i="1" s="1"/>
  <c r="CZ424" i="1"/>
  <c r="AVM424" i="1"/>
  <c r="L24" i="19"/>
  <c r="L24" i="18"/>
  <c r="BN421" i="1"/>
  <c r="CJ421" i="1" s="1"/>
  <c r="K42" i="15"/>
  <c r="AC42" i="15"/>
  <c r="M43" i="15"/>
  <c r="K43" i="15" s="1"/>
  <c r="AE43" i="15"/>
  <c r="AC43" i="15" s="1"/>
  <c r="M40" i="15"/>
  <c r="K40" i="15" s="1"/>
  <c r="AE40" i="15"/>
  <c r="AC40" i="15" s="1"/>
  <c r="M45" i="15"/>
  <c r="K45" i="15" s="1"/>
  <c r="AE45" i="15"/>
  <c r="AC45" i="15" s="1"/>
  <c r="I246" i="12"/>
  <c r="M44" i="15"/>
  <c r="K44" i="15" s="1"/>
  <c r="AE44" i="15"/>
  <c r="AC44" i="15" s="1"/>
  <c r="N37" i="15"/>
  <c r="M37" i="15"/>
  <c r="AE37" i="15"/>
  <c r="AC37" i="15" s="1"/>
  <c r="M39" i="15"/>
  <c r="K39" i="15" s="1"/>
  <c r="AE39" i="15"/>
  <c r="AC39" i="15" s="1"/>
  <c r="M46" i="15"/>
  <c r="K46" i="15" s="1"/>
  <c r="AE46" i="15"/>
  <c r="AC46" i="15" s="1"/>
  <c r="M41" i="15"/>
  <c r="K41" i="15" s="1"/>
  <c r="AE41" i="15"/>
  <c r="AC41" i="15" s="1"/>
  <c r="J246" i="12"/>
  <c r="L53" i="2"/>
  <c r="I264" i="12"/>
  <c r="I219" i="12"/>
  <c r="I255" i="12"/>
  <c r="I237" i="12"/>
  <c r="I210" i="12"/>
  <c r="I183" i="12"/>
  <c r="I201" i="12"/>
  <c r="J255" i="12"/>
  <c r="CE421" i="1"/>
  <c r="CF421" i="1" s="1"/>
  <c r="DB421" i="1" s="1"/>
  <c r="N55" i="2"/>
  <c r="Z246" i="12"/>
  <c r="CZ420" i="1"/>
  <c r="Z183" i="12"/>
  <c r="Z237" i="12"/>
  <c r="N56" i="2"/>
  <c r="Z255" i="12"/>
  <c r="AB210" i="12"/>
  <c r="CZ422" i="1"/>
  <c r="CE422" i="1"/>
  <c r="N51" i="2"/>
  <c r="CI422" i="1"/>
  <c r="N57" i="2"/>
  <c r="N54" i="2"/>
  <c r="BN420" i="1"/>
  <c r="CI420" i="1"/>
  <c r="N48" i="2"/>
  <c r="N50" i="2"/>
  <c r="BN424" i="1"/>
  <c r="CI424" i="1"/>
  <c r="N52" i="2"/>
  <c r="J201" i="12"/>
  <c r="BS424" i="1"/>
  <c r="AA237" i="12"/>
  <c r="O201" i="12"/>
  <c r="CE424" i="1"/>
  <c r="BS420" i="1"/>
  <c r="AA255" i="12"/>
  <c r="BN422" i="1"/>
  <c r="J264" i="12" s="1"/>
  <c r="J210" i="12"/>
  <c r="CE420" i="1"/>
  <c r="J237" i="12"/>
  <c r="AA219" i="12"/>
  <c r="BS421" i="1"/>
  <c r="AVB421" i="1" s="1"/>
  <c r="AVN424" i="1" l="1"/>
  <c r="AVO424" i="1" s="1"/>
  <c r="J24" i="18"/>
  <c r="J24" i="19"/>
  <c r="L52" i="2"/>
  <c r="L56" i="2"/>
  <c r="L50" i="2"/>
  <c r="L54" i="2"/>
  <c r="L51" i="2"/>
  <c r="L57" i="2"/>
  <c r="L55" i="2"/>
  <c r="J183" i="12"/>
  <c r="BO421" i="1"/>
  <c r="CK421" i="1" s="1"/>
  <c r="DA421" i="1"/>
  <c r="K255" i="12"/>
  <c r="J219" i="12"/>
  <c r="K37" i="15"/>
  <c r="AB246" i="12"/>
  <c r="AA183" i="12"/>
  <c r="K228" i="12"/>
  <c r="AB228" i="12"/>
  <c r="O183" i="12"/>
  <c r="AB201" i="12"/>
  <c r="K219" i="12"/>
  <c r="DA422" i="1"/>
  <c r="AA264" i="12"/>
  <c r="CF422" i="1"/>
  <c r="CO421" i="1"/>
  <c r="CO420" i="1"/>
  <c r="L48" i="2"/>
  <c r="BO420" i="1"/>
  <c r="CJ420" i="1"/>
  <c r="CF420" i="1"/>
  <c r="DA420" i="1"/>
  <c r="BO422" i="1"/>
  <c r="CJ422" i="1"/>
  <c r="CF424" i="1"/>
  <c r="DB424" i="1" s="1"/>
  <c r="DA424" i="1"/>
  <c r="BO424" i="1"/>
  <c r="CK424" i="1" s="1"/>
  <c r="CJ424" i="1"/>
  <c r="CO424" i="1"/>
  <c r="K246" i="12" l="1"/>
  <c r="CK422" i="1"/>
  <c r="K264" i="12"/>
  <c r="DB420" i="1"/>
  <c r="AB183" i="12"/>
  <c r="AB255" i="12"/>
  <c r="CK420" i="1"/>
  <c r="K183" i="12"/>
  <c r="K201" i="12"/>
  <c r="AB237" i="12"/>
  <c r="K237" i="12"/>
  <c r="AB219" i="12"/>
  <c r="K210" i="12"/>
  <c r="DB422" i="1"/>
  <c r="AB264" i="12"/>
  <c r="E29" i="2" l="1"/>
  <c r="E28" i="2"/>
  <c r="E30" i="2" l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T4" i="1"/>
  <c r="BH14" i="1"/>
  <c r="BH16" i="1"/>
  <c r="BH18" i="1"/>
  <c r="BH20" i="1"/>
  <c r="BH26" i="1"/>
  <c r="BH28" i="1"/>
  <c r="BH30" i="1"/>
  <c r="BH38" i="1"/>
  <c r="BH40" i="1"/>
  <c r="BH42" i="1"/>
  <c r="BH44" i="1"/>
  <c r="BH46" i="1"/>
  <c r="BH48" i="1"/>
  <c r="BH61" i="1"/>
  <c r="BH63" i="1"/>
  <c r="BH71" i="1"/>
  <c r="BH73" i="1"/>
  <c r="BH85" i="1"/>
  <c r="BH89" i="1"/>
  <c r="BH104" i="1"/>
  <c r="BH108" i="1"/>
  <c r="BH116" i="1"/>
  <c r="BH124" i="1"/>
  <c r="BH128" i="1"/>
  <c r="BH140" i="1"/>
  <c r="BH149" i="1"/>
  <c r="BH157" i="1"/>
  <c r="BH162" i="1"/>
  <c r="BH167" i="1"/>
  <c r="BH171" i="1"/>
  <c r="BH175" i="1"/>
  <c r="BH179" i="1"/>
  <c r="BH184" i="1"/>
  <c r="BH188" i="1"/>
  <c r="BH352" i="1"/>
  <c r="BH356" i="1"/>
  <c r="BH358" i="1"/>
  <c r="BH360" i="1"/>
  <c r="BH362" i="1"/>
  <c r="BH364" i="1"/>
  <c r="BH374" i="1"/>
  <c r="BH376" i="1"/>
  <c r="BH378" i="1"/>
  <c r="BH395" i="1"/>
  <c r="BH397" i="1"/>
  <c r="BH399" i="1"/>
  <c r="BH403" i="1"/>
  <c r="BH409" i="1"/>
  <c r="BH415" i="1"/>
  <c r="BH417" i="1"/>
  <c r="AZ13" i="1"/>
  <c r="BV13" i="1" s="1"/>
  <c r="AZ14" i="1"/>
  <c r="BV14" i="1" s="1"/>
  <c r="AZ15" i="1"/>
  <c r="BV15" i="1" s="1"/>
  <c r="AZ16" i="1"/>
  <c r="BV16" i="1" s="1"/>
  <c r="AZ17" i="1"/>
  <c r="BV17" i="1" s="1"/>
  <c r="AZ18" i="1"/>
  <c r="BV18" i="1" s="1"/>
  <c r="AZ20" i="1"/>
  <c r="BV20" i="1" s="1"/>
  <c r="AZ21" i="1"/>
  <c r="BV21" i="1" s="1"/>
  <c r="AZ25" i="1"/>
  <c r="BV25" i="1" s="1"/>
  <c r="AZ26" i="1"/>
  <c r="BV26" i="1" s="1"/>
  <c r="AZ27" i="1"/>
  <c r="BV27" i="1" s="1"/>
  <c r="AZ28" i="1"/>
  <c r="BV28" i="1" s="1"/>
  <c r="AZ29" i="1"/>
  <c r="BV29" i="1" s="1"/>
  <c r="AZ30" i="1"/>
  <c r="BV30" i="1" s="1"/>
  <c r="AZ38" i="1"/>
  <c r="BV38" i="1" s="1"/>
  <c r="AZ39" i="1"/>
  <c r="BV39" i="1" s="1"/>
  <c r="AZ40" i="1"/>
  <c r="BV40" i="1" s="1"/>
  <c r="AZ41" i="1"/>
  <c r="BV41" i="1" s="1"/>
  <c r="AZ42" i="1"/>
  <c r="BV42" i="1" s="1"/>
  <c r="AZ43" i="1"/>
  <c r="BV43" i="1" s="1"/>
  <c r="AZ44" i="1"/>
  <c r="BV44" i="1" s="1"/>
  <c r="AZ45" i="1"/>
  <c r="BV45" i="1" s="1"/>
  <c r="AZ46" i="1"/>
  <c r="BV46" i="1" s="1"/>
  <c r="AZ48" i="1"/>
  <c r="BV48" i="1" s="1"/>
  <c r="AZ61" i="1"/>
  <c r="BV61" i="1" s="1"/>
  <c r="AZ63" i="1"/>
  <c r="BV63" i="1" s="1"/>
  <c r="AZ64" i="1"/>
  <c r="BV64" i="1" s="1"/>
  <c r="AZ66" i="1"/>
  <c r="BV66" i="1" s="1"/>
  <c r="AZ68" i="1"/>
  <c r="BV68" i="1" s="1"/>
  <c r="AZ70" i="1"/>
  <c r="BV70" i="1" s="1"/>
  <c r="AZ71" i="1"/>
  <c r="BV71" i="1" s="1"/>
  <c r="AZ72" i="1"/>
  <c r="BV72" i="1" s="1"/>
  <c r="CR72" i="1" s="1"/>
  <c r="AZ73" i="1"/>
  <c r="BV73" i="1" s="1"/>
  <c r="AZ74" i="1"/>
  <c r="BV74" i="1" s="1"/>
  <c r="AZ80" i="1"/>
  <c r="BV80" i="1" s="1"/>
  <c r="AZ82" i="1"/>
  <c r="BV82" i="1" s="1"/>
  <c r="AZ84" i="1"/>
  <c r="BV84" i="1" s="1"/>
  <c r="AZ85" i="1"/>
  <c r="BV85" i="1" s="1"/>
  <c r="AZ86" i="1"/>
  <c r="BV86" i="1" s="1"/>
  <c r="AZ87" i="1"/>
  <c r="BV87" i="1" s="1"/>
  <c r="AZ88" i="1"/>
  <c r="BV88" i="1" s="1"/>
  <c r="CR88" i="1" s="1"/>
  <c r="AZ89" i="1"/>
  <c r="BV89" i="1" s="1"/>
  <c r="CR89" i="1" s="1"/>
  <c r="AZ90" i="1"/>
  <c r="BV90" i="1" s="1"/>
  <c r="AZ91" i="1"/>
  <c r="BV91" i="1" s="1"/>
  <c r="CR91" i="1" s="1"/>
  <c r="AZ92" i="1"/>
  <c r="BV92" i="1" s="1"/>
  <c r="AZ94" i="1"/>
  <c r="BV94" i="1" s="1"/>
  <c r="CR94" i="1" s="1"/>
  <c r="AZ104" i="1"/>
  <c r="BV104" i="1" s="1"/>
  <c r="AZ105" i="1"/>
  <c r="BV105" i="1" s="1"/>
  <c r="AZ106" i="1"/>
  <c r="BV106" i="1" s="1"/>
  <c r="AZ107" i="1"/>
  <c r="BV107" i="1" s="1"/>
  <c r="AZ108" i="1"/>
  <c r="BV108" i="1" s="1"/>
  <c r="AZ109" i="1"/>
  <c r="BV109" i="1" s="1"/>
  <c r="AZ114" i="1"/>
  <c r="BV114" i="1" s="1"/>
  <c r="AZ115" i="1"/>
  <c r="BV115" i="1" s="1"/>
  <c r="AZ116" i="1"/>
  <c r="BV116" i="1" s="1"/>
  <c r="AZ117" i="1"/>
  <c r="BV117" i="1" s="1"/>
  <c r="AZ118" i="1"/>
  <c r="BV118" i="1" s="1"/>
  <c r="CR118" i="1" s="1"/>
  <c r="AZ124" i="1"/>
  <c r="BV124" i="1" s="1"/>
  <c r="AZ125" i="1"/>
  <c r="BV125" i="1" s="1"/>
  <c r="AZ126" i="1"/>
  <c r="BV126" i="1" s="1"/>
  <c r="AZ127" i="1"/>
  <c r="BV127" i="1" s="1"/>
  <c r="AZ128" i="1"/>
  <c r="BV128" i="1" s="1"/>
  <c r="AZ129" i="1"/>
  <c r="BV129" i="1" s="1"/>
  <c r="AZ130" i="1"/>
  <c r="BV130" i="1" s="1"/>
  <c r="AZ138" i="1"/>
  <c r="BV138" i="1" s="1"/>
  <c r="AZ139" i="1"/>
  <c r="BV139" i="1" s="1"/>
  <c r="AZ140" i="1"/>
  <c r="BV140" i="1" s="1"/>
  <c r="AZ141" i="1"/>
  <c r="BV141" i="1" s="1"/>
  <c r="AZ142" i="1"/>
  <c r="BV142" i="1" s="1"/>
  <c r="AZ143" i="1"/>
  <c r="BV143" i="1" s="1"/>
  <c r="AZ147" i="1"/>
  <c r="BV147" i="1" s="1"/>
  <c r="AZ148" i="1"/>
  <c r="BV148" i="1" s="1"/>
  <c r="AZ149" i="1"/>
  <c r="BV149" i="1" s="1"/>
  <c r="AZ157" i="1"/>
  <c r="BV157" i="1" s="1"/>
  <c r="AZ158" i="1"/>
  <c r="BV158" i="1" s="1"/>
  <c r="AZ159" i="1"/>
  <c r="BV159" i="1" s="1"/>
  <c r="AZ161" i="1"/>
  <c r="BV161" i="1" s="1"/>
  <c r="AZ162" i="1"/>
  <c r="BV162" i="1" s="1"/>
  <c r="AZ163" i="1"/>
  <c r="BV163" i="1" s="1"/>
  <c r="CR164" i="1"/>
  <c r="AZ166" i="1"/>
  <c r="BV166" i="1" s="1"/>
  <c r="AZ167" i="1"/>
  <c r="BV167" i="1" s="1"/>
  <c r="AZ168" i="1"/>
  <c r="BV168" i="1" s="1"/>
  <c r="AZ169" i="1"/>
  <c r="BV169" i="1" s="1"/>
  <c r="AZ170" i="1"/>
  <c r="BV170" i="1" s="1"/>
  <c r="CR170" i="1" s="1"/>
  <c r="AZ171" i="1"/>
  <c r="BV171" i="1" s="1"/>
  <c r="AZ175" i="1"/>
  <c r="BV175" i="1" s="1"/>
  <c r="AZ176" i="1"/>
  <c r="BV176" i="1" s="1"/>
  <c r="AZ177" i="1"/>
  <c r="BV177" i="1" s="1"/>
  <c r="AZ178" i="1"/>
  <c r="BV178" i="1" s="1"/>
  <c r="AZ179" i="1"/>
  <c r="BV179" i="1" s="1"/>
  <c r="AZ180" i="1"/>
  <c r="BV180" i="1" s="1"/>
  <c r="AZ181" i="1"/>
  <c r="BV181" i="1" s="1"/>
  <c r="AZ183" i="1"/>
  <c r="BV183" i="1" s="1"/>
  <c r="AZ184" i="1"/>
  <c r="BV184" i="1" s="1"/>
  <c r="AZ185" i="1"/>
  <c r="BV185" i="1" s="1"/>
  <c r="AVE185" i="1" s="1"/>
  <c r="AZ186" i="1"/>
  <c r="BV186" i="1" s="1"/>
  <c r="AZ187" i="1"/>
  <c r="BV187" i="1" s="1"/>
  <c r="AZ188" i="1"/>
  <c r="BV188" i="1" s="1"/>
  <c r="AZ190" i="1"/>
  <c r="BV190" i="1" s="1"/>
  <c r="AZ196" i="1"/>
  <c r="BV196" i="1" s="1"/>
  <c r="AZ197" i="1"/>
  <c r="BV197" i="1" s="1"/>
  <c r="AZ199" i="1"/>
  <c r="BV199" i="1" s="1"/>
  <c r="AZ200" i="1"/>
  <c r="BV200" i="1" s="1"/>
  <c r="AZ201" i="1"/>
  <c r="BV201" i="1" s="1"/>
  <c r="CR201" i="1" s="1"/>
  <c r="AZ202" i="1"/>
  <c r="BV202" i="1" s="1"/>
  <c r="AZ203" i="1"/>
  <c r="BV203" i="1" s="1"/>
  <c r="AZ204" i="1"/>
  <c r="BV204" i="1" s="1"/>
  <c r="AZ209" i="1"/>
  <c r="BV209" i="1" s="1"/>
  <c r="AZ210" i="1"/>
  <c r="BV210" i="1" s="1"/>
  <c r="AZ211" i="1"/>
  <c r="BV211" i="1" s="1"/>
  <c r="AZ212" i="1"/>
  <c r="BV212" i="1" s="1"/>
  <c r="AZ213" i="1"/>
  <c r="BV213" i="1" s="1"/>
  <c r="AZ219" i="1"/>
  <c r="BV219" i="1" s="1"/>
  <c r="CR219" i="1" s="1"/>
  <c r="AZ221" i="1"/>
  <c r="BV221" i="1" s="1"/>
  <c r="AZ222" i="1"/>
  <c r="BV222" i="1" s="1"/>
  <c r="AZ223" i="1"/>
  <c r="BV223" i="1" s="1"/>
  <c r="AZ224" i="1"/>
  <c r="BV224" i="1" s="1"/>
  <c r="AZ225" i="1"/>
  <c r="BV225" i="1" s="1"/>
  <c r="AZ226" i="1"/>
  <c r="BV226" i="1" s="1"/>
  <c r="AZ227" i="1"/>
  <c r="BV227" i="1" s="1"/>
  <c r="AZ236" i="1"/>
  <c r="BV236" i="1" s="1"/>
  <c r="AZ238" i="1"/>
  <c r="BV238" i="1" s="1"/>
  <c r="AZ239" i="1"/>
  <c r="BV239" i="1" s="1"/>
  <c r="AZ240" i="1"/>
  <c r="BV240" i="1" s="1"/>
  <c r="AZ241" i="1"/>
  <c r="BV241" i="1" s="1"/>
  <c r="AZ242" i="1"/>
  <c r="BV242" i="1" s="1"/>
  <c r="AZ243" i="1"/>
  <c r="BV243" i="1" s="1"/>
  <c r="AZ244" i="1"/>
  <c r="BV244" i="1" s="1"/>
  <c r="AZ245" i="1"/>
  <c r="BV245" i="1" s="1"/>
  <c r="CR245" i="1" s="1"/>
  <c r="AZ247" i="1"/>
  <c r="BV247" i="1" s="1"/>
  <c r="AZ248" i="1"/>
  <c r="BV248" i="1" s="1"/>
  <c r="AZ249" i="1"/>
  <c r="BV249" i="1" s="1"/>
  <c r="AZ250" i="1"/>
  <c r="BV250" i="1" s="1"/>
  <c r="AZ251" i="1"/>
  <c r="BV251" i="1" s="1"/>
  <c r="AZ252" i="1"/>
  <c r="BV252" i="1" s="1"/>
  <c r="AZ253" i="1"/>
  <c r="BV253" i="1" s="1"/>
  <c r="AZ257" i="1"/>
  <c r="BV257" i="1" s="1"/>
  <c r="AZ258" i="1"/>
  <c r="BV258" i="1" s="1"/>
  <c r="AZ259" i="1"/>
  <c r="BV259" i="1" s="1"/>
  <c r="AZ260" i="1"/>
  <c r="BV260" i="1" s="1"/>
  <c r="AZ261" i="1"/>
  <c r="BV261" i="1" s="1"/>
  <c r="AZ262" i="1"/>
  <c r="BV262" i="1" s="1"/>
  <c r="AZ263" i="1"/>
  <c r="BV263" i="1" s="1"/>
  <c r="AZ264" i="1"/>
  <c r="BV264" i="1" s="1"/>
  <c r="AZ265" i="1"/>
  <c r="BV265" i="1" s="1"/>
  <c r="AZ266" i="1"/>
  <c r="BV266" i="1" s="1"/>
  <c r="AZ267" i="1"/>
  <c r="BV267" i="1" s="1"/>
  <c r="CR267" i="1" s="1"/>
  <c r="AZ268" i="1"/>
  <c r="BV268" i="1" s="1"/>
  <c r="AZ269" i="1"/>
  <c r="BV269" i="1" s="1"/>
  <c r="AZ270" i="1"/>
  <c r="BV270" i="1" s="1"/>
  <c r="AZ271" i="1"/>
  <c r="BV271" i="1" s="1"/>
  <c r="AZ273" i="1"/>
  <c r="BV273" i="1" s="1"/>
  <c r="AZ275" i="1"/>
  <c r="BV275" i="1" s="1"/>
  <c r="AZ276" i="1"/>
  <c r="BV276" i="1" s="1"/>
  <c r="AZ277" i="1"/>
  <c r="BV277" i="1" s="1"/>
  <c r="AZ280" i="1"/>
  <c r="BV280" i="1" s="1"/>
  <c r="AZ281" i="1"/>
  <c r="BV281" i="1" s="1"/>
  <c r="AVE281" i="1" s="1"/>
  <c r="AZ282" i="1"/>
  <c r="BV282" i="1" s="1"/>
  <c r="AZ296" i="1"/>
  <c r="BV296" i="1" s="1"/>
  <c r="AZ297" i="1"/>
  <c r="BV297" i="1" s="1"/>
  <c r="AZ298" i="1"/>
  <c r="BV298" i="1" s="1"/>
  <c r="AZ299" i="1"/>
  <c r="BV299" i="1" s="1"/>
  <c r="AZ300" i="1"/>
  <c r="BV300" i="1" s="1"/>
  <c r="AZ302" i="1"/>
  <c r="BV302" i="1" s="1"/>
  <c r="AZ303" i="1"/>
  <c r="BV303" i="1" s="1"/>
  <c r="CR303" i="1" s="1"/>
  <c r="AZ304" i="1"/>
  <c r="BV304" i="1" s="1"/>
  <c r="AZ305" i="1"/>
  <c r="BV305" i="1" s="1"/>
  <c r="AZ313" i="1"/>
  <c r="BV313" i="1" s="1"/>
  <c r="AZ314" i="1"/>
  <c r="BV314" i="1" s="1"/>
  <c r="AZ315" i="1"/>
  <c r="BV315" i="1" s="1"/>
  <c r="AZ316" i="1"/>
  <c r="BV316" i="1" s="1"/>
  <c r="AZ317" i="1"/>
  <c r="BV317" i="1" s="1"/>
  <c r="AZ318" i="1"/>
  <c r="BV318" i="1" s="1"/>
  <c r="AZ326" i="1"/>
  <c r="BV326" i="1" s="1"/>
  <c r="AZ327" i="1"/>
  <c r="BV327" i="1" s="1"/>
  <c r="AZ328" i="1"/>
  <c r="BV328" i="1" s="1"/>
  <c r="AZ329" i="1"/>
  <c r="BV329" i="1" s="1"/>
  <c r="AZ330" i="1"/>
  <c r="BV330" i="1" s="1"/>
  <c r="AZ331" i="1"/>
  <c r="BV331" i="1" s="1"/>
  <c r="AZ332" i="1"/>
  <c r="BV332" i="1" s="1"/>
  <c r="AZ333" i="1"/>
  <c r="BV333" i="1" s="1"/>
  <c r="CR333" i="1" s="1"/>
  <c r="AZ334" i="1"/>
  <c r="BV334" i="1" s="1"/>
  <c r="CR334" i="1" s="1"/>
  <c r="AZ335" i="1"/>
  <c r="BV335" i="1" s="1"/>
  <c r="CR335" i="1" s="1"/>
  <c r="AZ336" i="1"/>
  <c r="BV336" i="1" s="1"/>
  <c r="AZ337" i="1"/>
  <c r="BV337" i="1" s="1"/>
  <c r="AZ338" i="1"/>
  <c r="BV338" i="1" s="1"/>
  <c r="AZ339" i="1"/>
  <c r="BV339" i="1" s="1"/>
  <c r="AZ340" i="1"/>
  <c r="BV340" i="1" s="1"/>
  <c r="AZ341" i="1"/>
  <c r="BV341" i="1" s="1"/>
  <c r="CR341" i="1" s="1"/>
  <c r="AZ342" i="1"/>
  <c r="BV342" i="1" s="1"/>
  <c r="CR342" i="1" s="1"/>
  <c r="AZ351" i="1"/>
  <c r="BV351" i="1" s="1"/>
  <c r="AZ352" i="1"/>
  <c r="BV352" i="1" s="1"/>
  <c r="AZ356" i="1"/>
  <c r="BV356" i="1" s="1"/>
  <c r="AZ357" i="1"/>
  <c r="BV357" i="1" s="1"/>
  <c r="AZ358" i="1"/>
  <c r="BV358" i="1" s="1"/>
  <c r="AZ359" i="1"/>
  <c r="BV359" i="1" s="1"/>
  <c r="AZ360" i="1"/>
  <c r="BV360" i="1" s="1"/>
  <c r="AZ361" i="1"/>
  <c r="BV361" i="1" s="1"/>
  <c r="AZ362" i="1"/>
  <c r="BV362" i="1" s="1"/>
  <c r="AZ363" i="1"/>
  <c r="BV363" i="1" s="1"/>
  <c r="AZ364" i="1"/>
  <c r="BV364" i="1" s="1"/>
  <c r="AZ374" i="1"/>
  <c r="BV374" i="1" s="1"/>
  <c r="AZ375" i="1"/>
  <c r="BV375" i="1" s="1"/>
  <c r="CR375" i="1" s="1"/>
  <c r="AZ376" i="1"/>
  <c r="BV376" i="1" s="1"/>
  <c r="AZ377" i="1"/>
  <c r="BV377" i="1" s="1"/>
  <c r="AZ378" i="1"/>
  <c r="BV378" i="1" s="1"/>
  <c r="CR378" i="1" s="1"/>
  <c r="AZ379" i="1"/>
  <c r="BV379" i="1" s="1"/>
  <c r="AZ394" i="1"/>
  <c r="BV394" i="1" s="1"/>
  <c r="AZ395" i="1"/>
  <c r="BV395" i="1" s="1"/>
  <c r="AZ396" i="1"/>
  <c r="BV396" i="1" s="1"/>
  <c r="AZ397" i="1"/>
  <c r="BV397" i="1" s="1"/>
  <c r="AZ399" i="1"/>
  <c r="BV399" i="1" s="1"/>
  <c r="AZ402" i="1"/>
  <c r="BV402" i="1" s="1"/>
  <c r="AZ403" i="1"/>
  <c r="BV403" i="1" s="1"/>
  <c r="AZ404" i="1"/>
  <c r="BV404" i="1" s="1"/>
  <c r="AZ409" i="1"/>
  <c r="BV409" i="1" s="1"/>
  <c r="AZ410" i="1"/>
  <c r="BV410" i="1" s="1"/>
  <c r="AZ412" i="1"/>
  <c r="BV412" i="1" s="1"/>
  <c r="AZ414" i="1"/>
  <c r="BV414" i="1" s="1"/>
  <c r="AZ415" i="1"/>
  <c r="BV415" i="1" s="1"/>
  <c r="CR415" i="1" s="1"/>
  <c r="AZ416" i="1"/>
  <c r="BV416" i="1" s="1"/>
  <c r="AVE416" i="1" s="1"/>
  <c r="AZ417" i="1"/>
  <c r="BV417" i="1" s="1"/>
  <c r="AVE417" i="1" s="1"/>
  <c r="AX417" i="1"/>
  <c r="BT417" i="1" s="1"/>
  <c r="AVC417" i="1" s="1"/>
  <c r="AX13" i="1"/>
  <c r="BT13" i="1" s="1"/>
  <c r="AX14" i="1"/>
  <c r="BT14" i="1" s="1"/>
  <c r="AX15" i="1"/>
  <c r="BT15" i="1" s="1"/>
  <c r="AX16" i="1"/>
  <c r="BT16" i="1" s="1"/>
  <c r="AX17" i="1"/>
  <c r="BT17" i="1" s="1"/>
  <c r="AX18" i="1"/>
  <c r="BT18" i="1" s="1"/>
  <c r="AX20" i="1"/>
  <c r="BT20" i="1" s="1"/>
  <c r="AX21" i="1"/>
  <c r="BT21" i="1" s="1"/>
  <c r="AX25" i="1"/>
  <c r="BT25" i="1" s="1"/>
  <c r="AX26" i="1"/>
  <c r="BT26" i="1" s="1"/>
  <c r="AX27" i="1"/>
  <c r="BT27" i="1" s="1"/>
  <c r="AX28" i="1"/>
  <c r="BT28" i="1" s="1"/>
  <c r="AX29" i="1"/>
  <c r="BT29" i="1" s="1"/>
  <c r="AX30" i="1"/>
  <c r="BT30" i="1" s="1"/>
  <c r="AX38" i="1"/>
  <c r="BT38" i="1" s="1"/>
  <c r="AX39" i="1"/>
  <c r="BT39" i="1" s="1"/>
  <c r="AX40" i="1"/>
  <c r="BT40" i="1" s="1"/>
  <c r="AX41" i="1"/>
  <c r="BT41" i="1" s="1"/>
  <c r="AX42" i="1"/>
  <c r="BT42" i="1" s="1"/>
  <c r="AX43" i="1"/>
  <c r="BT43" i="1" s="1"/>
  <c r="AX44" i="1"/>
  <c r="BT44" i="1" s="1"/>
  <c r="AX45" i="1"/>
  <c r="BT45" i="1" s="1"/>
  <c r="AX46" i="1"/>
  <c r="BT46" i="1" s="1"/>
  <c r="AX48" i="1"/>
  <c r="BT48" i="1" s="1"/>
  <c r="AX61" i="1"/>
  <c r="BT61" i="1" s="1"/>
  <c r="AX63" i="1"/>
  <c r="BT63" i="1" s="1"/>
  <c r="AX64" i="1"/>
  <c r="BT64" i="1" s="1"/>
  <c r="AX66" i="1"/>
  <c r="BT66" i="1" s="1"/>
  <c r="AX68" i="1"/>
  <c r="BT68" i="1" s="1"/>
  <c r="AX70" i="1"/>
  <c r="BT70" i="1" s="1"/>
  <c r="AX71" i="1"/>
  <c r="BT71" i="1" s="1"/>
  <c r="AX72" i="1"/>
  <c r="BT72" i="1" s="1"/>
  <c r="CP72" i="1" s="1"/>
  <c r="AX73" i="1"/>
  <c r="BT73" i="1" s="1"/>
  <c r="AX74" i="1"/>
  <c r="BT74" i="1" s="1"/>
  <c r="AX80" i="1"/>
  <c r="BT80" i="1" s="1"/>
  <c r="AX82" i="1"/>
  <c r="BT82" i="1" s="1"/>
  <c r="AX84" i="1"/>
  <c r="BT84" i="1" s="1"/>
  <c r="AX85" i="1"/>
  <c r="BT85" i="1" s="1"/>
  <c r="AX86" i="1"/>
  <c r="BT86" i="1" s="1"/>
  <c r="AX87" i="1"/>
  <c r="BT87" i="1" s="1"/>
  <c r="AX88" i="1"/>
  <c r="BT88" i="1" s="1"/>
  <c r="CP88" i="1" s="1"/>
  <c r="AX89" i="1"/>
  <c r="BT89" i="1" s="1"/>
  <c r="CP89" i="1" s="1"/>
  <c r="AX90" i="1"/>
  <c r="BT90" i="1" s="1"/>
  <c r="AX91" i="1"/>
  <c r="BT91" i="1" s="1"/>
  <c r="CP91" i="1" s="1"/>
  <c r="AX92" i="1"/>
  <c r="BT92" i="1" s="1"/>
  <c r="AX94" i="1"/>
  <c r="BT94" i="1" s="1"/>
  <c r="CP94" i="1" s="1"/>
  <c r="AX104" i="1"/>
  <c r="BT104" i="1" s="1"/>
  <c r="AX105" i="1"/>
  <c r="BT105" i="1" s="1"/>
  <c r="AX106" i="1"/>
  <c r="BT106" i="1" s="1"/>
  <c r="AX107" i="1"/>
  <c r="BT107" i="1" s="1"/>
  <c r="AX108" i="1"/>
  <c r="BT108" i="1" s="1"/>
  <c r="AX109" i="1"/>
  <c r="BT109" i="1" s="1"/>
  <c r="AX114" i="1"/>
  <c r="BT114" i="1" s="1"/>
  <c r="AX115" i="1"/>
  <c r="BT115" i="1" s="1"/>
  <c r="AX116" i="1"/>
  <c r="BT116" i="1" s="1"/>
  <c r="AX117" i="1"/>
  <c r="BT117" i="1" s="1"/>
  <c r="AX118" i="1"/>
  <c r="BT118" i="1" s="1"/>
  <c r="CP118" i="1" s="1"/>
  <c r="AX124" i="1"/>
  <c r="BT124" i="1" s="1"/>
  <c r="AX125" i="1"/>
  <c r="BT125" i="1" s="1"/>
  <c r="AX126" i="1"/>
  <c r="BT126" i="1" s="1"/>
  <c r="AX127" i="1"/>
  <c r="BT127" i="1" s="1"/>
  <c r="AX128" i="1"/>
  <c r="BT128" i="1" s="1"/>
  <c r="AX129" i="1"/>
  <c r="BT129" i="1" s="1"/>
  <c r="AX130" i="1"/>
  <c r="BT130" i="1" s="1"/>
  <c r="AX138" i="1"/>
  <c r="BT138" i="1" s="1"/>
  <c r="AX139" i="1"/>
  <c r="BT139" i="1" s="1"/>
  <c r="AX140" i="1"/>
  <c r="BT140" i="1" s="1"/>
  <c r="AX141" i="1"/>
  <c r="BT141" i="1" s="1"/>
  <c r="AX142" i="1"/>
  <c r="BT142" i="1" s="1"/>
  <c r="AX143" i="1"/>
  <c r="BT143" i="1" s="1"/>
  <c r="AX147" i="1"/>
  <c r="BT147" i="1" s="1"/>
  <c r="AX148" i="1"/>
  <c r="BT148" i="1" s="1"/>
  <c r="AX149" i="1"/>
  <c r="BT149" i="1" s="1"/>
  <c r="AX157" i="1"/>
  <c r="BT157" i="1" s="1"/>
  <c r="AX158" i="1"/>
  <c r="BT158" i="1" s="1"/>
  <c r="AX159" i="1"/>
  <c r="BT159" i="1" s="1"/>
  <c r="AX161" i="1"/>
  <c r="BT161" i="1" s="1"/>
  <c r="AX162" i="1"/>
  <c r="BT162" i="1" s="1"/>
  <c r="AX163" i="1"/>
  <c r="BT163" i="1" s="1"/>
  <c r="CP164" i="1"/>
  <c r="AX166" i="1"/>
  <c r="BT166" i="1" s="1"/>
  <c r="AX167" i="1"/>
  <c r="BT167" i="1" s="1"/>
  <c r="AX168" i="1"/>
  <c r="BT168" i="1" s="1"/>
  <c r="AX169" i="1"/>
  <c r="BT169" i="1" s="1"/>
  <c r="AX170" i="1"/>
  <c r="BT170" i="1" s="1"/>
  <c r="CP170" i="1" s="1"/>
  <c r="AX171" i="1"/>
  <c r="BT171" i="1" s="1"/>
  <c r="AX175" i="1"/>
  <c r="BT175" i="1" s="1"/>
  <c r="AX176" i="1"/>
  <c r="BT176" i="1" s="1"/>
  <c r="AX177" i="1"/>
  <c r="BT177" i="1" s="1"/>
  <c r="AX178" i="1"/>
  <c r="BT178" i="1" s="1"/>
  <c r="AX179" i="1"/>
  <c r="BT179" i="1" s="1"/>
  <c r="AX180" i="1"/>
  <c r="BT180" i="1" s="1"/>
  <c r="AX181" i="1"/>
  <c r="BT181" i="1" s="1"/>
  <c r="AX183" i="1"/>
  <c r="BT183" i="1" s="1"/>
  <c r="AX184" i="1"/>
  <c r="BT184" i="1" s="1"/>
  <c r="AX185" i="1"/>
  <c r="BT185" i="1" s="1"/>
  <c r="AVC185" i="1" s="1"/>
  <c r="AX186" i="1"/>
  <c r="BT186" i="1" s="1"/>
  <c r="AX187" i="1"/>
  <c r="BT187" i="1" s="1"/>
  <c r="AX188" i="1"/>
  <c r="BT188" i="1" s="1"/>
  <c r="AX190" i="1"/>
  <c r="BT190" i="1" s="1"/>
  <c r="AX196" i="1"/>
  <c r="BT196" i="1" s="1"/>
  <c r="AX197" i="1"/>
  <c r="BT197" i="1" s="1"/>
  <c r="AX199" i="1"/>
  <c r="BT199" i="1" s="1"/>
  <c r="AX200" i="1"/>
  <c r="BT200" i="1" s="1"/>
  <c r="AX201" i="1"/>
  <c r="BT201" i="1" s="1"/>
  <c r="CP201" i="1" s="1"/>
  <c r="AX202" i="1"/>
  <c r="BT202" i="1" s="1"/>
  <c r="AX203" i="1"/>
  <c r="BT203" i="1" s="1"/>
  <c r="AX204" i="1"/>
  <c r="BT204" i="1" s="1"/>
  <c r="AX209" i="1"/>
  <c r="BT209" i="1" s="1"/>
  <c r="AX210" i="1"/>
  <c r="BT210" i="1" s="1"/>
  <c r="AX211" i="1"/>
  <c r="BT211" i="1" s="1"/>
  <c r="AX212" i="1"/>
  <c r="BT212" i="1" s="1"/>
  <c r="AX213" i="1"/>
  <c r="BT213" i="1" s="1"/>
  <c r="AX219" i="1"/>
  <c r="BT219" i="1" s="1"/>
  <c r="CP219" i="1" s="1"/>
  <c r="AX221" i="1"/>
  <c r="BT221" i="1" s="1"/>
  <c r="AX222" i="1"/>
  <c r="BT222" i="1" s="1"/>
  <c r="AX223" i="1"/>
  <c r="BT223" i="1" s="1"/>
  <c r="AX224" i="1"/>
  <c r="BT224" i="1" s="1"/>
  <c r="AX225" i="1"/>
  <c r="BT225" i="1" s="1"/>
  <c r="AX226" i="1"/>
  <c r="BT226" i="1" s="1"/>
  <c r="AX227" i="1"/>
  <c r="BT227" i="1" s="1"/>
  <c r="AX236" i="1"/>
  <c r="BT236" i="1" s="1"/>
  <c r="AX238" i="1"/>
  <c r="BT238" i="1" s="1"/>
  <c r="AX239" i="1"/>
  <c r="BT239" i="1" s="1"/>
  <c r="AX240" i="1"/>
  <c r="BT240" i="1" s="1"/>
  <c r="AX241" i="1"/>
  <c r="BT241" i="1" s="1"/>
  <c r="AX242" i="1"/>
  <c r="BT242" i="1" s="1"/>
  <c r="AX243" i="1"/>
  <c r="BT243" i="1" s="1"/>
  <c r="AX244" i="1"/>
  <c r="BT244" i="1" s="1"/>
  <c r="AX245" i="1"/>
  <c r="BT245" i="1" s="1"/>
  <c r="CP245" i="1" s="1"/>
  <c r="AX247" i="1"/>
  <c r="BT247" i="1" s="1"/>
  <c r="AX248" i="1"/>
  <c r="BT248" i="1" s="1"/>
  <c r="AX249" i="1"/>
  <c r="BT249" i="1" s="1"/>
  <c r="AX250" i="1"/>
  <c r="BT250" i="1" s="1"/>
  <c r="AX251" i="1"/>
  <c r="BT251" i="1" s="1"/>
  <c r="AX252" i="1"/>
  <c r="BT252" i="1" s="1"/>
  <c r="AX253" i="1"/>
  <c r="BT253" i="1" s="1"/>
  <c r="AX257" i="1"/>
  <c r="BT257" i="1" s="1"/>
  <c r="AX258" i="1"/>
  <c r="BT258" i="1" s="1"/>
  <c r="AX259" i="1"/>
  <c r="BT259" i="1" s="1"/>
  <c r="AX260" i="1"/>
  <c r="BT260" i="1" s="1"/>
  <c r="AX261" i="1"/>
  <c r="BT261" i="1" s="1"/>
  <c r="AX262" i="1"/>
  <c r="BT262" i="1" s="1"/>
  <c r="AX263" i="1"/>
  <c r="BT263" i="1" s="1"/>
  <c r="AX264" i="1"/>
  <c r="BT264" i="1" s="1"/>
  <c r="AX265" i="1"/>
  <c r="BT265" i="1" s="1"/>
  <c r="AX266" i="1"/>
  <c r="BT266" i="1" s="1"/>
  <c r="AX267" i="1"/>
  <c r="BT267" i="1" s="1"/>
  <c r="CP267" i="1" s="1"/>
  <c r="AX268" i="1"/>
  <c r="BT268" i="1" s="1"/>
  <c r="AX269" i="1"/>
  <c r="BT269" i="1" s="1"/>
  <c r="AX270" i="1"/>
  <c r="BT270" i="1" s="1"/>
  <c r="AX271" i="1"/>
  <c r="BT271" i="1" s="1"/>
  <c r="AX273" i="1"/>
  <c r="BT273" i="1" s="1"/>
  <c r="AX275" i="1"/>
  <c r="BT275" i="1" s="1"/>
  <c r="AX276" i="1"/>
  <c r="BT276" i="1" s="1"/>
  <c r="AX277" i="1"/>
  <c r="BT277" i="1" s="1"/>
  <c r="AX280" i="1"/>
  <c r="BT280" i="1" s="1"/>
  <c r="AX281" i="1"/>
  <c r="BT281" i="1" s="1"/>
  <c r="AVC281" i="1" s="1"/>
  <c r="AX282" i="1"/>
  <c r="BT282" i="1" s="1"/>
  <c r="AX296" i="1"/>
  <c r="BT296" i="1" s="1"/>
  <c r="AX297" i="1"/>
  <c r="BT297" i="1" s="1"/>
  <c r="AX298" i="1"/>
  <c r="BT298" i="1" s="1"/>
  <c r="AX299" i="1"/>
  <c r="BT299" i="1" s="1"/>
  <c r="AX300" i="1"/>
  <c r="BT300" i="1" s="1"/>
  <c r="AX302" i="1"/>
  <c r="BT302" i="1" s="1"/>
  <c r="AX303" i="1"/>
  <c r="BT303" i="1" s="1"/>
  <c r="CP303" i="1" s="1"/>
  <c r="AX304" i="1"/>
  <c r="BT304" i="1" s="1"/>
  <c r="AX305" i="1"/>
  <c r="BT305" i="1" s="1"/>
  <c r="AX313" i="1"/>
  <c r="BT313" i="1" s="1"/>
  <c r="AX314" i="1"/>
  <c r="BT314" i="1" s="1"/>
  <c r="AX315" i="1"/>
  <c r="BT315" i="1" s="1"/>
  <c r="AX316" i="1"/>
  <c r="BT316" i="1" s="1"/>
  <c r="AX317" i="1"/>
  <c r="BT317" i="1" s="1"/>
  <c r="AX318" i="1"/>
  <c r="BT318" i="1" s="1"/>
  <c r="AX326" i="1"/>
  <c r="BT326" i="1" s="1"/>
  <c r="AX327" i="1"/>
  <c r="BT327" i="1" s="1"/>
  <c r="AX328" i="1"/>
  <c r="BT328" i="1" s="1"/>
  <c r="AX329" i="1"/>
  <c r="BT329" i="1" s="1"/>
  <c r="AX330" i="1"/>
  <c r="BT330" i="1" s="1"/>
  <c r="AX331" i="1"/>
  <c r="BT331" i="1" s="1"/>
  <c r="AX332" i="1"/>
  <c r="BT332" i="1" s="1"/>
  <c r="AX333" i="1"/>
  <c r="BT333" i="1" s="1"/>
  <c r="CP333" i="1" s="1"/>
  <c r="AX334" i="1"/>
  <c r="BT334" i="1" s="1"/>
  <c r="CP334" i="1" s="1"/>
  <c r="AX335" i="1"/>
  <c r="BT335" i="1" s="1"/>
  <c r="CP335" i="1" s="1"/>
  <c r="AX336" i="1"/>
  <c r="BT336" i="1" s="1"/>
  <c r="AX337" i="1"/>
  <c r="BT337" i="1" s="1"/>
  <c r="AX338" i="1"/>
  <c r="BT338" i="1" s="1"/>
  <c r="AX339" i="1"/>
  <c r="BT339" i="1" s="1"/>
  <c r="AX340" i="1"/>
  <c r="BT340" i="1" s="1"/>
  <c r="AX341" i="1"/>
  <c r="BT341" i="1" s="1"/>
  <c r="CP341" i="1" s="1"/>
  <c r="AX342" i="1"/>
  <c r="BT342" i="1" s="1"/>
  <c r="CP342" i="1" s="1"/>
  <c r="AX351" i="1"/>
  <c r="BT351" i="1" s="1"/>
  <c r="AX352" i="1"/>
  <c r="BT352" i="1" s="1"/>
  <c r="AX356" i="1"/>
  <c r="BT356" i="1" s="1"/>
  <c r="AX357" i="1"/>
  <c r="BT357" i="1" s="1"/>
  <c r="AX358" i="1"/>
  <c r="BT358" i="1" s="1"/>
  <c r="AX359" i="1"/>
  <c r="BT359" i="1" s="1"/>
  <c r="AX360" i="1"/>
  <c r="BT360" i="1" s="1"/>
  <c r="AX361" i="1"/>
  <c r="BT361" i="1" s="1"/>
  <c r="AX362" i="1"/>
  <c r="BT362" i="1" s="1"/>
  <c r="AX363" i="1"/>
  <c r="BT363" i="1" s="1"/>
  <c r="AX364" i="1"/>
  <c r="BT364" i="1" s="1"/>
  <c r="AX374" i="1"/>
  <c r="BT374" i="1" s="1"/>
  <c r="AX375" i="1"/>
  <c r="BT375" i="1" s="1"/>
  <c r="CP375" i="1" s="1"/>
  <c r="AX376" i="1"/>
  <c r="BT376" i="1" s="1"/>
  <c r="AX377" i="1"/>
  <c r="BT377" i="1" s="1"/>
  <c r="AX378" i="1"/>
  <c r="BT378" i="1" s="1"/>
  <c r="CP378" i="1" s="1"/>
  <c r="AX379" i="1"/>
  <c r="BT379" i="1" s="1"/>
  <c r="AX394" i="1"/>
  <c r="BT394" i="1" s="1"/>
  <c r="AX395" i="1"/>
  <c r="BT395" i="1" s="1"/>
  <c r="AX396" i="1"/>
  <c r="BT396" i="1" s="1"/>
  <c r="AX397" i="1"/>
  <c r="BT397" i="1" s="1"/>
  <c r="AX399" i="1"/>
  <c r="BT399" i="1" s="1"/>
  <c r="AX402" i="1"/>
  <c r="BT402" i="1" s="1"/>
  <c r="AX403" i="1"/>
  <c r="BT403" i="1" s="1"/>
  <c r="AX404" i="1"/>
  <c r="BT404" i="1" s="1"/>
  <c r="AX409" i="1"/>
  <c r="BT409" i="1" s="1"/>
  <c r="AX410" i="1"/>
  <c r="BT410" i="1" s="1"/>
  <c r="AX412" i="1"/>
  <c r="BT412" i="1" s="1"/>
  <c r="AX414" i="1"/>
  <c r="BT414" i="1" s="1"/>
  <c r="AX415" i="1"/>
  <c r="BT415" i="1" s="1"/>
  <c r="CP415" i="1" s="1"/>
  <c r="AX416" i="1"/>
  <c r="BT416" i="1" s="1"/>
  <c r="AVC416" i="1" s="1"/>
  <c r="U13" i="1"/>
  <c r="U14" i="1"/>
  <c r="U15" i="1"/>
  <c r="U16" i="1"/>
  <c r="U17" i="1"/>
  <c r="U18" i="1"/>
  <c r="U20" i="1"/>
  <c r="U21" i="1"/>
  <c r="U25" i="1"/>
  <c r="U26" i="1"/>
  <c r="U27" i="1"/>
  <c r="U28" i="1"/>
  <c r="U29" i="1"/>
  <c r="U30" i="1"/>
  <c r="U38" i="1"/>
  <c r="U39" i="1"/>
  <c r="U40" i="1"/>
  <c r="U41" i="1"/>
  <c r="U42" i="1"/>
  <c r="U43" i="1"/>
  <c r="U44" i="1"/>
  <c r="U45" i="1"/>
  <c r="U46" i="1"/>
  <c r="U48" i="1"/>
  <c r="U61" i="1"/>
  <c r="U63" i="1"/>
  <c r="U64" i="1"/>
  <c r="U65" i="1"/>
  <c r="U66" i="1"/>
  <c r="U67" i="1"/>
  <c r="U68" i="1"/>
  <c r="U70" i="1"/>
  <c r="U71" i="1"/>
  <c r="U73" i="1"/>
  <c r="U74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4" i="1"/>
  <c r="U104" i="1"/>
  <c r="U105" i="1"/>
  <c r="U106" i="1"/>
  <c r="U107" i="1"/>
  <c r="U108" i="1"/>
  <c r="U109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8" i="1"/>
  <c r="U139" i="1"/>
  <c r="U140" i="1"/>
  <c r="U141" i="1"/>
  <c r="U142" i="1"/>
  <c r="U143" i="1"/>
  <c r="U147" i="1"/>
  <c r="U148" i="1"/>
  <c r="U149" i="1"/>
  <c r="U157" i="1"/>
  <c r="U158" i="1"/>
  <c r="U159" i="1"/>
  <c r="U161" i="1"/>
  <c r="U162" i="1"/>
  <c r="U163" i="1"/>
  <c r="U164" i="1"/>
  <c r="AVA164" i="1" s="1"/>
  <c r="U166" i="1"/>
  <c r="U167" i="1"/>
  <c r="U168" i="1"/>
  <c r="AVA182" i="1" s="1"/>
  <c r="U169" i="1"/>
  <c r="U170" i="1"/>
  <c r="U171" i="1"/>
  <c r="U175" i="1"/>
  <c r="U176" i="1"/>
  <c r="U177" i="1"/>
  <c r="U178" i="1"/>
  <c r="U179" i="1"/>
  <c r="U180" i="1"/>
  <c r="U181" i="1"/>
  <c r="U183" i="1"/>
  <c r="U184" i="1"/>
  <c r="U185" i="1"/>
  <c r="U186" i="1"/>
  <c r="U187" i="1"/>
  <c r="U188" i="1"/>
  <c r="U196" i="1"/>
  <c r="U197" i="1"/>
  <c r="U199" i="1"/>
  <c r="U200" i="1"/>
  <c r="U201" i="1"/>
  <c r="U202" i="1"/>
  <c r="U203" i="1"/>
  <c r="U204" i="1"/>
  <c r="U209" i="1"/>
  <c r="U210" i="1"/>
  <c r="U211" i="1"/>
  <c r="U212" i="1"/>
  <c r="U213" i="1"/>
  <c r="U219" i="1"/>
  <c r="U221" i="1"/>
  <c r="U222" i="1"/>
  <c r="U223" i="1"/>
  <c r="U224" i="1"/>
  <c r="U225" i="1"/>
  <c r="U226" i="1"/>
  <c r="U227" i="1"/>
  <c r="U236" i="1"/>
  <c r="U238" i="1"/>
  <c r="U239" i="1"/>
  <c r="U240" i="1"/>
  <c r="U241" i="1"/>
  <c r="U242" i="1"/>
  <c r="U243" i="1"/>
  <c r="U244" i="1"/>
  <c r="U245" i="1"/>
  <c r="U247" i="1"/>
  <c r="U248" i="1"/>
  <c r="U249" i="1"/>
  <c r="U250" i="1"/>
  <c r="U251" i="1"/>
  <c r="U252" i="1"/>
  <c r="U253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3" i="1"/>
  <c r="U275" i="1"/>
  <c r="U276" i="1"/>
  <c r="U277" i="1"/>
  <c r="U280" i="1"/>
  <c r="U281" i="1"/>
  <c r="U282" i="1"/>
  <c r="U296" i="1"/>
  <c r="U297" i="1"/>
  <c r="AVA311" i="1" s="1"/>
  <c r="U298" i="1"/>
  <c r="AVA312" i="1" s="1"/>
  <c r="U299" i="1"/>
  <c r="U300" i="1"/>
  <c r="U302" i="1"/>
  <c r="U303" i="1"/>
  <c r="U304" i="1"/>
  <c r="U305" i="1"/>
  <c r="U313" i="1"/>
  <c r="U314" i="1"/>
  <c r="U315" i="1"/>
  <c r="U316" i="1"/>
  <c r="U317" i="1"/>
  <c r="U318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5" i="1"/>
  <c r="U356" i="1"/>
  <c r="U357" i="1"/>
  <c r="U358" i="1"/>
  <c r="U359" i="1"/>
  <c r="U360" i="1"/>
  <c r="U361" i="1"/>
  <c r="U362" i="1"/>
  <c r="U363" i="1"/>
  <c r="U364" i="1"/>
  <c r="U365" i="1"/>
  <c r="U374" i="1"/>
  <c r="U375" i="1"/>
  <c r="U376" i="1"/>
  <c r="U377" i="1"/>
  <c r="U378" i="1"/>
  <c r="U379" i="1"/>
  <c r="U394" i="1"/>
  <c r="U395" i="1"/>
  <c r="U396" i="1"/>
  <c r="U397" i="1"/>
  <c r="U399" i="1"/>
  <c r="U402" i="1"/>
  <c r="U403" i="1"/>
  <c r="U404" i="1"/>
  <c r="U409" i="1"/>
  <c r="U410" i="1"/>
  <c r="U411" i="1"/>
  <c r="U412" i="1"/>
  <c r="U414" i="1"/>
  <c r="U415" i="1"/>
  <c r="U416" i="1"/>
  <c r="U417" i="1"/>
  <c r="AV8" i="1"/>
  <c r="BR8" i="1" s="1"/>
  <c r="BK8" i="1"/>
  <c r="CG8" i="1" s="1"/>
  <c r="AV9" i="1"/>
  <c r="BR9" i="1" s="1"/>
  <c r="BK9" i="1"/>
  <c r="CG9" i="1" s="1"/>
  <c r="AV11" i="1"/>
  <c r="BR11" i="1" s="1"/>
  <c r="BK11" i="1"/>
  <c r="CG11" i="1" s="1"/>
  <c r="AV12" i="1"/>
  <c r="BR12" i="1" s="1"/>
  <c r="BK12" i="1"/>
  <c r="CG12" i="1" s="1"/>
  <c r="AV13" i="1"/>
  <c r="BR13" i="1" s="1"/>
  <c r="BA13" i="1"/>
  <c r="BW13" i="1" s="1"/>
  <c r="BB13" i="1"/>
  <c r="BC13" i="1"/>
  <c r="BY13" i="1" s="1"/>
  <c r="BD13" i="1"/>
  <c r="BZ13" i="1" s="1"/>
  <c r="BE13" i="1"/>
  <c r="CA13" i="1" s="1"/>
  <c r="BF13" i="1"/>
  <c r="CB13" i="1" s="1"/>
  <c r="BG13" i="1"/>
  <c r="CC13" i="1" s="1"/>
  <c r="BK13" i="1"/>
  <c r="CG13" i="1" s="1"/>
  <c r="AV14" i="1"/>
  <c r="BR14" i="1" s="1"/>
  <c r="BA14" i="1"/>
  <c r="BW14" i="1" s="1"/>
  <c r="BB14" i="1"/>
  <c r="BC14" i="1"/>
  <c r="BY14" i="1" s="1"/>
  <c r="BD14" i="1"/>
  <c r="BZ14" i="1" s="1"/>
  <c r="BE14" i="1"/>
  <c r="CA14" i="1" s="1"/>
  <c r="BF14" i="1"/>
  <c r="CB14" i="1" s="1"/>
  <c r="BG14" i="1"/>
  <c r="CC14" i="1" s="1"/>
  <c r="BK14" i="1"/>
  <c r="CG14" i="1" s="1"/>
  <c r="AV15" i="1"/>
  <c r="BR15" i="1" s="1"/>
  <c r="BA15" i="1"/>
  <c r="BW15" i="1" s="1"/>
  <c r="BB15" i="1"/>
  <c r="BC15" i="1"/>
  <c r="BY15" i="1" s="1"/>
  <c r="BD15" i="1"/>
  <c r="BZ15" i="1" s="1"/>
  <c r="BE15" i="1"/>
  <c r="CA15" i="1" s="1"/>
  <c r="BF15" i="1"/>
  <c r="CB15" i="1" s="1"/>
  <c r="BG15" i="1"/>
  <c r="CC15" i="1" s="1"/>
  <c r="BK15" i="1"/>
  <c r="CG15" i="1" s="1"/>
  <c r="AV16" i="1"/>
  <c r="BR16" i="1" s="1"/>
  <c r="AY16" i="1"/>
  <c r="BU16" i="1" s="1"/>
  <c r="BA16" i="1"/>
  <c r="BW16" i="1" s="1"/>
  <c r="BB16" i="1"/>
  <c r="BC16" i="1"/>
  <c r="BY16" i="1" s="1"/>
  <c r="BD16" i="1"/>
  <c r="BZ16" i="1" s="1"/>
  <c r="BE16" i="1"/>
  <c r="CA16" i="1" s="1"/>
  <c r="BF16" i="1"/>
  <c r="CB16" i="1" s="1"/>
  <c r="BG16" i="1"/>
  <c r="CC16" i="1" s="1"/>
  <c r="BK16" i="1"/>
  <c r="CG16" i="1" s="1"/>
  <c r="AV17" i="1"/>
  <c r="BR17" i="1" s="1"/>
  <c r="BA17" i="1"/>
  <c r="BW17" i="1" s="1"/>
  <c r="BB17" i="1"/>
  <c r="BC17" i="1"/>
  <c r="BY17" i="1" s="1"/>
  <c r="BD17" i="1"/>
  <c r="BZ17" i="1" s="1"/>
  <c r="BE17" i="1"/>
  <c r="CA17" i="1" s="1"/>
  <c r="BF17" i="1"/>
  <c r="CB17" i="1" s="1"/>
  <c r="BG17" i="1"/>
  <c r="CC17" i="1" s="1"/>
  <c r="BK17" i="1"/>
  <c r="CG17" i="1" s="1"/>
  <c r="AV18" i="1"/>
  <c r="BR18" i="1" s="1"/>
  <c r="BA18" i="1"/>
  <c r="BW18" i="1" s="1"/>
  <c r="BB18" i="1"/>
  <c r="BC18" i="1"/>
  <c r="BY18" i="1" s="1"/>
  <c r="BD18" i="1"/>
  <c r="BZ18" i="1" s="1"/>
  <c r="BE18" i="1"/>
  <c r="CA18" i="1" s="1"/>
  <c r="BF18" i="1"/>
  <c r="CB18" i="1" s="1"/>
  <c r="BG18" i="1"/>
  <c r="CC18" i="1" s="1"/>
  <c r="BK18" i="1"/>
  <c r="CG18" i="1" s="1"/>
  <c r="AV19" i="1"/>
  <c r="BR19" i="1" s="1"/>
  <c r="BK19" i="1"/>
  <c r="CG19" i="1" s="1"/>
  <c r="AV20" i="1"/>
  <c r="BR20" i="1" s="1"/>
  <c r="AY20" i="1"/>
  <c r="BU20" i="1" s="1"/>
  <c r="BA20" i="1"/>
  <c r="BW20" i="1" s="1"/>
  <c r="BB20" i="1"/>
  <c r="BC20" i="1"/>
  <c r="BY20" i="1" s="1"/>
  <c r="BD20" i="1"/>
  <c r="BZ20" i="1" s="1"/>
  <c r="BE20" i="1"/>
  <c r="CA20" i="1" s="1"/>
  <c r="BF20" i="1"/>
  <c r="CB20" i="1" s="1"/>
  <c r="BG20" i="1"/>
  <c r="CC20" i="1" s="1"/>
  <c r="BK20" i="1"/>
  <c r="CG20" i="1" s="1"/>
  <c r="AV21" i="1"/>
  <c r="BR21" i="1" s="1"/>
  <c r="BA21" i="1"/>
  <c r="BW21" i="1" s="1"/>
  <c r="BB21" i="1"/>
  <c r="BC21" i="1"/>
  <c r="BY21" i="1" s="1"/>
  <c r="BD21" i="1"/>
  <c r="BZ21" i="1" s="1"/>
  <c r="BE21" i="1"/>
  <c r="CA21" i="1" s="1"/>
  <c r="BF21" i="1"/>
  <c r="CB21" i="1" s="1"/>
  <c r="BG21" i="1"/>
  <c r="CC21" i="1" s="1"/>
  <c r="BK21" i="1"/>
  <c r="CG21" i="1" s="1"/>
  <c r="AV22" i="1"/>
  <c r="BR22" i="1" s="1"/>
  <c r="BK22" i="1"/>
  <c r="CG22" i="1" s="1"/>
  <c r="AV23" i="1"/>
  <c r="BR23" i="1" s="1"/>
  <c r="BK23" i="1"/>
  <c r="CG23" i="1" s="1"/>
  <c r="AV24" i="1"/>
  <c r="BR24" i="1" s="1"/>
  <c r="BK24" i="1"/>
  <c r="CG24" i="1" s="1"/>
  <c r="AV25" i="1"/>
  <c r="BR25" i="1" s="1"/>
  <c r="BA25" i="1"/>
  <c r="BW25" i="1" s="1"/>
  <c r="BB25" i="1"/>
  <c r="BC25" i="1"/>
  <c r="BY25" i="1" s="1"/>
  <c r="BD25" i="1"/>
  <c r="BZ25" i="1" s="1"/>
  <c r="BE25" i="1"/>
  <c r="CA25" i="1" s="1"/>
  <c r="BF25" i="1"/>
  <c r="CB25" i="1" s="1"/>
  <c r="BG25" i="1"/>
  <c r="CC25" i="1" s="1"/>
  <c r="BK25" i="1"/>
  <c r="CG25" i="1" s="1"/>
  <c r="AV26" i="1"/>
  <c r="BR26" i="1" s="1"/>
  <c r="BA26" i="1"/>
  <c r="BW26" i="1" s="1"/>
  <c r="BB26" i="1"/>
  <c r="BC26" i="1"/>
  <c r="BY26" i="1" s="1"/>
  <c r="BD26" i="1"/>
  <c r="BZ26" i="1" s="1"/>
  <c r="BE26" i="1"/>
  <c r="CA26" i="1" s="1"/>
  <c r="BF26" i="1"/>
  <c r="CB26" i="1" s="1"/>
  <c r="BG26" i="1"/>
  <c r="CC26" i="1" s="1"/>
  <c r="BK26" i="1"/>
  <c r="CG26" i="1" s="1"/>
  <c r="AV27" i="1"/>
  <c r="BR27" i="1" s="1"/>
  <c r="BA27" i="1"/>
  <c r="BW27" i="1" s="1"/>
  <c r="BB27" i="1"/>
  <c r="BC27" i="1"/>
  <c r="BY27" i="1" s="1"/>
  <c r="BD27" i="1"/>
  <c r="BZ27" i="1" s="1"/>
  <c r="BE27" i="1"/>
  <c r="CA27" i="1" s="1"/>
  <c r="BF27" i="1"/>
  <c r="CB27" i="1" s="1"/>
  <c r="BG27" i="1"/>
  <c r="CC27" i="1" s="1"/>
  <c r="BK27" i="1"/>
  <c r="CG27" i="1" s="1"/>
  <c r="AV28" i="1"/>
  <c r="BR28" i="1" s="1"/>
  <c r="AY28" i="1"/>
  <c r="BU28" i="1" s="1"/>
  <c r="BA28" i="1"/>
  <c r="BW28" i="1" s="1"/>
  <c r="BB28" i="1"/>
  <c r="BC28" i="1"/>
  <c r="BY28" i="1" s="1"/>
  <c r="BD28" i="1"/>
  <c r="BZ28" i="1" s="1"/>
  <c r="BE28" i="1"/>
  <c r="CA28" i="1" s="1"/>
  <c r="BF28" i="1"/>
  <c r="CB28" i="1" s="1"/>
  <c r="BG28" i="1"/>
  <c r="CC28" i="1" s="1"/>
  <c r="BK28" i="1"/>
  <c r="CG28" i="1" s="1"/>
  <c r="AV29" i="1"/>
  <c r="BR29" i="1" s="1"/>
  <c r="BA29" i="1"/>
  <c r="BW29" i="1" s="1"/>
  <c r="BB29" i="1"/>
  <c r="BC29" i="1"/>
  <c r="BY29" i="1" s="1"/>
  <c r="BD29" i="1"/>
  <c r="BZ29" i="1" s="1"/>
  <c r="BE29" i="1"/>
  <c r="CA29" i="1" s="1"/>
  <c r="BF29" i="1"/>
  <c r="CB29" i="1" s="1"/>
  <c r="BG29" i="1"/>
  <c r="CC29" i="1" s="1"/>
  <c r="BK29" i="1"/>
  <c r="CG29" i="1" s="1"/>
  <c r="AV30" i="1"/>
  <c r="BR30" i="1" s="1"/>
  <c r="BA30" i="1"/>
  <c r="BW30" i="1" s="1"/>
  <c r="BB30" i="1"/>
  <c r="BC30" i="1"/>
  <c r="BY30" i="1" s="1"/>
  <c r="BD30" i="1"/>
  <c r="BZ30" i="1" s="1"/>
  <c r="BE30" i="1"/>
  <c r="CA30" i="1" s="1"/>
  <c r="BF30" i="1"/>
  <c r="CB30" i="1" s="1"/>
  <c r="BG30" i="1"/>
  <c r="CC30" i="1" s="1"/>
  <c r="BK30" i="1"/>
  <c r="CG30" i="1" s="1"/>
  <c r="AV31" i="1"/>
  <c r="BR31" i="1" s="1"/>
  <c r="BK31" i="1"/>
  <c r="CG31" i="1" s="1"/>
  <c r="AV32" i="1"/>
  <c r="BR32" i="1" s="1"/>
  <c r="BK32" i="1"/>
  <c r="CG32" i="1" s="1"/>
  <c r="AVP32" i="1" s="1"/>
  <c r="AV33" i="1"/>
  <c r="BR33" i="1" s="1"/>
  <c r="BK33" i="1"/>
  <c r="CG33" i="1" s="1"/>
  <c r="AV34" i="1"/>
  <c r="BR34" i="1" s="1"/>
  <c r="BK34" i="1"/>
  <c r="CG34" i="1" s="1"/>
  <c r="AV35" i="1"/>
  <c r="BR35" i="1" s="1"/>
  <c r="BK35" i="1"/>
  <c r="CG35" i="1" s="1"/>
  <c r="AV36" i="1"/>
  <c r="BR36" i="1" s="1"/>
  <c r="BK36" i="1"/>
  <c r="CG36" i="1" s="1"/>
  <c r="AV37" i="1"/>
  <c r="BR37" i="1" s="1"/>
  <c r="BK37" i="1"/>
  <c r="CG37" i="1" s="1"/>
  <c r="AV38" i="1"/>
  <c r="BR38" i="1" s="1"/>
  <c r="BA38" i="1"/>
  <c r="BW38" i="1" s="1"/>
  <c r="BB38" i="1"/>
  <c r="BC38" i="1"/>
  <c r="BY38" i="1" s="1"/>
  <c r="BD38" i="1"/>
  <c r="BZ38" i="1" s="1"/>
  <c r="BE38" i="1"/>
  <c r="CA38" i="1" s="1"/>
  <c r="BF38" i="1"/>
  <c r="CB38" i="1" s="1"/>
  <c r="BG38" i="1"/>
  <c r="CC38" i="1" s="1"/>
  <c r="BK38" i="1"/>
  <c r="CG38" i="1" s="1"/>
  <c r="AV39" i="1"/>
  <c r="BR39" i="1" s="1"/>
  <c r="BA39" i="1"/>
  <c r="BW39" i="1" s="1"/>
  <c r="BB39" i="1"/>
  <c r="BC39" i="1"/>
  <c r="BY39" i="1" s="1"/>
  <c r="BD39" i="1"/>
  <c r="BZ39" i="1" s="1"/>
  <c r="BE39" i="1"/>
  <c r="CA39" i="1" s="1"/>
  <c r="BF39" i="1"/>
  <c r="CB39" i="1" s="1"/>
  <c r="BG39" i="1"/>
  <c r="CC39" i="1" s="1"/>
  <c r="BK39" i="1"/>
  <c r="CG39" i="1" s="1"/>
  <c r="AV40" i="1"/>
  <c r="BR40" i="1" s="1"/>
  <c r="AY40" i="1"/>
  <c r="BU40" i="1" s="1"/>
  <c r="BA40" i="1"/>
  <c r="BW40" i="1" s="1"/>
  <c r="BB40" i="1"/>
  <c r="BC40" i="1"/>
  <c r="BY40" i="1" s="1"/>
  <c r="BD40" i="1"/>
  <c r="BZ40" i="1" s="1"/>
  <c r="BE40" i="1"/>
  <c r="CA40" i="1" s="1"/>
  <c r="BF40" i="1"/>
  <c r="CB40" i="1" s="1"/>
  <c r="BG40" i="1"/>
  <c r="CC40" i="1" s="1"/>
  <c r="BK40" i="1"/>
  <c r="CG40" i="1" s="1"/>
  <c r="AV41" i="1"/>
  <c r="BR41" i="1" s="1"/>
  <c r="BA41" i="1"/>
  <c r="BW41" i="1" s="1"/>
  <c r="BB41" i="1"/>
  <c r="BC41" i="1"/>
  <c r="BY41" i="1" s="1"/>
  <c r="BD41" i="1"/>
  <c r="BZ41" i="1" s="1"/>
  <c r="BE41" i="1"/>
  <c r="CA41" i="1" s="1"/>
  <c r="BF41" i="1"/>
  <c r="CB41" i="1" s="1"/>
  <c r="BG41" i="1"/>
  <c r="CC41" i="1" s="1"/>
  <c r="BK41" i="1"/>
  <c r="CG41" i="1" s="1"/>
  <c r="AV42" i="1"/>
  <c r="BR42" i="1" s="1"/>
  <c r="BA42" i="1"/>
  <c r="BW42" i="1" s="1"/>
  <c r="BB42" i="1"/>
  <c r="BC42" i="1"/>
  <c r="BY42" i="1" s="1"/>
  <c r="BD42" i="1"/>
  <c r="BZ42" i="1" s="1"/>
  <c r="BE42" i="1"/>
  <c r="CA42" i="1" s="1"/>
  <c r="BF42" i="1"/>
  <c r="CB42" i="1" s="1"/>
  <c r="BG42" i="1"/>
  <c r="CC42" i="1" s="1"/>
  <c r="BK42" i="1"/>
  <c r="CG42" i="1" s="1"/>
  <c r="AV43" i="1"/>
  <c r="BR43" i="1" s="1"/>
  <c r="BA43" i="1"/>
  <c r="BW43" i="1" s="1"/>
  <c r="BB43" i="1"/>
  <c r="BC43" i="1"/>
  <c r="BY43" i="1" s="1"/>
  <c r="BD43" i="1"/>
  <c r="BZ43" i="1" s="1"/>
  <c r="BE43" i="1"/>
  <c r="CA43" i="1" s="1"/>
  <c r="BF43" i="1"/>
  <c r="CB43" i="1" s="1"/>
  <c r="BG43" i="1"/>
  <c r="CC43" i="1" s="1"/>
  <c r="BK43" i="1"/>
  <c r="CG43" i="1" s="1"/>
  <c r="AV44" i="1"/>
  <c r="BR44" i="1" s="1"/>
  <c r="AY44" i="1"/>
  <c r="BU44" i="1" s="1"/>
  <c r="BA44" i="1"/>
  <c r="BW44" i="1" s="1"/>
  <c r="BB44" i="1"/>
  <c r="BC44" i="1"/>
  <c r="BY44" i="1" s="1"/>
  <c r="BD44" i="1"/>
  <c r="BZ44" i="1" s="1"/>
  <c r="BE44" i="1"/>
  <c r="CA44" i="1" s="1"/>
  <c r="BF44" i="1"/>
  <c r="CB44" i="1" s="1"/>
  <c r="BG44" i="1"/>
  <c r="CC44" i="1" s="1"/>
  <c r="BK44" i="1"/>
  <c r="CG44" i="1" s="1"/>
  <c r="AV45" i="1"/>
  <c r="BR45" i="1" s="1"/>
  <c r="BA45" i="1"/>
  <c r="BW45" i="1" s="1"/>
  <c r="BB45" i="1"/>
  <c r="BC45" i="1"/>
  <c r="BY45" i="1" s="1"/>
  <c r="BD45" i="1"/>
  <c r="BZ45" i="1" s="1"/>
  <c r="BE45" i="1"/>
  <c r="CA45" i="1" s="1"/>
  <c r="BF45" i="1"/>
  <c r="CB45" i="1" s="1"/>
  <c r="BG45" i="1"/>
  <c r="CC45" i="1" s="1"/>
  <c r="BK45" i="1"/>
  <c r="CG45" i="1" s="1"/>
  <c r="AV46" i="1"/>
  <c r="BR46" i="1" s="1"/>
  <c r="BA46" i="1"/>
  <c r="BW46" i="1" s="1"/>
  <c r="BB46" i="1"/>
  <c r="BC46" i="1"/>
  <c r="BY46" i="1" s="1"/>
  <c r="BD46" i="1"/>
  <c r="BZ46" i="1" s="1"/>
  <c r="BE46" i="1"/>
  <c r="CA46" i="1" s="1"/>
  <c r="BF46" i="1"/>
  <c r="CB46" i="1" s="1"/>
  <c r="BG46" i="1"/>
  <c r="CC46" i="1" s="1"/>
  <c r="BK46" i="1"/>
  <c r="CG46" i="1" s="1"/>
  <c r="AV47" i="1"/>
  <c r="BR47" i="1" s="1"/>
  <c r="BK47" i="1"/>
  <c r="CG47" i="1" s="1"/>
  <c r="AV48" i="1"/>
  <c r="BR48" i="1" s="1"/>
  <c r="AY48" i="1"/>
  <c r="BU48" i="1" s="1"/>
  <c r="BA48" i="1"/>
  <c r="BW48" i="1" s="1"/>
  <c r="BB48" i="1"/>
  <c r="BC48" i="1"/>
  <c r="BY48" i="1" s="1"/>
  <c r="BD48" i="1"/>
  <c r="BZ48" i="1" s="1"/>
  <c r="BE48" i="1"/>
  <c r="CA48" i="1" s="1"/>
  <c r="BF48" i="1"/>
  <c r="CB48" i="1" s="1"/>
  <c r="BG48" i="1"/>
  <c r="CC48" i="1" s="1"/>
  <c r="BK48" i="1"/>
  <c r="CG48" i="1" s="1"/>
  <c r="AV49" i="1"/>
  <c r="BR49" i="1" s="1"/>
  <c r="BK49" i="1"/>
  <c r="CG49" i="1" s="1"/>
  <c r="AV50" i="1"/>
  <c r="BR50" i="1" s="1"/>
  <c r="BK50" i="1"/>
  <c r="CG50" i="1" s="1"/>
  <c r="AV51" i="1"/>
  <c r="BR51" i="1" s="1"/>
  <c r="BK51" i="1"/>
  <c r="CG51" i="1" s="1"/>
  <c r="AV61" i="1"/>
  <c r="BR61" i="1" s="1"/>
  <c r="AY61" i="1"/>
  <c r="BU61" i="1" s="1"/>
  <c r="BA61" i="1"/>
  <c r="BW61" i="1" s="1"/>
  <c r="BB61" i="1"/>
  <c r="BC61" i="1"/>
  <c r="BY61" i="1" s="1"/>
  <c r="BD61" i="1"/>
  <c r="BZ61" i="1" s="1"/>
  <c r="BE61" i="1"/>
  <c r="CA61" i="1" s="1"/>
  <c r="BF61" i="1"/>
  <c r="CB61" i="1" s="1"/>
  <c r="BG61" i="1"/>
  <c r="CC61" i="1" s="1"/>
  <c r="BK61" i="1"/>
  <c r="CG61" i="1" s="1"/>
  <c r="AV62" i="1"/>
  <c r="BR62" i="1" s="1"/>
  <c r="BK62" i="1"/>
  <c r="CG62" i="1" s="1"/>
  <c r="AV63" i="1"/>
  <c r="BR63" i="1" s="1"/>
  <c r="BA63" i="1"/>
  <c r="BW63" i="1" s="1"/>
  <c r="BB63" i="1"/>
  <c r="BC63" i="1"/>
  <c r="BY63" i="1" s="1"/>
  <c r="BD63" i="1"/>
  <c r="BZ63" i="1" s="1"/>
  <c r="BE63" i="1"/>
  <c r="CA63" i="1" s="1"/>
  <c r="BF63" i="1"/>
  <c r="CB63" i="1" s="1"/>
  <c r="BG63" i="1"/>
  <c r="CC63" i="1" s="1"/>
  <c r="BK63" i="1"/>
  <c r="CG63" i="1" s="1"/>
  <c r="AV64" i="1"/>
  <c r="BR64" i="1" s="1"/>
  <c r="BA64" i="1"/>
  <c r="BW64" i="1" s="1"/>
  <c r="BB64" i="1"/>
  <c r="BC64" i="1"/>
  <c r="BY64" i="1" s="1"/>
  <c r="BD64" i="1"/>
  <c r="BZ64" i="1" s="1"/>
  <c r="BE64" i="1"/>
  <c r="CA64" i="1" s="1"/>
  <c r="BF64" i="1"/>
  <c r="CB64" i="1" s="1"/>
  <c r="BG64" i="1"/>
  <c r="CC64" i="1" s="1"/>
  <c r="BK64" i="1"/>
  <c r="CG64" i="1" s="1"/>
  <c r="AV65" i="1"/>
  <c r="BR65" i="1" s="1"/>
  <c r="BK65" i="1"/>
  <c r="CG65" i="1" s="1"/>
  <c r="DC65" i="1" s="1"/>
  <c r="AV66" i="1"/>
  <c r="BR66" i="1" s="1"/>
  <c r="BA66" i="1"/>
  <c r="BW66" i="1" s="1"/>
  <c r="BB66" i="1"/>
  <c r="BC66" i="1"/>
  <c r="BY66" i="1" s="1"/>
  <c r="BD66" i="1"/>
  <c r="BZ66" i="1" s="1"/>
  <c r="BE66" i="1"/>
  <c r="CA66" i="1" s="1"/>
  <c r="BF66" i="1"/>
  <c r="CB66" i="1" s="1"/>
  <c r="BG66" i="1"/>
  <c r="CC66" i="1" s="1"/>
  <c r="BK66" i="1"/>
  <c r="CG66" i="1" s="1"/>
  <c r="AV67" i="1"/>
  <c r="BR67" i="1" s="1"/>
  <c r="BK67" i="1"/>
  <c r="CG67" i="1" s="1"/>
  <c r="AV68" i="1"/>
  <c r="BR68" i="1" s="1"/>
  <c r="BA68" i="1"/>
  <c r="BW68" i="1" s="1"/>
  <c r="BB68" i="1"/>
  <c r="BC68" i="1"/>
  <c r="BY68" i="1" s="1"/>
  <c r="BD68" i="1"/>
  <c r="BZ68" i="1" s="1"/>
  <c r="BE68" i="1"/>
  <c r="CA68" i="1" s="1"/>
  <c r="BF68" i="1"/>
  <c r="CB68" i="1" s="1"/>
  <c r="BG68" i="1"/>
  <c r="CC68" i="1" s="1"/>
  <c r="BK68" i="1"/>
  <c r="CG68" i="1" s="1"/>
  <c r="AV69" i="1"/>
  <c r="BR69" i="1" s="1"/>
  <c r="BK69" i="1"/>
  <c r="CG69" i="1" s="1"/>
  <c r="AVP69" i="1" s="1"/>
  <c r="AV70" i="1"/>
  <c r="BR70" i="1" s="1"/>
  <c r="BA70" i="1"/>
  <c r="BW70" i="1" s="1"/>
  <c r="BB70" i="1"/>
  <c r="BC70" i="1"/>
  <c r="BY70" i="1" s="1"/>
  <c r="BD70" i="1"/>
  <c r="BZ70" i="1" s="1"/>
  <c r="BE70" i="1"/>
  <c r="CA70" i="1" s="1"/>
  <c r="BF70" i="1"/>
  <c r="CB70" i="1" s="1"/>
  <c r="BG70" i="1"/>
  <c r="CC70" i="1" s="1"/>
  <c r="BK70" i="1"/>
  <c r="CG70" i="1" s="1"/>
  <c r="AV71" i="1"/>
  <c r="BR71" i="1" s="1"/>
  <c r="BA71" i="1"/>
  <c r="BW71" i="1" s="1"/>
  <c r="BB71" i="1"/>
  <c r="BC71" i="1"/>
  <c r="BY71" i="1" s="1"/>
  <c r="BD71" i="1"/>
  <c r="BZ71" i="1" s="1"/>
  <c r="BE71" i="1"/>
  <c r="CA71" i="1" s="1"/>
  <c r="BF71" i="1"/>
  <c r="CB71" i="1" s="1"/>
  <c r="BG71" i="1"/>
  <c r="CC71" i="1" s="1"/>
  <c r="BK71" i="1"/>
  <c r="CG71" i="1" s="1"/>
  <c r="AV72" i="1"/>
  <c r="BR72" i="1" s="1"/>
  <c r="BA72" i="1"/>
  <c r="BW72" i="1" s="1"/>
  <c r="CS72" i="1" s="1"/>
  <c r="BB72" i="1"/>
  <c r="BC72" i="1"/>
  <c r="BY72" i="1" s="1"/>
  <c r="CU72" i="1" s="1"/>
  <c r="BD72" i="1"/>
  <c r="BZ72" i="1" s="1"/>
  <c r="CV72" i="1" s="1"/>
  <c r="BE72" i="1"/>
  <c r="CA72" i="1" s="1"/>
  <c r="CW72" i="1" s="1"/>
  <c r="BF72" i="1"/>
  <c r="CB72" i="1" s="1"/>
  <c r="CX72" i="1" s="1"/>
  <c r="BG72" i="1"/>
  <c r="CC72" i="1" s="1"/>
  <c r="CY72" i="1" s="1"/>
  <c r="BK72" i="1"/>
  <c r="CG72" i="1" s="1"/>
  <c r="DC72" i="1" s="1"/>
  <c r="AV73" i="1"/>
  <c r="BR73" i="1" s="1"/>
  <c r="AY73" i="1"/>
  <c r="BU73" i="1" s="1"/>
  <c r="BA73" i="1"/>
  <c r="BW73" i="1" s="1"/>
  <c r="BB73" i="1"/>
  <c r="BC73" i="1"/>
  <c r="BY73" i="1" s="1"/>
  <c r="BD73" i="1"/>
  <c r="BZ73" i="1" s="1"/>
  <c r="BE73" i="1"/>
  <c r="CA73" i="1" s="1"/>
  <c r="BF73" i="1"/>
  <c r="CB73" i="1" s="1"/>
  <c r="BG73" i="1"/>
  <c r="CC73" i="1" s="1"/>
  <c r="BK73" i="1"/>
  <c r="CG73" i="1" s="1"/>
  <c r="AV74" i="1"/>
  <c r="BR74" i="1" s="1"/>
  <c r="BA74" i="1"/>
  <c r="BW74" i="1" s="1"/>
  <c r="BB74" i="1"/>
  <c r="BC74" i="1"/>
  <c r="BY74" i="1" s="1"/>
  <c r="BD74" i="1"/>
  <c r="BZ74" i="1" s="1"/>
  <c r="BE74" i="1"/>
  <c r="CA74" i="1" s="1"/>
  <c r="BF74" i="1"/>
  <c r="CB74" i="1" s="1"/>
  <c r="BG74" i="1"/>
  <c r="CC74" i="1" s="1"/>
  <c r="BK74" i="1"/>
  <c r="CG74" i="1" s="1"/>
  <c r="AV75" i="1"/>
  <c r="BR75" i="1" s="1"/>
  <c r="BK75" i="1"/>
  <c r="CG75" i="1" s="1"/>
  <c r="AVP75" i="1" s="1"/>
  <c r="AV76" i="1"/>
  <c r="BR76" i="1" s="1"/>
  <c r="BK76" i="1"/>
  <c r="CG76" i="1" s="1"/>
  <c r="DC76" i="1" s="1"/>
  <c r="AV77" i="1"/>
  <c r="BR77" i="1" s="1"/>
  <c r="BK77" i="1"/>
  <c r="CG77" i="1" s="1"/>
  <c r="AV78" i="1"/>
  <c r="BR78" i="1" s="1"/>
  <c r="BK78" i="1"/>
  <c r="CG78" i="1" s="1"/>
  <c r="DC78" i="1" s="1"/>
  <c r="AV79" i="1"/>
  <c r="BR79" i="1" s="1"/>
  <c r="BK79" i="1"/>
  <c r="CG79" i="1" s="1"/>
  <c r="AV80" i="1"/>
  <c r="BR80" i="1" s="1"/>
  <c r="BA80" i="1"/>
  <c r="BW80" i="1" s="1"/>
  <c r="BB80" i="1"/>
  <c r="BC80" i="1"/>
  <c r="BY80" i="1" s="1"/>
  <c r="BD80" i="1"/>
  <c r="BZ80" i="1" s="1"/>
  <c r="BE80" i="1"/>
  <c r="CA80" i="1" s="1"/>
  <c r="BF80" i="1"/>
  <c r="CB80" i="1" s="1"/>
  <c r="BG80" i="1"/>
  <c r="CC80" i="1" s="1"/>
  <c r="BK80" i="1"/>
  <c r="CG80" i="1" s="1"/>
  <c r="AV81" i="1"/>
  <c r="BR81" i="1" s="1"/>
  <c r="BK81" i="1"/>
  <c r="CG81" i="1" s="1"/>
  <c r="AV82" i="1"/>
  <c r="BR82" i="1" s="1"/>
  <c r="BA82" i="1"/>
  <c r="BW82" i="1" s="1"/>
  <c r="BB82" i="1"/>
  <c r="BC82" i="1"/>
  <c r="BY82" i="1" s="1"/>
  <c r="BD82" i="1"/>
  <c r="BZ82" i="1" s="1"/>
  <c r="BE82" i="1"/>
  <c r="CA82" i="1" s="1"/>
  <c r="BF82" i="1"/>
  <c r="CB82" i="1" s="1"/>
  <c r="BG82" i="1"/>
  <c r="CC82" i="1" s="1"/>
  <c r="BK82" i="1"/>
  <c r="CG82" i="1" s="1"/>
  <c r="AV83" i="1"/>
  <c r="BR83" i="1" s="1"/>
  <c r="BK83" i="1"/>
  <c r="CG83" i="1" s="1"/>
  <c r="AV84" i="1"/>
  <c r="BR84" i="1" s="1"/>
  <c r="BA84" i="1"/>
  <c r="BW84" i="1" s="1"/>
  <c r="BB84" i="1"/>
  <c r="BC84" i="1"/>
  <c r="BY84" i="1" s="1"/>
  <c r="BD84" i="1"/>
  <c r="BZ84" i="1" s="1"/>
  <c r="BE84" i="1"/>
  <c r="CA84" i="1" s="1"/>
  <c r="BF84" i="1"/>
  <c r="CB84" i="1" s="1"/>
  <c r="BG84" i="1"/>
  <c r="CC84" i="1" s="1"/>
  <c r="BK84" i="1"/>
  <c r="CG84" i="1" s="1"/>
  <c r="AV85" i="1"/>
  <c r="BR85" i="1" s="1"/>
  <c r="AY85" i="1"/>
  <c r="BU85" i="1" s="1"/>
  <c r="BA85" i="1"/>
  <c r="BW85" i="1" s="1"/>
  <c r="BB85" i="1"/>
  <c r="BC85" i="1"/>
  <c r="BY85" i="1" s="1"/>
  <c r="BD85" i="1"/>
  <c r="BZ85" i="1" s="1"/>
  <c r="BE85" i="1"/>
  <c r="CA85" i="1" s="1"/>
  <c r="BF85" i="1"/>
  <c r="CB85" i="1" s="1"/>
  <c r="BG85" i="1"/>
  <c r="CC85" i="1" s="1"/>
  <c r="BK85" i="1"/>
  <c r="CG85" i="1" s="1"/>
  <c r="AV86" i="1"/>
  <c r="BR86" i="1" s="1"/>
  <c r="BA86" i="1"/>
  <c r="BW86" i="1" s="1"/>
  <c r="BB86" i="1"/>
  <c r="BC86" i="1"/>
  <c r="BY86" i="1" s="1"/>
  <c r="BD86" i="1"/>
  <c r="BZ86" i="1" s="1"/>
  <c r="BE86" i="1"/>
  <c r="CA86" i="1" s="1"/>
  <c r="BF86" i="1"/>
  <c r="CB86" i="1" s="1"/>
  <c r="BG86" i="1"/>
  <c r="CC86" i="1" s="1"/>
  <c r="BK86" i="1"/>
  <c r="CG86" i="1" s="1"/>
  <c r="AV87" i="1"/>
  <c r="BR87" i="1" s="1"/>
  <c r="BA87" i="1"/>
  <c r="BW87" i="1" s="1"/>
  <c r="BB87" i="1"/>
  <c r="BC87" i="1"/>
  <c r="BY87" i="1" s="1"/>
  <c r="BD87" i="1"/>
  <c r="BZ87" i="1" s="1"/>
  <c r="BE87" i="1"/>
  <c r="CA87" i="1" s="1"/>
  <c r="BF87" i="1"/>
  <c r="CB87" i="1" s="1"/>
  <c r="BG87" i="1"/>
  <c r="CC87" i="1" s="1"/>
  <c r="BK87" i="1"/>
  <c r="CG87" i="1" s="1"/>
  <c r="AV88" i="1"/>
  <c r="BR88" i="1" s="1"/>
  <c r="BA88" i="1"/>
  <c r="BW88" i="1" s="1"/>
  <c r="CS88" i="1" s="1"/>
  <c r="BB88" i="1"/>
  <c r="BC88" i="1"/>
  <c r="BY88" i="1" s="1"/>
  <c r="CU88" i="1" s="1"/>
  <c r="BD88" i="1"/>
  <c r="BZ88" i="1" s="1"/>
  <c r="CV88" i="1" s="1"/>
  <c r="BE88" i="1"/>
  <c r="CA88" i="1" s="1"/>
  <c r="CW88" i="1" s="1"/>
  <c r="BF88" i="1"/>
  <c r="CB88" i="1" s="1"/>
  <c r="CX88" i="1" s="1"/>
  <c r="BG88" i="1"/>
  <c r="CC88" i="1" s="1"/>
  <c r="CY88" i="1" s="1"/>
  <c r="BK88" i="1"/>
  <c r="CG88" i="1" s="1"/>
  <c r="DC88" i="1" s="1"/>
  <c r="AV89" i="1"/>
  <c r="BR89" i="1" s="1"/>
  <c r="AY89" i="1"/>
  <c r="BU89" i="1" s="1"/>
  <c r="CQ89" i="1" s="1"/>
  <c r="BA89" i="1"/>
  <c r="BW89" i="1" s="1"/>
  <c r="CS89" i="1" s="1"/>
  <c r="BB89" i="1"/>
  <c r="BC89" i="1"/>
  <c r="BY89" i="1" s="1"/>
  <c r="CU89" i="1" s="1"/>
  <c r="BD89" i="1"/>
  <c r="BZ89" i="1" s="1"/>
  <c r="CV89" i="1" s="1"/>
  <c r="BE89" i="1"/>
  <c r="CA89" i="1" s="1"/>
  <c r="CW89" i="1" s="1"/>
  <c r="BF89" i="1"/>
  <c r="CB89" i="1" s="1"/>
  <c r="CX89" i="1" s="1"/>
  <c r="BG89" i="1"/>
  <c r="CC89" i="1" s="1"/>
  <c r="CY89" i="1" s="1"/>
  <c r="BK89" i="1"/>
  <c r="CG89" i="1" s="1"/>
  <c r="DC89" i="1" s="1"/>
  <c r="AV90" i="1"/>
  <c r="BR90" i="1" s="1"/>
  <c r="BA90" i="1"/>
  <c r="BW90" i="1" s="1"/>
  <c r="BB90" i="1"/>
  <c r="BC90" i="1"/>
  <c r="BY90" i="1" s="1"/>
  <c r="BD90" i="1"/>
  <c r="BZ90" i="1" s="1"/>
  <c r="BE90" i="1"/>
  <c r="CA90" i="1" s="1"/>
  <c r="BF90" i="1"/>
  <c r="CB90" i="1" s="1"/>
  <c r="BG90" i="1"/>
  <c r="CC90" i="1" s="1"/>
  <c r="BK90" i="1"/>
  <c r="CG90" i="1" s="1"/>
  <c r="AV91" i="1"/>
  <c r="BR91" i="1" s="1"/>
  <c r="BA91" i="1"/>
  <c r="BW91" i="1" s="1"/>
  <c r="CS91" i="1" s="1"/>
  <c r="BB91" i="1"/>
  <c r="BC91" i="1"/>
  <c r="BY91" i="1" s="1"/>
  <c r="CU91" i="1" s="1"/>
  <c r="BD91" i="1"/>
  <c r="BZ91" i="1" s="1"/>
  <c r="CV91" i="1" s="1"/>
  <c r="BE91" i="1"/>
  <c r="CA91" i="1" s="1"/>
  <c r="CW91" i="1" s="1"/>
  <c r="BF91" i="1"/>
  <c r="CB91" i="1" s="1"/>
  <c r="CX91" i="1" s="1"/>
  <c r="BG91" i="1"/>
  <c r="CC91" i="1" s="1"/>
  <c r="CY91" i="1" s="1"/>
  <c r="BK91" i="1"/>
  <c r="CG91" i="1" s="1"/>
  <c r="DC91" i="1" s="1"/>
  <c r="AV92" i="1"/>
  <c r="BR92" i="1" s="1"/>
  <c r="BA92" i="1"/>
  <c r="BW92" i="1" s="1"/>
  <c r="BB92" i="1"/>
  <c r="BC92" i="1"/>
  <c r="BY92" i="1" s="1"/>
  <c r="BD92" i="1"/>
  <c r="BZ92" i="1" s="1"/>
  <c r="BE92" i="1"/>
  <c r="CA92" i="1" s="1"/>
  <c r="BF92" i="1"/>
  <c r="CB92" i="1" s="1"/>
  <c r="BG92" i="1"/>
  <c r="CC92" i="1" s="1"/>
  <c r="BK92" i="1"/>
  <c r="CG92" i="1" s="1"/>
  <c r="AV93" i="1"/>
  <c r="BR93" i="1" s="1"/>
  <c r="BK93" i="1"/>
  <c r="CG93" i="1" s="1"/>
  <c r="AV94" i="1"/>
  <c r="BR94" i="1" s="1"/>
  <c r="BA94" i="1"/>
  <c r="BW94" i="1" s="1"/>
  <c r="CS94" i="1" s="1"/>
  <c r="BB94" i="1"/>
  <c r="BC94" i="1"/>
  <c r="BY94" i="1" s="1"/>
  <c r="CU94" i="1" s="1"/>
  <c r="BD94" i="1"/>
  <c r="BZ94" i="1" s="1"/>
  <c r="CV94" i="1" s="1"/>
  <c r="BE94" i="1"/>
  <c r="CA94" i="1" s="1"/>
  <c r="CW94" i="1" s="1"/>
  <c r="BF94" i="1"/>
  <c r="CB94" i="1" s="1"/>
  <c r="CX94" i="1" s="1"/>
  <c r="BG94" i="1"/>
  <c r="CC94" i="1" s="1"/>
  <c r="CY94" i="1" s="1"/>
  <c r="BK94" i="1"/>
  <c r="CG94" i="1" s="1"/>
  <c r="DC94" i="1" s="1"/>
  <c r="AV95" i="1"/>
  <c r="BR95" i="1" s="1"/>
  <c r="BK95" i="1"/>
  <c r="CG95" i="1" s="1"/>
  <c r="AVP95" i="1" s="1"/>
  <c r="AV97" i="1"/>
  <c r="BR97" i="1" s="1"/>
  <c r="BK97" i="1"/>
  <c r="CG97" i="1" s="1"/>
  <c r="AV98" i="1"/>
  <c r="BR98" i="1" s="1"/>
  <c r="BK98" i="1"/>
  <c r="CG98" i="1" s="1"/>
  <c r="AV101" i="1"/>
  <c r="BR101" i="1" s="1"/>
  <c r="BK101" i="1"/>
  <c r="CG101" i="1" s="1"/>
  <c r="AV102" i="1"/>
  <c r="BR102" i="1" s="1"/>
  <c r="BK102" i="1"/>
  <c r="CG102" i="1" s="1"/>
  <c r="AV103" i="1"/>
  <c r="BR103" i="1" s="1"/>
  <c r="BK103" i="1"/>
  <c r="CG103" i="1" s="1"/>
  <c r="AV104" i="1"/>
  <c r="BR104" i="1" s="1"/>
  <c r="AY104" i="1"/>
  <c r="BU104" i="1" s="1"/>
  <c r="BA104" i="1"/>
  <c r="BW104" i="1" s="1"/>
  <c r="BB104" i="1"/>
  <c r="BC104" i="1"/>
  <c r="BY104" i="1" s="1"/>
  <c r="BD104" i="1"/>
  <c r="BZ104" i="1" s="1"/>
  <c r="BE104" i="1"/>
  <c r="CA104" i="1" s="1"/>
  <c r="BF104" i="1"/>
  <c r="CB104" i="1" s="1"/>
  <c r="BG104" i="1"/>
  <c r="CC104" i="1" s="1"/>
  <c r="BK104" i="1"/>
  <c r="CG104" i="1" s="1"/>
  <c r="AV105" i="1"/>
  <c r="BR105" i="1" s="1"/>
  <c r="BA105" i="1"/>
  <c r="BW105" i="1" s="1"/>
  <c r="BB105" i="1"/>
  <c r="BC105" i="1"/>
  <c r="BY105" i="1" s="1"/>
  <c r="BD105" i="1"/>
  <c r="BZ105" i="1" s="1"/>
  <c r="BE105" i="1"/>
  <c r="CA105" i="1" s="1"/>
  <c r="BF105" i="1"/>
  <c r="CB105" i="1" s="1"/>
  <c r="BG105" i="1"/>
  <c r="CC105" i="1" s="1"/>
  <c r="BK105" i="1"/>
  <c r="CG105" i="1" s="1"/>
  <c r="AV106" i="1"/>
  <c r="BR106" i="1" s="1"/>
  <c r="BA106" i="1"/>
  <c r="BW106" i="1" s="1"/>
  <c r="BB106" i="1"/>
  <c r="BC106" i="1"/>
  <c r="BY106" i="1" s="1"/>
  <c r="BD106" i="1"/>
  <c r="BZ106" i="1" s="1"/>
  <c r="BE106" i="1"/>
  <c r="CA106" i="1" s="1"/>
  <c r="BF106" i="1"/>
  <c r="CB106" i="1" s="1"/>
  <c r="BG106" i="1"/>
  <c r="CC106" i="1" s="1"/>
  <c r="BK106" i="1"/>
  <c r="CG106" i="1" s="1"/>
  <c r="AV107" i="1"/>
  <c r="BR107" i="1" s="1"/>
  <c r="BA107" i="1"/>
  <c r="BW107" i="1" s="1"/>
  <c r="BB107" i="1"/>
  <c r="BC107" i="1"/>
  <c r="BY107" i="1" s="1"/>
  <c r="BD107" i="1"/>
  <c r="BZ107" i="1" s="1"/>
  <c r="BE107" i="1"/>
  <c r="CA107" i="1" s="1"/>
  <c r="BF107" i="1"/>
  <c r="CB107" i="1" s="1"/>
  <c r="BG107" i="1"/>
  <c r="CC107" i="1" s="1"/>
  <c r="BK107" i="1"/>
  <c r="CG107" i="1" s="1"/>
  <c r="AV108" i="1"/>
  <c r="BR108" i="1" s="1"/>
  <c r="AY108" i="1"/>
  <c r="BU108" i="1" s="1"/>
  <c r="BA108" i="1"/>
  <c r="BW108" i="1" s="1"/>
  <c r="BB108" i="1"/>
  <c r="BC108" i="1"/>
  <c r="BY108" i="1" s="1"/>
  <c r="BD108" i="1"/>
  <c r="BZ108" i="1" s="1"/>
  <c r="BE108" i="1"/>
  <c r="CA108" i="1" s="1"/>
  <c r="BF108" i="1"/>
  <c r="CB108" i="1" s="1"/>
  <c r="BG108" i="1"/>
  <c r="CC108" i="1" s="1"/>
  <c r="BK108" i="1"/>
  <c r="CG108" i="1" s="1"/>
  <c r="AV109" i="1"/>
  <c r="BR109" i="1" s="1"/>
  <c r="BA109" i="1"/>
  <c r="BW109" i="1" s="1"/>
  <c r="BB109" i="1"/>
  <c r="BC109" i="1"/>
  <c r="BY109" i="1" s="1"/>
  <c r="BD109" i="1"/>
  <c r="BZ109" i="1" s="1"/>
  <c r="BE109" i="1"/>
  <c r="CA109" i="1" s="1"/>
  <c r="BF109" i="1"/>
  <c r="CB109" i="1" s="1"/>
  <c r="BG109" i="1"/>
  <c r="CC109" i="1" s="1"/>
  <c r="BK109" i="1"/>
  <c r="CG109" i="1" s="1"/>
  <c r="AV110" i="1"/>
  <c r="BR110" i="1" s="1"/>
  <c r="BK110" i="1"/>
  <c r="CG110" i="1" s="1"/>
  <c r="AV111" i="1"/>
  <c r="BR111" i="1" s="1"/>
  <c r="BK111" i="1"/>
  <c r="CG111" i="1" s="1"/>
  <c r="AV112" i="1"/>
  <c r="BR112" i="1" s="1"/>
  <c r="BK112" i="1"/>
  <c r="CG112" i="1" s="1"/>
  <c r="AV113" i="1"/>
  <c r="BR113" i="1" s="1"/>
  <c r="BK113" i="1"/>
  <c r="CG113" i="1" s="1"/>
  <c r="AV114" i="1"/>
  <c r="BR114" i="1" s="1"/>
  <c r="BA114" i="1"/>
  <c r="BW114" i="1" s="1"/>
  <c r="BB114" i="1"/>
  <c r="BC114" i="1"/>
  <c r="BY114" i="1" s="1"/>
  <c r="BD114" i="1"/>
  <c r="BZ114" i="1" s="1"/>
  <c r="BE114" i="1"/>
  <c r="CA114" i="1" s="1"/>
  <c r="BF114" i="1"/>
  <c r="CB114" i="1" s="1"/>
  <c r="BG114" i="1"/>
  <c r="CC114" i="1" s="1"/>
  <c r="BK114" i="1"/>
  <c r="CG114" i="1" s="1"/>
  <c r="AV115" i="1"/>
  <c r="BR115" i="1" s="1"/>
  <c r="BA115" i="1"/>
  <c r="BW115" i="1" s="1"/>
  <c r="BB115" i="1"/>
  <c r="BC115" i="1"/>
  <c r="BY115" i="1" s="1"/>
  <c r="BD115" i="1"/>
  <c r="BZ115" i="1" s="1"/>
  <c r="BE115" i="1"/>
  <c r="CA115" i="1" s="1"/>
  <c r="BF115" i="1"/>
  <c r="CB115" i="1" s="1"/>
  <c r="BG115" i="1"/>
  <c r="CC115" i="1" s="1"/>
  <c r="BK115" i="1"/>
  <c r="CG115" i="1" s="1"/>
  <c r="AV116" i="1"/>
  <c r="BR116" i="1" s="1"/>
  <c r="AY116" i="1"/>
  <c r="BU116" i="1" s="1"/>
  <c r="BA116" i="1"/>
  <c r="BW116" i="1" s="1"/>
  <c r="BB116" i="1"/>
  <c r="BC116" i="1"/>
  <c r="BY116" i="1" s="1"/>
  <c r="BD116" i="1"/>
  <c r="BZ116" i="1" s="1"/>
  <c r="BE116" i="1"/>
  <c r="CA116" i="1" s="1"/>
  <c r="BF116" i="1"/>
  <c r="CB116" i="1" s="1"/>
  <c r="BG116" i="1"/>
  <c r="CC116" i="1" s="1"/>
  <c r="BK116" i="1"/>
  <c r="CG116" i="1" s="1"/>
  <c r="AV117" i="1"/>
  <c r="BR117" i="1" s="1"/>
  <c r="BA117" i="1"/>
  <c r="BW117" i="1" s="1"/>
  <c r="BB117" i="1"/>
  <c r="BC117" i="1"/>
  <c r="BY117" i="1" s="1"/>
  <c r="BD117" i="1"/>
  <c r="BZ117" i="1" s="1"/>
  <c r="BE117" i="1"/>
  <c r="CA117" i="1" s="1"/>
  <c r="BF117" i="1"/>
  <c r="CB117" i="1" s="1"/>
  <c r="BG117" i="1"/>
  <c r="CC117" i="1" s="1"/>
  <c r="BK117" i="1"/>
  <c r="CG117" i="1" s="1"/>
  <c r="AV118" i="1"/>
  <c r="BR118" i="1" s="1"/>
  <c r="BA118" i="1"/>
  <c r="BW118" i="1" s="1"/>
  <c r="CS118" i="1" s="1"/>
  <c r="BB118" i="1"/>
  <c r="BC118" i="1"/>
  <c r="BY118" i="1" s="1"/>
  <c r="CU118" i="1" s="1"/>
  <c r="BD118" i="1"/>
  <c r="BZ118" i="1" s="1"/>
  <c r="CV118" i="1" s="1"/>
  <c r="BE118" i="1"/>
  <c r="CA118" i="1" s="1"/>
  <c r="CW118" i="1" s="1"/>
  <c r="BF118" i="1"/>
  <c r="CB118" i="1" s="1"/>
  <c r="CX118" i="1" s="1"/>
  <c r="BG118" i="1"/>
  <c r="CC118" i="1" s="1"/>
  <c r="CY118" i="1" s="1"/>
  <c r="BK118" i="1"/>
  <c r="CG118" i="1" s="1"/>
  <c r="DC118" i="1" s="1"/>
  <c r="AV119" i="1"/>
  <c r="BR119" i="1" s="1"/>
  <c r="BK119" i="1"/>
  <c r="CG119" i="1" s="1"/>
  <c r="AVP119" i="1" s="1"/>
  <c r="AV120" i="1"/>
  <c r="BR120" i="1" s="1"/>
  <c r="BK120" i="1"/>
  <c r="CG120" i="1" s="1"/>
  <c r="AV121" i="1"/>
  <c r="BR121" i="1" s="1"/>
  <c r="BK121" i="1"/>
  <c r="CG121" i="1" s="1"/>
  <c r="AV122" i="1"/>
  <c r="BR122" i="1" s="1"/>
  <c r="BK122" i="1"/>
  <c r="CG122" i="1" s="1"/>
  <c r="AV123" i="1"/>
  <c r="BK123" i="1"/>
  <c r="AV124" i="1"/>
  <c r="BR124" i="1" s="1"/>
  <c r="AY124" i="1"/>
  <c r="BU124" i="1" s="1"/>
  <c r="BA124" i="1"/>
  <c r="BW124" i="1" s="1"/>
  <c r="BB124" i="1"/>
  <c r="BC124" i="1"/>
  <c r="BY124" i="1" s="1"/>
  <c r="BD124" i="1"/>
  <c r="BZ124" i="1" s="1"/>
  <c r="BE124" i="1"/>
  <c r="CA124" i="1" s="1"/>
  <c r="BF124" i="1"/>
  <c r="CB124" i="1" s="1"/>
  <c r="BG124" i="1"/>
  <c r="CC124" i="1" s="1"/>
  <c r="BK124" i="1"/>
  <c r="CG124" i="1" s="1"/>
  <c r="AV125" i="1"/>
  <c r="BR125" i="1" s="1"/>
  <c r="BA125" i="1"/>
  <c r="BW125" i="1" s="1"/>
  <c r="BB125" i="1"/>
  <c r="BC125" i="1"/>
  <c r="BY125" i="1" s="1"/>
  <c r="BD125" i="1"/>
  <c r="BZ125" i="1" s="1"/>
  <c r="BE125" i="1"/>
  <c r="CA125" i="1" s="1"/>
  <c r="BF125" i="1"/>
  <c r="CB125" i="1" s="1"/>
  <c r="BG125" i="1"/>
  <c r="CC125" i="1" s="1"/>
  <c r="BK125" i="1"/>
  <c r="CG125" i="1" s="1"/>
  <c r="AV126" i="1"/>
  <c r="BR126" i="1" s="1"/>
  <c r="BA126" i="1"/>
  <c r="BW126" i="1" s="1"/>
  <c r="BB126" i="1"/>
  <c r="BC126" i="1"/>
  <c r="BY126" i="1" s="1"/>
  <c r="BD126" i="1"/>
  <c r="BZ126" i="1" s="1"/>
  <c r="BE126" i="1"/>
  <c r="CA126" i="1" s="1"/>
  <c r="BF126" i="1"/>
  <c r="CB126" i="1" s="1"/>
  <c r="BG126" i="1"/>
  <c r="CC126" i="1" s="1"/>
  <c r="BK126" i="1"/>
  <c r="CG126" i="1" s="1"/>
  <c r="AV127" i="1"/>
  <c r="BR127" i="1" s="1"/>
  <c r="BA127" i="1"/>
  <c r="BW127" i="1" s="1"/>
  <c r="BB127" i="1"/>
  <c r="BC127" i="1"/>
  <c r="BY127" i="1" s="1"/>
  <c r="BD127" i="1"/>
  <c r="BZ127" i="1" s="1"/>
  <c r="BE127" i="1"/>
  <c r="CA127" i="1" s="1"/>
  <c r="BF127" i="1"/>
  <c r="CB127" i="1" s="1"/>
  <c r="BG127" i="1"/>
  <c r="CC127" i="1" s="1"/>
  <c r="BK127" i="1"/>
  <c r="CG127" i="1" s="1"/>
  <c r="AV128" i="1"/>
  <c r="BR128" i="1" s="1"/>
  <c r="AY128" i="1"/>
  <c r="BU128" i="1" s="1"/>
  <c r="BA128" i="1"/>
  <c r="BW128" i="1" s="1"/>
  <c r="BB128" i="1"/>
  <c r="BC128" i="1"/>
  <c r="BY128" i="1" s="1"/>
  <c r="BD128" i="1"/>
  <c r="BZ128" i="1" s="1"/>
  <c r="BE128" i="1"/>
  <c r="CA128" i="1" s="1"/>
  <c r="BF128" i="1"/>
  <c r="CB128" i="1" s="1"/>
  <c r="BG128" i="1"/>
  <c r="CC128" i="1" s="1"/>
  <c r="BK128" i="1"/>
  <c r="CG128" i="1" s="1"/>
  <c r="AV129" i="1"/>
  <c r="BR129" i="1" s="1"/>
  <c r="AVA129" i="1" s="1"/>
  <c r="BA129" i="1"/>
  <c r="BW129" i="1" s="1"/>
  <c r="BB129" i="1"/>
  <c r="BC129" i="1"/>
  <c r="BY129" i="1" s="1"/>
  <c r="BD129" i="1"/>
  <c r="BZ129" i="1" s="1"/>
  <c r="BE129" i="1"/>
  <c r="CA129" i="1" s="1"/>
  <c r="BF129" i="1"/>
  <c r="CB129" i="1" s="1"/>
  <c r="BG129" i="1"/>
  <c r="CC129" i="1" s="1"/>
  <c r="BK129" i="1"/>
  <c r="CG129" i="1" s="1"/>
  <c r="AV130" i="1"/>
  <c r="BR130" i="1" s="1"/>
  <c r="BA130" i="1"/>
  <c r="BW130" i="1" s="1"/>
  <c r="BB130" i="1"/>
  <c r="BC130" i="1"/>
  <c r="BY130" i="1" s="1"/>
  <c r="BD130" i="1"/>
  <c r="BZ130" i="1" s="1"/>
  <c r="BE130" i="1"/>
  <c r="CA130" i="1" s="1"/>
  <c r="BF130" i="1"/>
  <c r="CB130" i="1" s="1"/>
  <c r="BG130" i="1"/>
  <c r="CC130" i="1" s="1"/>
  <c r="BK130" i="1"/>
  <c r="CG130" i="1" s="1"/>
  <c r="AV131" i="1"/>
  <c r="BR131" i="1" s="1"/>
  <c r="BK131" i="1"/>
  <c r="CG131" i="1" s="1"/>
  <c r="AV132" i="1"/>
  <c r="BR132" i="1" s="1"/>
  <c r="BK132" i="1"/>
  <c r="CG132" i="1" s="1"/>
  <c r="DC132" i="1" s="1"/>
  <c r="AV133" i="1"/>
  <c r="BR133" i="1" s="1"/>
  <c r="BK133" i="1"/>
  <c r="CG133" i="1" s="1"/>
  <c r="AV134" i="1"/>
  <c r="BR134" i="1" s="1"/>
  <c r="BK134" i="1"/>
  <c r="CG134" i="1" s="1"/>
  <c r="AV135" i="1"/>
  <c r="BR135" i="1" s="1"/>
  <c r="BK135" i="1"/>
  <c r="CG135" i="1" s="1"/>
  <c r="AV136" i="1"/>
  <c r="BR136" i="1" s="1"/>
  <c r="BK136" i="1"/>
  <c r="CG136" i="1" s="1"/>
  <c r="AV137" i="1"/>
  <c r="BR137" i="1" s="1"/>
  <c r="BK137" i="1"/>
  <c r="CG137" i="1" s="1"/>
  <c r="AV138" i="1"/>
  <c r="BR138" i="1" s="1"/>
  <c r="BA138" i="1"/>
  <c r="BW138" i="1" s="1"/>
  <c r="BB138" i="1"/>
  <c r="BC138" i="1"/>
  <c r="BY138" i="1" s="1"/>
  <c r="BD138" i="1"/>
  <c r="BZ138" i="1" s="1"/>
  <c r="BE138" i="1"/>
  <c r="CA138" i="1" s="1"/>
  <c r="BF138" i="1"/>
  <c r="CB138" i="1" s="1"/>
  <c r="BG138" i="1"/>
  <c r="CC138" i="1" s="1"/>
  <c r="BK138" i="1"/>
  <c r="CG138" i="1" s="1"/>
  <c r="AV139" i="1"/>
  <c r="BR139" i="1" s="1"/>
  <c r="BA139" i="1"/>
  <c r="BW139" i="1" s="1"/>
  <c r="BB139" i="1"/>
  <c r="BC139" i="1"/>
  <c r="BY139" i="1" s="1"/>
  <c r="BD139" i="1"/>
  <c r="BZ139" i="1" s="1"/>
  <c r="BE139" i="1"/>
  <c r="CA139" i="1" s="1"/>
  <c r="BF139" i="1"/>
  <c r="CB139" i="1" s="1"/>
  <c r="BG139" i="1"/>
  <c r="CC139" i="1" s="1"/>
  <c r="BK139" i="1"/>
  <c r="CG139" i="1" s="1"/>
  <c r="AV140" i="1"/>
  <c r="BR140" i="1" s="1"/>
  <c r="AY140" i="1"/>
  <c r="BU140" i="1" s="1"/>
  <c r="BA140" i="1"/>
  <c r="BW140" i="1" s="1"/>
  <c r="BB140" i="1"/>
  <c r="BC140" i="1"/>
  <c r="BY140" i="1" s="1"/>
  <c r="BD140" i="1"/>
  <c r="BZ140" i="1" s="1"/>
  <c r="BE140" i="1"/>
  <c r="CA140" i="1" s="1"/>
  <c r="BF140" i="1"/>
  <c r="CB140" i="1" s="1"/>
  <c r="BG140" i="1"/>
  <c r="CC140" i="1" s="1"/>
  <c r="BK140" i="1"/>
  <c r="CG140" i="1" s="1"/>
  <c r="AV141" i="1"/>
  <c r="BR141" i="1" s="1"/>
  <c r="BA141" i="1"/>
  <c r="BW141" i="1" s="1"/>
  <c r="BB141" i="1"/>
  <c r="BC141" i="1"/>
  <c r="BY141" i="1" s="1"/>
  <c r="BD141" i="1"/>
  <c r="BZ141" i="1" s="1"/>
  <c r="BE141" i="1"/>
  <c r="CA141" i="1" s="1"/>
  <c r="BF141" i="1"/>
  <c r="CB141" i="1" s="1"/>
  <c r="BG141" i="1"/>
  <c r="CC141" i="1" s="1"/>
  <c r="BK141" i="1"/>
  <c r="CG141" i="1" s="1"/>
  <c r="AV142" i="1"/>
  <c r="BR142" i="1" s="1"/>
  <c r="BA142" i="1"/>
  <c r="BW142" i="1" s="1"/>
  <c r="BB142" i="1"/>
  <c r="BC142" i="1"/>
  <c r="BY142" i="1" s="1"/>
  <c r="BD142" i="1"/>
  <c r="BZ142" i="1" s="1"/>
  <c r="BE142" i="1"/>
  <c r="CA142" i="1" s="1"/>
  <c r="BF142" i="1"/>
  <c r="CB142" i="1" s="1"/>
  <c r="BG142" i="1"/>
  <c r="CC142" i="1" s="1"/>
  <c r="BK142" i="1"/>
  <c r="CG142" i="1" s="1"/>
  <c r="AV143" i="1"/>
  <c r="BR143" i="1" s="1"/>
  <c r="BA143" i="1"/>
  <c r="BW143" i="1" s="1"/>
  <c r="BB143" i="1"/>
  <c r="BC143" i="1"/>
  <c r="BY143" i="1" s="1"/>
  <c r="BD143" i="1"/>
  <c r="BZ143" i="1" s="1"/>
  <c r="BE143" i="1"/>
  <c r="CA143" i="1" s="1"/>
  <c r="BF143" i="1"/>
  <c r="CB143" i="1" s="1"/>
  <c r="BG143" i="1"/>
  <c r="CC143" i="1" s="1"/>
  <c r="BK143" i="1"/>
  <c r="CG143" i="1" s="1"/>
  <c r="AV145" i="1"/>
  <c r="BR145" i="1" s="1"/>
  <c r="BK145" i="1"/>
  <c r="CG145" i="1" s="1"/>
  <c r="AV146" i="1"/>
  <c r="BR146" i="1" s="1"/>
  <c r="BK146" i="1"/>
  <c r="CG146" i="1" s="1"/>
  <c r="AV147" i="1"/>
  <c r="BR147" i="1" s="1"/>
  <c r="BA147" i="1"/>
  <c r="BW147" i="1" s="1"/>
  <c r="BB147" i="1"/>
  <c r="BC147" i="1"/>
  <c r="BY147" i="1" s="1"/>
  <c r="BD147" i="1"/>
  <c r="BZ147" i="1" s="1"/>
  <c r="BE147" i="1"/>
  <c r="CA147" i="1" s="1"/>
  <c r="BF147" i="1"/>
  <c r="CB147" i="1" s="1"/>
  <c r="BG147" i="1"/>
  <c r="CC147" i="1" s="1"/>
  <c r="BK147" i="1"/>
  <c r="CG147" i="1" s="1"/>
  <c r="AV148" i="1"/>
  <c r="BR148" i="1" s="1"/>
  <c r="BA148" i="1"/>
  <c r="BW148" i="1" s="1"/>
  <c r="BB148" i="1"/>
  <c r="BC148" i="1"/>
  <c r="BY148" i="1" s="1"/>
  <c r="BD148" i="1"/>
  <c r="BZ148" i="1" s="1"/>
  <c r="BE148" i="1"/>
  <c r="CA148" i="1" s="1"/>
  <c r="BF148" i="1"/>
  <c r="CB148" i="1" s="1"/>
  <c r="BG148" i="1"/>
  <c r="CC148" i="1" s="1"/>
  <c r="BK148" i="1"/>
  <c r="CG148" i="1" s="1"/>
  <c r="AV149" i="1"/>
  <c r="BR149" i="1" s="1"/>
  <c r="AY149" i="1"/>
  <c r="BU149" i="1" s="1"/>
  <c r="BA149" i="1"/>
  <c r="BW149" i="1" s="1"/>
  <c r="BB149" i="1"/>
  <c r="BC149" i="1"/>
  <c r="BY149" i="1" s="1"/>
  <c r="BD149" i="1"/>
  <c r="BZ149" i="1" s="1"/>
  <c r="BE149" i="1"/>
  <c r="CA149" i="1" s="1"/>
  <c r="BF149" i="1"/>
  <c r="CB149" i="1" s="1"/>
  <c r="BG149" i="1"/>
  <c r="CC149" i="1" s="1"/>
  <c r="BK149" i="1"/>
  <c r="CG149" i="1" s="1"/>
  <c r="AV150" i="1"/>
  <c r="BR150" i="1" s="1"/>
  <c r="BK150" i="1"/>
  <c r="CG150" i="1" s="1"/>
  <c r="AVP150" i="1" s="1"/>
  <c r="AV151" i="1"/>
  <c r="BR151" i="1" s="1"/>
  <c r="BK151" i="1"/>
  <c r="CG151" i="1" s="1"/>
  <c r="AV152" i="1"/>
  <c r="BR152" i="1" s="1"/>
  <c r="BK152" i="1"/>
  <c r="CG152" i="1" s="1"/>
  <c r="AV153" i="1"/>
  <c r="BR153" i="1" s="1"/>
  <c r="BK153" i="1"/>
  <c r="CG153" i="1" s="1"/>
  <c r="AV154" i="1"/>
  <c r="BR154" i="1" s="1"/>
  <c r="BK154" i="1"/>
  <c r="CG154" i="1" s="1"/>
  <c r="AV155" i="1"/>
  <c r="BR155" i="1" s="1"/>
  <c r="BK155" i="1"/>
  <c r="CG155" i="1" s="1"/>
  <c r="AV156" i="1"/>
  <c r="BR156" i="1" s="1"/>
  <c r="BK156" i="1"/>
  <c r="CG156" i="1" s="1"/>
  <c r="AV157" i="1"/>
  <c r="BR157" i="1" s="1"/>
  <c r="AY157" i="1"/>
  <c r="BU157" i="1" s="1"/>
  <c r="BA157" i="1"/>
  <c r="BW157" i="1" s="1"/>
  <c r="BB157" i="1"/>
  <c r="BC157" i="1"/>
  <c r="BY157" i="1" s="1"/>
  <c r="BD157" i="1"/>
  <c r="BZ157" i="1" s="1"/>
  <c r="BE157" i="1"/>
  <c r="CA157" i="1" s="1"/>
  <c r="BF157" i="1"/>
  <c r="CB157" i="1" s="1"/>
  <c r="BG157" i="1"/>
  <c r="CC157" i="1" s="1"/>
  <c r="BK157" i="1"/>
  <c r="CG157" i="1" s="1"/>
  <c r="AV158" i="1"/>
  <c r="BR158" i="1" s="1"/>
  <c r="BA158" i="1"/>
  <c r="BW158" i="1" s="1"/>
  <c r="BB158" i="1"/>
  <c r="BC158" i="1"/>
  <c r="BY158" i="1" s="1"/>
  <c r="BD158" i="1"/>
  <c r="BZ158" i="1" s="1"/>
  <c r="BE158" i="1"/>
  <c r="CA158" i="1" s="1"/>
  <c r="BF158" i="1"/>
  <c r="CB158" i="1" s="1"/>
  <c r="BG158" i="1"/>
  <c r="CC158" i="1" s="1"/>
  <c r="BK158" i="1"/>
  <c r="CG158" i="1" s="1"/>
  <c r="AV159" i="1"/>
  <c r="BR159" i="1" s="1"/>
  <c r="BA159" i="1"/>
  <c r="BW159" i="1" s="1"/>
  <c r="BB159" i="1"/>
  <c r="BC159" i="1"/>
  <c r="BY159" i="1" s="1"/>
  <c r="BD159" i="1"/>
  <c r="BZ159" i="1" s="1"/>
  <c r="BE159" i="1"/>
  <c r="CA159" i="1" s="1"/>
  <c r="BF159" i="1"/>
  <c r="CB159" i="1" s="1"/>
  <c r="BG159" i="1"/>
  <c r="CC159" i="1" s="1"/>
  <c r="BK159" i="1"/>
  <c r="CG159" i="1" s="1"/>
  <c r="AV161" i="1"/>
  <c r="BR161" i="1" s="1"/>
  <c r="BA161" i="1"/>
  <c r="BW161" i="1" s="1"/>
  <c r="BB161" i="1"/>
  <c r="BC161" i="1"/>
  <c r="BY161" i="1" s="1"/>
  <c r="BD161" i="1"/>
  <c r="BZ161" i="1" s="1"/>
  <c r="BE161" i="1"/>
  <c r="CA161" i="1" s="1"/>
  <c r="BF161" i="1"/>
  <c r="CB161" i="1" s="1"/>
  <c r="BG161" i="1"/>
  <c r="CC161" i="1" s="1"/>
  <c r="BK161" i="1"/>
  <c r="CG161" i="1" s="1"/>
  <c r="AV162" i="1"/>
  <c r="BR162" i="1" s="1"/>
  <c r="AY162" i="1"/>
  <c r="BU162" i="1" s="1"/>
  <c r="BA162" i="1"/>
  <c r="BW162" i="1" s="1"/>
  <c r="BB162" i="1"/>
  <c r="BC162" i="1"/>
  <c r="BY162" i="1" s="1"/>
  <c r="BD162" i="1"/>
  <c r="BZ162" i="1" s="1"/>
  <c r="BE162" i="1"/>
  <c r="CA162" i="1" s="1"/>
  <c r="BF162" i="1"/>
  <c r="CB162" i="1" s="1"/>
  <c r="BG162" i="1"/>
  <c r="CC162" i="1" s="1"/>
  <c r="BK162" i="1"/>
  <c r="CG162" i="1" s="1"/>
  <c r="AV163" i="1"/>
  <c r="BR163" i="1" s="1"/>
  <c r="BA163" i="1"/>
  <c r="BW163" i="1" s="1"/>
  <c r="BB163" i="1"/>
  <c r="BC163" i="1"/>
  <c r="BY163" i="1" s="1"/>
  <c r="BD163" i="1"/>
  <c r="BZ163" i="1" s="1"/>
  <c r="BE163" i="1"/>
  <c r="CA163" i="1" s="1"/>
  <c r="BF163" i="1"/>
  <c r="CB163" i="1" s="1"/>
  <c r="BG163" i="1"/>
  <c r="CC163" i="1" s="1"/>
  <c r="BK163" i="1"/>
  <c r="CG163" i="1" s="1"/>
  <c r="CN164" i="1"/>
  <c r="CS164" i="1"/>
  <c r="CU164" i="1"/>
  <c r="CV164" i="1"/>
  <c r="CW164" i="1"/>
  <c r="CX164" i="1"/>
  <c r="CY164" i="1"/>
  <c r="DC164" i="1"/>
  <c r="AV166" i="1"/>
  <c r="BR166" i="1" s="1"/>
  <c r="BA166" i="1"/>
  <c r="BW166" i="1" s="1"/>
  <c r="BB166" i="1"/>
  <c r="BC166" i="1"/>
  <c r="BY166" i="1" s="1"/>
  <c r="BD166" i="1"/>
  <c r="BZ166" i="1" s="1"/>
  <c r="BE166" i="1"/>
  <c r="CA166" i="1" s="1"/>
  <c r="BF166" i="1"/>
  <c r="CB166" i="1" s="1"/>
  <c r="BG166" i="1"/>
  <c r="CC166" i="1" s="1"/>
  <c r="BK166" i="1"/>
  <c r="CG166" i="1" s="1"/>
  <c r="AV167" i="1"/>
  <c r="BR167" i="1" s="1"/>
  <c r="AY167" i="1"/>
  <c r="BU167" i="1" s="1"/>
  <c r="BA167" i="1"/>
  <c r="BW167" i="1" s="1"/>
  <c r="BB167" i="1"/>
  <c r="BC167" i="1"/>
  <c r="BY167" i="1" s="1"/>
  <c r="BD167" i="1"/>
  <c r="BZ167" i="1" s="1"/>
  <c r="BE167" i="1"/>
  <c r="CA167" i="1" s="1"/>
  <c r="BF167" i="1"/>
  <c r="CB167" i="1" s="1"/>
  <c r="BG167" i="1"/>
  <c r="CC167" i="1" s="1"/>
  <c r="BK167" i="1"/>
  <c r="CG167" i="1" s="1"/>
  <c r="AV168" i="1"/>
  <c r="BR168" i="1" s="1"/>
  <c r="BA168" i="1"/>
  <c r="BW168" i="1" s="1"/>
  <c r="BB168" i="1"/>
  <c r="BX168" i="1" s="1"/>
  <c r="BC168" i="1"/>
  <c r="BY168" i="1" s="1"/>
  <c r="BD168" i="1"/>
  <c r="BZ168" i="1" s="1"/>
  <c r="BE168" i="1"/>
  <c r="CA168" i="1" s="1"/>
  <c r="BF168" i="1"/>
  <c r="CB168" i="1" s="1"/>
  <c r="BG168" i="1"/>
  <c r="CC168" i="1" s="1"/>
  <c r="BK168" i="1"/>
  <c r="CG168" i="1" s="1"/>
  <c r="AV169" i="1"/>
  <c r="BR169" i="1" s="1"/>
  <c r="BA169" i="1"/>
  <c r="BW169" i="1" s="1"/>
  <c r="BB169" i="1"/>
  <c r="BC169" i="1"/>
  <c r="BY169" i="1" s="1"/>
  <c r="BD169" i="1"/>
  <c r="BZ169" i="1" s="1"/>
  <c r="BE169" i="1"/>
  <c r="CA169" i="1" s="1"/>
  <c r="BF169" i="1"/>
  <c r="CB169" i="1" s="1"/>
  <c r="BG169" i="1"/>
  <c r="CC169" i="1" s="1"/>
  <c r="BK169" i="1"/>
  <c r="CG169" i="1" s="1"/>
  <c r="AV170" i="1"/>
  <c r="BR170" i="1" s="1"/>
  <c r="BA170" i="1"/>
  <c r="BW170" i="1" s="1"/>
  <c r="CS170" i="1" s="1"/>
  <c r="BB170" i="1"/>
  <c r="BC170" i="1"/>
  <c r="BY170" i="1" s="1"/>
  <c r="CU170" i="1" s="1"/>
  <c r="BD170" i="1"/>
  <c r="BZ170" i="1" s="1"/>
  <c r="CV170" i="1" s="1"/>
  <c r="BE170" i="1"/>
  <c r="CA170" i="1" s="1"/>
  <c r="CW170" i="1" s="1"/>
  <c r="BF170" i="1"/>
  <c r="CB170" i="1" s="1"/>
  <c r="CX170" i="1" s="1"/>
  <c r="BG170" i="1"/>
  <c r="CC170" i="1" s="1"/>
  <c r="CY170" i="1" s="1"/>
  <c r="BK170" i="1"/>
  <c r="CG170" i="1" s="1"/>
  <c r="DC170" i="1" s="1"/>
  <c r="AV171" i="1"/>
  <c r="BR171" i="1" s="1"/>
  <c r="AY171" i="1"/>
  <c r="BU171" i="1" s="1"/>
  <c r="BA171" i="1"/>
  <c r="BW171" i="1" s="1"/>
  <c r="BB171" i="1"/>
  <c r="BC171" i="1"/>
  <c r="BY171" i="1" s="1"/>
  <c r="BD171" i="1"/>
  <c r="BZ171" i="1" s="1"/>
  <c r="BE171" i="1"/>
  <c r="CA171" i="1" s="1"/>
  <c r="BF171" i="1"/>
  <c r="CB171" i="1" s="1"/>
  <c r="BG171" i="1"/>
  <c r="CC171" i="1" s="1"/>
  <c r="BK171" i="1"/>
  <c r="CG171" i="1" s="1"/>
  <c r="AV172" i="1"/>
  <c r="BR172" i="1" s="1"/>
  <c r="BK172" i="1"/>
  <c r="CG172" i="1" s="1"/>
  <c r="AV173" i="1"/>
  <c r="BR173" i="1" s="1"/>
  <c r="BK173" i="1"/>
  <c r="CG173" i="1" s="1"/>
  <c r="AV174" i="1"/>
  <c r="BR174" i="1" s="1"/>
  <c r="BK174" i="1"/>
  <c r="CG174" i="1" s="1"/>
  <c r="AV175" i="1"/>
  <c r="BR175" i="1" s="1"/>
  <c r="AY175" i="1"/>
  <c r="BU175" i="1" s="1"/>
  <c r="BA175" i="1"/>
  <c r="BW175" i="1" s="1"/>
  <c r="BB175" i="1"/>
  <c r="BC175" i="1"/>
  <c r="BY175" i="1" s="1"/>
  <c r="BD175" i="1"/>
  <c r="BZ175" i="1" s="1"/>
  <c r="BE175" i="1"/>
  <c r="CA175" i="1" s="1"/>
  <c r="BF175" i="1"/>
  <c r="CB175" i="1" s="1"/>
  <c r="BG175" i="1"/>
  <c r="CC175" i="1" s="1"/>
  <c r="BK175" i="1"/>
  <c r="CG175" i="1" s="1"/>
  <c r="AV176" i="1"/>
  <c r="BR176" i="1" s="1"/>
  <c r="BA176" i="1"/>
  <c r="BW176" i="1" s="1"/>
  <c r="BB176" i="1"/>
  <c r="BC176" i="1"/>
  <c r="BY176" i="1" s="1"/>
  <c r="BD176" i="1"/>
  <c r="BZ176" i="1" s="1"/>
  <c r="BE176" i="1"/>
  <c r="CA176" i="1" s="1"/>
  <c r="BF176" i="1"/>
  <c r="CB176" i="1" s="1"/>
  <c r="BG176" i="1"/>
  <c r="CC176" i="1" s="1"/>
  <c r="BK176" i="1"/>
  <c r="CG176" i="1" s="1"/>
  <c r="AV177" i="1"/>
  <c r="BR177" i="1" s="1"/>
  <c r="BA177" i="1"/>
  <c r="BW177" i="1" s="1"/>
  <c r="BB177" i="1"/>
  <c r="BC177" i="1"/>
  <c r="BY177" i="1" s="1"/>
  <c r="BD177" i="1"/>
  <c r="BZ177" i="1" s="1"/>
  <c r="BE177" i="1"/>
  <c r="CA177" i="1" s="1"/>
  <c r="BF177" i="1"/>
  <c r="CB177" i="1" s="1"/>
  <c r="BG177" i="1"/>
  <c r="CC177" i="1" s="1"/>
  <c r="BK177" i="1"/>
  <c r="CG177" i="1" s="1"/>
  <c r="AV178" i="1"/>
  <c r="BR178" i="1" s="1"/>
  <c r="BA178" i="1"/>
  <c r="BW178" i="1" s="1"/>
  <c r="BB178" i="1"/>
  <c r="BC178" i="1"/>
  <c r="BY178" i="1" s="1"/>
  <c r="BD178" i="1"/>
  <c r="BZ178" i="1" s="1"/>
  <c r="BE178" i="1"/>
  <c r="CA178" i="1" s="1"/>
  <c r="BF178" i="1"/>
  <c r="CB178" i="1" s="1"/>
  <c r="BG178" i="1"/>
  <c r="CC178" i="1" s="1"/>
  <c r="BK178" i="1"/>
  <c r="CG178" i="1" s="1"/>
  <c r="AV179" i="1"/>
  <c r="BR179" i="1" s="1"/>
  <c r="AY179" i="1"/>
  <c r="BU179" i="1" s="1"/>
  <c r="BA179" i="1"/>
  <c r="BW179" i="1" s="1"/>
  <c r="BB179" i="1"/>
  <c r="BC179" i="1"/>
  <c r="BY179" i="1" s="1"/>
  <c r="BD179" i="1"/>
  <c r="BZ179" i="1" s="1"/>
  <c r="BE179" i="1"/>
  <c r="CA179" i="1" s="1"/>
  <c r="BF179" i="1"/>
  <c r="CB179" i="1" s="1"/>
  <c r="BG179" i="1"/>
  <c r="CC179" i="1" s="1"/>
  <c r="BK179" i="1"/>
  <c r="CG179" i="1" s="1"/>
  <c r="AV180" i="1"/>
  <c r="BR180" i="1" s="1"/>
  <c r="BA180" i="1"/>
  <c r="BW180" i="1" s="1"/>
  <c r="BB180" i="1"/>
  <c r="BC180" i="1"/>
  <c r="BY180" i="1" s="1"/>
  <c r="BD180" i="1"/>
  <c r="BZ180" i="1" s="1"/>
  <c r="BE180" i="1"/>
  <c r="CA180" i="1" s="1"/>
  <c r="BF180" i="1"/>
  <c r="CB180" i="1" s="1"/>
  <c r="BG180" i="1"/>
  <c r="CC180" i="1" s="1"/>
  <c r="BK180" i="1"/>
  <c r="CG180" i="1" s="1"/>
  <c r="AV181" i="1"/>
  <c r="BR181" i="1" s="1"/>
  <c r="BA181" i="1"/>
  <c r="BW181" i="1" s="1"/>
  <c r="BB181" i="1"/>
  <c r="BC181" i="1"/>
  <c r="BY181" i="1" s="1"/>
  <c r="BD181" i="1"/>
  <c r="BE181" i="1"/>
  <c r="BF181" i="1"/>
  <c r="BG181" i="1"/>
  <c r="BK181" i="1"/>
  <c r="AV183" i="1"/>
  <c r="BR183" i="1" s="1"/>
  <c r="BA183" i="1"/>
  <c r="BW183" i="1" s="1"/>
  <c r="BB183" i="1"/>
  <c r="BC183" i="1"/>
  <c r="BY183" i="1" s="1"/>
  <c r="BD183" i="1"/>
  <c r="BZ183" i="1" s="1"/>
  <c r="BE183" i="1"/>
  <c r="CA183" i="1" s="1"/>
  <c r="BF183" i="1"/>
  <c r="CB183" i="1" s="1"/>
  <c r="BG183" i="1"/>
  <c r="CC183" i="1" s="1"/>
  <c r="BK183" i="1"/>
  <c r="CG183" i="1" s="1"/>
  <c r="AV184" i="1"/>
  <c r="BR184" i="1" s="1"/>
  <c r="AY184" i="1"/>
  <c r="BU184" i="1" s="1"/>
  <c r="BA184" i="1"/>
  <c r="BW184" i="1" s="1"/>
  <c r="BB184" i="1"/>
  <c r="BC184" i="1"/>
  <c r="BY184" i="1" s="1"/>
  <c r="BD184" i="1"/>
  <c r="BZ184" i="1" s="1"/>
  <c r="BE184" i="1"/>
  <c r="CA184" i="1" s="1"/>
  <c r="BF184" i="1"/>
  <c r="CB184" i="1" s="1"/>
  <c r="BG184" i="1"/>
  <c r="CC184" i="1" s="1"/>
  <c r="BK184" i="1"/>
  <c r="CG184" i="1" s="1"/>
  <c r="AV185" i="1"/>
  <c r="BR185" i="1" s="1"/>
  <c r="BA185" i="1"/>
  <c r="BW185" i="1" s="1"/>
  <c r="AVF185" i="1" s="1"/>
  <c r="BB185" i="1"/>
  <c r="BC185" i="1"/>
  <c r="BY185" i="1" s="1"/>
  <c r="AVH185" i="1" s="1"/>
  <c r="BD185" i="1"/>
  <c r="BZ185" i="1" s="1"/>
  <c r="AVI185" i="1" s="1"/>
  <c r="BE185" i="1"/>
  <c r="CA185" i="1" s="1"/>
  <c r="AVJ185" i="1" s="1"/>
  <c r="BF185" i="1"/>
  <c r="CB185" i="1" s="1"/>
  <c r="AVK185" i="1" s="1"/>
  <c r="BG185" i="1"/>
  <c r="CC185" i="1" s="1"/>
  <c r="AVL185" i="1" s="1"/>
  <c r="BK185" i="1"/>
  <c r="CG185" i="1" s="1"/>
  <c r="AVP185" i="1" s="1"/>
  <c r="AV186" i="1"/>
  <c r="BR186" i="1" s="1"/>
  <c r="BA186" i="1"/>
  <c r="BW186" i="1" s="1"/>
  <c r="BB186" i="1"/>
  <c r="BC186" i="1"/>
  <c r="BY186" i="1" s="1"/>
  <c r="BD186" i="1"/>
  <c r="BZ186" i="1" s="1"/>
  <c r="BE186" i="1"/>
  <c r="CA186" i="1" s="1"/>
  <c r="BF186" i="1"/>
  <c r="CB186" i="1" s="1"/>
  <c r="BG186" i="1"/>
  <c r="CC186" i="1" s="1"/>
  <c r="BK186" i="1"/>
  <c r="CG186" i="1" s="1"/>
  <c r="AV187" i="1"/>
  <c r="BR187" i="1" s="1"/>
  <c r="BA187" i="1"/>
  <c r="BW187" i="1" s="1"/>
  <c r="BB187" i="1"/>
  <c r="BC187" i="1"/>
  <c r="BY187" i="1" s="1"/>
  <c r="BD187" i="1"/>
  <c r="BZ187" i="1" s="1"/>
  <c r="BE187" i="1"/>
  <c r="CA187" i="1" s="1"/>
  <c r="BF187" i="1"/>
  <c r="CB187" i="1" s="1"/>
  <c r="BG187" i="1"/>
  <c r="CC187" i="1" s="1"/>
  <c r="BK187" i="1"/>
  <c r="CG187" i="1" s="1"/>
  <c r="AV188" i="1"/>
  <c r="BR188" i="1" s="1"/>
  <c r="AY188" i="1"/>
  <c r="BU188" i="1" s="1"/>
  <c r="BA188" i="1"/>
  <c r="BW188" i="1" s="1"/>
  <c r="BB188" i="1"/>
  <c r="BC188" i="1"/>
  <c r="BY188" i="1" s="1"/>
  <c r="BD188" i="1"/>
  <c r="BZ188" i="1" s="1"/>
  <c r="BE188" i="1"/>
  <c r="CA188" i="1" s="1"/>
  <c r="BF188" i="1"/>
  <c r="CB188" i="1" s="1"/>
  <c r="BG188" i="1"/>
  <c r="CC188" i="1" s="1"/>
  <c r="BK188" i="1"/>
  <c r="CG188" i="1" s="1"/>
  <c r="AV190" i="1"/>
  <c r="BR190" i="1" s="1"/>
  <c r="BA190" i="1"/>
  <c r="BW190" i="1" s="1"/>
  <c r="BB190" i="1"/>
  <c r="BC190" i="1"/>
  <c r="BY190" i="1" s="1"/>
  <c r="BD190" i="1"/>
  <c r="BZ190" i="1" s="1"/>
  <c r="BE190" i="1"/>
  <c r="CA190" i="1" s="1"/>
  <c r="BF190" i="1"/>
  <c r="CB190" i="1" s="1"/>
  <c r="BG190" i="1"/>
  <c r="CC190" i="1" s="1"/>
  <c r="BK190" i="1"/>
  <c r="CG190" i="1" s="1"/>
  <c r="AV191" i="1"/>
  <c r="BR191" i="1" s="1"/>
  <c r="BK191" i="1"/>
  <c r="CG191" i="1" s="1"/>
  <c r="AVP191" i="1" s="1"/>
  <c r="AV192" i="1"/>
  <c r="BR192" i="1" s="1"/>
  <c r="BK192" i="1"/>
  <c r="CG192" i="1" s="1"/>
  <c r="AV193" i="1"/>
  <c r="BR193" i="1" s="1"/>
  <c r="BK193" i="1"/>
  <c r="CG193" i="1" s="1"/>
  <c r="AV194" i="1"/>
  <c r="BR194" i="1" s="1"/>
  <c r="BK194" i="1"/>
  <c r="CG194" i="1" s="1"/>
  <c r="AV195" i="1"/>
  <c r="BR195" i="1" s="1"/>
  <c r="BK195" i="1"/>
  <c r="CG195" i="1" s="1"/>
  <c r="AV196" i="1"/>
  <c r="BR196" i="1" s="1"/>
  <c r="BA196" i="1"/>
  <c r="BW196" i="1" s="1"/>
  <c r="BB196" i="1"/>
  <c r="BC196" i="1"/>
  <c r="BY196" i="1" s="1"/>
  <c r="BD196" i="1"/>
  <c r="BZ196" i="1" s="1"/>
  <c r="BE196" i="1"/>
  <c r="CA196" i="1" s="1"/>
  <c r="BF196" i="1"/>
  <c r="CB196" i="1" s="1"/>
  <c r="BG196" i="1"/>
  <c r="CC196" i="1" s="1"/>
  <c r="BK196" i="1"/>
  <c r="CG196" i="1" s="1"/>
  <c r="AV197" i="1"/>
  <c r="BR197" i="1" s="1"/>
  <c r="AY197" i="1"/>
  <c r="BU197" i="1" s="1"/>
  <c r="BA197" i="1"/>
  <c r="BW197" i="1" s="1"/>
  <c r="BB197" i="1"/>
  <c r="BC197" i="1"/>
  <c r="BY197" i="1" s="1"/>
  <c r="BD197" i="1"/>
  <c r="BZ197" i="1" s="1"/>
  <c r="BE197" i="1"/>
  <c r="CA197" i="1" s="1"/>
  <c r="BF197" i="1"/>
  <c r="CB197" i="1" s="1"/>
  <c r="BG197" i="1"/>
  <c r="CC197" i="1" s="1"/>
  <c r="BK197" i="1"/>
  <c r="CG197" i="1" s="1"/>
  <c r="AV199" i="1"/>
  <c r="BR199" i="1" s="1"/>
  <c r="BA199" i="1"/>
  <c r="BW199" i="1" s="1"/>
  <c r="BB199" i="1"/>
  <c r="BX199" i="1" s="1"/>
  <c r="BC199" i="1"/>
  <c r="BY199" i="1" s="1"/>
  <c r="BD199" i="1"/>
  <c r="BZ199" i="1" s="1"/>
  <c r="BE199" i="1"/>
  <c r="CA199" i="1" s="1"/>
  <c r="BF199" i="1"/>
  <c r="CB199" i="1" s="1"/>
  <c r="BG199" i="1"/>
  <c r="CC199" i="1" s="1"/>
  <c r="BK199" i="1"/>
  <c r="CG199" i="1" s="1"/>
  <c r="AV200" i="1"/>
  <c r="BR200" i="1" s="1"/>
  <c r="BA200" i="1"/>
  <c r="BW200" i="1" s="1"/>
  <c r="BB200" i="1"/>
  <c r="BC200" i="1"/>
  <c r="BY200" i="1" s="1"/>
  <c r="BD200" i="1"/>
  <c r="BZ200" i="1" s="1"/>
  <c r="BE200" i="1"/>
  <c r="CA200" i="1" s="1"/>
  <c r="BF200" i="1"/>
  <c r="CB200" i="1" s="1"/>
  <c r="BG200" i="1"/>
  <c r="CC200" i="1" s="1"/>
  <c r="BK200" i="1"/>
  <c r="CG200" i="1" s="1"/>
  <c r="AV201" i="1"/>
  <c r="BR201" i="1" s="1"/>
  <c r="BA201" i="1"/>
  <c r="BW201" i="1" s="1"/>
  <c r="CS201" i="1" s="1"/>
  <c r="BB201" i="1"/>
  <c r="BC201" i="1"/>
  <c r="BY201" i="1" s="1"/>
  <c r="CU201" i="1" s="1"/>
  <c r="BD201" i="1"/>
  <c r="BZ201" i="1" s="1"/>
  <c r="CV201" i="1" s="1"/>
  <c r="BE201" i="1"/>
  <c r="CA201" i="1" s="1"/>
  <c r="CW201" i="1" s="1"/>
  <c r="BF201" i="1"/>
  <c r="CB201" i="1" s="1"/>
  <c r="CX201" i="1" s="1"/>
  <c r="BG201" i="1"/>
  <c r="CC201" i="1" s="1"/>
  <c r="CY201" i="1" s="1"/>
  <c r="BK201" i="1"/>
  <c r="CG201" i="1" s="1"/>
  <c r="DC201" i="1" s="1"/>
  <c r="AV202" i="1"/>
  <c r="BR202" i="1" s="1"/>
  <c r="AY202" i="1"/>
  <c r="BU202" i="1" s="1"/>
  <c r="BA202" i="1"/>
  <c r="BW202" i="1" s="1"/>
  <c r="BB202" i="1"/>
  <c r="BC202" i="1"/>
  <c r="BY202" i="1" s="1"/>
  <c r="BD202" i="1"/>
  <c r="BZ202" i="1" s="1"/>
  <c r="BE202" i="1"/>
  <c r="CA202" i="1" s="1"/>
  <c r="BF202" i="1"/>
  <c r="CB202" i="1" s="1"/>
  <c r="BG202" i="1"/>
  <c r="CC202" i="1" s="1"/>
  <c r="BK202" i="1"/>
  <c r="CG202" i="1" s="1"/>
  <c r="AV203" i="1"/>
  <c r="BR203" i="1" s="1"/>
  <c r="BA203" i="1"/>
  <c r="BW203" i="1" s="1"/>
  <c r="BB203" i="1"/>
  <c r="BX203" i="1" s="1"/>
  <c r="BC203" i="1"/>
  <c r="BY203" i="1" s="1"/>
  <c r="BD203" i="1"/>
  <c r="BZ203" i="1" s="1"/>
  <c r="BE203" i="1"/>
  <c r="CA203" i="1" s="1"/>
  <c r="BF203" i="1"/>
  <c r="CB203" i="1" s="1"/>
  <c r="BG203" i="1"/>
  <c r="CC203" i="1" s="1"/>
  <c r="BK203" i="1"/>
  <c r="CG203" i="1" s="1"/>
  <c r="AV204" i="1"/>
  <c r="BR204" i="1" s="1"/>
  <c r="BA204" i="1"/>
  <c r="BW204" i="1" s="1"/>
  <c r="BB204" i="1"/>
  <c r="BC204" i="1"/>
  <c r="BY204" i="1" s="1"/>
  <c r="BD204" i="1"/>
  <c r="BZ204" i="1" s="1"/>
  <c r="BE204" i="1"/>
  <c r="CA204" i="1" s="1"/>
  <c r="BF204" i="1"/>
  <c r="CB204" i="1" s="1"/>
  <c r="BG204" i="1"/>
  <c r="CC204" i="1" s="1"/>
  <c r="BK204" i="1"/>
  <c r="CG204" i="1" s="1"/>
  <c r="AV205" i="1"/>
  <c r="BR205" i="1" s="1"/>
  <c r="BK205" i="1"/>
  <c r="CG205" i="1" s="1"/>
  <c r="AV206" i="1"/>
  <c r="BR206" i="1" s="1"/>
  <c r="BK206" i="1"/>
  <c r="CG206" i="1" s="1"/>
  <c r="AV207" i="1"/>
  <c r="BR207" i="1" s="1"/>
  <c r="BK207" i="1"/>
  <c r="CG207" i="1" s="1"/>
  <c r="AV209" i="1"/>
  <c r="BR209" i="1" s="1"/>
  <c r="BA209" i="1"/>
  <c r="BW209" i="1" s="1"/>
  <c r="BB209" i="1"/>
  <c r="BC209" i="1"/>
  <c r="BY209" i="1" s="1"/>
  <c r="BD209" i="1"/>
  <c r="BZ209" i="1" s="1"/>
  <c r="BE209" i="1"/>
  <c r="CA209" i="1" s="1"/>
  <c r="BF209" i="1"/>
  <c r="CB209" i="1" s="1"/>
  <c r="BG209" i="1"/>
  <c r="CC209" i="1" s="1"/>
  <c r="BK209" i="1"/>
  <c r="CG209" i="1" s="1"/>
  <c r="AV210" i="1"/>
  <c r="BR210" i="1" s="1"/>
  <c r="BA210" i="1"/>
  <c r="BW210" i="1" s="1"/>
  <c r="BB210" i="1"/>
  <c r="BC210" i="1"/>
  <c r="BY210" i="1" s="1"/>
  <c r="BD210" i="1"/>
  <c r="BZ210" i="1" s="1"/>
  <c r="BE210" i="1"/>
  <c r="CA210" i="1" s="1"/>
  <c r="BF210" i="1"/>
  <c r="CB210" i="1" s="1"/>
  <c r="BG210" i="1"/>
  <c r="CC210" i="1" s="1"/>
  <c r="BK210" i="1"/>
  <c r="CG210" i="1" s="1"/>
  <c r="AV211" i="1"/>
  <c r="BR211" i="1" s="1"/>
  <c r="AY211" i="1"/>
  <c r="BU211" i="1" s="1"/>
  <c r="BA211" i="1"/>
  <c r="BW211" i="1" s="1"/>
  <c r="BB211" i="1"/>
  <c r="BC211" i="1"/>
  <c r="BY211" i="1" s="1"/>
  <c r="BD211" i="1"/>
  <c r="BZ211" i="1" s="1"/>
  <c r="BE211" i="1"/>
  <c r="CA211" i="1" s="1"/>
  <c r="BF211" i="1"/>
  <c r="CB211" i="1" s="1"/>
  <c r="BG211" i="1"/>
  <c r="CC211" i="1" s="1"/>
  <c r="BK211" i="1"/>
  <c r="CG211" i="1" s="1"/>
  <c r="AV212" i="1"/>
  <c r="BR212" i="1" s="1"/>
  <c r="BA212" i="1"/>
  <c r="BW212" i="1" s="1"/>
  <c r="BB212" i="1"/>
  <c r="BX212" i="1" s="1"/>
  <c r="BC212" i="1"/>
  <c r="BY212" i="1" s="1"/>
  <c r="BD212" i="1"/>
  <c r="BZ212" i="1" s="1"/>
  <c r="BE212" i="1"/>
  <c r="CA212" i="1" s="1"/>
  <c r="BF212" i="1"/>
  <c r="CB212" i="1" s="1"/>
  <c r="BG212" i="1"/>
  <c r="CC212" i="1" s="1"/>
  <c r="BK212" i="1"/>
  <c r="CG212" i="1" s="1"/>
  <c r="AV213" i="1"/>
  <c r="BR213" i="1" s="1"/>
  <c r="BA213" i="1"/>
  <c r="BW213" i="1" s="1"/>
  <c r="BB213" i="1"/>
  <c r="BC213" i="1"/>
  <c r="BY213" i="1" s="1"/>
  <c r="BD213" i="1"/>
  <c r="BZ213" i="1" s="1"/>
  <c r="BE213" i="1"/>
  <c r="CA213" i="1" s="1"/>
  <c r="BF213" i="1"/>
  <c r="CB213" i="1" s="1"/>
  <c r="BG213" i="1"/>
  <c r="CC213" i="1" s="1"/>
  <c r="BK213" i="1"/>
  <c r="CG213" i="1" s="1"/>
  <c r="AV214" i="1"/>
  <c r="BR214" i="1" s="1"/>
  <c r="BK214" i="1"/>
  <c r="CG214" i="1" s="1"/>
  <c r="AVP214" i="1" s="1"/>
  <c r="AV215" i="1"/>
  <c r="BR215" i="1" s="1"/>
  <c r="BK215" i="1"/>
  <c r="CG215" i="1" s="1"/>
  <c r="AV216" i="1"/>
  <c r="BR216" i="1" s="1"/>
  <c r="BK216" i="1"/>
  <c r="CG216" i="1" s="1"/>
  <c r="AV217" i="1"/>
  <c r="BR217" i="1" s="1"/>
  <c r="BK217" i="1"/>
  <c r="CG217" i="1" s="1"/>
  <c r="AV218" i="1"/>
  <c r="BR218" i="1" s="1"/>
  <c r="BK218" i="1"/>
  <c r="CG218" i="1" s="1"/>
  <c r="AV219" i="1"/>
  <c r="BR219" i="1" s="1"/>
  <c r="AY219" i="1"/>
  <c r="BU219" i="1" s="1"/>
  <c r="CQ219" i="1" s="1"/>
  <c r="BA219" i="1"/>
  <c r="BW219" i="1" s="1"/>
  <c r="CS219" i="1" s="1"/>
  <c r="BB219" i="1"/>
  <c r="BC219" i="1"/>
  <c r="BY219" i="1" s="1"/>
  <c r="CU219" i="1" s="1"/>
  <c r="BD219" i="1"/>
  <c r="BZ219" i="1" s="1"/>
  <c r="CV219" i="1" s="1"/>
  <c r="BE219" i="1"/>
  <c r="CA219" i="1" s="1"/>
  <c r="CW219" i="1" s="1"/>
  <c r="BF219" i="1"/>
  <c r="CB219" i="1" s="1"/>
  <c r="CX219" i="1" s="1"/>
  <c r="BG219" i="1"/>
  <c r="CC219" i="1" s="1"/>
  <c r="CY219" i="1" s="1"/>
  <c r="BK219" i="1"/>
  <c r="CG219" i="1" s="1"/>
  <c r="DC219" i="1" s="1"/>
  <c r="AV220" i="1"/>
  <c r="BR220" i="1" s="1"/>
  <c r="BK220" i="1"/>
  <c r="CG220" i="1" s="1"/>
  <c r="DC220" i="1" s="1"/>
  <c r="AV221" i="1"/>
  <c r="BR221" i="1" s="1"/>
  <c r="BA221" i="1"/>
  <c r="BW221" i="1" s="1"/>
  <c r="BB221" i="1"/>
  <c r="BC221" i="1"/>
  <c r="BY221" i="1" s="1"/>
  <c r="BD221" i="1"/>
  <c r="BZ221" i="1" s="1"/>
  <c r="BE221" i="1"/>
  <c r="CA221" i="1" s="1"/>
  <c r="BF221" i="1"/>
  <c r="CB221" i="1" s="1"/>
  <c r="BG221" i="1"/>
  <c r="CC221" i="1" s="1"/>
  <c r="BK221" i="1"/>
  <c r="CG221" i="1" s="1"/>
  <c r="AV222" i="1"/>
  <c r="BR222" i="1" s="1"/>
  <c r="BA222" i="1"/>
  <c r="BW222" i="1" s="1"/>
  <c r="BB222" i="1"/>
  <c r="BC222" i="1"/>
  <c r="BY222" i="1" s="1"/>
  <c r="BD222" i="1"/>
  <c r="BZ222" i="1" s="1"/>
  <c r="BE222" i="1"/>
  <c r="CA222" i="1" s="1"/>
  <c r="BF222" i="1"/>
  <c r="CB222" i="1" s="1"/>
  <c r="BG222" i="1"/>
  <c r="CC222" i="1" s="1"/>
  <c r="BK222" i="1"/>
  <c r="CG222" i="1" s="1"/>
  <c r="AV223" i="1"/>
  <c r="BR223" i="1" s="1"/>
  <c r="AY223" i="1"/>
  <c r="BU223" i="1" s="1"/>
  <c r="BA223" i="1"/>
  <c r="BW223" i="1" s="1"/>
  <c r="BB223" i="1"/>
  <c r="BC223" i="1"/>
  <c r="BY223" i="1" s="1"/>
  <c r="BD223" i="1"/>
  <c r="BZ223" i="1" s="1"/>
  <c r="BE223" i="1"/>
  <c r="CA223" i="1" s="1"/>
  <c r="BF223" i="1"/>
  <c r="CB223" i="1" s="1"/>
  <c r="BG223" i="1"/>
  <c r="CC223" i="1" s="1"/>
  <c r="BK223" i="1"/>
  <c r="CG223" i="1" s="1"/>
  <c r="AV224" i="1"/>
  <c r="BR224" i="1" s="1"/>
  <c r="BA224" i="1"/>
  <c r="BW224" i="1" s="1"/>
  <c r="BB224" i="1"/>
  <c r="BX224" i="1" s="1"/>
  <c r="BC224" i="1"/>
  <c r="BY224" i="1" s="1"/>
  <c r="BD224" i="1"/>
  <c r="BZ224" i="1" s="1"/>
  <c r="BE224" i="1"/>
  <c r="CA224" i="1" s="1"/>
  <c r="BF224" i="1"/>
  <c r="CB224" i="1" s="1"/>
  <c r="BG224" i="1"/>
  <c r="CC224" i="1" s="1"/>
  <c r="BK224" i="1"/>
  <c r="CG224" i="1" s="1"/>
  <c r="AV225" i="1"/>
  <c r="BR225" i="1" s="1"/>
  <c r="BA225" i="1"/>
  <c r="BW225" i="1" s="1"/>
  <c r="BB225" i="1"/>
  <c r="BC225" i="1"/>
  <c r="BY225" i="1" s="1"/>
  <c r="BD225" i="1"/>
  <c r="BZ225" i="1" s="1"/>
  <c r="BE225" i="1"/>
  <c r="CA225" i="1" s="1"/>
  <c r="BF225" i="1"/>
  <c r="CB225" i="1" s="1"/>
  <c r="BG225" i="1"/>
  <c r="CC225" i="1" s="1"/>
  <c r="BK225" i="1"/>
  <c r="CG225" i="1" s="1"/>
  <c r="AV226" i="1"/>
  <c r="BR226" i="1" s="1"/>
  <c r="BA226" i="1"/>
  <c r="BW226" i="1" s="1"/>
  <c r="BB226" i="1"/>
  <c r="BC226" i="1"/>
  <c r="BY226" i="1" s="1"/>
  <c r="BD226" i="1"/>
  <c r="BZ226" i="1" s="1"/>
  <c r="BE226" i="1"/>
  <c r="CA226" i="1" s="1"/>
  <c r="BF226" i="1"/>
  <c r="CB226" i="1" s="1"/>
  <c r="BG226" i="1"/>
  <c r="CC226" i="1" s="1"/>
  <c r="BK226" i="1"/>
  <c r="CG226" i="1" s="1"/>
  <c r="AV227" i="1"/>
  <c r="BR227" i="1" s="1"/>
  <c r="AY227" i="1"/>
  <c r="BU227" i="1" s="1"/>
  <c r="BA227" i="1"/>
  <c r="BW227" i="1" s="1"/>
  <c r="BB227" i="1"/>
  <c r="BC227" i="1"/>
  <c r="BY227" i="1" s="1"/>
  <c r="BD227" i="1"/>
  <c r="BZ227" i="1" s="1"/>
  <c r="BE227" i="1"/>
  <c r="CA227" i="1" s="1"/>
  <c r="BF227" i="1"/>
  <c r="CB227" i="1" s="1"/>
  <c r="BG227" i="1"/>
  <c r="CC227" i="1" s="1"/>
  <c r="BK227" i="1"/>
  <c r="CG227" i="1" s="1"/>
  <c r="AV228" i="1"/>
  <c r="BR228" i="1" s="1"/>
  <c r="BK228" i="1"/>
  <c r="CG228" i="1" s="1"/>
  <c r="DC228" i="1" s="1"/>
  <c r="AV229" i="1"/>
  <c r="BR229" i="1" s="1"/>
  <c r="BK229" i="1"/>
  <c r="CG229" i="1" s="1"/>
  <c r="AV230" i="1"/>
  <c r="BR230" i="1" s="1"/>
  <c r="BK230" i="1"/>
  <c r="CG230" i="1" s="1"/>
  <c r="AV231" i="1"/>
  <c r="BR231" i="1" s="1"/>
  <c r="BK231" i="1"/>
  <c r="CG231" i="1" s="1"/>
  <c r="AV232" i="1"/>
  <c r="BR232" i="1" s="1"/>
  <c r="BK232" i="1"/>
  <c r="CG232" i="1" s="1"/>
  <c r="AV234" i="1"/>
  <c r="BR234" i="1" s="1"/>
  <c r="BK234" i="1"/>
  <c r="CG234" i="1" s="1"/>
  <c r="AV235" i="1"/>
  <c r="BR235" i="1" s="1"/>
  <c r="BK235" i="1"/>
  <c r="CG235" i="1" s="1"/>
  <c r="AV236" i="1"/>
  <c r="BR236" i="1" s="1"/>
  <c r="AY236" i="1"/>
  <c r="BU236" i="1" s="1"/>
  <c r="BA236" i="1"/>
  <c r="BW236" i="1" s="1"/>
  <c r="BB236" i="1"/>
  <c r="BX236" i="1" s="1"/>
  <c r="BC236" i="1"/>
  <c r="BY236" i="1" s="1"/>
  <c r="BD236" i="1"/>
  <c r="BZ236" i="1" s="1"/>
  <c r="BE236" i="1"/>
  <c r="CA236" i="1" s="1"/>
  <c r="BF236" i="1"/>
  <c r="CB236" i="1" s="1"/>
  <c r="BG236" i="1"/>
  <c r="CC236" i="1" s="1"/>
  <c r="BK236" i="1"/>
  <c r="CG236" i="1" s="1"/>
  <c r="AV237" i="1"/>
  <c r="BR237" i="1" s="1"/>
  <c r="BK237" i="1"/>
  <c r="CG237" i="1" s="1"/>
  <c r="AV238" i="1"/>
  <c r="BR238" i="1" s="1"/>
  <c r="BA238" i="1"/>
  <c r="BW238" i="1" s="1"/>
  <c r="BB238" i="1"/>
  <c r="BC238" i="1"/>
  <c r="BY238" i="1" s="1"/>
  <c r="BD238" i="1"/>
  <c r="BZ238" i="1" s="1"/>
  <c r="BE238" i="1"/>
  <c r="CA238" i="1" s="1"/>
  <c r="BF238" i="1"/>
  <c r="CB238" i="1" s="1"/>
  <c r="BG238" i="1"/>
  <c r="CC238" i="1" s="1"/>
  <c r="BK238" i="1"/>
  <c r="CG238" i="1" s="1"/>
  <c r="AV239" i="1"/>
  <c r="BR239" i="1" s="1"/>
  <c r="BA239" i="1"/>
  <c r="BW239" i="1" s="1"/>
  <c r="BB239" i="1"/>
  <c r="BC239" i="1"/>
  <c r="BY239" i="1" s="1"/>
  <c r="BD239" i="1"/>
  <c r="BZ239" i="1" s="1"/>
  <c r="BE239" i="1"/>
  <c r="CA239" i="1" s="1"/>
  <c r="BF239" i="1"/>
  <c r="CB239" i="1" s="1"/>
  <c r="BG239" i="1"/>
  <c r="CC239" i="1" s="1"/>
  <c r="BK239" i="1"/>
  <c r="CG239" i="1" s="1"/>
  <c r="AV240" i="1"/>
  <c r="BR240" i="1" s="1"/>
  <c r="AY240" i="1"/>
  <c r="BU240" i="1" s="1"/>
  <c r="BA240" i="1"/>
  <c r="BW240" i="1" s="1"/>
  <c r="BB240" i="1"/>
  <c r="BX240" i="1" s="1"/>
  <c r="BC240" i="1"/>
  <c r="BY240" i="1" s="1"/>
  <c r="BD240" i="1"/>
  <c r="BZ240" i="1" s="1"/>
  <c r="BE240" i="1"/>
  <c r="CA240" i="1" s="1"/>
  <c r="BF240" i="1"/>
  <c r="CB240" i="1" s="1"/>
  <c r="BG240" i="1"/>
  <c r="CC240" i="1" s="1"/>
  <c r="BK240" i="1"/>
  <c r="CG240" i="1" s="1"/>
  <c r="AV241" i="1"/>
  <c r="BR241" i="1" s="1"/>
  <c r="BA241" i="1"/>
  <c r="BW241" i="1" s="1"/>
  <c r="BB241" i="1"/>
  <c r="BX241" i="1" s="1"/>
  <c r="BC241" i="1"/>
  <c r="BY241" i="1" s="1"/>
  <c r="BD241" i="1"/>
  <c r="BZ241" i="1" s="1"/>
  <c r="BE241" i="1"/>
  <c r="CA241" i="1" s="1"/>
  <c r="BF241" i="1"/>
  <c r="CB241" i="1" s="1"/>
  <c r="BG241" i="1"/>
  <c r="CC241" i="1" s="1"/>
  <c r="BK241" i="1"/>
  <c r="CG241" i="1" s="1"/>
  <c r="AV242" i="1"/>
  <c r="BR242" i="1" s="1"/>
  <c r="BA242" i="1"/>
  <c r="BW242" i="1" s="1"/>
  <c r="BB242" i="1"/>
  <c r="BC242" i="1"/>
  <c r="BY242" i="1" s="1"/>
  <c r="BD242" i="1"/>
  <c r="BZ242" i="1" s="1"/>
  <c r="BE242" i="1"/>
  <c r="CA242" i="1" s="1"/>
  <c r="BF242" i="1"/>
  <c r="CB242" i="1" s="1"/>
  <c r="BG242" i="1"/>
  <c r="CC242" i="1" s="1"/>
  <c r="BK242" i="1"/>
  <c r="CG242" i="1" s="1"/>
  <c r="AV243" i="1"/>
  <c r="BR243" i="1" s="1"/>
  <c r="BA243" i="1"/>
  <c r="BW243" i="1" s="1"/>
  <c r="BB243" i="1"/>
  <c r="BC243" i="1"/>
  <c r="BY243" i="1" s="1"/>
  <c r="BD243" i="1"/>
  <c r="BZ243" i="1" s="1"/>
  <c r="BE243" i="1"/>
  <c r="CA243" i="1" s="1"/>
  <c r="BF243" i="1"/>
  <c r="CB243" i="1" s="1"/>
  <c r="BG243" i="1"/>
  <c r="CC243" i="1" s="1"/>
  <c r="BK243" i="1"/>
  <c r="CG243" i="1" s="1"/>
  <c r="AV244" i="1"/>
  <c r="BR244" i="1" s="1"/>
  <c r="AY244" i="1"/>
  <c r="BU244" i="1" s="1"/>
  <c r="BA244" i="1"/>
  <c r="BW244" i="1" s="1"/>
  <c r="BB244" i="1"/>
  <c r="BC244" i="1"/>
  <c r="BY244" i="1" s="1"/>
  <c r="BD244" i="1"/>
  <c r="BZ244" i="1" s="1"/>
  <c r="BE244" i="1"/>
  <c r="CA244" i="1" s="1"/>
  <c r="BF244" i="1"/>
  <c r="CB244" i="1" s="1"/>
  <c r="BG244" i="1"/>
  <c r="CC244" i="1" s="1"/>
  <c r="BK244" i="1"/>
  <c r="CG244" i="1" s="1"/>
  <c r="AV245" i="1"/>
  <c r="BR245" i="1" s="1"/>
  <c r="BA245" i="1"/>
  <c r="BW245" i="1" s="1"/>
  <c r="CS245" i="1" s="1"/>
  <c r="BB245" i="1"/>
  <c r="BC245" i="1"/>
  <c r="BY245" i="1" s="1"/>
  <c r="CU245" i="1" s="1"/>
  <c r="BD245" i="1"/>
  <c r="BZ245" i="1" s="1"/>
  <c r="CV245" i="1" s="1"/>
  <c r="BE245" i="1"/>
  <c r="CA245" i="1" s="1"/>
  <c r="CW245" i="1" s="1"/>
  <c r="BF245" i="1"/>
  <c r="CB245" i="1" s="1"/>
  <c r="CX245" i="1" s="1"/>
  <c r="BG245" i="1"/>
  <c r="CC245" i="1" s="1"/>
  <c r="CY245" i="1" s="1"/>
  <c r="BK245" i="1"/>
  <c r="CG245" i="1" s="1"/>
  <c r="DC245" i="1" s="1"/>
  <c r="AV247" i="1"/>
  <c r="BR247" i="1" s="1"/>
  <c r="BA247" i="1"/>
  <c r="BW247" i="1" s="1"/>
  <c r="BB247" i="1"/>
  <c r="BC247" i="1"/>
  <c r="BY247" i="1" s="1"/>
  <c r="BD247" i="1"/>
  <c r="BZ247" i="1" s="1"/>
  <c r="BE247" i="1"/>
  <c r="CA247" i="1" s="1"/>
  <c r="BF247" i="1"/>
  <c r="CB247" i="1" s="1"/>
  <c r="BG247" i="1"/>
  <c r="CC247" i="1" s="1"/>
  <c r="BK247" i="1"/>
  <c r="CG247" i="1" s="1"/>
  <c r="AV248" i="1"/>
  <c r="BR248" i="1" s="1"/>
  <c r="BA248" i="1"/>
  <c r="BW248" i="1" s="1"/>
  <c r="BB248" i="1"/>
  <c r="BC248" i="1"/>
  <c r="BY248" i="1" s="1"/>
  <c r="BD248" i="1"/>
  <c r="BZ248" i="1" s="1"/>
  <c r="BE248" i="1"/>
  <c r="CA248" i="1" s="1"/>
  <c r="BF248" i="1"/>
  <c r="CB248" i="1" s="1"/>
  <c r="BG248" i="1"/>
  <c r="CC248" i="1" s="1"/>
  <c r="BK248" i="1"/>
  <c r="CG248" i="1" s="1"/>
  <c r="AV249" i="1"/>
  <c r="BR249" i="1" s="1"/>
  <c r="AY249" i="1"/>
  <c r="BU249" i="1" s="1"/>
  <c r="BA249" i="1"/>
  <c r="BW249" i="1" s="1"/>
  <c r="BB249" i="1"/>
  <c r="BX249" i="1" s="1"/>
  <c r="BC249" i="1"/>
  <c r="BY249" i="1" s="1"/>
  <c r="BD249" i="1"/>
  <c r="BZ249" i="1" s="1"/>
  <c r="BE249" i="1"/>
  <c r="CA249" i="1" s="1"/>
  <c r="BF249" i="1"/>
  <c r="CB249" i="1" s="1"/>
  <c r="BG249" i="1"/>
  <c r="CC249" i="1" s="1"/>
  <c r="BK249" i="1"/>
  <c r="CG249" i="1" s="1"/>
  <c r="AV250" i="1"/>
  <c r="BR250" i="1" s="1"/>
  <c r="BA250" i="1"/>
  <c r="BW250" i="1" s="1"/>
  <c r="BB250" i="1"/>
  <c r="BX250" i="1" s="1"/>
  <c r="BC250" i="1"/>
  <c r="BY250" i="1" s="1"/>
  <c r="BD250" i="1"/>
  <c r="BZ250" i="1" s="1"/>
  <c r="BE250" i="1"/>
  <c r="CA250" i="1" s="1"/>
  <c r="BF250" i="1"/>
  <c r="CB250" i="1" s="1"/>
  <c r="BG250" i="1"/>
  <c r="CC250" i="1" s="1"/>
  <c r="BK250" i="1"/>
  <c r="CG250" i="1" s="1"/>
  <c r="AV251" i="1"/>
  <c r="BR251" i="1" s="1"/>
  <c r="BA251" i="1"/>
  <c r="BW251" i="1" s="1"/>
  <c r="BB251" i="1"/>
  <c r="BC251" i="1"/>
  <c r="BY251" i="1" s="1"/>
  <c r="BD251" i="1"/>
  <c r="BZ251" i="1" s="1"/>
  <c r="BE251" i="1"/>
  <c r="CA251" i="1" s="1"/>
  <c r="BF251" i="1"/>
  <c r="CB251" i="1" s="1"/>
  <c r="BG251" i="1"/>
  <c r="CC251" i="1" s="1"/>
  <c r="BK251" i="1"/>
  <c r="CG251" i="1" s="1"/>
  <c r="AV252" i="1"/>
  <c r="BR252" i="1" s="1"/>
  <c r="BA252" i="1"/>
  <c r="BW252" i="1" s="1"/>
  <c r="BB252" i="1"/>
  <c r="BC252" i="1"/>
  <c r="BY252" i="1" s="1"/>
  <c r="BD252" i="1"/>
  <c r="BZ252" i="1" s="1"/>
  <c r="BE252" i="1"/>
  <c r="CA252" i="1" s="1"/>
  <c r="BF252" i="1"/>
  <c r="CB252" i="1" s="1"/>
  <c r="BG252" i="1"/>
  <c r="CC252" i="1" s="1"/>
  <c r="BK252" i="1"/>
  <c r="CG252" i="1" s="1"/>
  <c r="AV253" i="1"/>
  <c r="BR253" i="1" s="1"/>
  <c r="AY253" i="1"/>
  <c r="BU253" i="1" s="1"/>
  <c r="BA253" i="1"/>
  <c r="BW253" i="1" s="1"/>
  <c r="BB253" i="1"/>
  <c r="BX253" i="1" s="1"/>
  <c r="BC253" i="1"/>
  <c r="BY253" i="1" s="1"/>
  <c r="BD253" i="1"/>
  <c r="BZ253" i="1" s="1"/>
  <c r="BE253" i="1"/>
  <c r="CA253" i="1" s="1"/>
  <c r="BF253" i="1"/>
  <c r="CB253" i="1" s="1"/>
  <c r="BG253" i="1"/>
  <c r="CC253" i="1" s="1"/>
  <c r="BK253" i="1"/>
  <c r="CG253" i="1" s="1"/>
  <c r="AV254" i="1"/>
  <c r="BR254" i="1" s="1"/>
  <c r="BK254" i="1"/>
  <c r="CG254" i="1" s="1"/>
  <c r="AVP254" i="1" s="1"/>
  <c r="AV255" i="1"/>
  <c r="BR255" i="1" s="1"/>
  <c r="BK255" i="1"/>
  <c r="CG255" i="1" s="1"/>
  <c r="AV256" i="1"/>
  <c r="BR256" i="1" s="1"/>
  <c r="BK256" i="1"/>
  <c r="CG256" i="1" s="1"/>
  <c r="AV257" i="1"/>
  <c r="BR257" i="1" s="1"/>
  <c r="AY257" i="1"/>
  <c r="BU257" i="1" s="1"/>
  <c r="BA257" i="1"/>
  <c r="BW257" i="1" s="1"/>
  <c r="BB257" i="1"/>
  <c r="BX257" i="1" s="1"/>
  <c r="BC257" i="1"/>
  <c r="BY257" i="1" s="1"/>
  <c r="BD257" i="1"/>
  <c r="BZ257" i="1" s="1"/>
  <c r="BE257" i="1"/>
  <c r="CA257" i="1" s="1"/>
  <c r="BF257" i="1"/>
  <c r="CB257" i="1" s="1"/>
  <c r="BG257" i="1"/>
  <c r="CC257" i="1" s="1"/>
  <c r="BK257" i="1"/>
  <c r="CG257" i="1" s="1"/>
  <c r="AV258" i="1"/>
  <c r="BR258" i="1" s="1"/>
  <c r="BA258" i="1"/>
  <c r="BW258" i="1" s="1"/>
  <c r="BB258" i="1"/>
  <c r="BX258" i="1" s="1"/>
  <c r="BC258" i="1"/>
  <c r="BY258" i="1" s="1"/>
  <c r="BD258" i="1"/>
  <c r="BZ258" i="1" s="1"/>
  <c r="BE258" i="1"/>
  <c r="CA258" i="1" s="1"/>
  <c r="BF258" i="1"/>
  <c r="CB258" i="1" s="1"/>
  <c r="BG258" i="1"/>
  <c r="CC258" i="1" s="1"/>
  <c r="BK258" i="1"/>
  <c r="CG258" i="1" s="1"/>
  <c r="AV259" i="1"/>
  <c r="BR259" i="1" s="1"/>
  <c r="BA259" i="1"/>
  <c r="BW259" i="1" s="1"/>
  <c r="BB259" i="1"/>
  <c r="BC259" i="1"/>
  <c r="BY259" i="1" s="1"/>
  <c r="BD259" i="1"/>
  <c r="BZ259" i="1" s="1"/>
  <c r="BE259" i="1"/>
  <c r="CA259" i="1" s="1"/>
  <c r="BF259" i="1"/>
  <c r="CB259" i="1" s="1"/>
  <c r="BG259" i="1"/>
  <c r="CC259" i="1" s="1"/>
  <c r="BK259" i="1"/>
  <c r="CG259" i="1" s="1"/>
  <c r="AV260" i="1"/>
  <c r="BR260" i="1" s="1"/>
  <c r="BA260" i="1"/>
  <c r="BW260" i="1" s="1"/>
  <c r="BB260" i="1"/>
  <c r="BC260" i="1"/>
  <c r="BY260" i="1" s="1"/>
  <c r="BD260" i="1"/>
  <c r="BZ260" i="1" s="1"/>
  <c r="BE260" i="1"/>
  <c r="CA260" i="1" s="1"/>
  <c r="BF260" i="1"/>
  <c r="CB260" i="1" s="1"/>
  <c r="BG260" i="1"/>
  <c r="CC260" i="1" s="1"/>
  <c r="BK260" i="1"/>
  <c r="CG260" i="1" s="1"/>
  <c r="AV261" i="1"/>
  <c r="BR261" i="1" s="1"/>
  <c r="AY261" i="1"/>
  <c r="BU261" i="1" s="1"/>
  <c r="BA261" i="1"/>
  <c r="BW261" i="1" s="1"/>
  <c r="BB261" i="1"/>
  <c r="BX261" i="1" s="1"/>
  <c r="BC261" i="1"/>
  <c r="BY261" i="1" s="1"/>
  <c r="BD261" i="1"/>
  <c r="BZ261" i="1" s="1"/>
  <c r="BE261" i="1"/>
  <c r="CA261" i="1" s="1"/>
  <c r="BF261" i="1"/>
  <c r="CB261" i="1" s="1"/>
  <c r="BG261" i="1"/>
  <c r="CC261" i="1" s="1"/>
  <c r="BK261" i="1"/>
  <c r="CG261" i="1" s="1"/>
  <c r="AV262" i="1"/>
  <c r="BR262" i="1" s="1"/>
  <c r="BA262" i="1"/>
  <c r="BW262" i="1" s="1"/>
  <c r="BB262" i="1"/>
  <c r="BX262" i="1" s="1"/>
  <c r="BC262" i="1"/>
  <c r="BY262" i="1" s="1"/>
  <c r="BD262" i="1"/>
  <c r="BZ262" i="1" s="1"/>
  <c r="BE262" i="1"/>
  <c r="CA262" i="1" s="1"/>
  <c r="BF262" i="1"/>
  <c r="CB262" i="1" s="1"/>
  <c r="BG262" i="1"/>
  <c r="CC262" i="1" s="1"/>
  <c r="BK262" i="1"/>
  <c r="CG262" i="1" s="1"/>
  <c r="AV263" i="1"/>
  <c r="BR263" i="1" s="1"/>
  <c r="BA263" i="1"/>
  <c r="BW263" i="1" s="1"/>
  <c r="BB263" i="1"/>
  <c r="BC263" i="1"/>
  <c r="BY263" i="1" s="1"/>
  <c r="BD263" i="1"/>
  <c r="BZ263" i="1" s="1"/>
  <c r="BE263" i="1"/>
  <c r="CA263" i="1" s="1"/>
  <c r="BF263" i="1"/>
  <c r="CB263" i="1" s="1"/>
  <c r="BG263" i="1"/>
  <c r="CC263" i="1" s="1"/>
  <c r="BK263" i="1"/>
  <c r="CG263" i="1" s="1"/>
  <c r="AV264" i="1"/>
  <c r="BR264" i="1" s="1"/>
  <c r="BA264" i="1"/>
  <c r="BW264" i="1" s="1"/>
  <c r="BB264" i="1"/>
  <c r="BC264" i="1"/>
  <c r="BY264" i="1" s="1"/>
  <c r="BD264" i="1"/>
  <c r="BZ264" i="1" s="1"/>
  <c r="BE264" i="1"/>
  <c r="CA264" i="1" s="1"/>
  <c r="BF264" i="1"/>
  <c r="CB264" i="1" s="1"/>
  <c r="BG264" i="1"/>
  <c r="CC264" i="1" s="1"/>
  <c r="BK264" i="1"/>
  <c r="CG264" i="1" s="1"/>
  <c r="AV265" i="1"/>
  <c r="BR265" i="1" s="1"/>
  <c r="AY265" i="1"/>
  <c r="BU265" i="1" s="1"/>
  <c r="BA265" i="1"/>
  <c r="BW265" i="1" s="1"/>
  <c r="BB265" i="1"/>
  <c r="BX265" i="1" s="1"/>
  <c r="BC265" i="1"/>
  <c r="BY265" i="1" s="1"/>
  <c r="BD265" i="1"/>
  <c r="BZ265" i="1" s="1"/>
  <c r="BE265" i="1"/>
  <c r="CA265" i="1" s="1"/>
  <c r="BF265" i="1"/>
  <c r="CB265" i="1" s="1"/>
  <c r="BG265" i="1"/>
  <c r="CC265" i="1" s="1"/>
  <c r="BK265" i="1"/>
  <c r="CG265" i="1" s="1"/>
  <c r="AV266" i="1"/>
  <c r="BR266" i="1" s="1"/>
  <c r="BA266" i="1"/>
  <c r="BW266" i="1" s="1"/>
  <c r="BB266" i="1"/>
  <c r="BX266" i="1" s="1"/>
  <c r="BC266" i="1"/>
  <c r="BY266" i="1" s="1"/>
  <c r="BD266" i="1"/>
  <c r="BZ266" i="1" s="1"/>
  <c r="BE266" i="1"/>
  <c r="CA266" i="1" s="1"/>
  <c r="BF266" i="1"/>
  <c r="CB266" i="1" s="1"/>
  <c r="BG266" i="1"/>
  <c r="CC266" i="1" s="1"/>
  <c r="BK266" i="1"/>
  <c r="CG266" i="1" s="1"/>
  <c r="AV267" i="1"/>
  <c r="BR267" i="1" s="1"/>
  <c r="BA267" i="1"/>
  <c r="BW267" i="1" s="1"/>
  <c r="CS267" i="1" s="1"/>
  <c r="BB267" i="1"/>
  <c r="BC267" i="1"/>
  <c r="BY267" i="1" s="1"/>
  <c r="CU267" i="1" s="1"/>
  <c r="BD267" i="1"/>
  <c r="BZ267" i="1" s="1"/>
  <c r="CV267" i="1" s="1"/>
  <c r="BE267" i="1"/>
  <c r="CA267" i="1" s="1"/>
  <c r="CW267" i="1" s="1"/>
  <c r="BF267" i="1"/>
  <c r="CB267" i="1" s="1"/>
  <c r="CX267" i="1" s="1"/>
  <c r="BG267" i="1"/>
  <c r="CC267" i="1" s="1"/>
  <c r="CY267" i="1" s="1"/>
  <c r="BK267" i="1"/>
  <c r="CG267" i="1" s="1"/>
  <c r="DC267" i="1" s="1"/>
  <c r="AV268" i="1"/>
  <c r="BR268" i="1" s="1"/>
  <c r="BA268" i="1"/>
  <c r="BW268" i="1" s="1"/>
  <c r="BB268" i="1"/>
  <c r="BC268" i="1"/>
  <c r="BY268" i="1" s="1"/>
  <c r="BD268" i="1"/>
  <c r="BZ268" i="1" s="1"/>
  <c r="BE268" i="1"/>
  <c r="CA268" i="1" s="1"/>
  <c r="BF268" i="1"/>
  <c r="CB268" i="1" s="1"/>
  <c r="BG268" i="1"/>
  <c r="CC268" i="1" s="1"/>
  <c r="BK268" i="1"/>
  <c r="CG268" i="1" s="1"/>
  <c r="AV269" i="1"/>
  <c r="BR269" i="1" s="1"/>
  <c r="AY269" i="1"/>
  <c r="BU269" i="1" s="1"/>
  <c r="BA269" i="1"/>
  <c r="BW269" i="1" s="1"/>
  <c r="BB269" i="1"/>
  <c r="BX269" i="1" s="1"/>
  <c r="BC269" i="1"/>
  <c r="BY269" i="1" s="1"/>
  <c r="BD269" i="1"/>
  <c r="BZ269" i="1" s="1"/>
  <c r="BE269" i="1"/>
  <c r="CA269" i="1" s="1"/>
  <c r="BF269" i="1"/>
  <c r="CB269" i="1" s="1"/>
  <c r="BG269" i="1"/>
  <c r="CC269" i="1" s="1"/>
  <c r="BK269" i="1"/>
  <c r="CG269" i="1" s="1"/>
  <c r="AV270" i="1"/>
  <c r="BR270" i="1" s="1"/>
  <c r="BA270" i="1"/>
  <c r="BW270" i="1" s="1"/>
  <c r="BB270" i="1"/>
  <c r="BC270" i="1"/>
  <c r="BY270" i="1" s="1"/>
  <c r="BD270" i="1"/>
  <c r="BZ270" i="1" s="1"/>
  <c r="BE270" i="1"/>
  <c r="CA270" i="1" s="1"/>
  <c r="BF270" i="1"/>
  <c r="CB270" i="1" s="1"/>
  <c r="BG270" i="1"/>
  <c r="CC270" i="1" s="1"/>
  <c r="BK270" i="1"/>
  <c r="CG270" i="1" s="1"/>
  <c r="AV271" i="1"/>
  <c r="BR271" i="1" s="1"/>
  <c r="BA271" i="1"/>
  <c r="BW271" i="1" s="1"/>
  <c r="BB271" i="1"/>
  <c r="BC271" i="1"/>
  <c r="BY271" i="1" s="1"/>
  <c r="BD271" i="1"/>
  <c r="BZ271" i="1" s="1"/>
  <c r="BE271" i="1"/>
  <c r="CA271" i="1" s="1"/>
  <c r="BF271" i="1"/>
  <c r="CB271" i="1" s="1"/>
  <c r="BG271" i="1"/>
  <c r="CC271" i="1" s="1"/>
  <c r="BK271" i="1"/>
  <c r="CG271" i="1" s="1"/>
  <c r="AV272" i="1"/>
  <c r="BR272" i="1" s="1"/>
  <c r="BK272" i="1"/>
  <c r="CG272" i="1" s="1"/>
  <c r="AV273" i="1"/>
  <c r="BR273" i="1" s="1"/>
  <c r="AY273" i="1"/>
  <c r="BU273" i="1" s="1"/>
  <c r="BA273" i="1"/>
  <c r="BW273" i="1" s="1"/>
  <c r="BB273" i="1"/>
  <c r="BX273" i="1" s="1"/>
  <c r="BC273" i="1"/>
  <c r="BY273" i="1" s="1"/>
  <c r="BD273" i="1"/>
  <c r="BZ273" i="1" s="1"/>
  <c r="BE273" i="1"/>
  <c r="CA273" i="1" s="1"/>
  <c r="BF273" i="1"/>
  <c r="CB273" i="1" s="1"/>
  <c r="BG273" i="1"/>
  <c r="CC273" i="1" s="1"/>
  <c r="BK273" i="1"/>
  <c r="CG273" i="1" s="1"/>
  <c r="AV274" i="1"/>
  <c r="BR274" i="1" s="1"/>
  <c r="BK274" i="1"/>
  <c r="CG274" i="1" s="1"/>
  <c r="AV275" i="1"/>
  <c r="BR275" i="1" s="1"/>
  <c r="BA275" i="1"/>
  <c r="BW275" i="1" s="1"/>
  <c r="BB275" i="1"/>
  <c r="BC275" i="1"/>
  <c r="BY275" i="1" s="1"/>
  <c r="BD275" i="1"/>
  <c r="BZ275" i="1" s="1"/>
  <c r="BE275" i="1"/>
  <c r="CA275" i="1" s="1"/>
  <c r="BF275" i="1"/>
  <c r="CB275" i="1" s="1"/>
  <c r="BG275" i="1"/>
  <c r="CC275" i="1" s="1"/>
  <c r="BK275" i="1"/>
  <c r="CG275" i="1" s="1"/>
  <c r="AV276" i="1"/>
  <c r="BR276" i="1" s="1"/>
  <c r="BA276" i="1"/>
  <c r="BW276" i="1" s="1"/>
  <c r="BB276" i="1"/>
  <c r="BC276" i="1"/>
  <c r="BY276" i="1" s="1"/>
  <c r="BD276" i="1"/>
  <c r="BZ276" i="1" s="1"/>
  <c r="BE276" i="1"/>
  <c r="CA276" i="1" s="1"/>
  <c r="BF276" i="1"/>
  <c r="CB276" i="1" s="1"/>
  <c r="BG276" i="1"/>
  <c r="CC276" i="1" s="1"/>
  <c r="BK276" i="1"/>
  <c r="CG276" i="1" s="1"/>
  <c r="AV277" i="1"/>
  <c r="BR277" i="1" s="1"/>
  <c r="AY277" i="1"/>
  <c r="BU277" i="1" s="1"/>
  <c r="BA277" i="1"/>
  <c r="BW277" i="1" s="1"/>
  <c r="BB277" i="1"/>
  <c r="BX277" i="1" s="1"/>
  <c r="BC277" i="1"/>
  <c r="BY277" i="1" s="1"/>
  <c r="BD277" i="1"/>
  <c r="BZ277" i="1" s="1"/>
  <c r="BE277" i="1"/>
  <c r="CA277" i="1" s="1"/>
  <c r="BF277" i="1"/>
  <c r="CB277" i="1" s="1"/>
  <c r="BG277" i="1"/>
  <c r="CC277" i="1" s="1"/>
  <c r="BK277" i="1"/>
  <c r="CG277" i="1" s="1"/>
  <c r="AV280" i="1"/>
  <c r="BR280" i="1" s="1"/>
  <c r="BA280" i="1"/>
  <c r="BW280" i="1" s="1"/>
  <c r="BB280" i="1"/>
  <c r="BX280" i="1" s="1"/>
  <c r="BC280" i="1"/>
  <c r="BY280" i="1" s="1"/>
  <c r="BD280" i="1"/>
  <c r="BZ280" i="1" s="1"/>
  <c r="BE280" i="1"/>
  <c r="CA280" i="1" s="1"/>
  <c r="BF280" i="1"/>
  <c r="CB280" i="1" s="1"/>
  <c r="BG280" i="1"/>
  <c r="CC280" i="1" s="1"/>
  <c r="BK280" i="1"/>
  <c r="CG280" i="1" s="1"/>
  <c r="AV281" i="1"/>
  <c r="BR281" i="1" s="1"/>
  <c r="BA281" i="1"/>
  <c r="BW281" i="1" s="1"/>
  <c r="AVF281" i="1" s="1"/>
  <c r="BB281" i="1"/>
  <c r="BC281" i="1"/>
  <c r="BY281" i="1" s="1"/>
  <c r="AVH281" i="1" s="1"/>
  <c r="BD281" i="1"/>
  <c r="BZ281" i="1" s="1"/>
  <c r="AVI281" i="1" s="1"/>
  <c r="BE281" i="1"/>
  <c r="CA281" i="1" s="1"/>
  <c r="AVJ281" i="1" s="1"/>
  <c r="BF281" i="1"/>
  <c r="CB281" i="1" s="1"/>
  <c r="AVK281" i="1" s="1"/>
  <c r="BG281" i="1"/>
  <c r="CC281" i="1" s="1"/>
  <c r="AVL281" i="1" s="1"/>
  <c r="BK281" i="1"/>
  <c r="CG281" i="1" s="1"/>
  <c r="AVP281" i="1" s="1"/>
  <c r="AV282" i="1"/>
  <c r="BR282" i="1" s="1"/>
  <c r="BA282" i="1"/>
  <c r="BW282" i="1" s="1"/>
  <c r="BB282" i="1"/>
  <c r="BC282" i="1"/>
  <c r="BY282" i="1" s="1"/>
  <c r="BD282" i="1"/>
  <c r="BZ282" i="1" s="1"/>
  <c r="BE282" i="1"/>
  <c r="CA282" i="1" s="1"/>
  <c r="BF282" i="1"/>
  <c r="CB282" i="1" s="1"/>
  <c r="BG282" i="1"/>
  <c r="CC282" i="1" s="1"/>
  <c r="BK282" i="1"/>
  <c r="CG282" i="1" s="1"/>
  <c r="AV283" i="1"/>
  <c r="BR283" i="1" s="1"/>
  <c r="BK283" i="1"/>
  <c r="CG283" i="1" s="1"/>
  <c r="AVP283" i="1" s="1"/>
  <c r="AV284" i="1"/>
  <c r="BR284" i="1" s="1"/>
  <c r="BK284" i="1"/>
  <c r="CG284" i="1" s="1"/>
  <c r="AV285" i="1"/>
  <c r="BR285" i="1" s="1"/>
  <c r="BK285" i="1"/>
  <c r="CG285" i="1" s="1"/>
  <c r="AV287" i="1"/>
  <c r="BR287" i="1" s="1"/>
  <c r="BK287" i="1"/>
  <c r="CG287" i="1" s="1"/>
  <c r="AV288" i="1"/>
  <c r="BR288" i="1" s="1"/>
  <c r="BK288" i="1"/>
  <c r="CG288" i="1" s="1"/>
  <c r="AV289" i="1"/>
  <c r="BR289" i="1" s="1"/>
  <c r="BK289" i="1"/>
  <c r="CG289" i="1" s="1"/>
  <c r="AV290" i="1"/>
  <c r="BR290" i="1" s="1"/>
  <c r="BK290" i="1"/>
  <c r="CG290" i="1" s="1"/>
  <c r="AV291" i="1"/>
  <c r="BR291" i="1" s="1"/>
  <c r="BK291" i="1"/>
  <c r="CG291" i="1" s="1"/>
  <c r="AV292" i="1"/>
  <c r="BR292" i="1" s="1"/>
  <c r="BK292" i="1"/>
  <c r="CG292" i="1" s="1"/>
  <c r="AV293" i="1"/>
  <c r="BR293" i="1" s="1"/>
  <c r="BK293" i="1"/>
  <c r="CG293" i="1" s="1"/>
  <c r="AV294" i="1"/>
  <c r="BR294" i="1" s="1"/>
  <c r="BK294" i="1"/>
  <c r="CG294" i="1" s="1"/>
  <c r="AV295" i="1"/>
  <c r="BR295" i="1" s="1"/>
  <c r="BK295" i="1"/>
  <c r="CG295" i="1" s="1"/>
  <c r="AV296" i="1"/>
  <c r="BR296" i="1" s="1"/>
  <c r="AY296" i="1"/>
  <c r="BU296" i="1" s="1"/>
  <c r="BA296" i="1"/>
  <c r="BW296" i="1" s="1"/>
  <c r="BB296" i="1"/>
  <c r="BX296" i="1" s="1"/>
  <c r="BC296" i="1"/>
  <c r="BY296" i="1" s="1"/>
  <c r="BD296" i="1"/>
  <c r="BZ296" i="1" s="1"/>
  <c r="BE296" i="1"/>
  <c r="CA296" i="1" s="1"/>
  <c r="BF296" i="1"/>
  <c r="CB296" i="1" s="1"/>
  <c r="BG296" i="1"/>
  <c r="CC296" i="1" s="1"/>
  <c r="BK296" i="1"/>
  <c r="CG296" i="1" s="1"/>
  <c r="AV297" i="1"/>
  <c r="BR297" i="1" s="1"/>
  <c r="BA297" i="1"/>
  <c r="BW297" i="1" s="1"/>
  <c r="BB297" i="1"/>
  <c r="BX297" i="1" s="1"/>
  <c r="BC297" i="1"/>
  <c r="BY297" i="1" s="1"/>
  <c r="BD297" i="1"/>
  <c r="BZ297" i="1" s="1"/>
  <c r="BE297" i="1"/>
  <c r="CA297" i="1" s="1"/>
  <c r="BF297" i="1"/>
  <c r="CB297" i="1" s="1"/>
  <c r="BG297" i="1"/>
  <c r="CC297" i="1" s="1"/>
  <c r="BK297" i="1"/>
  <c r="CG297" i="1" s="1"/>
  <c r="AV298" i="1"/>
  <c r="BR298" i="1" s="1"/>
  <c r="BA298" i="1"/>
  <c r="BW298" i="1" s="1"/>
  <c r="BB298" i="1"/>
  <c r="BC298" i="1"/>
  <c r="BY298" i="1" s="1"/>
  <c r="BD298" i="1"/>
  <c r="BZ298" i="1" s="1"/>
  <c r="BE298" i="1"/>
  <c r="CA298" i="1" s="1"/>
  <c r="BF298" i="1"/>
  <c r="CB298" i="1" s="1"/>
  <c r="BG298" i="1"/>
  <c r="CC298" i="1" s="1"/>
  <c r="BK298" i="1"/>
  <c r="CG298" i="1" s="1"/>
  <c r="AV299" i="1"/>
  <c r="BR299" i="1" s="1"/>
  <c r="BA299" i="1"/>
  <c r="BW299" i="1" s="1"/>
  <c r="BB299" i="1"/>
  <c r="BC299" i="1"/>
  <c r="BY299" i="1" s="1"/>
  <c r="BD299" i="1"/>
  <c r="BZ299" i="1" s="1"/>
  <c r="BE299" i="1"/>
  <c r="CA299" i="1" s="1"/>
  <c r="BF299" i="1"/>
  <c r="CB299" i="1" s="1"/>
  <c r="BG299" i="1"/>
  <c r="CC299" i="1" s="1"/>
  <c r="BK299" i="1"/>
  <c r="CG299" i="1" s="1"/>
  <c r="AV300" i="1"/>
  <c r="BR300" i="1" s="1"/>
  <c r="AY300" i="1"/>
  <c r="BU300" i="1" s="1"/>
  <c r="BA300" i="1"/>
  <c r="BW300" i="1" s="1"/>
  <c r="BB300" i="1"/>
  <c r="BX300" i="1" s="1"/>
  <c r="BC300" i="1"/>
  <c r="BY300" i="1" s="1"/>
  <c r="BD300" i="1"/>
  <c r="BZ300" i="1" s="1"/>
  <c r="BE300" i="1"/>
  <c r="CA300" i="1" s="1"/>
  <c r="BF300" i="1"/>
  <c r="CB300" i="1" s="1"/>
  <c r="BG300" i="1"/>
  <c r="CC300" i="1" s="1"/>
  <c r="BK300" i="1"/>
  <c r="CG300" i="1" s="1"/>
  <c r="AV301" i="1"/>
  <c r="BR301" i="1" s="1"/>
  <c r="BK301" i="1"/>
  <c r="CG301" i="1" s="1"/>
  <c r="AV302" i="1"/>
  <c r="BR302" i="1" s="1"/>
  <c r="BA302" i="1"/>
  <c r="BW302" i="1" s="1"/>
  <c r="BB302" i="1"/>
  <c r="BC302" i="1"/>
  <c r="BY302" i="1" s="1"/>
  <c r="BD302" i="1"/>
  <c r="BZ302" i="1" s="1"/>
  <c r="BE302" i="1"/>
  <c r="CA302" i="1" s="1"/>
  <c r="BF302" i="1"/>
  <c r="CB302" i="1" s="1"/>
  <c r="BG302" i="1"/>
  <c r="CC302" i="1" s="1"/>
  <c r="BK302" i="1"/>
  <c r="CG302" i="1" s="1"/>
  <c r="AV303" i="1"/>
  <c r="BR303" i="1" s="1"/>
  <c r="BA303" i="1"/>
  <c r="BW303" i="1" s="1"/>
  <c r="CS303" i="1" s="1"/>
  <c r="BB303" i="1"/>
  <c r="BC303" i="1"/>
  <c r="BY303" i="1" s="1"/>
  <c r="CU303" i="1" s="1"/>
  <c r="BD303" i="1"/>
  <c r="BZ303" i="1" s="1"/>
  <c r="CV303" i="1" s="1"/>
  <c r="BE303" i="1"/>
  <c r="CA303" i="1" s="1"/>
  <c r="CW303" i="1" s="1"/>
  <c r="BF303" i="1"/>
  <c r="CB303" i="1" s="1"/>
  <c r="CX303" i="1" s="1"/>
  <c r="BG303" i="1"/>
  <c r="CC303" i="1" s="1"/>
  <c r="CY303" i="1" s="1"/>
  <c r="BK303" i="1"/>
  <c r="CG303" i="1" s="1"/>
  <c r="DC303" i="1" s="1"/>
  <c r="AV304" i="1"/>
  <c r="BR304" i="1" s="1"/>
  <c r="AY304" i="1"/>
  <c r="BU304" i="1" s="1"/>
  <c r="BA304" i="1"/>
  <c r="BW304" i="1" s="1"/>
  <c r="BB304" i="1"/>
  <c r="BX304" i="1" s="1"/>
  <c r="BC304" i="1"/>
  <c r="BY304" i="1" s="1"/>
  <c r="BD304" i="1"/>
  <c r="BZ304" i="1" s="1"/>
  <c r="BE304" i="1"/>
  <c r="CA304" i="1" s="1"/>
  <c r="BF304" i="1"/>
  <c r="CB304" i="1" s="1"/>
  <c r="BG304" i="1"/>
  <c r="CC304" i="1" s="1"/>
  <c r="BK304" i="1"/>
  <c r="CG304" i="1" s="1"/>
  <c r="AV305" i="1"/>
  <c r="BR305" i="1" s="1"/>
  <c r="BA305" i="1"/>
  <c r="BW305" i="1" s="1"/>
  <c r="BB305" i="1"/>
  <c r="BX305" i="1" s="1"/>
  <c r="BC305" i="1"/>
  <c r="BY305" i="1" s="1"/>
  <c r="BD305" i="1"/>
  <c r="BZ305" i="1" s="1"/>
  <c r="BE305" i="1"/>
  <c r="CA305" i="1" s="1"/>
  <c r="BF305" i="1"/>
  <c r="CB305" i="1" s="1"/>
  <c r="BG305" i="1"/>
  <c r="CC305" i="1" s="1"/>
  <c r="BK305" i="1"/>
  <c r="CG305" i="1" s="1"/>
  <c r="AV313" i="1"/>
  <c r="BR313" i="1" s="1"/>
  <c r="BA313" i="1"/>
  <c r="BW313" i="1" s="1"/>
  <c r="BB313" i="1"/>
  <c r="BC313" i="1"/>
  <c r="BY313" i="1" s="1"/>
  <c r="BD313" i="1"/>
  <c r="BZ313" i="1" s="1"/>
  <c r="BE313" i="1"/>
  <c r="CA313" i="1" s="1"/>
  <c r="BF313" i="1"/>
  <c r="CB313" i="1" s="1"/>
  <c r="BG313" i="1"/>
  <c r="CC313" i="1" s="1"/>
  <c r="BK313" i="1"/>
  <c r="CG313" i="1" s="1"/>
  <c r="AV314" i="1"/>
  <c r="BR314" i="1" s="1"/>
  <c r="BA314" i="1"/>
  <c r="BW314" i="1" s="1"/>
  <c r="BB314" i="1"/>
  <c r="BC314" i="1"/>
  <c r="BY314" i="1" s="1"/>
  <c r="BD314" i="1"/>
  <c r="BZ314" i="1" s="1"/>
  <c r="BE314" i="1"/>
  <c r="CA314" i="1" s="1"/>
  <c r="BF314" i="1"/>
  <c r="CB314" i="1" s="1"/>
  <c r="BG314" i="1"/>
  <c r="CC314" i="1" s="1"/>
  <c r="BK314" i="1"/>
  <c r="CG314" i="1" s="1"/>
  <c r="AV315" i="1"/>
  <c r="BR315" i="1" s="1"/>
  <c r="AY315" i="1"/>
  <c r="BU315" i="1" s="1"/>
  <c r="BA315" i="1"/>
  <c r="BW315" i="1" s="1"/>
  <c r="BB315" i="1"/>
  <c r="BX315" i="1" s="1"/>
  <c r="BC315" i="1"/>
  <c r="BY315" i="1" s="1"/>
  <c r="BD315" i="1"/>
  <c r="BZ315" i="1" s="1"/>
  <c r="BE315" i="1"/>
  <c r="CA315" i="1" s="1"/>
  <c r="BF315" i="1"/>
  <c r="CB315" i="1" s="1"/>
  <c r="BG315" i="1"/>
  <c r="CC315" i="1" s="1"/>
  <c r="BK315" i="1"/>
  <c r="CG315" i="1" s="1"/>
  <c r="AV316" i="1"/>
  <c r="BR316" i="1" s="1"/>
  <c r="BA316" i="1"/>
  <c r="BW316" i="1" s="1"/>
  <c r="BB316" i="1"/>
  <c r="BX316" i="1" s="1"/>
  <c r="BC316" i="1"/>
  <c r="BY316" i="1" s="1"/>
  <c r="BD316" i="1"/>
  <c r="BZ316" i="1" s="1"/>
  <c r="BE316" i="1"/>
  <c r="CA316" i="1" s="1"/>
  <c r="BF316" i="1"/>
  <c r="CB316" i="1" s="1"/>
  <c r="BG316" i="1"/>
  <c r="CC316" i="1" s="1"/>
  <c r="BK316" i="1"/>
  <c r="CG316" i="1" s="1"/>
  <c r="AV317" i="1"/>
  <c r="BR317" i="1" s="1"/>
  <c r="BA317" i="1"/>
  <c r="BW317" i="1" s="1"/>
  <c r="BB317" i="1"/>
  <c r="BC317" i="1"/>
  <c r="BY317" i="1" s="1"/>
  <c r="BD317" i="1"/>
  <c r="BZ317" i="1" s="1"/>
  <c r="BE317" i="1"/>
  <c r="CA317" i="1" s="1"/>
  <c r="BF317" i="1"/>
  <c r="CB317" i="1" s="1"/>
  <c r="BG317" i="1"/>
  <c r="CC317" i="1" s="1"/>
  <c r="BK317" i="1"/>
  <c r="CG317" i="1" s="1"/>
  <c r="AV318" i="1"/>
  <c r="BR318" i="1" s="1"/>
  <c r="BA318" i="1"/>
  <c r="BW318" i="1" s="1"/>
  <c r="BB318" i="1"/>
  <c r="BC318" i="1"/>
  <c r="BY318" i="1" s="1"/>
  <c r="BD318" i="1"/>
  <c r="BZ318" i="1" s="1"/>
  <c r="BE318" i="1"/>
  <c r="CA318" i="1" s="1"/>
  <c r="BF318" i="1"/>
  <c r="CB318" i="1" s="1"/>
  <c r="BG318" i="1"/>
  <c r="CC318" i="1" s="1"/>
  <c r="BK318" i="1"/>
  <c r="CG318" i="1" s="1"/>
  <c r="AV319" i="1"/>
  <c r="BR319" i="1" s="1"/>
  <c r="BK319" i="1"/>
  <c r="CG319" i="1" s="1"/>
  <c r="AV320" i="1"/>
  <c r="BR320" i="1" s="1"/>
  <c r="BK320" i="1"/>
  <c r="CG320" i="1" s="1"/>
  <c r="AV321" i="1"/>
  <c r="BR321" i="1" s="1"/>
  <c r="BK321" i="1"/>
  <c r="CG321" i="1" s="1"/>
  <c r="AV322" i="1"/>
  <c r="BR322" i="1" s="1"/>
  <c r="BK322" i="1"/>
  <c r="CG322" i="1" s="1"/>
  <c r="AV323" i="1"/>
  <c r="BR323" i="1" s="1"/>
  <c r="BK323" i="1"/>
  <c r="CG323" i="1" s="1"/>
  <c r="AV324" i="1"/>
  <c r="BR324" i="1" s="1"/>
  <c r="BK324" i="1"/>
  <c r="CG324" i="1" s="1"/>
  <c r="AV325" i="1"/>
  <c r="BR325" i="1" s="1"/>
  <c r="BK325" i="1"/>
  <c r="CG325" i="1" s="1"/>
  <c r="AV326" i="1"/>
  <c r="BR326" i="1" s="1"/>
  <c r="BA326" i="1"/>
  <c r="BW326" i="1" s="1"/>
  <c r="BB326" i="1"/>
  <c r="BC326" i="1"/>
  <c r="BY326" i="1" s="1"/>
  <c r="BD326" i="1"/>
  <c r="BZ326" i="1" s="1"/>
  <c r="BE326" i="1"/>
  <c r="CA326" i="1" s="1"/>
  <c r="BF326" i="1"/>
  <c r="CB326" i="1" s="1"/>
  <c r="BG326" i="1"/>
  <c r="CC326" i="1" s="1"/>
  <c r="BK326" i="1"/>
  <c r="CG326" i="1" s="1"/>
  <c r="AV327" i="1"/>
  <c r="BR327" i="1" s="1"/>
  <c r="AY327" i="1"/>
  <c r="BU327" i="1" s="1"/>
  <c r="BA327" i="1"/>
  <c r="BW327" i="1" s="1"/>
  <c r="BB327" i="1"/>
  <c r="BX327" i="1" s="1"/>
  <c r="BC327" i="1"/>
  <c r="BY327" i="1" s="1"/>
  <c r="BD327" i="1"/>
  <c r="BZ327" i="1" s="1"/>
  <c r="BE327" i="1"/>
  <c r="CA327" i="1" s="1"/>
  <c r="BF327" i="1"/>
  <c r="CB327" i="1" s="1"/>
  <c r="BG327" i="1"/>
  <c r="CC327" i="1" s="1"/>
  <c r="BK327" i="1"/>
  <c r="CG327" i="1" s="1"/>
  <c r="AV328" i="1"/>
  <c r="BR328" i="1" s="1"/>
  <c r="BA328" i="1"/>
  <c r="BW328" i="1" s="1"/>
  <c r="BB328" i="1"/>
  <c r="BX328" i="1" s="1"/>
  <c r="BC328" i="1"/>
  <c r="BY328" i="1" s="1"/>
  <c r="BD328" i="1"/>
  <c r="BZ328" i="1" s="1"/>
  <c r="BE328" i="1"/>
  <c r="CA328" i="1" s="1"/>
  <c r="BF328" i="1"/>
  <c r="CB328" i="1" s="1"/>
  <c r="BG328" i="1"/>
  <c r="CC328" i="1" s="1"/>
  <c r="BK328" i="1"/>
  <c r="CG328" i="1" s="1"/>
  <c r="AV329" i="1"/>
  <c r="BR329" i="1" s="1"/>
  <c r="BA329" i="1"/>
  <c r="BW329" i="1" s="1"/>
  <c r="BB329" i="1"/>
  <c r="BC329" i="1"/>
  <c r="BY329" i="1" s="1"/>
  <c r="BD329" i="1"/>
  <c r="BZ329" i="1" s="1"/>
  <c r="BE329" i="1"/>
  <c r="CA329" i="1" s="1"/>
  <c r="BF329" i="1"/>
  <c r="CB329" i="1" s="1"/>
  <c r="BG329" i="1"/>
  <c r="CC329" i="1" s="1"/>
  <c r="BK329" i="1"/>
  <c r="CG329" i="1" s="1"/>
  <c r="AV330" i="1"/>
  <c r="BR330" i="1" s="1"/>
  <c r="BA330" i="1"/>
  <c r="BW330" i="1" s="1"/>
  <c r="BB330" i="1"/>
  <c r="BC330" i="1"/>
  <c r="BY330" i="1" s="1"/>
  <c r="BD330" i="1"/>
  <c r="BZ330" i="1" s="1"/>
  <c r="BE330" i="1"/>
  <c r="CA330" i="1" s="1"/>
  <c r="BF330" i="1"/>
  <c r="CB330" i="1" s="1"/>
  <c r="BG330" i="1"/>
  <c r="CC330" i="1" s="1"/>
  <c r="BK330" i="1"/>
  <c r="CG330" i="1" s="1"/>
  <c r="AV331" i="1"/>
  <c r="BR331" i="1" s="1"/>
  <c r="AY331" i="1"/>
  <c r="BU331" i="1" s="1"/>
  <c r="BA331" i="1"/>
  <c r="BW331" i="1" s="1"/>
  <c r="BB331" i="1"/>
  <c r="BX331" i="1" s="1"/>
  <c r="BC331" i="1"/>
  <c r="BY331" i="1" s="1"/>
  <c r="BD331" i="1"/>
  <c r="BZ331" i="1" s="1"/>
  <c r="BE331" i="1"/>
  <c r="CA331" i="1" s="1"/>
  <c r="BF331" i="1"/>
  <c r="CB331" i="1" s="1"/>
  <c r="BG331" i="1"/>
  <c r="CC331" i="1" s="1"/>
  <c r="BK331" i="1"/>
  <c r="CG331" i="1" s="1"/>
  <c r="AV332" i="1"/>
  <c r="BR332" i="1" s="1"/>
  <c r="BA332" i="1"/>
  <c r="BW332" i="1" s="1"/>
  <c r="BB332" i="1"/>
  <c r="BX332" i="1" s="1"/>
  <c r="BC332" i="1"/>
  <c r="BY332" i="1" s="1"/>
  <c r="BD332" i="1"/>
  <c r="BZ332" i="1" s="1"/>
  <c r="BE332" i="1"/>
  <c r="CA332" i="1" s="1"/>
  <c r="BF332" i="1"/>
  <c r="CB332" i="1" s="1"/>
  <c r="BG332" i="1"/>
  <c r="CC332" i="1" s="1"/>
  <c r="BK332" i="1"/>
  <c r="CG332" i="1" s="1"/>
  <c r="AV333" i="1"/>
  <c r="BR333" i="1" s="1"/>
  <c r="BA333" i="1"/>
  <c r="BW333" i="1" s="1"/>
  <c r="CS333" i="1" s="1"/>
  <c r="BB333" i="1"/>
  <c r="BC333" i="1"/>
  <c r="BY333" i="1" s="1"/>
  <c r="CU333" i="1" s="1"/>
  <c r="BD333" i="1"/>
  <c r="BZ333" i="1" s="1"/>
  <c r="CV333" i="1" s="1"/>
  <c r="BE333" i="1"/>
  <c r="CA333" i="1" s="1"/>
  <c r="CW333" i="1" s="1"/>
  <c r="BF333" i="1"/>
  <c r="CB333" i="1" s="1"/>
  <c r="CX333" i="1" s="1"/>
  <c r="BG333" i="1"/>
  <c r="CC333" i="1" s="1"/>
  <c r="CY333" i="1" s="1"/>
  <c r="BK333" i="1"/>
  <c r="CG333" i="1" s="1"/>
  <c r="DC333" i="1" s="1"/>
  <c r="AV334" i="1"/>
  <c r="BR334" i="1" s="1"/>
  <c r="BA334" i="1"/>
  <c r="BW334" i="1" s="1"/>
  <c r="CS334" i="1" s="1"/>
  <c r="BB334" i="1"/>
  <c r="BC334" i="1"/>
  <c r="BY334" i="1" s="1"/>
  <c r="CU334" i="1" s="1"/>
  <c r="BD334" i="1"/>
  <c r="BZ334" i="1" s="1"/>
  <c r="CV334" i="1" s="1"/>
  <c r="BE334" i="1"/>
  <c r="CA334" i="1" s="1"/>
  <c r="CW334" i="1" s="1"/>
  <c r="BF334" i="1"/>
  <c r="CB334" i="1" s="1"/>
  <c r="CX334" i="1" s="1"/>
  <c r="BG334" i="1"/>
  <c r="CC334" i="1" s="1"/>
  <c r="CY334" i="1" s="1"/>
  <c r="BK334" i="1"/>
  <c r="CG334" i="1" s="1"/>
  <c r="DC334" i="1" s="1"/>
  <c r="AV335" i="1"/>
  <c r="BR335" i="1" s="1"/>
  <c r="AY335" i="1"/>
  <c r="BU335" i="1" s="1"/>
  <c r="CQ335" i="1" s="1"/>
  <c r="BA335" i="1"/>
  <c r="BW335" i="1" s="1"/>
  <c r="CS335" i="1" s="1"/>
  <c r="BB335" i="1"/>
  <c r="BX335" i="1" s="1"/>
  <c r="CT335" i="1" s="1"/>
  <c r="BC335" i="1"/>
  <c r="BY335" i="1" s="1"/>
  <c r="CU335" i="1" s="1"/>
  <c r="BD335" i="1"/>
  <c r="BZ335" i="1" s="1"/>
  <c r="CV335" i="1" s="1"/>
  <c r="BE335" i="1"/>
  <c r="CA335" i="1" s="1"/>
  <c r="CW335" i="1" s="1"/>
  <c r="BF335" i="1"/>
  <c r="CB335" i="1" s="1"/>
  <c r="CX335" i="1" s="1"/>
  <c r="BG335" i="1"/>
  <c r="CC335" i="1" s="1"/>
  <c r="CY335" i="1" s="1"/>
  <c r="BK335" i="1"/>
  <c r="CG335" i="1" s="1"/>
  <c r="DC335" i="1" s="1"/>
  <c r="AV336" i="1"/>
  <c r="BR336" i="1" s="1"/>
  <c r="BA336" i="1"/>
  <c r="BW336" i="1" s="1"/>
  <c r="BB336" i="1"/>
  <c r="BX336" i="1" s="1"/>
  <c r="BC336" i="1"/>
  <c r="BY336" i="1" s="1"/>
  <c r="BD336" i="1"/>
  <c r="BZ336" i="1" s="1"/>
  <c r="BE336" i="1"/>
  <c r="CA336" i="1" s="1"/>
  <c r="BF336" i="1"/>
  <c r="CB336" i="1" s="1"/>
  <c r="BG336" i="1"/>
  <c r="CC336" i="1" s="1"/>
  <c r="BK336" i="1"/>
  <c r="CG336" i="1" s="1"/>
  <c r="AV337" i="1"/>
  <c r="BR337" i="1" s="1"/>
  <c r="BA337" i="1"/>
  <c r="BW337" i="1" s="1"/>
  <c r="BB337" i="1"/>
  <c r="BC337" i="1"/>
  <c r="BY337" i="1" s="1"/>
  <c r="BD337" i="1"/>
  <c r="BZ337" i="1" s="1"/>
  <c r="BE337" i="1"/>
  <c r="CA337" i="1" s="1"/>
  <c r="BF337" i="1"/>
  <c r="CB337" i="1" s="1"/>
  <c r="BG337" i="1"/>
  <c r="CC337" i="1" s="1"/>
  <c r="BK337" i="1"/>
  <c r="CG337" i="1" s="1"/>
  <c r="AV338" i="1"/>
  <c r="BR338" i="1" s="1"/>
  <c r="BA338" i="1"/>
  <c r="BW338" i="1" s="1"/>
  <c r="BB338" i="1"/>
  <c r="BC338" i="1"/>
  <c r="BY338" i="1" s="1"/>
  <c r="BD338" i="1"/>
  <c r="BZ338" i="1" s="1"/>
  <c r="BE338" i="1"/>
  <c r="CA338" i="1" s="1"/>
  <c r="BF338" i="1"/>
  <c r="CB338" i="1" s="1"/>
  <c r="BG338" i="1"/>
  <c r="CC338" i="1" s="1"/>
  <c r="BK338" i="1"/>
  <c r="CG338" i="1" s="1"/>
  <c r="AV339" i="1"/>
  <c r="BR339" i="1" s="1"/>
  <c r="AY339" i="1"/>
  <c r="BU339" i="1" s="1"/>
  <c r="BA339" i="1"/>
  <c r="BW339" i="1" s="1"/>
  <c r="BB339" i="1"/>
  <c r="BX339" i="1" s="1"/>
  <c r="BC339" i="1"/>
  <c r="BY339" i="1" s="1"/>
  <c r="BD339" i="1"/>
  <c r="BZ339" i="1" s="1"/>
  <c r="BE339" i="1"/>
  <c r="CA339" i="1" s="1"/>
  <c r="BF339" i="1"/>
  <c r="CB339" i="1" s="1"/>
  <c r="BG339" i="1"/>
  <c r="CC339" i="1" s="1"/>
  <c r="BK339" i="1"/>
  <c r="CG339" i="1" s="1"/>
  <c r="AV340" i="1"/>
  <c r="BR340" i="1" s="1"/>
  <c r="BA340" i="1"/>
  <c r="BW340" i="1" s="1"/>
  <c r="BB340" i="1"/>
  <c r="BX340" i="1" s="1"/>
  <c r="BC340" i="1"/>
  <c r="BY340" i="1" s="1"/>
  <c r="BD340" i="1"/>
  <c r="BZ340" i="1" s="1"/>
  <c r="BE340" i="1"/>
  <c r="CA340" i="1" s="1"/>
  <c r="BF340" i="1"/>
  <c r="CB340" i="1" s="1"/>
  <c r="BG340" i="1"/>
  <c r="CC340" i="1" s="1"/>
  <c r="BK340" i="1"/>
  <c r="CG340" i="1" s="1"/>
  <c r="AV341" i="1"/>
  <c r="BR341" i="1" s="1"/>
  <c r="BA341" i="1"/>
  <c r="BW341" i="1" s="1"/>
  <c r="CS341" i="1" s="1"/>
  <c r="BB341" i="1"/>
  <c r="BC341" i="1"/>
  <c r="BY341" i="1" s="1"/>
  <c r="CU341" i="1" s="1"/>
  <c r="BD341" i="1"/>
  <c r="BZ341" i="1" s="1"/>
  <c r="CV341" i="1" s="1"/>
  <c r="BE341" i="1"/>
  <c r="CA341" i="1" s="1"/>
  <c r="CW341" i="1" s="1"/>
  <c r="BF341" i="1"/>
  <c r="CB341" i="1" s="1"/>
  <c r="CX341" i="1" s="1"/>
  <c r="BG341" i="1"/>
  <c r="CC341" i="1" s="1"/>
  <c r="CY341" i="1" s="1"/>
  <c r="BK341" i="1"/>
  <c r="CG341" i="1" s="1"/>
  <c r="DC341" i="1" s="1"/>
  <c r="AV342" i="1"/>
  <c r="BR342" i="1" s="1"/>
  <c r="BA342" i="1"/>
  <c r="BW342" i="1" s="1"/>
  <c r="CS342" i="1" s="1"/>
  <c r="BB342" i="1"/>
  <c r="BC342" i="1"/>
  <c r="BY342" i="1" s="1"/>
  <c r="CU342" i="1" s="1"/>
  <c r="BD342" i="1"/>
  <c r="BZ342" i="1" s="1"/>
  <c r="CV342" i="1" s="1"/>
  <c r="BE342" i="1"/>
  <c r="CA342" i="1" s="1"/>
  <c r="CW342" i="1" s="1"/>
  <c r="BF342" i="1"/>
  <c r="CB342" i="1" s="1"/>
  <c r="CX342" i="1" s="1"/>
  <c r="BG342" i="1"/>
  <c r="CC342" i="1" s="1"/>
  <c r="CY342" i="1" s="1"/>
  <c r="BK342" i="1"/>
  <c r="CG342" i="1" s="1"/>
  <c r="DC342" i="1" s="1"/>
  <c r="AV343" i="1"/>
  <c r="BR343" i="1" s="1"/>
  <c r="BK343" i="1"/>
  <c r="CG343" i="1" s="1"/>
  <c r="AV344" i="1"/>
  <c r="BR344" i="1" s="1"/>
  <c r="BK344" i="1"/>
  <c r="CG344" i="1" s="1"/>
  <c r="AV345" i="1"/>
  <c r="BR345" i="1" s="1"/>
  <c r="BK345" i="1"/>
  <c r="CG345" i="1" s="1"/>
  <c r="AV346" i="1"/>
  <c r="BR346" i="1" s="1"/>
  <c r="BK346" i="1"/>
  <c r="CG346" i="1" s="1"/>
  <c r="AV347" i="1"/>
  <c r="BR347" i="1" s="1"/>
  <c r="BK347" i="1"/>
  <c r="CG347" i="1" s="1"/>
  <c r="AV348" i="1"/>
  <c r="BR348" i="1" s="1"/>
  <c r="BK348" i="1"/>
  <c r="CG348" i="1" s="1"/>
  <c r="AV349" i="1"/>
  <c r="BR349" i="1" s="1"/>
  <c r="BK349" i="1"/>
  <c r="CG349" i="1" s="1"/>
  <c r="AV350" i="1"/>
  <c r="BR350" i="1" s="1"/>
  <c r="BK350" i="1"/>
  <c r="CG350" i="1" s="1"/>
  <c r="AV351" i="1"/>
  <c r="BR351" i="1" s="1"/>
  <c r="AY351" i="1"/>
  <c r="BU351" i="1" s="1"/>
  <c r="BA351" i="1"/>
  <c r="BW351" i="1" s="1"/>
  <c r="BB351" i="1"/>
  <c r="BX351" i="1" s="1"/>
  <c r="BC351" i="1"/>
  <c r="BY351" i="1" s="1"/>
  <c r="BD351" i="1"/>
  <c r="BZ351" i="1" s="1"/>
  <c r="BE351" i="1"/>
  <c r="CA351" i="1" s="1"/>
  <c r="BF351" i="1"/>
  <c r="CB351" i="1" s="1"/>
  <c r="BG351" i="1"/>
  <c r="CC351" i="1" s="1"/>
  <c r="BK351" i="1"/>
  <c r="CG351" i="1" s="1"/>
  <c r="AV352" i="1"/>
  <c r="BR352" i="1" s="1"/>
  <c r="BA352" i="1"/>
  <c r="BW352" i="1" s="1"/>
  <c r="BB352" i="1"/>
  <c r="BX352" i="1" s="1"/>
  <c r="BC352" i="1"/>
  <c r="BY352" i="1" s="1"/>
  <c r="BD352" i="1"/>
  <c r="BZ352" i="1" s="1"/>
  <c r="BE352" i="1"/>
  <c r="CA352" i="1" s="1"/>
  <c r="BF352" i="1"/>
  <c r="CB352" i="1" s="1"/>
  <c r="BG352" i="1"/>
  <c r="CC352" i="1" s="1"/>
  <c r="BK352" i="1"/>
  <c r="CG352" i="1" s="1"/>
  <c r="AV355" i="1"/>
  <c r="BR355" i="1" s="1"/>
  <c r="BK355" i="1"/>
  <c r="CG355" i="1" s="1"/>
  <c r="DC355" i="1" s="1"/>
  <c r="AV356" i="1"/>
  <c r="BR356" i="1" s="1"/>
  <c r="BA356" i="1"/>
  <c r="BW356" i="1" s="1"/>
  <c r="BB356" i="1"/>
  <c r="BX356" i="1" s="1"/>
  <c r="BC356" i="1"/>
  <c r="BY356" i="1" s="1"/>
  <c r="BD356" i="1"/>
  <c r="BZ356" i="1" s="1"/>
  <c r="BE356" i="1"/>
  <c r="CA356" i="1" s="1"/>
  <c r="BF356" i="1"/>
  <c r="CB356" i="1" s="1"/>
  <c r="BG356" i="1"/>
  <c r="CC356" i="1" s="1"/>
  <c r="BK356" i="1"/>
  <c r="CG356" i="1" s="1"/>
  <c r="AV357" i="1"/>
  <c r="BR357" i="1" s="1"/>
  <c r="AY357" i="1"/>
  <c r="BU357" i="1" s="1"/>
  <c r="BA357" i="1"/>
  <c r="BW357" i="1" s="1"/>
  <c r="BB357" i="1"/>
  <c r="BX357" i="1" s="1"/>
  <c r="BC357" i="1"/>
  <c r="BY357" i="1" s="1"/>
  <c r="BD357" i="1"/>
  <c r="BZ357" i="1" s="1"/>
  <c r="BE357" i="1"/>
  <c r="CA357" i="1" s="1"/>
  <c r="BF357" i="1"/>
  <c r="CB357" i="1" s="1"/>
  <c r="BG357" i="1"/>
  <c r="CC357" i="1" s="1"/>
  <c r="BK357" i="1"/>
  <c r="CG357" i="1" s="1"/>
  <c r="AV358" i="1"/>
  <c r="BR358" i="1" s="1"/>
  <c r="BA358" i="1"/>
  <c r="BW358" i="1" s="1"/>
  <c r="BB358" i="1"/>
  <c r="BX358" i="1" s="1"/>
  <c r="BC358" i="1"/>
  <c r="BY358" i="1" s="1"/>
  <c r="BD358" i="1"/>
  <c r="BZ358" i="1" s="1"/>
  <c r="BE358" i="1"/>
  <c r="CA358" i="1" s="1"/>
  <c r="BF358" i="1"/>
  <c r="CB358" i="1" s="1"/>
  <c r="BG358" i="1"/>
  <c r="CC358" i="1" s="1"/>
  <c r="BK358" i="1"/>
  <c r="CG358" i="1" s="1"/>
  <c r="AV359" i="1"/>
  <c r="BR359" i="1" s="1"/>
  <c r="BA359" i="1"/>
  <c r="BW359" i="1" s="1"/>
  <c r="BB359" i="1"/>
  <c r="BC359" i="1"/>
  <c r="BY359" i="1" s="1"/>
  <c r="BD359" i="1"/>
  <c r="BZ359" i="1" s="1"/>
  <c r="BE359" i="1"/>
  <c r="CA359" i="1" s="1"/>
  <c r="BF359" i="1"/>
  <c r="CB359" i="1" s="1"/>
  <c r="BG359" i="1"/>
  <c r="CC359" i="1" s="1"/>
  <c r="BK359" i="1"/>
  <c r="CG359" i="1" s="1"/>
  <c r="AV360" i="1"/>
  <c r="BR360" i="1" s="1"/>
  <c r="BA360" i="1"/>
  <c r="BW360" i="1" s="1"/>
  <c r="BB360" i="1"/>
  <c r="BX360" i="1" s="1"/>
  <c r="BC360" i="1"/>
  <c r="BY360" i="1" s="1"/>
  <c r="BD360" i="1"/>
  <c r="BZ360" i="1" s="1"/>
  <c r="BE360" i="1"/>
  <c r="CA360" i="1" s="1"/>
  <c r="BF360" i="1"/>
  <c r="CB360" i="1" s="1"/>
  <c r="BG360" i="1"/>
  <c r="CC360" i="1" s="1"/>
  <c r="BK360" i="1"/>
  <c r="CG360" i="1" s="1"/>
  <c r="AV361" i="1"/>
  <c r="BR361" i="1" s="1"/>
  <c r="AY361" i="1"/>
  <c r="BU361" i="1" s="1"/>
  <c r="BA361" i="1"/>
  <c r="BW361" i="1" s="1"/>
  <c r="BB361" i="1"/>
  <c r="BX361" i="1" s="1"/>
  <c r="BC361" i="1"/>
  <c r="BY361" i="1" s="1"/>
  <c r="BD361" i="1"/>
  <c r="BZ361" i="1" s="1"/>
  <c r="BE361" i="1"/>
  <c r="CA361" i="1" s="1"/>
  <c r="BF361" i="1"/>
  <c r="CB361" i="1" s="1"/>
  <c r="BG361" i="1"/>
  <c r="CC361" i="1" s="1"/>
  <c r="BK361" i="1"/>
  <c r="CG361" i="1" s="1"/>
  <c r="AV362" i="1"/>
  <c r="BR362" i="1" s="1"/>
  <c r="BA362" i="1"/>
  <c r="BW362" i="1" s="1"/>
  <c r="BB362" i="1"/>
  <c r="BX362" i="1" s="1"/>
  <c r="BC362" i="1"/>
  <c r="BY362" i="1" s="1"/>
  <c r="BD362" i="1"/>
  <c r="BZ362" i="1" s="1"/>
  <c r="BE362" i="1"/>
  <c r="CA362" i="1" s="1"/>
  <c r="BF362" i="1"/>
  <c r="CB362" i="1" s="1"/>
  <c r="BG362" i="1"/>
  <c r="CC362" i="1" s="1"/>
  <c r="BK362" i="1"/>
  <c r="CG362" i="1" s="1"/>
  <c r="AV363" i="1"/>
  <c r="BR363" i="1" s="1"/>
  <c r="BA363" i="1"/>
  <c r="BW363" i="1" s="1"/>
  <c r="BB363" i="1"/>
  <c r="BC363" i="1"/>
  <c r="BY363" i="1" s="1"/>
  <c r="BD363" i="1"/>
  <c r="BZ363" i="1" s="1"/>
  <c r="BE363" i="1"/>
  <c r="CA363" i="1" s="1"/>
  <c r="BF363" i="1"/>
  <c r="CB363" i="1" s="1"/>
  <c r="BG363" i="1"/>
  <c r="CC363" i="1" s="1"/>
  <c r="BK363" i="1"/>
  <c r="CG363" i="1" s="1"/>
  <c r="AV364" i="1"/>
  <c r="BR364" i="1" s="1"/>
  <c r="BA364" i="1"/>
  <c r="BW364" i="1" s="1"/>
  <c r="BB364" i="1"/>
  <c r="BX364" i="1" s="1"/>
  <c r="BC364" i="1"/>
  <c r="BY364" i="1" s="1"/>
  <c r="BD364" i="1"/>
  <c r="BZ364" i="1" s="1"/>
  <c r="BE364" i="1"/>
  <c r="CA364" i="1" s="1"/>
  <c r="BF364" i="1"/>
  <c r="CB364" i="1" s="1"/>
  <c r="BG364" i="1"/>
  <c r="CC364" i="1" s="1"/>
  <c r="BK364" i="1"/>
  <c r="CG364" i="1" s="1"/>
  <c r="AV365" i="1"/>
  <c r="BR365" i="1" s="1"/>
  <c r="BK365" i="1"/>
  <c r="CG365" i="1" s="1"/>
  <c r="AV368" i="1"/>
  <c r="BR368" i="1" s="1"/>
  <c r="BK368" i="1"/>
  <c r="CG368" i="1" s="1"/>
  <c r="AV369" i="1"/>
  <c r="BR369" i="1" s="1"/>
  <c r="BK369" i="1"/>
  <c r="CG369" i="1" s="1"/>
  <c r="DC369" i="1" s="1"/>
  <c r="AV370" i="1"/>
  <c r="BR370" i="1" s="1"/>
  <c r="BK370" i="1"/>
  <c r="CG370" i="1" s="1"/>
  <c r="AV371" i="1"/>
  <c r="BR371" i="1" s="1"/>
  <c r="BK371" i="1"/>
  <c r="CG371" i="1" s="1"/>
  <c r="AV372" i="1"/>
  <c r="BR372" i="1" s="1"/>
  <c r="BK372" i="1"/>
  <c r="CG372" i="1" s="1"/>
  <c r="AV373" i="1"/>
  <c r="BR373" i="1" s="1"/>
  <c r="BK373" i="1"/>
  <c r="CG373" i="1" s="1"/>
  <c r="AV374" i="1"/>
  <c r="BR374" i="1" s="1"/>
  <c r="BA374" i="1"/>
  <c r="BW374" i="1" s="1"/>
  <c r="BB374" i="1"/>
  <c r="BX374" i="1" s="1"/>
  <c r="BC374" i="1"/>
  <c r="BY374" i="1" s="1"/>
  <c r="BD374" i="1"/>
  <c r="BZ374" i="1" s="1"/>
  <c r="BE374" i="1"/>
  <c r="CA374" i="1" s="1"/>
  <c r="BF374" i="1"/>
  <c r="CB374" i="1" s="1"/>
  <c r="BG374" i="1"/>
  <c r="CC374" i="1" s="1"/>
  <c r="BK374" i="1"/>
  <c r="CG374" i="1" s="1"/>
  <c r="AV375" i="1"/>
  <c r="BR375" i="1" s="1"/>
  <c r="AY375" i="1"/>
  <c r="BU375" i="1" s="1"/>
  <c r="CQ375" i="1" s="1"/>
  <c r="BA375" i="1"/>
  <c r="BW375" i="1" s="1"/>
  <c r="CS375" i="1" s="1"/>
  <c r="BB375" i="1"/>
  <c r="BX375" i="1" s="1"/>
  <c r="CT375" i="1" s="1"/>
  <c r="BC375" i="1"/>
  <c r="BY375" i="1" s="1"/>
  <c r="CU375" i="1" s="1"/>
  <c r="BD375" i="1"/>
  <c r="BZ375" i="1" s="1"/>
  <c r="CV375" i="1" s="1"/>
  <c r="BE375" i="1"/>
  <c r="CA375" i="1" s="1"/>
  <c r="CW375" i="1" s="1"/>
  <c r="BF375" i="1"/>
  <c r="CB375" i="1" s="1"/>
  <c r="CX375" i="1" s="1"/>
  <c r="BG375" i="1"/>
  <c r="CC375" i="1" s="1"/>
  <c r="CY375" i="1" s="1"/>
  <c r="BK375" i="1"/>
  <c r="CG375" i="1" s="1"/>
  <c r="DC375" i="1" s="1"/>
  <c r="AV376" i="1"/>
  <c r="BR376" i="1" s="1"/>
  <c r="BA376" i="1"/>
  <c r="BW376" i="1" s="1"/>
  <c r="BB376" i="1"/>
  <c r="BX376" i="1" s="1"/>
  <c r="BC376" i="1"/>
  <c r="BY376" i="1" s="1"/>
  <c r="BD376" i="1"/>
  <c r="BZ376" i="1" s="1"/>
  <c r="BE376" i="1"/>
  <c r="CA376" i="1" s="1"/>
  <c r="BF376" i="1"/>
  <c r="CB376" i="1" s="1"/>
  <c r="BG376" i="1"/>
  <c r="CC376" i="1" s="1"/>
  <c r="BK376" i="1"/>
  <c r="CG376" i="1" s="1"/>
  <c r="AV377" i="1"/>
  <c r="BR377" i="1" s="1"/>
  <c r="BA377" i="1"/>
  <c r="BW377" i="1" s="1"/>
  <c r="BB377" i="1"/>
  <c r="BC377" i="1"/>
  <c r="BY377" i="1" s="1"/>
  <c r="BD377" i="1"/>
  <c r="BZ377" i="1" s="1"/>
  <c r="BE377" i="1"/>
  <c r="CA377" i="1" s="1"/>
  <c r="BF377" i="1"/>
  <c r="CB377" i="1" s="1"/>
  <c r="BG377" i="1"/>
  <c r="CC377" i="1" s="1"/>
  <c r="BK377" i="1"/>
  <c r="CG377" i="1" s="1"/>
  <c r="AV378" i="1"/>
  <c r="BR378" i="1" s="1"/>
  <c r="BA378" i="1"/>
  <c r="BW378" i="1" s="1"/>
  <c r="CS378" i="1" s="1"/>
  <c r="BB378" i="1"/>
  <c r="BX378" i="1" s="1"/>
  <c r="CT378" i="1" s="1"/>
  <c r="BC378" i="1"/>
  <c r="BY378" i="1" s="1"/>
  <c r="CU378" i="1" s="1"/>
  <c r="BD378" i="1"/>
  <c r="BZ378" i="1" s="1"/>
  <c r="CV378" i="1" s="1"/>
  <c r="BE378" i="1"/>
  <c r="CA378" i="1" s="1"/>
  <c r="CW378" i="1" s="1"/>
  <c r="BF378" i="1"/>
  <c r="CB378" i="1" s="1"/>
  <c r="CX378" i="1" s="1"/>
  <c r="BG378" i="1"/>
  <c r="CC378" i="1" s="1"/>
  <c r="CY378" i="1" s="1"/>
  <c r="BK378" i="1"/>
  <c r="CG378" i="1" s="1"/>
  <c r="DC378" i="1" s="1"/>
  <c r="AV379" i="1"/>
  <c r="BR379" i="1" s="1"/>
  <c r="AY379" i="1"/>
  <c r="BU379" i="1" s="1"/>
  <c r="BA379" i="1"/>
  <c r="BW379" i="1" s="1"/>
  <c r="BB379" i="1"/>
  <c r="BC379" i="1"/>
  <c r="BY379" i="1" s="1"/>
  <c r="BD379" i="1"/>
  <c r="BZ379" i="1" s="1"/>
  <c r="BE379" i="1"/>
  <c r="CA379" i="1" s="1"/>
  <c r="BF379" i="1"/>
  <c r="CB379" i="1" s="1"/>
  <c r="BG379" i="1"/>
  <c r="CC379" i="1" s="1"/>
  <c r="BK379" i="1"/>
  <c r="CG379" i="1" s="1"/>
  <c r="AV385" i="1"/>
  <c r="BR385" i="1" s="1"/>
  <c r="BK385" i="1"/>
  <c r="CG385" i="1" s="1"/>
  <c r="AV386" i="1"/>
  <c r="BR386" i="1" s="1"/>
  <c r="BK386" i="1"/>
  <c r="CG386" i="1" s="1"/>
  <c r="AV387" i="1"/>
  <c r="BR387" i="1" s="1"/>
  <c r="BK387" i="1"/>
  <c r="CG387" i="1" s="1"/>
  <c r="AVP387" i="1" s="1"/>
  <c r="AV388" i="1"/>
  <c r="BR388" i="1" s="1"/>
  <c r="BK388" i="1"/>
  <c r="CG388" i="1" s="1"/>
  <c r="AV389" i="1"/>
  <c r="BR389" i="1" s="1"/>
  <c r="BK389" i="1"/>
  <c r="CG389" i="1" s="1"/>
  <c r="AV390" i="1"/>
  <c r="BR390" i="1" s="1"/>
  <c r="BK390" i="1"/>
  <c r="CG390" i="1" s="1"/>
  <c r="AV391" i="1"/>
  <c r="BR391" i="1" s="1"/>
  <c r="BK391" i="1"/>
  <c r="CG391" i="1" s="1"/>
  <c r="AV392" i="1"/>
  <c r="BR392" i="1" s="1"/>
  <c r="BK392" i="1"/>
  <c r="CG392" i="1" s="1"/>
  <c r="AV393" i="1"/>
  <c r="BR393" i="1" s="1"/>
  <c r="BK393" i="1"/>
  <c r="CG393" i="1" s="1"/>
  <c r="AV394" i="1"/>
  <c r="BR394" i="1" s="1"/>
  <c r="BA394" i="1"/>
  <c r="BW394" i="1" s="1"/>
  <c r="BB394" i="1"/>
  <c r="BC394" i="1"/>
  <c r="BY394" i="1" s="1"/>
  <c r="BD394" i="1"/>
  <c r="BZ394" i="1" s="1"/>
  <c r="BE394" i="1"/>
  <c r="CA394" i="1" s="1"/>
  <c r="BF394" i="1"/>
  <c r="CB394" i="1" s="1"/>
  <c r="BG394" i="1"/>
  <c r="CC394" i="1" s="1"/>
  <c r="BK394" i="1"/>
  <c r="CG394" i="1" s="1"/>
  <c r="AV395" i="1"/>
  <c r="BR395" i="1" s="1"/>
  <c r="BA395" i="1"/>
  <c r="BW395" i="1" s="1"/>
  <c r="BB395" i="1"/>
  <c r="BX395" i="1" s="1"/>
  <c r="BC395" i="1"/>
  <c r="BY395" i="1" s="1"/>
  <c r="BD395" i="1"/>
  <c r="BZ395" i="1" s="1"/>
  <c r="BE395" i="1"/>
  <c r="CA395" i="1" s="1"/>
  <c r="BF395" i="1"/>
  <c r="CB395" i="1" s="1"/>
  <c r="BG395" i="1"/>
  <c r="CC395" i="1" s="1"/>
  <c r="BK395" i="1"/>
  <c r="CG395" i="1" s="1"/>
  <c r="AV396" i="1"/>
  <c r="BR396" i="1" s="1"/>
  <c r="AY396" i="1"/>
  <c r="BU396" i="1" s="1"/>
  <c r="BA396" i="1"/>
  <c r="BW396" i="1" s="1"/>
  <c r="BB396" i="1"/>
  <c r="BX396" i="1" s="1"/>
  <c r="BC396" i="1"/>
  <c r="BY396" i="1" s="1"/>
  <c r="BD396" i="1"/>
  <c r="BZ396" i="1" s="1"/>
  <c r="BE396" i="1"/>
  <c r="CA396" i="1" s="1"/>
  <c r="BF396" i="1"/>
  <c r="CB396" i="1" s="1"/>
  <c r="BG396" i="1"/>
  <c r="CC396" i="1" s="1"/>
  <c r="BK396" i="1"/>
  <c r="CG396" i="1" s="1"/>
  <c r="AV397" i="1"/>
  <c r="BR397" i="1" s="1"/>
  <c r="BA397" i="1"/>
  <c r="BW397" i="1" s="1"/>
  <c r="BB397" i="1"/>
  <c r="BX397" i="1" s="1"/>
  <c r="BC397" i="1"/>
  <c r="BY397" i="1" s="1"/>
  <c r="BD397" i="1"/>
  <c r="BZ397" i="1" s="1"/>
  <c r="BE397" i="1"/>
  <c r="CA397" i="1" s="1"/>
  <c r="BF397" i="1"/>
  <c r="CB397" i="1" s="1"/>
  <c r="BG397" i="1"/>
  <c r="CC397" i="1" s="1"/>
  <c r="BK397" i="1"/>
  <c r="CG397" i="1" s="1"/>
  <c r="AV398" i="1"/>
  <c r="BR398" i="1" s="1"/>
  <c r="BK398" i="1"/>
  <c r="CG398" i="1" s="1"/>
  <c r="DC398" i="1" s="1"/>
  <c r="AV399" i="1"/>
  <c r="BR399" i="1" s="1"/>
  <c r="BA399" i="1"/>
  <c r="BW399" i="1" s="1"/>
  <c r="BB399" i="1"/>
  <c r="BX399" i="1" s="1"/>
  <c r="BC399" i="1"/>
  <c r="BY399" i="1" s="1"/>
  <c r="BD399" i="1"/>
  <c r="BZ399" i="1" s="1"/>
  <c r="BE399" i="1"/>
  <c r="CA399" i="1" s="1"/>
  <c r="BF399" i="1"/>
  <c r="CB399" i="1" s="1"/>
  <c r="BG399" i="1"/>
  <c r="CC399" i="1" s="1"/>
  <c r="BK399" i="1"/>
  <c r="CG399" i="1" s="1"/>
  <c r="AV400" i="1"/>
  <c r="BR400" i="1" s="1"/>
  <c r="BK400" i="1"/>
  <c r="CG400" i="1" s="1"/>
  <c r="AV401" i="1"/>
  <c r="BR401" i="1" s="1"/>
  <c r="BK401" i="1"/>
  <c r="CG401" i="1" s="1"/>
  <c r="AV402" i="1"/>
  <c r="BR402" i="1" s="1"/>
  <c r="BA402" i="1"/>
  <c r="BW402" i="1" s="1"/>
  <c r="BB402" i="1"/>
  <c r="BC402" i="1"/>
  <c r="BY402" i="1" s="1"/>
  <c r="BD402" i="1"/>
  <c r="BZ402" i="1" s="1"/>
  <c r="BE402" i="1"/>
  <c r="CA402" i="1" s="1"/>
  <c r="BF402" i="1"/>
  <c r="CB402" i="1" s="1"/>
  <c r="BG402" i="1"/>
  <c r="CC402" i="1" s="1"/>
  <c r="BK402" i="1"/>
  <c r="CG402" i="1" s="1"/>
  <c r="AV403" i="1"/>
  <c r="BR403" i="1" s="1"/>
  <c r="BA403" i="1"/>
  <c r="BW403" i="1" s="1"/>
  <c r="BB403" i="1"/>
  <c r="BX403" i="1" s="1"/>
  <c r="BC403" i="1"/>
  <c r="BY403" i="1" s="1"/>
  <c r="BD403" i="1"/>
  <c r="BZ403" i="1" s="1"/>
  <c r="BE403" i="1"/>
  <c r="CA403" i="1" s="1"/>
  <c r="BF403" i="1"/>
  <c r="CB403" i="1" s="1"/>
  <c r="BG403" i="1"/>
  <c r="CC403" i="1" s="1"/>
  <c r="BK403" i="1"/>
  <c r="CG403" i="1" s="1"/>
  <c r="AV404" i="1"/>
  <c r="BR404" i="1" s="1"/>
  <c r="AY404" i="1"/>
  <c r="BU404" i="1" s="1"/>
  <c r="BA404" i="1"/>
  <c r="BW404" i="1" s="1"/>
  <c r="BB404" i="1"/>
  <c r="BX404" i="1" s="1"/>
  <c r="BC404" i="1"/>
  <c r="BY404" i="1" s="1"/>
  <c r="BD404" i="1"/>
  <c r="BZ404" i="1" s="1"/>
  <c r="BE404" i="1"/>
  <c r="CA404" i="1" s="1"/>
  <c r="BF404" i="1"/>
  <c r="CB404" i="1" s="1"/>
  <c r="BG404" i="1"/>
  <c r="CC404" i="1" s="1"/>
  <c r="BK404" i="1"/>
  <c r="CG404" i="1" s="1"/>
  <c r="AV405" i="1"/>
  <c r="BR405" i="1" s="1"/>
  <c r="BK405" i="1"/>
  <c r="CG405" i="1" s="1"/>
  <c r="AVP405" i="1" s="1"/>
  <c r="AV406" i="1"/>
  <c r="BR406" i="1" s="1"/>
  <c r="BK406" i="1"/>
  <c r="CG406" i="1" s="1"/>
  <c r="AV407" i="1"/>
  <c r="BR407" i="1" s="1"/>
  <c r="BK407" i="1"/>
  <c r="CG407" i="1" s="1"/>
  <c r="AV408" i="1"/>
  <c r="BR408" i="1" s="1"/>
  <c r="BK408" i="1"/>
  <c r="CG408" i="1" s="1"/>
  <c r="AV409" i="1"/>
  <c r="BR409" i="1" s="1"/>
  <c r="BA409" i="1"/>
  <c r="BW409" i="1" s="1"/>
  <c r="BB409" i="1"/>
  <c r="BX409" i="1" s="1"/>
  <c r="BC409" i="1"/>
  <c r="BY409" i="1" s="1"/>
  <c r="BD409" i="1"/>
  <c r="BZ409" i="1" s="1"/>
  <c r="BE409" i="1"/>
  <c r="CA409" i="1" s="1"/>
  <c r="BF409" i="1"/>
  <c r="CB409" i="1" s="1"/>
  <c r="BG409" i="1"/>
  <c r="CC409" i="1" s="1"/>
  <c r="BK409" i="1"/>
  <c r="CG409" i="1" s="1"/>
  <c r="AV410" i="1"/>
  <c r="BR410" i="1" s="1"/>
  <c r="BA410" i="1"/>
  <c r="BW410" i="1" s="1"/>
  <c r="BB410" i="1"/>
  <c r="BC410" i="1"/>
  <c r="BY410" i="1" s="1"/>
  <c r="BD410" i="1"/>
  <c r="BZ410" i="1" s="1"/>
  <c r="BE410" i="1"/>
  <c r="CA410" i="1" s="1"/>
  <c r="BF410" i="1"/>
  <c r="CB410" i="1" s="1"/>
  <c r="BG410" i="1"/>
  <c r="CC410" i="1" s="1"/>
  <c r="BK410" i="1"/>
  <c r="CG410" i="1" s="1"/>
  <c r="AV411" i="1"/>
  <c r="BR411" i="1" s="1"/>
  <c r="BK411" i="1"/>
  <c r="CG411" i="1" s="1"/>
  <c r="AV412" i="1"/>
  <c r="BR412" i="1" s="1"/>
  <c r="AY412" i="1"/>
  <c r="BU412" i="1" s="1"/>
  <c r="BA412" i="1"/>
  <c r="BW412" i="1" s="1"/>
  <c r="BB412" i="1"/>
  <c r="BX412" i="1" s="1"/>
  <c r="BC412" i="1"/>
  <c r="BY412" i="1" s="1"/>
  <c r="BD412" i="1"/>
  <c r="BZ412" i="1" s="1"/>
  <c r="BE412" i="1"/>
  <c r="CA412" i="1" s="1"/>
  <c r="BF412" i="1"/>
  <c r="CB412" i="1" s="1"/>
  <c r="BG412" i="1"/>
  <c r="CC412" i="1" s="1"/>
  <c r="BK412" i="1"/>
  <c r="CG412" i="1" s="1"/>
  <c r="AV413" i="1"/>
  <c r="BR413" i="1" s="1"/>
  <c r="BK413" i="1"/>
  <c r="CG413" i="1" s="1"/>
  <c r="AV414" i="1"/>
  <c r="BR414" i="1" s="1"/>
  <c r="BA414" i="1"/>
  <c r="BW414" i="1" s="1"/>
  <c r="BB414" i="1"/>
  <c r="BC414" i="1"/>
  <c r="BY414" i="1" s="1"/>
  <c r="BD414" i="1"/>
  <c r="BZ414" i="1" s="1"/>
  <c r="BE414" i="1"/>
  <c r="CA414" i="1" s="1"/>
  <c r="BF414" i="1"/>
  <c r="CB414" i="1" s="1"/>
  <c r="BG414" i="1"/>
  <c r="CC414" i="1" s="1"/>
  <c r="BK414" i="1"/>
  <c r="CG414" i="1" s="1"/>
  <c r="AV415" i="1"/>
  <c r="BR415" i="1" s="1"/>
  <c r="BA415" i="1"/>
  <c r="BW415" i="1" s="1"/>
  <c r="CS415" i="1" s="1"/>
  <c r="BB415" i="1"/>
  <c r="BX415" i="1" s="1"/>
  <c r="CT415" i="1" s="1"/>
  <c r="BC415" i="1"/>
  <c r="BY415" i="1" s="1"/>
  <c r="CU415" i="1" s="1"/>
  <c r="BD415" i="1"/>
  <c r="BZ415" i="1" s="1"/>
  <c r="CV415" i="1" s="1"/>
  <c r="BE415" i="1"/>
  <c r="CA415" i="1" s="1"/>
  <c r="CW415" i="1" s="1"/>
  <c r="BF415" i="1"/>
  <c r="CB415" i="1" s="1"/>
  <c r="CX415" i="1" s="1"/>
  <c r="BG415" i="1"/>
  <c r="CC415" i="1" s="1"/>
  <c r="CY415" i="1" s="1"/>
  <c r="BK415" i="1"/>
  <c r="CG415" i="1" s="1"/>
  <c r="DC415" i="1" s="1"/>
  <c r="AV416" i="1"/>
  <c r="BR416" i="1" s="1"/>
  <c r="AY416" i="1"/>
  <c r="BU416" i="1" s="1"/>
  <c r="AVD416" i="1" s="1"/>
  <c r="BA416" i="1"/>
  <c r="BW416" i="1" s="1"/>
  <c r="AVF416" i="1" s="1"/>
  <c r="BB416" i="1"/>
  <c r="BC416" i="1"/>
  <c r="BY416" i="1" s="1"/>
  <c r="AVH416" i="1" s="1"/>
  <c r="BD416" i="1"/>
  <c r="BZ416" i="1" s="1"/>
  <c r="AVI416" i="1" s="1"/>
  <c r="BE416" i="1"/>
  <c r="CA416" i="1" s="1"/>
  <c r="AVJ416" i="1" s="1"/>
  <c r="BF416" i="1"/>
  <c r="CB416" i="1" s="1"/>
  <c r="AVK416" i="1" s="1"/>
  <c r="BG416" i="1"/>
  <c r="CC416" i="1" s="1"/>
  <c r="AVL416" i="1" s="1"/>
  <c r="BK416" i="1"/>
  <c r="CG416" i="1" s="1"/>
  <c r="AVP416" i="1" s="1"/>
  <c r="AV417" i="1"/>
  <c r="BR417" i="1" s="1"/>
  <c r="AY417" i="1"/>
  <c r="BU417" i="1" s="1"/>
  <c r="AVD417" i="1" s="1"/>
  <c r="BA417" i="1"/>
  <c r="BW417" i="1" s="1"/>
  <c r="AVF417" i="1" s="1"/>
  <c r="BB417" i="1"/>
  <c r="BC417" i="1"/>
  <c r="BY417" i="1" s="1"/>
  <c r="AVH417" i="1" s="1"/>
  <c r="BD417" i="1"/>
  <c r="BZ417" i="1" s="1"/>
  <c r="AVI417" i="1" s="1"/>
  <c r="BE417" i="1"/>
  <c r="CA417" i="1" s="1"/>
  <c r="AVJ417" i="1" s="1"/>
  <c r="BF417" i="1"/>
  <c r="CB417" i="1" s="1"/>
  <c r="AVK417" i="1" s="1"/>
  <c r="BG417" i="1"/>
  <c r="CC417" i="1" s="1"/>
  <c r="AVL417" i="1" s="1"/>
  <c r="BK417" i="1"/>
  <c r="CG417" i="1" s="1"/>
  <c r="AVP417" i="1" s="1"/>
  <c r="AV418" i="1"/>
  <c r="BR418" i="1" s="1"/>
  <c r="BK418" i="1"/>
  <c r="CG418" i="1" s="1"/>
  <c r="AV4" i="1"/>
  <c r="AO4" i="1"/>
  <c r="AVA417" i="1" l="1"/>
  <c r="AVA185" i="1"/>
  <c r="AVA245" i="1"/>
  <c r="AVA281" i="1"/>
  <c r="AVA159" i="1"/>
  <c r="DC187" i="1"/>
  <c r="AVP187" i="1"/>
  <c r="CY187" i="1"/>
  <c r="AVL187" i="1"/>
  <c r="CU187" i="1"/>
  <c r="AVH187" i="1"/>
  <c r="CV187" i="1"/>
  <c r="AVI187" i="1"/>
  <c r="CW187" i="1"/>
  <c r="AVJ187" i="1"/>
  <c r="CS187" i="1"/>
  <c r="AVF187" i="1"/>
  <c r="CP187" i="1"/>
  <c r="AVC187" i="1"/>
  <c r="CR187" i="1"/>
  <c r="AVE187" i="1"/>
  <c r="CX187" i="1"/>
  <c r="AVK187" i="1"/>
  <c r="N138" i="12"/>
  <c r="AVA416" i="1"/>
  <c r="CN413" i="1"/>
  <c r="CW410" i="1"/>
  <c r="AVJ410" i="1"/>
  <c r="CX409" i="1"/>
  <c r="AVK409" i="1"/>
  <c r="CN406" i="1"/>
  <c r="CW403" i="1"/>
  <c r="AVJ403" i="1"/>
  <c r="CU399" i="1"/>
  <c r="AVH399" i="1"/>
  <c r="CY396" i="1"/>
  <c r="AVL396" i="1"/>
  <c r="CX394" i="1"/>
  <c r="AVK394" i="1"/>
  <c r="DC418" i="1"/>
  <c r="AVP418" i="1"/>
  <c r="CY414" i="1"/>
  <c r="AVL414" i="1"/>
  <c r="CT412" i="1"/>
  <c r="AVG412" i="1"/>
  <c r="CY409" i="1"/>
  <c r="AVL409" i="1"/>
  <c r="CU409" i="1"/>
  <c r="AVH409" i="1"/>
  <c r="DC404" i="1"/>
  <c r="AVP404" i="1"/>
  <c r="CX403" i="1"/>
  <c r="AVK403" i="1"/>
  <c r="CU402" i="1"/>
  <c r="AVH402" i="1"/>
  <c r="CV399" i="1"/>
  <c r="AVI399" i="1"/>
  <c r="CN399" i="1"/>
  <c r="AVA399" i="1"/>
  <c r="DC396" i="1"/>
  <c r="AVP396" i="1"/>
  <c r="CQ396" i="1"/>
  <c r="AVD396" i="1"/>
  <c r="CY394" i="1"/>
  <c r="AVL394" i="1"/>
  <c r="DC389" i="1"/>
  <c r="AVP389" i="1"/>
  <c r="CV414" i="1"/>
  <c r="AVI414" i="1"/>
  <c r="CY412" i="1"/>
  <c r="AVL412" i="1"/>
  <c r="CN412" i="1"/>
  <c r="AVA412" i="1"/>
  <c r="CU410" i="1"/>
  <c r="AVH410" i="1"/>
  <c r="CV409" i="1"/>
  <c r="AVI409" i="1"/>
  <c r="CN407" i="1"/>
  <c r="CW404" i="1"/>
  <c r="AVJ404" i="1"/>
  <c r="CS404" i="1"/>
  <c r="AVF404" i="1"/>
  <c r="CU403" i="1"/>
  <c r="AVH403" i="1"/>
  <c r="CV402" i="1"/>
  <c r="AVI402" i="1"/>
  <c r="CN400" i="1"/>
  <c r="CW414" i="1"/>
  <c r="AVJ414" i="1"/>
  <c r="CS414" i="1"/>
  <c r="AVF414" i="1"/>
  <c r="DC412" i="1"/>
  <c r="AVP412" i="1"/>
  <c r="CV412" i="1"/>
  <c r="AVI412" i="1"/>
  <c r="CQ412" i="1"/>
  <c r="AVD412" i="1"/>
  <c r="DC410" i="1"/>
  <c r="AVP410" i="1"/>
  <c r="CV410" i="1"/>
  <c r="AVI410" i="1"/>
  <c r="CN410" i="1"/>
  <c r="AVA410" i="1"/>
  <c r="CW409" i="1"/>
  <c r="AVJ409" i="1"/>
  <c r="CS409" i="1"/>
  <c r="AVF409" i="1"/>
  <c r="DC407" i="1"/>
  <c r="AVP407" i="1"/>
  <c r="CX404" i="1"/>
  <c r="AVK404" i="1"/>
  <c r="CT404" i="1"/>
  <c r="AVG404" i="1"/>
  <c r="DC403" i="1"/>
  <c r="AVP403" i="1"/>
  <c r="CV403" i="1"/>
  <c r="AVI403" i="1"/>
  <c r="CN403" i="1"/>
  <c r="AVA403" i="1"/>
  <c r="CW402" i="1"/>
  <c r="AVJ402" i="1"/>
  <c r="CS402" i="1"/>
  <c r="AVF402" i="1"/>
  <c r="DC400" i="1"/>
  <c r="AVP400" i="1"/>
  <c r="CX399" i="1"/>
  <c r="AVK399" i="1"/>
  <c r="CT399" i="1"/>
  <c r="AVG399" i="1"/>
  <c r="CW397" i="1"/>
  <c r="AVJ397" i="1"/>
  <c r="CS397" i="1"/>
  <c r="AVF397" i="1"/>
  <c r="CX396" i="1"/>
  <c r="AVK396" i="1"/>
  <c r="CT396" i="1"/>
  <c r="AVG396" i="1"/>
  <c r="DC395" i="1"/>
  <c r="AVP395" i="1"/>
  <c r="CV395" i="1"/>
  <c r="AVI395" i="1"/>
  <c r="CN395" i="1"/>
  <c r="AVA395" i="1"/>
  <c r="CW394" i="1"/>
  <c r="AVJ394" i="1"/>
  <c r="CS394" i="1"/>
  <c r="AVF394" i="1"/>
  <c r="DC392" i="1"/>
  <c r="AVP392" i="1"/>
  <c r="DC390" i="1"/>
  <c r="AVP390" i="1"/>
  <c r="DC388" i="1"/>
  <c r="AVP388" i="1"/>
  <c r="DC386" i="1"/>
  <c r="AVP386" i="1"/>
  <c r="DC379" i="1"/>
  <c r="AVP379" i="1"/>
  <c r="CV379" i="1"/>
  <c r="AVI379" i="1"/>
  <c r="CQ379" i="1"/>
  <c r="AVD379" i="1"/>
  <c r="CY377" i="1"/>
  <c r="AVL377" i="1"/>
  <c r="CU377" i="1"/>
  <c r="AVH377" i="1"/>
  <c r="DC376" i="1"/>
  <c r="AVP376" i="1"/>
  <c r="CV376" i="1"/>
  <c r="AVI376" i="1"/>
  <c r="CN376" i="1"/>
  <c r="AVA376" i="1"/>
  <c r="CY374" i="1"/>
  <c r="AVL374" i="1"/>
  <c r="CU374" i="1"/>
  <c r="AVH374" i="1"/>
  <c r="DC373" i="1"/>
  <c r="AVP373" i="1"/>
  <c r="DC371" i="1"/>
  <c r="AVP371" i="1"/>
  <c r="DC365" i="1"/>
  <c r="AVP365" i="1"/>
  <c r="CX364" i="1"/>
  <c r="AVK364" i="1"/>
  <c r="CT364" i="1"/>
  <c r="AVG364" i="1"/>
  <c r="CY363" i="1"/>
  <c r="AVL363" i="1"/>
  <c r="CU363" i="1"/>
  <c r="AVH363" i="1"/>
  <c r="DC362" i="1"/>
  <c r="AVP362" i="1"/>
  <c r="CV362" i="1"/>
  <c r="AVI362" i="1"/>
  <c r="CN362" i="1"/>
  <c r="AVA362" i="1"/>
  <c r="CW361" i="1"/>
  <c r="AVJ361" i="1"/>
  <c r="CS361" i="1"/>
  <c r="AVF361" i="1"/>
  <c r="CY360" i="1"/>
  <c r="AVL360" i="1"/>
  <c r="CU360" i="1"/>
  <c r="AVH360" i="1"/>
  <c r="DC359" i="1"/>
  <c r="AVP359" i="1"/>
  <c r="CV359" i="1"/>
  <c r="AVI359" i="1"/>
  <c r="CN359" i="1"/>
  <c r="AVA359" i="1"/>
  <c r="CW412" i="1"/>
  <c r="AVJ412" i="1"/>
  <c r="CS410" i="1"/>
  <c r="AVF410" i="1"/>
  <c r="CN404" i="1"/>
  <c r="AVA404" i="1"/>
  <c r="CN401" i="1"/>
  <c r="CU396" i="1"/>
  <c r="AVH396" i="1"/>
  <c r="CS395" i="1"/>
  <c r="AVF395" i="1"/>
  <c r="CN391" i="1"/>
  <c r="CN389" i="1"/>
  <c r="CN385" i="1"/>
  <c r="CW379" i="1"/>
  <c r="AVJ379" i="1"/>
  <c r="CS379" i="1"/>
  <c r="AVF379" i="1"/>
  <c r="DC377" i="1"/>
  <c r="AVP377" i="1"/>
  <c r="CV377" i="1"/>
  <c r="AVI377" i="1"/>
  <c r="CN377" i="1"/>
  <c r="AVA377" i="1"/>
  <c r="CW376" i="1"/>
  <c r="AVJ376" i="1"/>
  <c r="CS376" i="1"/>
  <c r="AVF376" i="1"/>
  <c r="DC374" i="1"/>
  <c r="AVP374" i="1"/>
  <c r="CV374" i="1"/>
  <c r="AVI374" i="1"/>
  <c r="CN374" i="1"/>
  <c r="AVA374" i="1"/>
  <c r="CN372" i="1"/>
  <c r="CN370" i="1"/>
  <c r="CN368" i="1"/>
  <c r="CY364" i="1"/>
  <c r="AVL364" i="1"/>
  <c r="CU364" i="1"/>
  <c r="AVH364" i="1"/>
  <c r="DC363" i="1"/>
  <c r="AVP363" i="1"/>
  <c r="CV363" i="1"/>
  <c r="AVI363" i="1"/>
  <c r="CN363" i="1"/>
  <c r="AVA363" i="1"/>
  <c r="CW362" i="1"/>
  <c r="AVJ362" i="1"/>
  <c r="CS362" i="1"/>
  <c r="AVF362" i="1"/>
  <c r="CX361" i="1"/>
  <c r="AVK361" i="1"/>
  <c r="CT361" i="1"/>
  <c r="AVG361" i="1"/>
  <c r="DC360" i="1"/>
  <c r="AVP360" i="1"/>
  <c r="CV360" i="1"/>
  <c r="AVI360" i="1"/>
  <c r="CN360" i="1"/>
  <c r="AVA360" i="1"/>
  <c r="CW359" i="1"/>
  <c r="AVJ359" i="1"/>
  <c r="CS359" i="1"/>
  <c r="AVF359" i="1"/>
  <c r="CX358" i="1"/>
  <c r="AVK358" i="1"/>
  <c r="CT358" i="1"/>
  <c r="AVG358" i="1"/>
  <c r="CY357" i="1"/>
  <c r="AVL357" i="1"/>
  <c r="CU357" i="1"/>
  <c r="AVH357" i="1"/>
  <c r="CN357" i="1"/>
  <c r="AVA357" i="1"/>
  <c r="CW356" i="1"/>
  <c r="AVJ356" i="1"/>
  <c r="CS356" i="1"/>
  <c r="AVF356" i="1"/>
  <c r="DC352" i="1"/>
  <c r="AVP352" i="1"/>
  <c r="CV352" i="1"/>
  <c r="AVI352" i="1"/>
  <c r="CN352" i="1"/>
  <c r="AVA352" i="1"/>
  <c r="CW351" i="1"/>
  <c r="AVJ351" i="1"/>
  <c r="CS351" i="1"/>
  <c r="AVF351" i="1"/>
  <c r="CN350" i="1"/>
  <c r="CN348" i="1"/>
  <c r="CN346" i="1"/>
  <c r="CN344" i="1"/>
  <c r="CW340" i="1"/>
  <c r="AVJ340" i="1"/>
  <c r="CS340" i="1"/>
  <c r="AVF340" i="1"/>
  <c r="CX339" i="1"/>
  <c r="AVK339" i="1"/>
  <c r="CT339" i="1"/>
  <c r="AVG339" i="1"/>
  <c r="DC338" i="1"/>
  <c r="AVP338" i="1"/>
  <c r="CV338" i="1"/>
  <c r="AVI338" i="1"/>
  <c r="CN338" i="1"/>
  <c r="AVA338" i="1"/>
  <c r="CW337" i="1"/>
  <c r="AVJ337" i="1"/>
  <c r="CS337" i="1"/>
  <c r="AVF337" i="1"/>
  <c r="CX336" i="1"/>
  <c r="AVK336" i="1"/>
  <c r="CT336" i="1"/>
  <c r="AVG336" i="1"/>
  <c r="CY332" i="1"/>
  <c r="AVL332" i="1"/>
  <c r="CU332" i="1"/>
  <c r="AVH332" i="1"/>
  <c r="DC331" i="1"/>
  <c r="AVP331" i="1"/>
  <c r="CV331" i="1"/>
  <c r="AVI331" i="1"/>
  <c r="CQ331" i="1"/>
  <c r="AVD331" i="1"/>
  <c r="CX330" i="1"/>
  <c r="AVK330" i="1"/>
  <c r="CY329" i="1"/>
  <c r="AVL329" i="1"/>
  <c r="CU329" i="1"/>
  <c r="AVH329" i="1"/>
  <c r="DC328" i="1"/>
  <c r="AVP328" i="1"/>
  <c r="CV328" i="1"/>
  <c r="AVI328" i="1"/>
  <c r="CN328" i="1"/>
  <c r="AVA328" i="1"/>
  <c r="CW327" i="1"/>
  <c r="AVJ327" i="1"/>
  <c r="CS327" i="1"/>
  <c r="AVF327" i="1"/>
  <c r="CY326" i="1"/>
  <c r="AVL326" i="1"/>
  <c r="CU326" i="1"/>
  <c r="AVH326" i="1"/>
  <c r="DC325" i="1"/>
  <c r="AVP325" i="1"/>
  <c r="DC323" i="1"/>
  <c r="AVP323" i="1"/>
  <c r="DC321" i="1"/>
  <c r="AVP321" i="1"/>
  <c r="DC319" i="1"/>
  <c r="AVP319" i="1"/>
  <c r="CN418" i="1"/>
  <c r="CN411" i="1"/>
  <c r="AVA411" i="1"/>
  <c r="CN408" i="1"/>
  <c r="CY404" i="1"/>
  <c r="AVL404" i="1"/>
  <c r="CS403" i="1"/>
  <c r="AVF403" i="1"/>
  <c r="CY399" i="1"/>
  <c r="AVL399" i="1"/>
  <c r="CX397" i="1"/>
  <c r="AVK397" i="1"/>
  <c r="CW395" i="1"/>
  <c r="AVJ395" i="1"/>
  <c r="DC413" i="1"/>
  <c r="AVP413" i="1"/>
  <c r="CX410" i="1"/>
  <c r="AVK410" i="1"/>
  <c r="DC408" i="1"/>
  <c r="AVP408" i="1"/>
  <c r="CV404" i="1"/>
  <c r="AVI404" i="1"/>
  <c r="CT403" i="1"/>
  <c r="AVG403" i="1"/>
  <c r="DC401" i="1"/>
  <c r="AVP401" i="1"/>
  <c r="CY397" i="1"/>
  <c r="AVL397" i="1"/>
  <c r="CT395" i="1"/>
  <c r="AVG395" i="1"/>
  <c r="CU394" i="1"/>
  <c r="AVH394" i="1"/>
  <c r="DC393" i="1"/>
  <c r="AVP393" i="1"/>
  <c r="DC385" i="1"/>
  <c r="AVP385" i="1"/>
  <c r="CX379" i="1"/>
  <c r="AVK379" i="1"/>
  <c r="CW377" i="1"/>
  <c r="AVJ377" i="1"/>
  <c r="CS377" i="1"/>
  <c r="AVF377" i="1"/>
  <c r="CX376" i="1"/>
  <c r="AVK376" i="1"/>
  <c r="CT376" i="1"/>
  <c r="AVG376" i="1"/>
  <c r="CW374" i="1"/>
  <c r="AVJ374" i="1"/>
  <c r="CS374" i="1"/>
  <c r="AVF374" i="1"/>
  <c r="DC372" i="1"/>
  <c r="AVP372" i="1"/>
  <c r="DC370" i="1"/>
  <c r="AVP370" i="1"/>
  <c r="DC368" i="1"/>
  <c r="AVP368" i="1"/>
  <c r="DC364" i="1"/>
  <c r="AVP364" i="1"/>
  <c r="CV364" i="1"/>
  <c r="AVI364" i="1"/>
  <c r="CN364" i="1"/>
  <c r="AVA364" i="1"/>
  <c r="CW363" i="1"/>
  <c r="AVJ363" i="1"/>
  <c r="CS363" i="1"/>
  <c r="AVF363" i="1"/>
  <c r="CX362" i="1"/>
  <c r="AVK362" i="1"/>
  <c r="CT362" i="1"/>
  <c r="AVG362" i="1"/>
  <c r="CY361" i="1"/>
  <c r="AVL361" i="1"/>
  <c r="CU361" i="1"/>
  <c r="AVH361" i="1"/>
  <c r="CN361" i="1"/>
  <c r="AVA361" i="1"/>
  <c r="CW360" i="1"/>
  <c r="AVJ360" i="1"/>
  <c r="CS360" i="1"/>
  <c r="AVF360" i="1"/>
  <c r="CX359" i="1"/>
  <c r="AVK359" i="1"/>
  <c r="CY358" i="1"/>
  <c r="AVL358" i="1"/>
  <c r="CU358" i="1"/>
  <c r="AVH358" i="1"/>
  <c r="DC357" i="1"/>
  <c r="AVP357" i="1"/>
  <c r="CV357" i="1"/>
  <c r="AVI357" i="1"/>
  <c r="CQ357" i="1"/>
  <c r="AVD357" i="1"/>
  <c r="CX356" i="1"/>
  <c r="AVK356" i="1"/>
  <c r="CT356" i="1"/>
  <c r="AVG356" i="1"/>
  <c r="CW352" i="1"/>
  <c r="AVJ352" i="1"/>
  <c r="CS352" i="1"/>
  <c r="AVF352" i="1"/>
  <c r="CX351" i="1"/>
  <c r="AVK351" i="1"/>
  <c r="CT351" i="1"/>
  <c r="AVG351" i="1"/>
  <c r="DC350" i="1"/>
  <c r="AVP350" i="1"/>
  <c r="DC348" i="1"/>
  <c r="AVP348" i="1"/>
  <c r="DC346" i="1"/>
  <c r="AVP346" i="1"/>
  <c r="DC344" i="1"/>
  <c r="AVP344" i="1"/>
  <c r="CX340" i="1"/>
  <c r="AVK340" i="1"/>
  <c r="CT340" i="1"/>
  <c r="AVG340" i="1"/>
  <c r="CY339" i="1"/>
  <c r="AVL339" i="1"/>
  <c r="CU339" i="1"/>
  <c r="AVH339" i="1"/>
  <c r="CN339" i="1"/>
  <c r="AVA339" i="1"/>
  <c r="CW338" i="1"/>
  <c r="AVJ338" i="1"/>
  <c r="CS338" i="1"/>
  <c r="AVF338" i="1"/>
  <c r="CX337" i="1"/>
  <c r="AVK337" i="1"/>
  <c r="CY336" i="1"/>
  <c r="AVL336" i="1"/>
  <c r="CX414" i="1"/>
  <c r="AVK414" i="1"/>
  <c r="CS412" i="1"/>
  <c r="AVF412" i="1"/>
  <c r="CT409" i="1"/>
  <c r="AVG409" i="1"/>
  <c r="CU404" i="1"/>
  <c r="AVH404" i="1"/>
  <c r="CX402" i="1"/>
  <c r="AVK402" i="1"/>
  <c r="CT397" i="1"/>
  <c r="AVG397" i="1"/>
  <c r="CN396" i="1"/>
  <c r="AVA396" i="1"/>
  <c r="CN393" i="1"/>
  <c r="CU414" i="1"/>
  <c r="AVH414" i="1"/>
  <c r="CX412" i="1"/>
  <c r="AVK412" i="1"/>
  <c r="DC411" i="1"/>
  <c r="AVP411" i="1"/>
  <c r="DC406" i="1"/>
  <c r="AVP406" i="1"/>
  <c r="CQ404" i="1"/>
  <c r="AVD404" i="1"/>
  <c r="CY402" i="1"/>
  <c r="AVL402" i="1"/>
  <c r="DC399" i="1"/>
  <c r="AVP399" i="1"/>
  <c r="CU397" i="1"/>
  <c r="AVH397" i="1"/>
  <c r="CV396" i="1"/>
  <c r="AVI396" i="1"/>
  <c r="CX395" i="1"/>
  <c r="AVK395" i="1"/>
  <c r="DC391" i="1"/>
  <c r="AVP391" i="1"/>
  <c r="DC414" i="1"/>
  <c r="AVP414" i="1"/>
  <c r="CN414" i="1"/>
  <c r="AVA414" i="1"/>
  <c r="CU412" i="1"/>
  <c r="AVH412" i="1"/>
  <c r="CY410" i="1"/>
  <c r="AVL410" i="1"/>
  <c r="DC409" i="1"/>
  <c r="AVP409" i="1"/>
  <c r="CN409" i="1"/>
  <c r="AVA409" i="1"/>
  <c r="CY403" i="1"/>
  <c r="AVL403" i="1"/>
  <c r="DC402" i="1"/>
  <c r="AVP402" i="1"/>
  <c r="CN402" i="1"/>
  <c r="AVA402" i="1"/>
  <c r="CW399" i="1"/>
  <c r="AVJ399" i="1"/>
  <c r="CS399" i="1"/>
  <c r="AVF399" i="1"/>
  <c r="DC397" i="1"/>
  <c r="AVP397" i="1"/>
  <c r="CV397" i="1"/>
  <c r="AVI397" i="1"/>
  <c r="CN397" i="1"/>
  <c r="AVA397" i="1"/>
  <c r="CW396" i="1"/>
  <c r="AVJ396" i="1"/>
  <c r="CS396" i="1"/>
  <c r="AVF396" i="1"/>
  <c r="CY395" i="1"/>
  <c r="AVL395" i="1"/>
  <c r="CU395" i="1"/>
  <c r="AVH395" i="1"/>
  <c r="DC394" i="1"/>
  <c r="AVP394" i="1"/>
  <c r="CV394" i="1"/>
  <c r="AVI394" i="1"/>
  <c r="CN394" i="1"/>
  <c r="AVA394" i="1"/>
  <c r="CN392" i="1"/>
  <c r="CN390" i="1"/>
  <c r="CN388" i="1"/>
  <c r="CN386" i="1"/>
  <c r="CY379" i="1"/>
  <c r="AVL379" i="1"/>
  <c r="CU379" i="1"/>
  <c r="AVH379" i="1"/>
  <c r="CN379" i="1"/>
  <c r="AVA379" i="1"/>
  <c r="CX377" i="1"/>
  <c r="AVK377" i="1"/>
  <c r="CY376" i="1"/>
  <c r="AVL376" i="1"/>
  <c r="CU376" i="1"/>
  <c r="AVH376" i="1"/>
  <c r="CX374" i="1"/>
  <c r="AVK374" i="1"/>
  <c r="CT374" i="1"/>
  <c r="AVG374" i="1"/>
  <c r="CN373" i="1"/>
  <c r="CN371" i="1"/>
  <c r="CN365" i="1"/>
  <c r="AVA365" i="1"/>
  <c r="CW364" i="1"/>
  <c r="AVJ364" i="1"/>
  <c r="CS364" i="1"/>
  <c r="AVF364" i="1"/>
  <c r="CX363" i="1"/>
  <c r="AVK363" i="1"/>
  <c r="CY362" i="1"/>
  <c r="AVL362" i="1"/>
  <c r="CU362" i="1"/>
  <c r="AVH362" i="1"/>
  <c r="DC361" i="1"/>
  <c r="AVP361" i="1"/>
  <c r="CV361" i="1"/>
  <c r="AVI361" i="1"/>
  <c r="CQ361" i="1"/>
  <c r="AVD361" i="1"/>
  <c r="CX360" i="1"/>
  <c r="AVK360" i="1"/>
  <c r="CT360" i="1"/>
  <c r="AVG360" i="1"/>
  <c r="CY359" i="1"/>
  <c r="AVL359" i="1"/>
  <c r="CU359" i="1"/>
  <c r="AVH359" i="1"/>
  <c r="DC358" i="1"/>
  <c r="AVP358" i="1"/>
  <c r="CV358" i="1"/>
  <c r="AVI358" i="1"/>
  <c r="CN358" i="1"/>
  <c r="AVA358" i="1"/>
  <c r="CW357" i="1"/>
  <c r="AVJ357" i="1"/>
  <c r="CS357" i="1"/>
  <c r="AVF357" i="1"/>
  <c r="CY356" i="1"/>
  <c r="AVL356" i="1"/>
  <c r="CU356" i="1"/>
  <c r="AVH356" i="1"/>
  <c r="CX352" i="1"/>
  <c r="AVK352" i="1"/>
  <c r="CT352" i="1"/>
  <c r="AVG352" i="1"/>
  <c r="CY351" i="1"/>
  <c r="AVL351" i="1"/>
  <c r="CU351" i="1"/>
  <c r="AVH351" i="1"/>
  <c r="CN351" i="1"/>
  <c r="AVA351" i="1"/>
  <c r="CN349" i="1"/>
  <c r="CW358" i="1"/>
  <c r="AVJ358" i="1"/>
  <c r="CS358" i="1"/>
  <c r="AVF358" i="1"/>
  <c r="CX357" i="1"/>
  <c r="AVK357" i="1"/>
  <c r="CT357" i="1"/>
  <c r="AVG357" i="1"/>
  <c r="DC356" i="1"/>
  <c r="AVP356" i="1"/>
  <c r="CV356" i="1"/>
  <c r="AVI356" i="1"/>
  <c r="CN356" i="1"/>
  <c r="AVA356" i="1"/>
  <c r="CY352" i="1"/>
  <c r="AVL352" i="1"/>
  <c r="CU352" i="1"/>
  <c r="AVH352" i="1"/>
  <c r="DC351" i="1"/>
  <c r="AVP351" i="1"/>
  <c r="CV351" i="1"/>
  <c r="AVI351" i="1"/>
  <c r="CQ351" i="1"/>
  <c r="AVD351" i="1"/>
  <c r="DC349" i="1"/>
  <c r="AVP349" i="1"/>
  <c r="DC347" i="1"/>
  <c r="AVP347" i="1"/>
  <c r="DC345" i="1"/>
  <c r="AVP345" i="1"/>
  <c r="DC340" i="1"/>
  <c r="AVP340" i="1"/>
  <c r="CV340" i="1"/>
  <c r="AVI340" i="1"/>
  <c r="CN340" i="1"/>
  <c r="AVA340" i="1"/>
  <c r="CW339" i="1"/>
  <c r="AVJ339" i="1"/>
  <c r="CS339" i="1"/>
  <c r="AVF339" i="1"/>
  <c r="CY338" i="1"/>
  <c r="AVL338" i="1"/>
  <c r="CU338" i="1"/>
  <c r="AVH338" i="1"/>
  <c r="DC337" i="1"/>
  <c r="AVP337" i="1"/>
  <c r="CV337" i="1"/>
  <c r="AVI337" i="1"/>
  <c r="CN337" i="1"/>
  <c r="AVA337" i="1"/>
  <c r="CW336" i="1"/>
  <c r="AVJ336" i="1"/>
  <c r="CS336" i="1"/>
  <c r="AVF336" i="1"/>
  <c r="CX332" i="1"/>
  <c r="AVK332" i="1"/>
  <c r="CT332" i="1"/>
  <c r="AVG332" i="1"/>
  <c r="CY331" i="1"/>
  <c r="AVL331" i="1"/>
  <c r="CU331" i="1"/>
  <c r="AVH331" i="1"/>
  <c r="CN331" i="1"/>
  <c r="AVA331" i="1"/>
  <c r="CW330" i="1"/>
  <c r="AVJ330" i="1"/>
  <c r="CS330" i="1"/>
  <c r="AVF330" i="1"/>
  <c r="CX329" i="1"/>
  <c r="AVK329" i="1"/>
  <c r="CY328" i="1"/>
  <c r="AVL328" i="1"/>
  <c r="CU328" i="1"/>
  <c r="AVH328" i="1"/>
  <c r="DC327" i="1"/>
  <c r="AVP327" i="1"/>
  <c r="CV327" i="1"/>
  <c r="AVI327" i="1"/>
  <c r="CQ327" i="1"/>
  <c r="AVD327" i="1"/>
  <c r="CX326" i="1"/>
  <c r="AVK326" i="1"/>
  <c r="CN325" i="1"/>
  <c r="CN323" i="1"/>
  <c r="CN321" i="1"/>
  <c r="CN319" i="1"/>
  <c r="CW318" i="1"/>
  <c r="AVJ318" i="1"/>
  <c r="CS318" i="1"/>
  <c r="AVF318" i="1"/>
  <c r="CX317" i="1"/>
  <c r="AVK317" i="1"/>
  <c r="CY316" i="1"/>
  <c r="AVL316" i="1"/>
  <c r="CU316" i="1"/>
  <c r="AVH316" i="1"/>
  <c r="DC315" i="1"/>
  <c r="AVP315" i="1"/>
  <c r="CV315" i="1"/>
  <c r="AVI315" i="1"/>
  <c r="CQ315" i="1"/>
  <c r="AVD315" i="1"/>
  <c r="CX314" i="1"/>
  <c r="AVK314" i="1"/>
  <c r="CY313" i="1"/>
  <c r="AVL313" i="1"/>
  <c r="CU313" i="1"/>
  <c r="AVH313" i="1"/>
  <c r="DC305" i="1"/>
  <c r="AVP305" i="1"/>
  <c r="CV305" i="1"/>
  <c r="AVI305" i="1"/>
  <c r="CN305" i="1"/>
  <c r="AVA305" i="1"/>
  <c r="CW304" i="1"/>
  <c r="AVJ304" i="1"/>
  <c r="CS304" i="1"/>
  <c r="AVF304" i="1"/>
  <c r="DC302" i="1"/>
  <c r="AVP302" i="1"/>
  <c r="CV302" i="1"/>
  <c r="AVI302" i="1"/>
  <c r="CN302" i="1"/>
  <c r="AVA302" i="1"/>
  <c r="CY300" i="1"/>
  <c r="AVL300" i="1"/>
  <c r="CU300" i="1"/>
  <c r="AVH300" i="1"/>
  <c r="CN300" i="1"/>
  <c r="AVA300" i="1"/>
  <c r="CW299" i="1"/>
  <c r="AVJ299" i="1"/>
  <c r="CS299" i="1"/>
  <c r="AVF299" i="1"/>
  <c r="CX298" i="1"/>
  <c r="AVK298" i="1"/>
  <c r="CY297" i="1"/>
  <c r="AVL297" i="1"/>
  <c r="CU297" i="1"/>
  <c r="AVH297" i="1"/>
  <c r="DC296" i="1"/>
  <c r="AVP296" i="1"/>
  <c r="CV296" i="1"/>
  <c r="AVI296" i="1"/>
  <c r="CQ296" i="1"/>
  <c r="AVD296" i="1"/>
  <c r="DC294" i="1"/>
  <c r="AVP294" i="1"/>
  <c r="DC292" i="1"/>
  <c r="AVP292" i="1"/>
  <c r="DC290" i="1"/>
  <c r="AVP290" i="1"/>
  <c r="DC288" i="1"/>
  <c r="AVP288" i="1"/>
  <c r="DC285" i="1"/>
  <c r="AVP285" i="1"/>
  <c r="CX282" i="1"/>
  <c r="AVK282" i="1"/>
  <c r="DC280" i="1"/>
  <c r="AVP280" i="1"/>
  <c r="CV280" i="1"/>
  <c r="AVI280" i="1"/>
  <c r="CN280" i="1"/>
  <c r="AVA280" i="1"/>
  <c r="CW277" i="1"/>
  <c r="AVJ277" i="1"/>
  <c r="CS277" i="1"/>
  <c r="AVF277" i="1"/>
  <c r="CY276" i="1"/>
  <c r="AVL276" i="1"/>
  <c r="CU276" i="1"/>
  <c r="AVH276" i="1"/>
  <c r="DC275" i="1"/>
  <c r="AVP275" i="1"/>
  <c r="CV275" i="1"/>
  <c r="AVI275" i="1"/>
  <c r="CN275" i="1"/>
  <c r="AVA275" i="1"/>
  <c r="CY273" i="1"/>
  <c r="AVL273" i="1"/>
  <c r="CU273" i="1"/>
  <c r="AVH273" i="1"/>
  <c r="CN273" i="1"/>
  <c r="AVA273" i="1"/>
  <c r="CY271" i="1"/>
  <c r="AVL271" i="1"/>
  <c r="CU271" i="1"/>
  <c r="AVH271" i="1"/>
  <c r="DC270" i="1"/>
  <c r="AVP270" i="1"/>
  <c r="CV270" i="1"/>
  <c r="AVI270" i="1"/>
  <c r="CN270" i="1"/>
  <c r="AVA270" i="1"/>
  <c r="CW269" i="1"/>
  <c r="AVJ269" i="1"/>
  <c r="CS269" i="1"/>
  <c r="AVF269" i="1"/>
  <c r="CY268" i="1"/>
  <c r="AVL268" i="1"/>
  <c r="CU268" i="1"/>
  <c r="AVH268" i="1"/>
  <c r="CW266" i="1"/>
  <c r="AVJ266" i="1"/>
  <c r="CS266" i="1"/>
  <c r="AVF266" i="1"/>
  <c r="CX265" i="1"/>
  <c r="AVK265" i="1"/>
  <c r="CT265" i="1"/>
  <c r="AVG265" i="1"/>
  <c r="DC264" i="1"/>
  <c r="AVP264" i="1"/>
  <c r="CV264" i="1"/>
  <c r="AVI264" i="1"/>
  <c r="CN264" i="1"/>
  <c r="AVA264" i="1"/>
  <c r="CW263" i="1"/>
  <c r="AVJ263" i="1"/>
  <c r="CS263" i="1"/>
  <c r="AVF263" i="1"/>
  <c r="CX262" i="1"/>
  <c r="AVK262" i="1"/>
  <c r="CT262" i="1"/>
  <c r="AVG262" i="1"/>
  <c r="CY261" i="1"/>
  <c r="AVL261" i="1"/>
  <c r="CU261" i="1"/>
  <c r="AVH261" i="1"/>
  <c r="CN261" i="1"/>
  <c r="AVA261" i="1"/>
  <c r="CW260" i="1"/>
  <c r="AVJ260" i="1"/>
  <c r="CS260" i="1"/>
  <c r="AVF260" i="1"/>
  <c r="CX259" i="1"/>
  <c r="AVK259" i="1"/>
  <c r="CY258" i="1"/>
  <c r="AVL258" i="1"/>
  <c r="CU258" i="1"/>
  <c r="AVH258" i="1"/>
  <c r="DC257" i="1"/>
  <c r="AVP257" i="1"/>
  <c r="CV257" i="1"/>
  <c r="AVI257" i="1"/>
  <c r="CQ257" i="1"/>
  <c r="AVD257" i="1"/>
  <c r="DC255" i="1"/>
  <c r="AVP255" i="1"/>
  <c r="DC253" i="1"/>
  <c r="AVP253" i="1"/>
  <c r="CV253" i="1"/>
  <c r="AVI253" i="1"/>
  <c r="CQ253" i="1"/>
  <c r="AVD253" i="1"/>
  <c r="CX252" i="1"/>
  <c r="AVK252" i="1"/>
  <c r="CY251" i="1"/>
  <c r="AVL251" i="1"/>
  <c r="CU251" i="1"/>
  <c r="AVH251" i="1"/>
  <c r="DC250" i="1"/>
  <c r="AVP250" i="1"/>
  <c r="CV250" i="1"/>
  <c r="AVI250" i="1"/>
  <c r="CN250" i="1"/>
  <c r="AVA250" i="1"/>
  <c r="CW249" i="1"/>
  <c r="AVJ249" i="1"/>
  <c r="CS249" i="1"/>
  <c r="AVF249" i="1"/>
  <c r="CY248" i="1"/>
  <c r="AVL248" i="1"/>
  <c r="CU248" i="1"/>
  <c r="AVH248" i="1"/>
  <c r="DC247" i="1"/>
  <c r="AVP247" i="1"/>
  <c r="CV247" i="1"/>
  <c r="AVI247" i="1"/>
  <c r="CN247" i="1"/>
  <c r="AVA247" i="1"/>
  <c r="CX244" i="1"/>
  <c r="AVK244" i="1"/>
  <c r="DC243" i="1"/>
  <c r="AVP243" i="1"/>
  <c r="CV243" i="1"/>
  <c r="AVI243" i="1"/>
  <c r="CN243" i="1"/>
  <c r="AVA243" i="1"/>
  <c r="CW242" i="1"/>
  <c r="AVJ242" i="1"/>
  <c r="CS242" i="1"/>
  <c r="AVF242" i="1"/>
  <c r="CX241" i="1"/>
  <c r="AVK241" i="1"/>
  <c r="CT241" i="1"/>
  <c r="AVG241" i="1"/>
  <c r="CY240" i="1"/>
  <c r="AVL240" i="1"/>
  <c r="CU240" i="1"/>
  <c r="AVH240" i="1"/>
  <c r="CN240" i="1"/>
  <c r="AVA240" i="1"/>
  <c r="CW239" i="1"/>
  <c r="AVJ239" i="1"/>
  <c r="CS239" i="1"/>
  <c r="AVF239" i="1"/>
  <c r="CX238" i="1"/>
  <c r="AVK238" i="1"/>
  <c r="CN237" i="1"/>
  <c r="CW236" i="1"/>
  <c r="AVJ236" i="1"/>
  <c r="CS236" i="1"/>
  <c r="AVF236" i="1"/>
  <c r="CN235" i="1"/>
  <c r="CN232" i="1"/>
  <c r="CN230" i="1"/>
  <c r="CW227" i="1"/>
  <c r="AVJ227" i="1"/>
  <c r="CS227" i="1"/>
  <c r="AVF227" i="1"/>
  <c r="CY226" i="1"/>
  <c r="AVL226" i="1"/>
  <c r="CU226" i="1"/>
  <c r="AVH226" i="1"/>
  <c r="DC225" i="1"/>
  <c r="AVP225" i="1"/>
  <c r="CV225" i="1"/>
  <c r="AVI225" i="1"/>
  <c r="CN225" i="1"/>
  <c r="AVA225" i="1"/>
  <c r="CW224" i="1"/>
  <c r="AVJ224" i="1"/>
  <c r="CS224" i="1"/>
  <c r="AVF224" i="1"/>
  <c r="CX223" i="1"/>
  <c r="AVK223" i="1"/>
  <c r="DC222" i="1"/>
  <c r="AVP222" i="1"/>
  <c r="CV222" i="1"/>
  <c r="AVI222" i="1"/>
  <c r="CN222" i="1"/>
  <c r="AVA222" i="1"/>
  <c r="CW221" i="1"/>
  <c r="AVJ221" i="1"/>
  <c r="CS221" i="1"/>
  <c r="AVF221" i="1"/>
  <c r="DC217" i="1"/>
  <c r="AVP217" i="1"/>
  <c r="DC215" i="1"/>
  <c r="AVP215" i="1"/>
  <c r="DC213" i="1"/>
  <c r="AVP213" i="1"/>
  <c r="CV213" i="1"/>
  <c r="AVI213" i="1"/>
  <c r="CN213" i="1"/>
  <c r="AVA213" i="1"/>
  <c r="CW212" i="1"/>
  <c r="AVJ212" i="1"/>
  <c r="CS212" i="1"/>
  <c r="AVF212" i="1"/>
  <c r="CX211" i="1"/>
  <c r="AVK211" i="1"/>
  <c r="DC210" i="1"/>
  <c r="AVP210" i="1"/>
  <c r="CV210" i="1"/>
  <c r="AVI210" i="1"/>
  <c r="CN210" i="1"/>
  <c r="AVA210" i="1"/>
  <c r="CW209" i="1"/>
  <c r="AVJ209" i="1"/>
  <c r="CS209" i="1"/>
  <c r="AVF209" i="1"/>
  <c r="DC206" i="1"/>
  <c r="AVP206" i="1"/>
  <c r="DC204" i="1"/>
  <c r="AVP204" i="1"/>
  <c r="CV204" i="1"/>
  <c r="AVI204" i="1"/>
  <c r="CN204" i="1"/>
  <c r="AVA204" i="1"/>
  <c r="CW203" i="1"/>
  <c r="AVJ203" i="1"/>
  <c r="CS203" i="1"/>
  <c r="AVF203" i="1"/>
  <c r="CX202" i="1"/>
  <c r="AVK202" i="1"/>
  <c r="CW200" i="1"/>
  <c r="AVJ200" i="1"/>
  <c r="CS200" i="1"/>
  <c r="AVF200" i="1"/>
  <c r="CX199" i="1"/>
  <c r="AVK199" i="1"/>
  <c r="CT199" i="1"/>
  <c r="AVG199" i="1"/>
  <c r="CY197" i="1"/>
  <c r="AVL197" i="1"/>
  <c r="CU197" i="1"/>
  <c r="AVH197" i="1"/>
  <c r="CN197" i="1"/>
  <c r="AVA197" i="1"/>
  <c r="CW196" i="1"/>
  <c r="AVJ196" i="1"/>
  <c r="CS196" i="1"/>
  <c r="AVF196" i="1"/>
  <c r="DC194" i="1"/>
  <c r="AVP194" i="1"/>
  <c r="DC192" i="1"/>
  <c r="AVP192" i="1"/>
  <c r="DC190" i="1"/>
  <c r="AVP190" i="1"/>
  <c r="CV190" i="1"/>
  <c r="AVI190" i="1"/>
  <c r="CN190" i="1"/>
  <c r="AVA190" i="1"/>
  <c r="CW188" i="1"/>
  <c r="AVJ188" i="1"/>
  <c r="CS188" i="1"/>
  <c r="AVF188" i="1"/>
  <c r="DC186" i="1"/>
  <c r="AVP186" i="1"/>
  <c r="CV186" i="1"/>
  <c r="AVI186" i="1"/>
  <c r="CN186" i="1"/>
  <c r="AVA186" i="1"/>
  <c r="CX184" i="1"/>
  <c r="AVK184" i="1"/>
  <c r="DC183" i="1"/>
  <c r="AVP183" i="1"/>
  <c r="CV183" i="1"/>
  <c r="AVI183" i="1"/>
  <c r="CN183" i="1"/>
  <c r="AVA183" i="1"/>
  <c r="CS181" i="1"/>
  <c r="AVF181" i="1"/>
  <c r="CX180" i="1"/>
  <c r="AVK180" i="1"/>
  <c r="CY179" i="1"/>
  <c r="AVL179" i="1"/>
  <c r="CU179" i="1"/>
  <c r="AVH179" i="1"/>
  <c r="CN179" i="1"/>
  <c r="AVA179" i="1"/>
  <c r="CW178" i="1"/>
  <c r="AVJ178" i="1"/>
  <c r="CS178" i="1"/>
  <c r="AVF178" i="1"/>
  <c r="CX177" i="1"/>
  <c r="AVK177" i="1"/>
  <c r="CY176" i="1"/>
  <c r="AVL176" i="1"/>
  <c r="CU176" i="1"/>
  <c r="AVH176" i="1"/>
  <c r="DC175" i="1"/>
  <c r="AVP175" i="1"/>
  <c r="CV175" i="1"/>
  <c r="AVI175" i="1"/>
  <c r="CQ175" i="1"/>
  <c r="AVD175" i="1"/>
  <c r="DC173" i="1"/>
  <c r="AVP173" i="1"/>
  <c r="DC171" i="1"/>
  <c r="AVP171" i="1"/>
  <c r="CV171" i="1"/>
  <c r="AVI171" i="1"/>
  <c r="CQ171" i="1"/>
  <c r="AVD171" i="1"/>
  <c r="CY169" i="1"/>
  <c r="AVL169" i="1"/>
  <c r="CU169" i="1"/>
  <c r="AVH169" i="1"/>
  <c r="DC168" i="1"/>
  <c r="AVP168" i="1"/>
  <c r="CV168" i="1"/>
  <c r="AVI168" i="1"/>
  <c r="CN168" i="1"/>
  <c r="AVA168" i="1"/>
  <c r="CW167" i="1"/>
  <c r="AVJ167" i="1"/>
  <c r="CS167" i="1"/>
  <c r="AVF167" i="1"/>
  <c r="CY166" i="1"/>
  <c r="AVL166" i="1"/>
  <c r="CU166" i="1"/>
  <c r="AVH166" i="1"/>
  <c r="DC163" i="1"/>
  <c r="AVP163" i="1"/>
  <c r="CV163" i="1"/>
  <c r="AVI163" i="1"/>
  <c r="CN163" i="1"/>
  <c r="AVA163" i="1"/>
  <c r="CW162" i="1"/>
  <c r="AVJ162" i="1"/>
  <c r="CS162" i="1"/>
  <c r="AVF162" i="1"/>
  <c r="CY161" i="1"/>
  <c r="AVL161" i="1"/>
  <c r="CU161" i="1"/>
  <c r="AVH161" i="1"/>
  <c r="DC159" i="1"/>
  <c r="AVP159" i="1"/>
  <c r="CV159" i="1"/>
  <c r="AVI159" i="1"/>
  <c r="CW158" i="1"/>
  <c r="AVJ158" i="1"/>
  <c r="CS158" i="1"/>
  <c r="AVF158" i="1"/>
  <c r="CX157" i="1"/>
  <c r="AVK157" i="1"/>
  <c r="DC156" i="1"/>
  <c r="AVP156" i="1"/>
  <c r="CX318" i="1"/>
  <c r="AVK318" i="1"/>
  <c r="CY317" i="1"/>
  <c r="AVL317" i="1"/>
  <c r="CU317" i="1"/>
  <c r="AVH317" i="1"/>
  <c r="DC316" i="1"/>
  <c r="AVP316" i="1"/>
  <c r="CV316" i="1"/>
  <c r="AVI316" i="1"/>
  <c r="CN316" i="1"/>
  <c r="AVA316" i="1"/>
  <c r="CW315" i="1"/>
  <c r="AVJ315" i="1"/>
  <c r="CS315" i="1"/>
  <c r="AVF315" i="1"/>
  <c r="CY314" i="1"/>
  <c r="AVL314" i="1"/>
  <c r="CU314" i="1"/>
  <c r="AVH314" i="1"/>
  <c r="DC313" i="1"/>
  <c r="AVP313" i="1"/>
  <c r="CV313" i="1"/>
  <c r="AVI313" i="1"/>
  <c r="CN313" i="1"/>
  <c r="AVA313" i="1"/>
  <c r="CW305" i="1"/>
  <c r="AVJ305" i="1"/>
  <c r="CS305" i="1"/>
  <c r="AVF305" i="1"/>
  <c r="CX304" i="1"/>
  <c r="AVK304" i="1"/>
  <c r="CT304" i="1"/>
  <c r="AVG304" i="1"/>
  <c r="CW302" i="1"/>
  <c r="AVJ302" i="1"/>
  <c r="CS302" i="1"/>
  <c r="AVF302" i="1"/>
  <c r="DC300" i="1"/>
  <c r="AVP300" i="1"/>
  <c r="CV300" i="1"/>
  <c r="AVI300" i="1"/>
  <c r="CQ300" i="1"/>
  <c r="AVD300" i="1"/>
  <c r="CX299" i="1"/>
  <c r="AVK299" i="1"/>
  <c r="CY298" i="1"/>
  <c r="AVL298" i="1"/>
  <c r="CU298" i="1"/>
  <c r="AVH298" i="1"/>
  <c r="DC297" i="1"/>
  <c r="AVP297" i="1"/>
  <c r="CV297" i="1"/>
  <c r="AVI297" i="1"/>
  <c r="CN297" i="1"/>
  <c r="AVA297" i="1"/>
  <c r="CW296" i="1"/>
  <c r="AVJ296" i="1"/>
  <c r="CS296" i="1"/>
  <c r="AVF296" i="1"/>
  <c r="CN295" i="1"/>
  <c r="CN293" i="1"/>
  <c r="CN291" i="1"/>
  <c r="CN289" i="1"/>
  <c r="CN287" i="1"/>
  <c r="CN284" i="1"/>
  <c r="CY282" i="1"/>
  <c r="AVL282" i="1"/>
  <c r="CU282" i="1"/>
  <c r="AVH282" i="1"/>
  <c r="CW280" i="1"/>
  <c r="AVJ280" i="1"/>
  <c r="CS280" i="1"/>
  <c r="AVF280" i="1"/>
  <c r="CX277" i="1"/>
  <c r="AVK277" i="1"/>
  <c r="CT277" i="1"/>
  <c r="AVG277" i="1"/>
  <c r="DC276" i="1"/>
  <c r="AVP276" i="1"/>
  <c r="CV276" i="1"/>
  <c r="AVI276" i="1"/>
  <c r="CN276" i="1"/>
  <c r="AVA276" i="1"/>
  <c r="CW275" i="1"/>
  <c r="AVJ275" i="1"/>
  <c r="CS275" i="1"/>
  <c r="AVF275" i="1"/>
  <c r="DC273" i="1"/>
  <c r="AVP273" i="1"/>
  <c r="CV273" i="1"/>
  <c r="AVI273" i="1"/>
  <c r="CQ273" i="1"/>
  <c r="AVD273" i="1"/>
  <c r="DC271" i="1"/>
  <c r="AVP271" i="1"/>
  <c r="CV271" i="1"/>
  <c r="AVI271" i="1"/>
  <c r="CN271" i="1"/>
  <c r="AVA271" i="1"/>
  <c r="CW270" i="1"/>
  <c r="AVJ270" i="1"/>
  <c r="CS270" i="1"/>
  <c r="AVF270" i="1"/>
  <c r="CX269" i="1"/>
  <c r="AVK269" i="1"/>
  <c r="CT269" i="1"/>
  <c r="AVG269" i="1"/>
  <c r="DC268" i="1"/>
  <c r="AVP268" i="1"/>
  <c r="CV268" i="1"/>
  <c r="AVI268" i="1"/>
  <c r="CN268" i="1"/>
  <c r="AVA268" i="1"/>
  <c r="CX266" i="1"/>
  <c r="AVK266" i="1"/>
  <c r="CT266" i="1"/>
  <c r="AVG266" i="1"/>
  <c r="CY265" i="1"/>
  <c r="AVL265" i="1"/>
  <c r="CU265" i="1"/>
  <c r="AVH265" i="1"/>
  <c r="CN265" i="1"/>
  <c r="AVA265" i="1"/>
  <c r="CW264" i="1"/>
  <c r="AVJ264" i="1"/>
  <c r="CS264" i="1"/>
  <c r="AVF264" i="1"/>
  <c r="CX263" i="1"/>
  <c r="AVK263" i="1"/>
  <c r="CY262" i="1"/>
  <c r="AVL262" i="1"/>
  <c r="CU262" i="1"/>
  <c r="AVH262" i="1"/>
  <c r="DC261" i="1"/>
  <c r="AVP261" i="1"/>
  <c r="CV261" i="1"/>
  <c r="AVI261" i="1"/>
  <c r="CQ261" i="1"/>
  <c r="AVD261" i="1"/>
  <c r="CX260" i="1"/>
  <c r="AVK260" i="1"/>
  <c r="CY259" i="1"/>
  <c r="AVL259" i="1"/>
  <c r="CU259" i="1"/>
  <c r="AVH259" i="1"/>
  <c r="DC258" i="1"/>
  <c r="AVP258" i="1"/>
  <c r="CV258" i="1"/>
  <c r="AVI258" i="1"/>
  <c r="CN258" i="1"/>
  <c r="AVA258" i="1"/>
  <c r="CW257" i="1"/>
  <c r="AVJ257" i="1"/>
  <c r="CS257" i="1"/>
  <c r="AVF257" i="1"/>
  <c r="CN256" i="1"/>
  <c r="CW253" i="1"/>
  <c r="AVJ253" i="1"/>
  <c r="CS253" i="1"/>
  <c r="AVF253" i="1"/>
  <c r="CY252" i="1"/>
  <c r="AVL252" i="1"/>
  <c r="CU252" i="1"/>
  <c r="AVH252" i="1"/>
  <c r="DC251" i="1"/>
  <c r="AVP251" i="1"/>
  <c r="CV251" i="1"/>
  <c r="AVI251" i="1"/>
  <c r="CN251" i="1"/>
  <c r="AVA251" i="1"/>
  <c r="CW250" i="1"/>
  <c r="AVJ250" i="1"/>
  <c r="CS250" i="1"/>
  <c r="AVF250" i="1"/>
  <c r="CX249" i="1"/>
  <c r="AVK249" i="1"/>
  <c r="CT249" i="1"/>
  <c r="AVG249" i="1"/>
  <c r="DC248" i="1"/>
  <c r="AVP248" i="1"/>
  <c r="CV248" i="1"/>
  <c r="AVI248" i="1"/>
  <c r="CN248" i="1"/>
  <c r="AVA248" i="1"/>
  <c r="CW247" i="1"/>
  <c r="AVJ247" i="1"/>
  <c r="CS247" i="1"/>
  <c r="AVF247" i="1"/>
  <c r="CY244" i="1"/>
  <c r="AVL244" i="1"/>
  <c r="CU244" i="1"/>
  <c r="AVH244" i="1"/>
  <c r="CN244" i="1"/>
  <c r="AVA244" i="1"/>
  <c r="CW243" i="1"/>
  <c r="AVJ243" i="1"/>
  <c r="CS243" i="1"/>
  <c r="AVF243" i="1"/>
  <c r="CX242" i="1"/>
  <c r="AVK242" i="1"/>
  <c r="CY241" i="1"/>
  <c r="AVL241" i="1"/>
  <c r="CU241" i="1"/>
  <c r="AVH241" i="1"/>
  <c r="DC240" i="1"/>
  <c r="AVP240" i="1"/>
  <c r="CV240" i="1"/>
  <c r="AVI240" i="1"/>
  <c r="CQ240" i="1"/>
  <c r="AVD240" i="1"/>
  <c r="CX239" i="1"/>
  <c r="AVK239" i="1"/>
  <c r="CY238" i="1"/>
  <c r="AVL238" i="1"/>
  <c r="CU238" i="1"/>
  <c r="AVH238" i="1"/>
  <c r="DC237" i="1"/>
  <c r="AVP237" i="1"/>
  <c r="CX236" i="1"/>
  <c r="AVK236" i="1"/>
  <c r="CT236" i="1"/>
  <c r="AVG236" i="1"/>
  <c r="DC235" i="1"/>
  <c r="AVP235" i="1"/>
  <c r="DC232" i="1"/>
  <c r="AVP232" i="1"/>
  <c r="DC230" i="1"/>
  <c r="AVP230" i="1"/>
  <c r="CX227" i="1"/>
  <c r="AVK227" i="1"/>
  <c r="DC226" i="1"/>
  <c r="AVP226" i="1"/>
  <c r="CV226" i="1"/>
  <c r="AVI226" i="1"/>
  <c r="CN226" i="1"/>
  <c r="AVA226" i="1"/>
  <c r="CW225" i="1"/>
  <c r="AVJ225" i="1"/>
  <c r="CS225" i="1"/>
  <c r="AVF225" i="1"/>
  <c r="CX224" i="1"/>
  <c r="AVK224" i="1"/>
  <c r="CT224" i="1"/>
  <c r="AVG224" i="1"/>
  <c r="CY223" i="1"/>
  <c r="AVL223" i="1"/>
  <c r="CU223" i="1"/>
  <c r="AVH223" i="1"/>
  <c r="CN223" i="1"/>
  <c r="AVA223" i="1"/>
  <c r="CW222" i="1"/>
  <c r="AVJ222" i="1"/>
  <c r="CS222" i="1"/>
  <c r="AVF222" i="1"/>
  <c r="CX221" i="1"/>
  <c r="AVK221" i="1"/>
  <c r="CN218" i="1"/>
  <c r="CN216" i="1"/>
  <c r="CW213" i="1"/>
  <c r="AVJ213" i="1"/>
  <c r="CS213" i="1"/>
  <c r="AVF213" i="1"/>
  <c r="CX212" i="1"/>
  <c r="AVK212" i="1"/>
  <c r="CT212" i="1"/>
  <c r="AVG212" i="1"/>
  <c r="CY211" i="1"/>
  <c r="AVL211" i="1"/>
  <c r="CU211" i="1"/>
  <c r="AVH211" i="1"/>
  <c r="CN211" i="1"/>
  <c r="AVA211" i="1"/>
  <c r="CW210" i="1"/>
  <c r="AVJ210" i="1"/>
  <c r="CS210" i="1"/>
  <c r="AVF210" i="1"/>
  <c r="CX209" i="1"/>
  <c r="AVK209" i="1"/>
  <c r="CN207" i="1"/>
  <c r="CN205" i="1"/>
  <c r="CW204" i="1"/>
  <c r="AVJ204" i="1"/>
  <c r="CS204" i="1"/>
  <c r="AVF204" i="1"/>
  <c r="CX203" i="1"/>
  <c r="AVK203" i="1"/>
  <c r="CT203" i="1"/>
  <c r="AVG203" i="1"/>
  <c r="CY202" i="1"/>
  <c r="AVL202" i="1"/>
  <c r="CU202" i="1"/>
  <c r="AVH202" i="1"/>
  <c r="CN202" i="1"/>
  <c r="AVA202" i="1"/>
  <c r="CX200" i="1"/>
  <c r="AVK200" i="1"/>
  <c r="CY199" i="1"/>
  <c r="AVL199" i="1"/>
  <c r="CU199" i="1"/>
  <c r="AVH199" i="1"/>
  <c r="DC197" i="1"/>
  <c r="AVP197" i="1"/>
  <c r="CV197" i="1"/>
  <c r="AVI197" i="1"/>
  <c r="CQ197" i="1"/>
  <c r="AVD197" i="1"/>
  <c r="CX196" i="1"/>
  <c r="AVK196" i="1"/>
  <c r="CN195" i="1"/>
  <c r="CN193" i="1"/>
  <c r="CW190" i="1"/>
  <c r="AVJ190" i="1"/>
  <c r="CS190" i="1"/>
  <c r="AVF190" i="1"/>
  <c r="CX188" i="1"/>
  <c r="AVK188" i="1"/>
  <c r="CW186" i="1"/>
  <c r="AVJ186" i="1"/>
  <c r="CS186" i="1"/>
  <c r="AVF186" i="1"/>
  <c r="CY184" i="1"/>
  <c r="AVL184" i="1"/>
  <c r="CU184" i="1"/>
  <c r="AVH184" i="1"/>
  <c r="CN184" i="1"/>
  <c r="AVA184" i="1"/>
  <c r="CW183" i="1"/>
  <c r="AVJ183" i="1"/>
  <c r="CS183" i="1"/>
  <c r="AVF183" i="1"/>
  <c r="CY180" i="1"/>
  <c r="AVL180" i="1"/>
  <c r="CU180" i="1"/>
  <c r="AVH180" i="1"/>
  <c r="DC179" i="1"/>
  <c r="AVP179" i="1"/>
  <c r="CV179" i="1"/>
  <c r="AVI179" i="1"/>
  <c r="CQ179" i="1"/>
  <c r="AVD179" i="1"/>
  <c r="CX178" i="1"/>
  <c r="AVK178" i="1"/>
  <c r="CY177" i="1"/>
  <c r="AVL177" i="1"/>
  <c r="CU177" i="1"/>
  <c r="AVH177" i="1"/>
  <c r="DC176" i="1"/>
  <c r="AVP176" i="1"/>
  <c r="CV176" i="1"/>
  <c r="AVI176" i="1"/>
  <c r="CN176" i="1"/>
  <c r="AVA176" i="1"/>
  <c r="CW175" i="1"/>
  <c r="AVJ175" i="1"/>
  <c r="CS175" i="1"/>
  <c r="AVF175" i="1"/>
  <c r="CN174" i="1"/>
  <c r="CN172" i="1"/>
  <c r="CW171" i="1"/>
  <c r="AVJ171" i="1"/>
  <c r="CS171" i="1"/>
  <c r="AVF171" i="1"/>
  <c r="DC169" i="1"/>
  <c r="AVP169" i="1"/>
  <c r="CV169" i="1"/>
  <c r="AVI169" i="1"/>
  <c r="CN169" i="1"/>
  <c r="AVA169" i="1"/>
  <c r="CW168" i="1"/>
  <c r="AVJ168" i="1"/>
  <c r="CS168" i="1"/>
  <c r="AVF168" i="1"/>
  <c r="CX167" i="1"/>
  <c r="AVK167" i="1"/>
  <c r="DC166" i="1"/>
  <c r="AVP166" i="1"/>
  <c r="CV166" i="1"/>
  <c r="AVI166" i="1"/>
  <c r="CN166" i="1"/>
  <c r="AVA166" i="1"/>
  <c r="CW163" i="1"/>
  <c r="AVJ163" i="1"/>
  <c r="CS163" i="1"/>
  <c r="AVF163" i="1"/>
  <c r="CX162" i="1"/>
  <c r="AVK162" i="1"/>
  <c r="DC161" i="1"/>
  <c r="AVP161" i="1"/>
  <c r="CV161" i="1"/>
  <c r="AVI161" i="1"/>
  <c r="CN161" i="1"/>
  <c r="AVA161" i="1"/>
  <c r="CW159" i="1"/>
  <c r="AVJ159" i="1"/>
  <c r="CS159" i="1"/>
  <c r="AVF159" i="1"/>
  <c r="CX158" i="1"/>
  <c r="AVK158" i="1"/>
  <c r="CY157" i="1"/>
  <c r="AVL157" i="1"/>
  <c r="CU157" i="1"/>
  <c r="AVH157" i="1"/>
  <c r="CN157" i="1"/>
  <c r="AVA157" i="1"/>
  <c r="CN155" i="1"/>
  <c r="CN153" i="1"/>
  <c r="CN151" i="1"/>
  <c r="CY149" i="1"/>
  <c r="AVL149" i="1"/>
  <c r="CU149" i="1"/>
  <c r="AVH149" i="1"/>
  <c r="CN149" i="1"/>
  <c r="AVA149" i="1"/>
  <c r="CW148" i="1"/>
  <c r="AVJ148" i="1"/>
  <c r="CS148" i="1"/>
  <c r="AVF148" i="1"/>
  <c r="CX147" i="1"/>
  <c r="AVK147" i="1"/>
  <c r="CN146" i="1"/>
  <c r="CY143" i="1"/>
  <c r="AVL143" i="1"/>
  <c r="CU143" i="1"/>
  <c r="AVH143" i="1"/>
  <c r="DC142" i="1"/>
  <c r="AVP142" i="1"/>
  <c r="CV142" i="1"/>
  <c r="AVI142" i="1"/>
  <c r="CN142" i="1"/>
  <c r="AVA142" i="1"/>
  <c r="CW141" i="1"/>
  <c r="AVJ141" i="1"/>
  <c r="CS141" i="1"/>
  <c r="AVF141" i="1"/>
  <c r="CX140" i="1"/>
  <c r="AVK140" i="1"/>
  <c r="DC139" i="1"/>
  <c r="AVP139" i="1"/>
  <c r="CV139" i="1"/>
  <c r="AVI139" i="1"/>
  <c r="CN139" i="1"/>
  <c r="AVA139" i="1"/>
  <c r="CW138" i="1"/>
  <c r="AVJ138" i="1"/>
  <c r="CS138" i="1"/>
  <c r="AVF138" i="1"/>
  <c r="DC136" i="1"/>
  <c r="AVP136" i="1"/>
  <c r="DC134" i="1"/>
  <c r="AVP134" i="1"/>
  <c r="DC130" i="1"/>
  <c r="AVP130" i="1"/>
  <c r="CV130" i="1"/>
  <c r="AVI130" i="1"/>
  <c r="CN130" i="1"/>
  <c r="AVA130" i="1"/>
  <c r="CX128" i="1"/>
  <c r="AVK128" i="1"/>
  <c r="DC127" i="1"/>
  <c r="AVP127" i="1"/>
  <c r="CV127" i="1"/>
  <c r="AVI127" i="1"/>
  <c r="CN127" i="1"/>
  <c r="AVA127" i="1"/>
  <c r="CW126" i="1"/>
  <c r="AVJ126" i="1"/>
  <c r="CS126" i="1"/>
  <c r="AVF126" i="1"/>
  <c r="CX125" i="1"/>
  <c r="AVK125" i="1"/>
  <c r="CY124" i="1"/>
  <c r="AVL124" i="1"/>
  <c r="CU124" i="1"/>
  <c r="AVH124" i="1"/>
  <c r="CN124" i="1"/>
  <c r="AVA124" i="1"/>
  <c r="CN122" i="1"/>
  <c r="CN120" i="1"/>
  <c r="DC117" i="1"/>
  <c r="AVP117" i="1"/>
  <c r="CV117" i="1"/>
  <c r="AVI117" i="1"/>
  <c r="CN117" i="1"/>
  <c r="AVA117" i="1"/>
  <c r="CW116" i="1"/>
  <c r="AVJ116" i="1"/>
  <c r="CU336" i="1"/>
  <c r="AVH336" i="1"/>
  <c r="DC332" i="1"/>
  <c r="AVP332" i="1"/>
  <c r="CV332" i="1"/>
  <c r="AVI332" i="1"/>
  <c r="CN332" i="1"/>
  <c r="AVA332" i="1"/>
  <c r="CW331" i="1"/>
  <c r="AVJ331" i="1"/>
  <c r="CS331" i="1"/>
  <c r="AVF331" i="1"/>
  <c r="CY330" i="1"/>
  <c r="AVL330" i="1"/>
  <c r="CU330" i="1"/>
  <c r="AVH330" i="1"/>
  <c r="DC329" i="1"/>
  <c r="AVP329" i="1"/>
  <c r="CV329" i="1"/>
  <c r="AVI329" i="1"/>
  <c r="CN329" i="1"/>
  <c r="AVA329" i="1"/>
  <c r="CW328" i="1"/>
  <c r="AVJ328" i="1"/>
  <c r="CS328" i="1"/>
  <c r="AVF328" i="1"/>
  <c r="CX327" i="1"/>
  <c r="AVK327" i="1"/>
  <c r="CT327" i="1"/>
  <c r="AVG327" i="1"/>
  <c r="DC326" i="1"/>
  <c r="AVP326" i="1"/>
  <c r="CV326" i="1"/>
  <c r="AVI326" i="1"/>
  <c r="CN326" i="1"/>
  <c r="AVA326" i="1"/>
  <c r="CN324" i="1"/>
  <c r="CN322" i="1"/>
  <c r="CN320" i="1"/>
  <c r="CY318" i="1"/>
  <c r="AVL318" i="1"/>
  <c r="CU318" i="1"/>
  <c r="AVH318" i="1"/>
  <c r="DC317" i="1"/>
  <c r="AVP317" i="1"/>
  <c r="CV317" i="1"/>
  <c r="AVI317" i="1"/>
  <c r="CN317" i="1"/>
  <c r="AVA317" i="1"/>
  <c r="CW316" i="1"/>
  <c r="AVJ316" i="1"/>
  <c r="CS316" i="1"/>
  <c r="AVF316" i="1"/>
  <c r="CX315" i="1"/>
  <c r="AVK315" i="1"/>
  <c r="CT315" i="1"/>
  <c r="AVG315" i="1"/>
  <c r="DC314" i="1"/>
  <c r="AVP314" i="1"/>
  <c r="CV314" i="1"/>
  <c r="AVI314" i="1"/>
  <c r="CN314" i="1"/>
  <c r="AVA314" i="1"/>
  <c r="CW313" i="1"/>
  <c r="AVJ313" i="1"/>
  <c r="CS313" i="1"/>
  <c r="AVF313" i="1"/>
  <c r="CX305" i="1"/>
  <c r="AVK305" i="1"/>
  <c r="CT305" i="1"/>
  <c r="AVG305" i="1"/>
  <c r="CY304" i="1"/>
  <c r="AVL304" i="1"/>
  <c r="CU304" i="1"/>
  <c r="AVH304" i="1"/>
  <c r="CN304" i="1"/>
  <c r="AVA304" i="1"/>
  <c r="CX302" i="1"/>
  <c r="AVK302" i="1"/>
  <c r="CN301" i="1"/>
  <c r="CW300" i="1"/>
  <c r="AVJ300" i="1"/>
  <c r="CS300" i="1"/>
  <c r="AVF300" i="1"/>
  <c r="CY299" i="1"/>
  <c r="AVL299" i="1"/>
  <c r="CU299" i="1"/>
  <c r="AVH299" i="1"/>
  <c r="DC298" i="1"/>
  <c r="AVP298" i="1"/>
  <c r="CV298" i="1"/>
  <c r="AVI298" i="1"/>
  <c r="CN298" i="1"/>
  <c r="AVA298" i="1"/>
  <c r="CW297" i="1"/>
  <c r="AVJ297" i="1"/>
  <c r="CS297" i="1"/>
  <c r="AVF297" i="1"/>
  <c r="CX296" i="1"/>
  <c r="AVK296" i="1"/>
  <c r="CT296" i="1"/>
  <c r="AVG296" i="1"/>
  <c r="DC295" i="1"/>
  <c r="AVP295" i="1"/>
  <c r="DC293" i="1"/>
  <c r="AVP293" i="1"/>
  <c r="DC291" i="1"/>
  <c r="AVP291" i="1"/>
  <c r="DC289" i="1"/>
  <c r="AVP289" i="1"/>
  <c r="DC287" i="1"/>
  <c r="AVP287" i="1"/>
  <c r="DC284" i="1"/>
  <c r="AVP284" i="1"/>
  <c r="DC282" i="1"/>
  <c r="AVP282" i="1"/>
  <c r="CV282" i="1"/>
  <c r="AVI282" i="1"/>
  <c r="CN282" i="1"/>
  <c r="AVA282" i="1"/>
  <c r="CX280" i="1"/>
  <c r="AVK280" i="1"/>
  <c r="CT280" i="1"/>
  <c r="AVG280" i="1"/>
  <c r="CY277" i="1"/>
  <c r="AVL277" i="1"/>
  <c r="CU277" i="1"/>
  <c r="AVH277" i="1"/>
  <c r="CN277" i="1"/>
  <c r="AVA277" i="1"/>
  <c r="CW276" i="1"/>
  <c r="AVJ276" i="1"/>
  <c r="CS276" i="1"/>
  <c r="AVF276" i="1"/>
  <c r="CX275" i="1"/>
  <c r="AVK275" i="1"/>
  <c r="CN274" i="1"/>
  <c r="CW273" i="1"/>
  <c r="AVJ273" i="1"/>
  <c r="CS273" i="1"/>
  <c r="AVF273" i="1"/>
  <c r="CN272" i="1"/>
  <c r="CW271" i="1"/>
  <c r="AVJ271" i="1"/>
  <c r="CS271" i="1"/>
  <c r="AVF271" i="1"/>
  <c r="CX270" i="1"/>
  <c r="AVK270" i="1"/>
  <c r="CY269" i="1"/>
  <c r="AVL269" i="1"/>
  <c r="CU269" i="1"/>
  <c r="AVH269" i="1"/>
  <c r="CN269" i="1"/>
  <c r="AVA269" i="1"/>
  <c r="CW268" i="1"/>
  <c r="AVJ268" i="1"/>
  <c r="CS268" i="1"/>
  <c r="AVF268" i="1"/>
  <c r="CY266" i="1"/>
  <c r="AVL266" i="1"/>
  <c r="CU266" i="1"/>
  <c r="AVH266" i="1"/>
  <c r="DC265" i="1"/>
  <c r="AVP265" i="1"/>
  <c r="CV265" i="1"/>
  <c r="AVI265" i="1"/>
  <c r="CQ265" i="1"/>
  <c r="AVD265" i="1"/>
  <c r="CX264" i="1"/>
  <c r="AVK264" i="1"/>
  <c r="CY263" i="1"/>
  <c r="AVL263" i="1"/>
  <c r="CU263" i="1"/>
  <c r="AVH263" i="1"/>
  <c r="DC262" i="1"/>
  <c r="AVP262" i="1"/>
  <c r="CV262" i="1"/>
  <c r="AVI262" i="1"/>
  <c r="CN262" i="1"/>
  <c r="AVA262" i="1"/>
  <c r="CW261" i="1"/>
  <c r="AVJ261" i="1"/>
  <c r="CS261" i="1"/>
  <c r="AVF261" i="1"/>
  <c r="CY260" i="1"/>
  <c r="AVL260" i="1"/>
  <c r="CU260" i="1"/>
  <c r="AVH260" i="1"/>
  <c r="DC259" i="1"/>
  <c r="AVP259" i="1"/>
  <c r="CV259" i="1"/>
  <c r="AVI259" i="1"/>
  <c r="CN259" i="1"/>
  <c r="AVA259" i="1"/>
  <c r="CW258" i="1"/>
  <c r="AVJ258" i="1"/>
  <c r="CS258" i="1"/>
  <c r="AVF258" i="1"/>
  <c r="CX257" i="1"/>
  <c r="AVK257" i="1"/>
  <c r="CT257" i="1"/>
  <c r="AVG257" i="1"/>
  <c r="DC256" i="1"/>
  <c r="AVP256" i="1"/>
  <c r="CX253" i="1"/>
  <c r="AVK253" i="1"/>
  <c r="CT253" i="1"/>
  <c r="AVG253" i="1"/>
  <c r="DC252" i="1"/>
  <c r="AVP252" i="1"/>
  <c r="CV252" i="1"/>
  <c r="AVI252" i="1"/>
  <c r="CN252" i="1"/>
  <c r="AVA252" i="1"/>
  <c r="CW251" i="1"/>
  <c r="AVJ251" i="1"/>
  <c r="CS251" i="1"/>
  <c r="AVF251" i="1"/>
  <c r="CX250" i="1"/>
  <c r="AVK250" i="1"/>
  <c r="CT250" i="1"/>
  <c r="AVG250" i="1"/>
  <c r="CY249" i="1"/>
  <c r="AVL249" i="1"/>
  <c r="CU249" i="1"/>
  <c r="AVH249" i="1"/>
  <c r="CN249" i="1"/>
  <c r="AVA249" i="1"/>
  <c r="CW248" i="1"/>
  <c r="AVJ248" i="1"/>
  <c r="CS248" i="1"/>
  <c r="AVF248" i="1"/>
  <c r="CX247" i="1"/>
  <c r="AVK247" i="1"/>
  <c r="DC244" i="1"/>
  <c r="AVP244" i="1"/>
  <c r="CV244" i="1"/>
  <c r="AVI244" i="1"/>
  <c r="CQ244" i="1"/>
  <c r="AVD244" i="1"/>
  <c r="CX243" i="1"/>
  <c r="AVK243" i="1"/>
  <c r="CY242" i="1"/>
  <c r="AVL242" i="1"/>
  <c r="CU242" i="1"/>
  <c r="AVH242" i="1"/>
  <c r="DC241" i="1"/>
  <c r="AVP241" i="1"/>
  <c r="CV241" i="1"/>
  <c r="AVI241" i="1"/>
  <c r="CN241" i="1"/>
  <c r="AVA241" i="1"/>
  <c r="CW240" i="1"/>
  <c r="AVJ240" i="1"/>
  <c r="CS240" i="1"/>
  <c r="AVF240" i="1"/>
  <c r="CY239" i="1"/>
  <c r="AVL239" i="1"/>
  <c r="CU239" i="1"/>
  <c r="AVH239" i="1"/>
  <c r="DC238" i="1"/>
  <c r="AVP238" i="1"/>
  <c r="CV238" i="1"/>
  <c r="AVI238" i="1"/>
  <c r="CN238" i="1"/>
  <c r="AVA238" i="1"/>
  <c r="CY236" i="1"/>
  <c r="AVL236" i="1"/>
  <c r="CU236" i="1"/>
  <c r="AVH236" i="1"/>
  <c r="CN236" i="1"/>
  <c r="AVA236" i="1"/>
  <c r="CN234" i="1"/>
  <c r="CN231" i="1"/>
  <c r="CN229" i="1"/>
  <c r="CY227" i="1"/>
  <c r="AVL227" i="1"/>
  <c r="CU227" i="1"/>
  <c r="AVH227" i="1"/>
  <c r="CN227" i="1"/>
  <c r="AVA227" i="1"/>
  <c r="CW226" i="1"/>
  <c r="AVJ226" i="1"/>
  <c r="CS226" i="1"/>
  <c r="AVF226" i="1"/>
  <c r="CX225" i="1"/>
  <c r="AVK225" i="1"/>
  <c r="CY224" i="1"/>
  <c r="AVL224" i="1"/>
  <c r="CU224" i="1"/>
  <c r="AVH224" i="1"/>
  <c r="DC223" i="1"/>
  <c r="AVP223" i="1"/>
  <c r="CV223" i="1"/>
  <c r="AVI223" i="1"/>
  <c r="CQ223" i="1"/>
  <c r="AVD223" i="1"/>
  <c r="CX222" i="1"/>
  <c r="AVK222" i="1"/>
  <c r="CY221" i="1"/>
  <c r="AVL221" i="1"/>
  <c r="CU221" i="1"/>
  <c r="AVH221" i="1"/>
  <c r="DC218" i="1"/>
  <c r="AVP218" i="1"/>
  <c r="DC216" i="1"/>
  <c r="AVP216" i="1"/>
  <c r="CX213" i="1"/>
  <c r="AVK213" i="1"/>
  <c r="CY212" i="1"/>
  <c r="AVL212" i="1"/>
  <c r="CU212" i="1"/>
  <c r="AVH212" i="1"/>
  <c r="DC211" i="1"/>
  <c r="AVP211" i="1"/>
  <c r="CV211" i="1"/>
  <c r="AVI211" i="1"/>
  <c r="CQ211" i="1"/>
  <c r="AVD211" i="1"/>
  <c r="CX210" i="1"/>
  <c r="AVK210" i="1"/>
  <c r="CY209" i="1"/>
  <c r="AVL209" i="1"/>
  <c r="CU209" i="1"/>
  <c r="AVH209" i="1"/>
  <c r="DC207" i="1"/>
  <c r="AVP207" i="1"/>
  <c r="DC205" i="1"/>
  <c r="AVP205" i="1"/>
  <c r="CX204" i="1"/>
  <c r="AVK204" i="1"/>
  <c r="CY203" i="1"/>
  <c r="AVL203" i="1"/>
  <c r="CU203" i="1"/>
  <c r="AVH203" i="1"/>
  <c r="DC202" i="1"/>
  <c r="AVP202" i="1"/>
  <c r="CV202" i="1"/>
  <c r="AVI202" i="1"/>
  <c r="CQ202" i="1"/>
  <c r="AVD202" i="1"/>
  <c r="CY200" i="1"/>
  <c r="AVL200" i="1"/>
  <c r="CU200" i="1"/>
  <c r="AVH200" i="1"/>
  <c r="DC199" i="1"/>
  <c r="AVP199" i="1"/>
  <c r="CV199" i="1"/>
  <c r="AVI199" i="1"/>
  <c r="CN199" i="1"/>
  <c r="AVA199" i="1"/>
  <c r="CW197" i="1"/>
  <c r="AVJ197" i="1"/>
  <c r="CS197" i="1"/>
  <c r="AVF197" i="1"/>
  <c r="CY196" i="1"/>
  <c r="AVL196" i="1"/>
  <c r="CU196" i="1"/>
  <c r="AVH196" i="1"/>
  <c r="DC195" i="1"/>
  <c r="AVP195" i="1"/>
  <c r="DC193" i="1"/>
  <c r="AVP193" i="1"/>
  <c r="CX190" i="1"/>
  <c r="AVK190" i="1"/>
  <c r="CY188" i="1"/>
  <c r="AVL188" i="1"/>
  <c r="CU188" i="1"/>
  <c r="AVH188" i="1"/>
  <c r="CN188" i="1"/>
  <c r="AVA188" i="1"/>
  <c r="CX186" i="1"/>
  <c r="AVK186" i="1"/>
  <c r="DC184" i="1"/>
  <c r="AVP184" i="1"/>
  <c r="CV184" i="1"/>
  <c r="AVI184" i="1"/>
  <c r="CQ184" i="1"/>
  <c r="AVD184" i="1"/>
  <c r="CX183" i="1"/>
  <c r="AVK183" i="1"/>
  <c r="CU181" i="1"/>
  <c r="AVH181" i="1"/>
  <c r="DC180" i="1"/>
  <c r="AVP180" i="1"/>
  <c r="CV180" i="1"/>
  <c r="AVI180" i="1"/>
  <c r="CN180" i="1"/>
  <c r="AVA180" i="1"/>
  <c r="CW179" i="1"/>
  <c r="AVJ179" i="1"/>
  <c r="CS179" i="1"/>
  <c r="AVF179" i="1"/>
  <c r="CY178" i="1"/>
  <c r="AVL178" i="1"/>
  <c r="CU178" i="1"/>
  <c r="AVH178" i="1"/>
  <c r="DC177" i="1"/>
  <c r="AVP177" i="1"/>
  <c r="CV177" i="1"/>
  <c r="AVI177" i="1"/>
  <c r="CN177" i="1"/>
  <c r="AVA177" i="1"/>
  <c r="CW176" i="1"/>
  <c r="AVJ176" i="1"/>
  <c r="CS176" i="1"/>
  <c r="AVF176" i="1"/>
  <c r="CX175" i="1"/>
  <c r="AVK175" i="1"/>
  <c r="DC174" i="1"/>
  <c r="AVP174" i="1"/>
  <c r="DC172" i="1"/>
  <c r="AVP172" i="1"/>
  <c r="CX171" i="1"/>
  <c r="AVK171" i="1"/>
  <c r="CW169" i="1"/>
  <c r="AVJ169" i="1"/>
  <c r="CS169" i="1"/>
  <c r="AVF169" i="1"/>
  <c r="CX168" i="1"/>
  <c r="AVK168" i="1"/>
  <c r="CT168" i="1"/>
  <c r="AVG168" i="1"/>
  <c r="CY167" i="1"/>
  <c r="AVL167" i="1"/>
  <c r="CU167" i="1"/>
  <c r="AVH167" i="1"/>
  <c r="CN167" i="1"/>
  <c r="AVA167" i="1"/>
  <c r="CW166" i="1"/>
  <c r="AVJ166" i="1"/>
  <c r="CS166" i="1"/>
  <c r="AVF166" i="1"/>
  <c r="CX163" i="1"/>
  <c r="AVK163" i="1"/>
  <c r="CY162" i="1"/>
  <c r="AVL162" i="1"/>
  <c r="CU162" i="1"/>
  <c r="AVH162" i="1"/>
  <c r="CN162" i="1"/>
  <c r="AVA162" i="1"/>
  <c r="CW161" i="1"/>
  <c r="AVJ161" i="1"/>
  <c r="CS161" i="1"/>
  <c r="AVF161" i="1"/>
  <c r="CX159" i="1"/>
  <c r="AVK159" i="1"/>
  <c r="CY158" i="1"/>
  <c r="AVL158" i="1"/>
  <c r="CU158" i="1"/>
  <c r="AVH158" i="1"/>
  <c r="DC157" i="1"/>
  <c r="AVP157" i="1"/>
  <c r="CV157" i="1"/>
  <c r="AVI157" i="1"/>
  <c r="CQ157" i="1"/>
  <c r="AVD157" i="1"/>
  <c r="CN347" i="1"/>
  <c r="CN345" i="1"/>
  <c r="CY340" i="1"/>
  <c r="AVL340" i="1"/>
  <c r="CU340" i="1"/>
  <c r="AVH340" i="1"/>
  <c r="DC339" i="1"/>
  <c r="AVP339" i="1"/>
  <c r="CV339" i="1"/>
  <c r="AVI339" i="1"/>
  <c r="CQ339" i="1"/>
  <c r="AVD339" i="1"/>
  <c r="CX338" i="1"/>
  <c r="AVK338" i="1"/>
  <c r="CY337" i="1"/>
  <c r="AVL337" i="1"/>
  <c r="CU337" i="1"/>
  <c r="AVH337" i="1"/>
  <c r="DC336" i="1"/>
  <c r="AVP336" i="1"/>
  <c r="CV336" i="1"/>
  <c r="AVI336" i="1"/>
  <c r="CN336" i="1"/>
  <c r="AVA336" i="1"/>
  <c r="CW332" i="1"/>
  <c r="AVJ332" i="1"/>
  <c r="CS332" i="1"/>
  <c r="AVF332" i="1"/>
  <c r="CX331" i="1"/>
  <c r="AVK331" i="1"/>
  <c r="CT331" i="1"/>
  <c r="AVG331" i="1"/>
  <c r="DC330" i="1"/>
  <c r="AVP330" i="1"/>
  <c r="CV330" i="1"/>
  <c r="AVI330" i="1"/>
  <c r="CN330" i="1"/>
  <c r="AVA330" i="1"/>
  <c r="CW329" i="1"/>
  <c r="AVJ329" i="1"/>
  <c r="CS329" i="1"/>
  <c r="AVF329" i="1"/>
  <c r="CX328" i="1"/>
  <c r="AVK328" i="1"/>
  <c r="CT328" i="1"/>
  <c r="AVG328" i="1"/>
  <c r="CY327" i="1"/>
  <c r="AVL327" i="1"/>
  <c r="CU327" i="1"/>
  <c r="AVH327" i="1"/>
  <c r="CN327" i="1"/>
  <c r="AVA327" i="1"/>
  <c r="CW326" i="1"/>
  <c r="AVJ326" i="1"/>
  <c r="CS326" i="1"/>
  <c r="AVF326" i="1"/>
  <c r="DC324" i="1"/>
  <c r="AVP324" i="1"/>
  <c r="DC322" i="1"/>
  <c r="AVP322" i="1"/>
  <c r="DC320" i="1"/>
  <c r="AVP320" i="1"/>
  <c r="DC318" i="1"/>
  <c r="AVP318" i="1"/>
  <c r="CV318" i="1"/>
  <c r="AVI318" i="1"/>
  <c r="CN318" i="1"/>
  <c r="AVA318" i="1"/>
  <c r="CW317" i="1"/>
  <c r="AVJ317" i="1"/>
  <c r="CS317" i="1"/>
  <c r="AVF317" i="1"/>
  <c r="CX316" i="1"/>
  <c r="AVK316" i="1"/>
  <c r="CT316" i="1"/>
  <c r="AVG316" i="1"/>
  <c r="CY315" i="1"/>
  <c r="AVL315" i="1"/>
  <c r="CU315" i="1"/>
  <c r="AVH315" i="1"/>
  <c r="CN315" i="1"/>
  <c r="AVA315" i="1"/>
  <c r="CW314" i="1"/>
  <c r="AVJ314" i="1"/>
  <c r="CS314" i="1"/>
  <c r="AVF314" i="1"/>
  <c r="CX313" i="1"/>
  <c r="AVK313" i="1"/>
  <c r="CY305" i="1"/>
  <c r="AVL305" i="1"/>
  <c r="CU305" i="1"/>
  <c r="AVH305" i="1"/>
  <c r="DC304" i="1"/>
  <c r="AVP304" i="1"/>
  <c r="CV304" i="1"/>
  <c r="AVI304" i="1"/>
  <c r="CQ304" i="1"/>
  <c r="AVD304" i="1"/>
  <c r="CY302" i="1"/>
  <c r="AVL302" i="1"/>
  <c r="CU302" i="1"/>
  <c r="AVH302" i="1"/>
  <c r="DC301" i="1"/>
  <c r="AVP301" i="1"/>
  <c r="CX300" i="1"/>
  <c r="AVK300" i="1"/>
  <c r="CT300" i="1"/>
  <c r="AVG300" i="1"/>
  <c r="DC299" i="1"/>
  <c r="AVP299" i="1"/>
  <c r="CV299" i="1"/>
  <c r="AVI299" i="1"/>
  <c r="CN299" i="1"/>
  <c r="AVA299" i="1"/>
  <c r="CW298" i="1"/>
  <c r="AVJ298" i="1"/>
  <c r="CS298" i="1"/>
  <c r="AVF298" i="1"/>
  <c r="CX297" i="1"/>
  <c r="AVK297" i="1"/>
  <c r="CT297" i="1"/>
  <c r="AVG297" i="1"/>
  <c r="CY296" i="1"/>
  <c r="AVL296" i="1"/>
  <c r="CU296" i="1"/>
  <c r="AVH296" i="1"/>
  <c r="CN296" i="1"/>
  <c r="AVA296" i="1"/>
  <c r="CN294" i="1"/>
  <c r="CN292" i="1"/>
  <c r="CN290" i="1"/>
  <c r="CN288" i="1"/>
  <c r="CN285" i="1"/>
  <c r="CW282" i="1"/>
  <c r="AVJ282" i="1"/>
  <c r="CS282" i="1"/>
  <c r="AVF282" i="1"/>
  <c r="CY280" i="1"/>
  <c r="AVL280" i="1"/>
  <c r="CU280" i="1"/>
  <c r="AVH280" i="1"/>
  <c r="DC277" i="1"/>
  <c r="AVP277" i="1"/>
  <c r="CV277" i="1"/>
  <c r="AVI277" i="1"/>
  <c r="CQ277" i="1"/>
  <c r="AVD277" i="1"/>
  <c r="CX276" i="1"/>
  <c r="AVK276" i="1"/>
  <c r="CY275" i="1"/>
  <c r="AVL275" i="1"/>
  <c r="CU275" i="1"/>
  <c r="AVH275" i="1"/>
  <c r="DC274" i="1"/>
  <c r="AVP274" i="1"/>
  <c r="CX273" i="1"/>
  <c r="AVK273" i="1"/>
  <c r="CT273" i="1"/>
  <c r="AVG273" i="1"/>
  <c r="DC272" i="1"/>
  <c r="AVP272" i="1"/>
  <c r="CX271" i="1"/>
  <c r="AVK271" i="1"/>
  <c r="CY270" i="1"/>
  <c r="AVL270" i="1"/>
  <c r="CU270" i="1"/>
  <c r="AVH270" i="1"/>
  <c r="DC269" i="1"/>
  <c r="AVP269" i="1"/>
  <c r="CV269" i="1"/>
  <c r="AVI269" i="1"/>
  <c r="CQ269" i="1"/>
  <c r="AVD269" i="1"/>
  <c r="CX268" i="1"/>
  <c r="AVK268" i="1"/>
  <c r="DC266" i="1"/>
  <c r="AVP266" i="1"/>
  <c r="CV266" i="1"/>
  <c r="AVI266" i="1"/>
  <c r="CN266" i="1"/>
  <c r="AVA266" i="1"/>
  <c r="CW265" i="1"/>
  <c r="AVJ265" i="1"/>
  <c r="CS265" i="1"/>
  <c r="AVF265" i="1"/>
  <c r="CY264" i="1"/>
  <c r="AVL264" i="1"/>
  <c r="CU264" i="1"/>
  <c r="AVH264" i="1"/>
  <c r="DC263" i="1"/>
  <c r="AVP263" i="1"/>
  <c r="CV263" i="1"/>
  <c r="AVI263" i="1"/>
  <c r="CN263" i="1"/>
  <c r="AVA263" i="1"/>
  <c r="CW262" i="1"/>
  <c r="AVJ262" i="1"/>
  <c r="CS262" i="1"/>
  <c r="AVF262" i="1"/>
  <c r="CX261" i="1"/>
  <c r="AVK261" i="1"/>
  <c r="CT261" i="1"/>
  <c r="AVG261" i="1"/>
  <c r="DC260" i="1"/>
  <c r="AVP260" i="1"/>
  <c r="CV260" i="1"/>
  <c r="AVI260" i="1"/>
  <c r="CN260" i="1"/>
  <c r="AVA260" i="1"/>
  <c r="CW259" i="1"/>
  <c r="AVJ259" i="1"/>
  <c r="CS259" i="1"/>
  <c r="AVF259" i="1"/>
  <c r="CX258" i="1"/>
  <c r="AVK258" i="1"/>
  <c r="CT258" i="1"/>
  <c r="AVG258" i="1"/>
  <c r="CY257" i="1"/>
  <c r="AVL257" i="1"/>
  <c r="CU257" i="1"/>
  <c r="AVH257" i="1"/>
  <c r="CN257" i="1"/>
  <c r="AVA257" i="1"/>
  <c r="CN255" i="1"/>
  <c r="CY253" i="1"/>
  <c r="AVL253" i="1"/>
  <c r="CU253" i="1"/>
  <c r="AVH253" i="1"/>
  <c r="CN253" i="1"/>
  <c r="AVA253" i="1"/>
  <c r="CW252" i="1"/>
  <c r="AVJ252" i="1"/>
  <c r="CS252" i="1"/>
  <c r="AVF252" i="1"/>
  <c r="CX251" i="1"/>
  <c r="AVK251" i="1"/>
  <c r="CY250" i="1"/>
  <c r="AVL250" i="1"/>
  <c r="CU250" i="1"/>
  <c r="AVH250" i="1"/>
  <c r="DC249" i="1"/>
  <c r="AVP249" i="1"/>
  <c r="CV249" i="1"/>
  <c r="AVI249" i="1"/>
  <c r="CQ249" i="1"/>
  <c r="AVD249" i="1"/>
  <c r="CX248" i="1"/>
  <c r="AVK248" i="1"/>
  <c r="CY247" i="1"/>
  <c r="AVL247" i="1"/>
  <c r="CU247" i="1"/>
  <c r="AVH247" i="1"/>
  <c r="CW244" i="1"/>
  <c r="AVJ244" i="1"/>
  <c r="CS244" i="1"/>
  <c r="AVF244" i="1"/>
  <c r="CY243" i="1"/>
  <c r="AVL243" i="1"/>
  <c r="CU243" i="1"/>
  <c r="AVH243" i="1"/>
  <c r="DC242" i="1"/>
  <c r="AVP242" i="1"/>
  <c r="CV242" i="1"/>
  <c r="AVI242" i="1"/>
  <c r="CN242" i="1"/>
  <c r="AVA242" i="1"/>
  <c r="CW241" i="1"/>
  <c r="AVJ241" i="1"/>
  <c r="CS241" i="1"/>
  <c r="AVF241" i="1"/>
  <c r="CX240" i="1"/>
  <c r="AVK240" i="1"/>
  <c r="CT240" i="1"/>
  <c r="AVG240" i="1"/>
  <c r="DC239" i="1"/>
  <c r="AVP239" i="1"/>
  <c r="CV239" i="1"/>
  <c r="AVI239" i="1"/>
  <c r="CN239" i="1"/>
  <c r="AVA239" i="1"/>
  <c r="CW238" i="1"/>
  <c r="AVJ238" i="1"/>
  <c r="CS238" i="1"/>
  <c r="AVF238" i="1"/>
  <c r="DC236" i="1"/>
  <c r="AVP236" i="1"/>
  <c r="CV236" i="1"/>
  <c r="AVI236" i="1"/>
  <c r="CQ236" i="1"/>
  <c r="AVD236" i="1"/>
  <c r="DC234" i="1"/>
  <c r="AVP234" i="1"/>
  <c r="DC231" i="1"/>
  <c r="AVP231" i="1"/>
  <c r="DC229" i="1"/>
  <c r="AVP229" i="1"/>
  <c r="DC227" i="1"/>
  <c r="AVP227" i="1"/>
  <c r="CV227" i="1"/>
  <c r="AVI227" i="1"/>
  <c r="CQ227" i="1"/>
  <c r="AVD227" i="1"/>
  <c r="CX226" i="1"/>
  <c r="AVK226" i="1"/>
  <c r="CY225" i="1"/>
  <c r="AVL225" i="1"/>
  <c r="CU225" i="1"/>
  <c r="AVH225" i="1"/>
  <c r="DC224" i="1"/>
  <c r="AVP224" i="1"/>
  <c r="CV224" i="1"/>
  <c r="AVI224" i="1"/>
  <c r="CN224" i="1"/>
  <c r="AVA224" i="1"/>
  <c r="CW223" i="1"/>
  <c r="AVJ223" i="1"/>
  <c r="CS223" i="1"/>
  <c r="AVF223" i="1"/>
  <c r="CY222" i="1"/>
  <c r="AVL222" i="1"/>
  <c r="CU222" i="1"/>
  <c r="AVH222" i="1"/>
  <c r="DC221" i="1"/>
  <c r="AVP221" i="1"/>
  <c r="CV221" i="1"/>
  <c r="AVI221" i="1"/>
  <c r="CN221" i="1"/>
  <c r="AVA221" i="1"/>
  <c r="CN217" i="1"/>
  <c r="CN215" i="1"/>
  <c r="CY213" i="1"/>
  <c r="AVL213" i="1"/>
  <c r="CU213" i="1"/>
  <c r="AVH213" i="1"/>
  <c r="DC212" i="1"/>
  <c r="AVP212" i="1"/>
  <c r="CV212" i="1"/>
  <c r="AVI212" i="1"/>
  <c r="CN212" i="1"/>
  <c r="AVA212" i="1"/>
  <c r="CW211" i="1"/>
  <c r="AVJ211" i="1"/>
  <c r="CS211" i="1"/>
  <c r="AVF211" i="1"/>
  <c r="CY210" i="1"/>
  <c r="AVL210" i="1"/>
  <c r="CU210" i="1"/>
  <c r="AVH210" i="1"/>
  <c r="DC209" i="1"/>
  <c r="AVP209" i="1"/>
  <c r="CV209" i="1"/>
  <c r="AVI209" i="1"/>
  <c r="CN209" i="1"/>
  <c r="AVA209" i="1"/>
  <c r="CN206" i="1"/>
  <c r="CY204" i="1"/>
  <c r="AVL204" i="1"/>
  <c r="CU204" i="1"/>
  <c r="AVH204" i="1"/>
  <c r="DC203" i="1"/>
  <c r="AVP203" i="1"/>
  <c r="CV203" i="1"/>
  <c r="AVI203" i="1"/>
  <c r="CN203" i="1"/>
  <c r="AVA203" i="1"/>
  <c r="CW202" i="1"/>
  <c r="AVJ202" i="1"/>
  <c r="CS202" i="1"/>
  <c r="AVF202" i="1"/>
  <c r="DC200" i="1"/>
  <c r="AVP200" i="1"/>
  <c r="CV200" i="1"/>
  <c r="AVI200" i="1"/>
  <c r="CN200" i="1"/>
  <c r="AVA200" i="1"/>
  <c r="CW199" i="1"/>
  <c r="AVJ199" i="1"/>
  <c r="CS199" i="1"/>
  <c r="AVF199" i="1"/>
  <c r="CX197" i="1"/>
  <c r="AVK197" i="1"/>
  <c r="DC196" i="1"/>
  <c r="AVP196" i="1"/>
  <c r="CV196" i="1"/>
  <c r="AVI196" i="1"/>
  <c r="CN196" i="1"/>
  <c r="AVA196" i="1"/>
  <c r="CN194" i="1"/>
  <c r="CN192" i="1"/>
  <c r="CY190" i="1"/>
  <c r="AVL190" i="1"/>
  <c r="CU190" i="1"/>
  <c r="AVH190" i="1"/>
  <c r="DC188" i="1"/>
  <c r="AVP188" i="1"/>
  <c r="CV188" i="1"/>
  <c r="AVI188" i="1"/>
  <c r="CQ188" i="1"/>
  <c r="AVD188" i="1"/>
  <c r="CY186" i="1"/>
  <c r="AVL186" i="1"/>
  <c r="CU186" i="1"/>
  <c r="AVH186" i="1"/>
  <c r="CW184" i="1"/>
  <c r="AVJ184" i="1"/>
  <c r="CS184" i="1"/>
  <c r="AVF184" i="1"/>
  <c r="CY183" i="1"/>
  <c r="AVL183" i="1"/>
  <c r="CU183" i="1"/>
  <c r="AVH183" i="1"/>
  <c r="CN181" i="1"/>
  <c r="AVA181" i="1"/>
  <c r="CW180" i="1"/>
  <c r="AVJ180" i="1"/>
  <c r="CS180" i="1"/>
  <c r="AVF180" i="1"/>
  <c r="CX179" i="1"/>
  <c r="AVK179" i="1"/>
  <c r="DC178" i="1"/>
  <c r="AVP178" i="1"/>
  <c r="CV178" i="1"/>
  <c r="AVI178" i="1"/>
  <c r="CN178" i="1"/>
  <c r="AVA178" i="1"/>
  <c r="CW177" i="1"/>
  <c r="AVJ177" i="1"/>
  <c r="CS177" i="1"/>
  <c r="AVF177" i="1"/>
  <c r="CX176" i="1"/>
  <c r="AVK176" i="1"/>
  <c r="CY175" i="1"/>
  <c r="AVL175" i="1"/>
  <c r="CU175" i="1"/>
  <c r="AVH175" i="1"/>
  <c r="CN175" i="1"/>
  <c r="AVA175" i="1"/>
  <c r="CN173" i="1"/>
  <c r="CY171" i="1"/>
  <c r="AVL171" i="1"/>
  <c r="CU171" i="1"/>
  <c r="AVH171" i="1"/>
  <c r="CN171" i="1"/>
  <c r="AVA171" i="1"/>
  <c r="CX169" i="1"/>
  <c r="AVK169" i="1"/>
  <c r="CY168" i="1"/>
  <c r="AVL168" i="1"/>
  <c r="CU168" i="1"/>
  <c r="AVH168" i="1"/>
  <c r="DC167" i="1"/>
  <c r="AVP167" i="1"/>
  <c r="CV167" i="1"/>
  <c r="AVI167" i="1"/>
  <c r="CQ167" i="1"/>
  <c r="AVD167" i="1"/>
  <c r="CX166" i="1"/>
  <c r="AVK166" i="1"/>
  <c r="CY163" i="1"/>
  <c r="AVL163" i="1"/>
  <c r="CU163" i="1"/>
  <c r="AVH163" i="1"/>
  <c r="DC162" i="1"/>
  <c r="AVP162" i="1"/>
  <c r="CV162" i="1"/>
  <c r="AVI162" i="1"/>
  <c r="CQ162" i="1"/>
  <c r="AVD162" i="1"/>
  <c r="CX161" i="1"/>
  <c r="AVK161" i="1"/>
  <c r="CY159" i="1"/>
  <c r="AVL159" i="1"/>
  <c r="CU159" i="1"/>
  <c r="AVH159" i="1"/>
  <c r="DC158" i="1"/>
  <c r="AVP158" i="1"/>
  <c r="CV158" i="1"/>
  <c r="AVI158" i="1"/>
  <c r="CN158" i="1"/>
  <c r="AVA158" i="1"/>
  <c r="CW157" i="1"/>
  <c r="AVJ157" i="1"/>
  <c r="CS157" i="1"/>
  <c r="AVF157" i="1"/>
  <c r="CN156" i="1"/>
  <c r="CN154" i="1"/>
  <c r="CN152" i="1"/>
  <c r="CW149" i="1"/>
  <c r="AVJ149" i="1"/>
  <c r="CS149" i="1"/>
  <c r="AVF149" i="1"/>
  <c r="CY148" i="1"/>
  <c r="AVL148" i="1"/>
  <c r="CU148" i="1"/>
  <c r="AVH148" i="1"/>
  <c r="DC154" i="1"/>
  <c r="AVP154" i="1"/>
  <c r="DC152" i="1"/>
  <c r="AVP152" i="1"/>
  <c r="CX149" i="1"/>
  <c r="AVK149" i="1"/>
  <c r="DC148" i="1"/>
  <c r="AVP148" i="1"/>
  <c r="CV148" i="1"/>
  <c r="AVI148" i="1"/>
  <c r="CN148" i="1"/>
  <c r="AVA148" i="1"/>
  <c r="CW147" i="1"/>
  <c r="AVJ147" i="1"/>
  <c r="CS147" i="1"/>
  <c r="AVF147" i="1"/>
  <c r="DC145" i="1"/>
  <c r="AVP145" i="1"/>
  <c r="CX143" i="1"/>
  <c r="AVK143" i="1"/>
  <c r="CY142" i="1"/>
  <c r="AVL142" i="1"/>
  <c r="CU142" i="1"/>
  <c r="AVH142" i="1"/>
  <c r="DC141" i="1"/>
  <c r="AVP141" i="1"/>
  <c r="CV141" i="1"/>
  <c r="AVI141" i="1"/>
  <c r="CN141" i="1"/>
  <c r="AVA141" i="1"/>
  <c r="CW140" i="1"/>
  <c r="AVJ140" i="1"/>
  <c r="CS140" i="1"/>
  <c r="AVF140" i="1"/>
  <c r="CY139" i="1"/>
  <c r="AVL139" i="1"/>
  <c r="CU139" i="1"/>
  <c r="AVH139" i="1"/>
  <c r="DC138" i="1"/>
  <c r="AVP138" i="1"/>
  <c r="CV138" i="1"/>
  <c r="AVI138" i="1"/>
  <c r="CN138" i="1"/>
  <c r="AVA138" i="1"/>
  <c r="CN136" i="1"/>
  <c r="CN134" i="1"/>
  <c r="CY130" i="1"/>
  <c r="AVL130" i="1"/>
  <c r="CU130" i="1"/>
  <c r="AVH130" i="1"/>
  <c r="CW128" i="1"/>
  <c r="AVJ128" i="1"/>
  <c r="CS128" i="1"/>
  <c r="AVF128" i="1"/>
  <c r="CY127" i="1"/>
  <c r="AVL127" i="1"/>
  <c r="CU127" i="1"/>
  <c r="AVH127" i="1"/>
  <c r="DC126" i="1"/>
  <c r="AVP126" i="1"/>
  <c r="CV126" i="1"/>
  <c r="AVI126" i="1"/>
  <c r="CN126" i="1"/>
  <c r="AVA126" i="1"/>
  <c r="CW125" i="1"/>
  <c r="AVJ125" i="1"/>
  <c r="CS125" i="1"/>
  <c r="AVF125" i="1"/>
  <c r="CX124" i="1"/>
  <c r="AVK124" i="1"/>
  <c r="DC121" i="1"/>
  <c r="AVP121" i="1"/>
  <c r="CY117" i="1"/>
  <c r="AVL117" i="1"/>
  <c r="CU117" i="1"/>
  <c r="AVH117" i="1"/>
  <c r="DC116" i="1"/>
  <c r="AVP116" i="1"/>
  <c r="CV116" i="1"/>
  <c r="AVI116" i="1"/>
  <c r="CQ116" i="1"/>
  <c r="AVD116" i="1"/>
  <c r="CX115" i="1"/>
  <c r="AVK115" i="1"/>
  <c r="CY114" i="1"/>
  <c r="AVL114" i="1"/>
  <c r="CU114" i="1"/>
  <c r="AVH114" i="1"/>
  <c r="DC113" i="1"/>
  <c r="AVP113" i="1"/>
  <c r="DC111" i="1"/>
  <c r="AVP111" i="1"/>
  <c r="DC109" i="1"/>
  <c r="AVP109" i="1"/>
  <c r="CV109" i="1"/>
  <c r="AVI109" i="1"/>
  <c r="CN109" i="1"/>
  <c r="AVA109" i="1"/>
  <c r="CW108" i="1"/>
  <c r="AVJ108" i="1"/>
  <c r="CS108" i="1"/>
  <c r="AVF108" i="1"/>
  <c r="CY107" i="1"/>
  <c r="AVL107" i="1"/>
  <c r="CU107" i="1"/>
  <c r="AVH107" i="1"/>
  <c r="DC106" i="1"/>
  <c r="AVP106" i="1"/>
  <c r="CV106" i="1"/>
  <c r="AVI106" i="1"/>
  <c r="CN106" i="1"/>
  <c r="AVA106" i="1"/>
  <c r="CW105" i="1"/>
  <c r="AVJ105" i="1"/>
  <c r="CS105" i="1"/>
  <c r="AVF105" i="1"/>
  <c r="CX104" i="1"/>
  <c r="AVK104" i="1"/>
  <c r="DC103" i="1"/>
  <c r="AVP103" i="1"/>
  <c r="DC101" i="1"/>
  <c r="AVP101" i="1"/>
  <c r="DC97" i="1"/>
  <c r="AVP97" i="1"/>
  <c r="CY92" i="1"/>
  <c r="AVL92" i="1"/>
  <c r="CU92" i="1"/>
  <c r="AVH92" i="1"/>
  <c r="CW90" i="1"/>
  <c r="AVJ90" i="1"/>
  <c r="CS90" i="1"/>
  <c r="AVF90" i="1"/>
  <c r="CW87" i="1"/>
  <c r="AVJ87" i="1"/>
  <c r="CS87" i="1"/>
  <c r="AVF87" i="1"/>
  <c r="CX86" i="1"/>
  <c r="AVK86" i="1"/>
  <c r="CY85" i="1"/>
  <c r="AVL85" i="1"/>
  <c r="CU85" i="1"/>
  <c r="AVH85" i="1"/>
  <c r="CN85" i="1"/>
  <c r="AVA85" i="1"/>
  <c r="CW84" i="1"/>
  <c r="AVJ84" i="1"/>
  <c r="CS84" i="1"/>
  <c r="AVF84" i="1"/>
  <c r="DC82" i="1"/>
  <c r="AVP82" i="1"/>
  <c r="CV82" i="1"/>
  <c r="AVI82" i="1"/>
  <c r="CN82" i="1"/>
  <c r="AVA82" i="1"/>
  <c r="CY80" i="1"/>
  <c r="AVL80" i="1"/>
  <c r="CU80" i="1"/>
  <c r="AVH80" i="1"/>
  <c r="DC79" i="1"/>
  <c r="AVP79" i="1"/>
  <c r="DC77" i="1"/>
  <c r="AVP77" i="1"/>
  <c r="CX74" i="1"/>
  <c r="AVK74" i="1"/>
  <c r="CY73" i="1"/>
  <c r="AVL73" i="1"/>
  <c r="CU73" i="1"/>
  <c r="AVH73" i="1"/>
  <c r="CN73" i="1"/>
  <c r="AVA73" i="1"/>
  <c r="CX71" i="1"/>
  <c r="AVK71" i="1"/>
  <c r="CY70" i="1"/>
  <c r="AVL70" i="1"/>
  <c r="CU70" i="1"/>
  <c r="AVH70" i="1"/>
  <c r="CX68" i="1"/>
  <c r="AVK68" i="1"/>
  <c r="CN67" i="1"/>
  <c r="AVA67" i="1"/>
  <c r="CW66" i="1"/>
  <c r="AVJ66" i="1"/>
  <c r="CS66" i="1"/>
  <c r="AVF66" i="1"/>
  <c r="DC64" i="1"/>
  <c r="AVP64" i="1"/>
  <c r="CV64" i="1"/>
  <c r="AVI64" i="1"/>
  <c r="CN64" i="1"/>
  <c r="AVA64" i="1"/>
  <c r="CW63" i="1"/>
  <c r="AVJ63" i="1"/>
  <c r="CS63" i="1"/>
  <c r="AVF63" i="1"/>
  <c r="DC61" i="1"/>
  <c r="AVP61" i="1"/>
  <c r="CV61" i="1"/>
  <c r="AVI61" i="1"/>
  <c r="CQ61" i="1"/>
  <c r="AVD61" i="1"/>
  <c r="DC50" i="1"/>
  <c r="AVP50" i="1"/>
  <c r="DC48" i="1"/>
  <c r="AVP48" i="1"/>
  <c r="CV48" i="1"/>
  <c r="AVI48" i="1"/>
  <c r="CQ48" i="1"/>
  <c r="AVD48" i="1"/>
  <c r="DC46" i="1"/>
  <c r="AVP46" i="1"/>
  <c r="CV46" i="1"/>
  <c r="AVI46" i="1"/>
  <c r="CN46" i="1"/>
  <c r="AVA46" i="1"/>
  <c r="CW45" i="1"/>
  <c r="AVJ45" i="1"/>
  <c r="CS45" i="1"/>
  <c r="AVF45" i="1"/>
  <c r="CX44" i="1"/>
  <c r="AVK44" i="1"/>
  <c r="DC43" i="1"/>
  <c r="AVP43" i="1"/>
  <c r="CV43" i="1"/>
  <c r="AVI43" i="1"/>
  <c r="CN43" i="1"/>
  <c r="AVA43" i="1"/>
  <c r="CW42" i="1"/>
  <c r="AVJ42" i="1"/>
  <c r="CS42" i="1"/>
  <c r="AVF42" i="1"/>
  <c r="CX41" i="1"/>
  <c r="AVK41" i="1"/>
  <c r="CY40" i="1"/>
  <c r="AVL40" i="1"/>
  <c r="CU40" i="1"/>
  <c r="AVH40" i="1"/>
  <c r="CN40" i="1"/>
  <c r="AVA40" i="1"/>
  <c r="CW39" i="1"/>
  <c r="AVJ39" i="1"/>
  <c r="CS39" i="1"/>
  <c r="AVF39" i="1"/>
  <c r="CX38" i="1"/>
  <c r="AVK38" i="1"/>
  <c r="CN37" i="1"/>
  <c r="CN35" i="1"/>
  <c r="CN33" i="1"/>
  <c r="CN31" i="1"/>
  <c r="CW30" i="1"/>
  <c r="AVJ30" i="1"/>
  <c r="CS30" i="1"/>
  <c r="AVF30" i="1"/>
  <c r="CX29" i="1"/>
  <c r="AVK29" i="1"/>
  <c r="CY28" i="1"/>
  <c r="AVL28" i="1"/>
  <c r="CU28" i="1"/>
  <c r="AVH28" i="1"/>
  <c r="CN28" i="1"/>
  <c r="AVA28" i="1"/>
  <c r="CW27" i="1"/>
  <c r="AVJ27" i="1"/>
  <c r="CS27" i="1"/>
  <c r="AVF27" i="1"/>
  <c r="CX26" i="1"/>
  <c r="AVK26" i="1"/>
  <c r="CY25" i="1"/>
  <c r="AVL25" i="1"/>
  <c r="CU25" i="1"/>
  <c r="AVH25" i="1"/>
  <c r="DC24" i="1"/>
  <c r="AVP24" i="1"/>
  <c r="DC22" i="1"/>
  <c r="AVP22" i="1"/>
  <c r="CX21" i="1"/>
  <c r="AVK21" i="1"/>
  <c r="CY20" i="1"/>
  <c r="AVL20" i="1"/>
  <c r="CU20" i="1"/>
  <c r="AVH20" i="1"/>
  <c r="CN20" i="1"/>
  <c r="AVA20" i="1"/>
  <c r="CY18" i="1"/>
  <c r="AVL18" i="1"/>
  <c r="CU18" i="1"/>
  <c r="AVH18" i="1"/>
  <c r="DC17" i="1"/>
  <c r="AVP17" i="1"/>
  <c r="CV17" i="1"/>
  <c r="AVI17" i="1"/>
  <c r="CN17" i="1"/>
  <c r="AVA17" i="1"/>
  <c r="CW16" i="1"/>
  <c r="AVJ16" i="1"/>
  <c r="CS16" i="1"/>
  <c r="AVF16" i="1"/>
  <c r="CY15" i="1"/>
  <c r="AVL15" i="1"/>
  <c r="CU15" i="1"/>
  <c r="AVH15" i="1"/>
  <c r="DC14" i="1"/>
  <c r="AVP14" i="1"/>
  <c r="CV14" i="1"/>
  <c r="AVI14" i="1"/>
  <c r="CN14" i="1"/>
  <c r="AVA14" i="1"/>
  <c r="CW13" i="1"/>
  <c r="AVJ13" i="1"/>
  <c r="CS13" i="1"/>
  <c r="AVF13" i="1"/>
  <c r="DC11" i="1"/>
  <c r="AVP11" i="1"/>
  <c r="DC8" i="1"/>
  <c r="AVP8" i="1"/>
  <c r="CP414" i="1"/>
  <c r="AVC414" i="1"/>
  <c r="CP404" i="1"/>
  <c r="AVC404" i="1"/>
  <c r="CP397" i="1"/>
  <c r="AVC397" i="1"/>
  <c r="CP379" i="1"/>
  <c r="AVC379" i="1"/>
  <c r="CP362" i="1"/>
  <c r="AVC362" i="1"/>
  <c r="CP358" i="1"/>
  <c r="AVC358" i="1"/>
  <c r="CP351" i="1"/>
  <c r="AVC351" i="1"/>
  <c r="CP339" i="1"/>
  <c r="AVC339" i="1"/>
  <c r="CP331" i="1"/>
  <c r="AVC331" i="1"/>
  <c r="CP327" i="1"/>
  <c r="AVC327" i="1"/>
  <c r="CP316" i="1"/>
  <c r="AVC316" i="1"/>
  <c r="CP305" i="1"/>
  <c r="AVC305" i="1"/>
  <c r="CP300" i="1"/>
  <c r="AVC300" i="1"/>
  <c r="CP296" i="1"/>
  <c r="AVC296" i="1"/>
  <c r="CP277" i="1"/>
  <c r="AVC277" i="1"/>
  <c r="CP271" i="1"/>
  <c r="AVC271" i="1"/>
  <c r="CP263" i="1"/>
  <c r="AVC263" i="1"/>
  <c r="CP259" i="1"/>
  <c r="AVC259" i="1"/>
  <c r="CP252" i="1"/>
  <c r="AVC252" i="1"/>
  <c r="CP248" i="1"/>
  <c r="AVC248" i="1"/>
  <c r="CP243" i="1"/>
  <c r="AVC243" i="1"/>
  <c r="CP239" i="1"/>
  <c r="AVC239" i="1"/>
  <c r="CP226" i="1"/>
  <c r="AVC226" i="1"/>
  <c r="CP222" i="1"/>
  <c r="AVC222" i="1"/>
  <c r="CP212" i="1"/>
  <c r="AVC212" i="1"/>
  <c r="CP204" i="1"/>
  <c r="AVC204" i="1"/>
  <c r="CP200" i="1"/>
  <c r="AVC200" i="1"/>
  <c r="CP190" i="1"/>
  <c r="AVC190" i="1"/>
  <c r="CP180" i="1"/>
  <c r="AVC180" i="1"/>
  <c r="CP176" i="1"/>
  <c r="AVC176" i="1"/>
  <c r="CP169" i="1"/>
  <c r="AVC169" i="1"/>
  <c r="CP159" i="1"/>
  <c r="AVC159" i="1"/>
  <c r="CP148" i="1"/>
  <c r="AVC148" i="1"/>
  <c r="CP141" i="1"/>
  <c r="AVC141" i="1"/>
  <c r="CP130" i="1"/>
  <c r="AVC130" i="1"/>
  <c r="CP126" i="1"/>
  <c r="AVC126" i="1"/>
  <c r="CP117" i="1"/>
  <c r="AVC117" i="1"/>
  <c r="CP109" i="1"/>
  <c r="AVC109" i="1"/>
  <c r="CP105" i="1"/>
  <c r="AVC105" i="1"/>
  <c r="CP87" i="1"/>
  <c r="AVC87" i="1"/>
  <c r="CP82" i="1"/>
  <c r="AVC82" i="1"/>
  <c r="CP66" i="1"/>
  <c r="AVC66" i="1"/>
  <c r="CP48" i="1"/>
  <c r="AVC48" i="1"/>
  <c r="CP43" i="1"/>
  <c r="AVC43" i="1"/>
  <c r="CP39" i="1"/>
  <c r="AVC39" i="1"/>
  <c r="CP28" i="1"/>
  <c r="AVC28" i="1"/>
  <c r="CP21" i="1"/>
  <c r="AVC21" i="1"/>
  <c r="CP16" i="1"/>
  <c r="AVC16" i="1"/>
  <c r="CR414" i="1"/>
  <c r="AVE414" i="1"/>
  <c r="CR404" i="1"/>
  <c r="AVE404" i="1"/>
  <c r="CR397" i="1"/>
  <c r="AVE397" i="1"/>
  <c r="CR379" i="1"/>
  <c r="AVE379" i="1"/>
  <c r="CR362" i="1"/>
  <c r="AVE362" i="1"/>
  <c r="CR358" i="1"/>
  <c r="AVE358" i="1"/>
  <c r="CR351" i="1"/>
  <c r="AVE351" i="1"/>
  <c r="CR339" i="1"/>
  <c r="AVE339" i="1"/>
  <c r="CR331" i="1"/>
  <c r="AVE331" i="1"/>
  <c r="CR327" i="1"/>
  <c r="AVE327" i="1"/>
  <c r="CR316" i="1"/>
  <c r="AVE316" i="1"/>
  <c r="CR305" i="1"/>
  <c r="AVE305" i="1"/>
  <c r="CR300" i="1"/>
  <c r="AVE300" i="1"/>
  <c r="CR296" i="1"/>
  <c r="AVE296" i="1"/>
  <c r="CR277" i="1"/>
  <c r="AVE277" i="1"/>
  <c r="CR271" i="1"/>
  <c r="AVE271" i="1"/>
  <c r="CR263" i="1"/>
  <c r="AVE263" i="1"/>
  <c r="CR259" i="1"/>
  <c r="AVE259" i="1"/>
  <c r="CR252" i="1"/>
  <c r="AVE252" i="1"/>
  <c r="CR248" i="1"/>
  <c r="AVE248" i="1"/>
  <c r="CR243" i="1"/>
  <c r="AVE243" i="1"/>
  <c r="CR239" i="1"/>
  <c r="AVE239" i="1"/>
  <c r="CR226" i="1"/>
  <c r="AVE226" i="1"/>
  <c r="CR222" i="1"/>
  <c r="AVE222" i="1"/>
  <c r="CR212" i="1"/>
  <c r="AVE212" i="1"/>
  <c r="CR204" i="1"/>
  <c r="AVE204" i="1"/>
  <c r="CR200" i="1"/>
  <c r="AVE200" i="1"/>
  <c r="CR190" i="1"/>
  <c r="AVE190" i="1"/>
  <c r="CR180" i="1"/>
  <c r="AVE180" i="1"/>
  <c r="CR176" i="1"/>
  <c r="AVE176" i="1"/>
  <c r="CR169" i="1"/>
  <c r="AVE169" i="1"/>
  <c r="CR159" i="1"/>
  <c r="AVE159" i="1"/>
  <c r="CR148" i="1"/>
  <c r="AVE148" i="1"/>
  <c r="CR141" i="1"/>
  <c r="AVE141" i="1"/>
  <c r="CR130" i="1"/>
  <c r="AVE130" i="1"/>
  <c r="CR126" i="1"/>
  <c r="AVE126" i="1"/>
  <c r="CR117" i="1"/>
  <c r="AVE117" i="1"/>
  <c r="CR109" i="1"/>
  <c r="AVE109" i="1"/>
  <c r="CR105" i="1"/>
  <c r="AVE105" i="1"/>
  <c r="CR87" i="1"/>
  <c r="AVE87" i="1"/>
  <c r="CR82" i="1"/>
  <c r="AVE82" i="1"/>
  <c r="CR66" i="1"/>
  <c r="AVE66" i="1"/>
  <c r="CR48" i="1"/>
  <c r="AVE48" i="1"/>
  <c r="CR43" i="1"/>
  <c r="AVE43" i="1"/>
  <c r="CR39" i="1"/>
  <c r="AVE39" i="1"/>
  <c r="CR28" i="1"/>
  <c r="AVE28" i="1"/>
  <c r="CR21" i="1"/>
  <c r="AVE21" i="1"/>
  <c r="CR16" i="1"/>
  <c r="AVE16" i="1"/>
  <c r="AVB417" i="1"/>
  <c r="CS116" i="1"/>
  <c r="AVF116" i="1"/>
  <c r="CY115" i="1"/>
  <c r="AVL115" i="1"/>
  <c r="CU115" i="1"/>
  <c r="AVH115" i="1"/>
  <c r="DC114" i="1"/>
  <c r="AVP114" i="1"/>
  <c r="CV114" i="1"/>
  <c r="AVI114" i="1"/>
  <c r="CN114" i="1"/>
  <c r="AVA114" i="1"/>
  <c r="CN112" i="1"/>
  <c r="CN110" i="1"/>
  <c r="CW109" i="1"/>
  <c r="AVJ109" i="1"/>
  <c r="CS109" i="1"/>
  <c r="AVF109" i="1"/>
  <c r="CX108" i="1"/>
  <c r="AVK108" i="1"/>
  <c r="DC107" i="1"/>
  <c r="AVP107" i="1"/>
  <c r="CV107" i="1"/>
  <c r="AVI107" i="1"/>
  <c r="CN107" i="1"/>
  <c r="AVA107" i="1"/>
  <c r="CW106" i="1"/>
  <c r="AVJ106" i="1"/>
  <c r="CS106" i="1"/>
  <c r="AVF106" i="1"/>
  <c r="CX105" i="1"/>
  <c r="AVK105" i="1"/>
  <c r="CY104" i="1"/>
  <c r="AVL104" i="1"/>
  <c r="CU104" i="1"/>
  <c r="AVH104" i="1"/>
  <c r="CN104" i="1"/>
  <c r="AVA104" i="1"/>
  <c r="CN102" i="1"/>
  <c r="CN98" i="1"/>
  <c r="DC92" i="1"/>
  <c r="AVP92" i="1"/>
  <c r="CV92" i="1"/>
  <c r="AVI92" i="1"/>
  <c r="CN92" i="1"/>
  <c r="AVA92" i="1"/>
  <c r="CX90" i="1"/>
  <c r="AVK90" i="1"/>
  <c r="CX87" i="1"/>
  <c r="AVK87" i="1"/>
  <c r="CY86" i="1"/>
  <c r="AVL86" i="1"/>
  <c r="CU86" i="1"/>
  <c r="AVH86" i="1"/>
  <c r="DC85" i="1"/>
  <c r="AVP85" i="1"/>
  <c r="CV85" i="1"/>
  <c r="AVI85" i="1"/>
  <c r="CQ85" i="1"/>
  <c r="AVD85" i="1"/>
  <c r="CX84" i="1"/>
  <c r="AVK84" i="1"/>
  <c r="CN83" i="1"/>
  <c r="AVA83" i="1"/>
  <c r="CW82" i="1"/>
  <c r="AVJ82" i="1"/>
  <c r="CS82" i="1"/>
  <c r="AVF82" i="1"/>
  <c r="DC80" i="1"/>
  <c r="AVP80" i="1"/>
  <c r="CV80" i="1"/>
  <c r="AVI80" i="1"/>
  <c r="CN80" i="1"/>
  <c r="AVA80" i="1"/>
  <c r="CY74" i="1"/>
  <c r="AVL74" i="1"/>
  <c r="CU74" i="1"/>
  <c r="AVH74" i="1"/>
  <c r="DC73" i="1"/>
  <c r="AVP73" i="1"/>
  <c r="CV73" i="1"/>
  <c r="AVI73" i="1"/>
  <c r="CQ73" i="1"/>
  <c r="AVD73" i="1"/>
  <c r="CY71" i="1"/>
  <c r="AVL71" i="1"/>
  <c r="CU71" i="1"/>
  <c r="AVH71" i="1"/>
  <c r="DC70" i="1"/>
  <c r="AVP70" i="1"/>
  <c r="CV70" i="1"/>
  <c r="AVI70" i="1"/>
  <c r="CN70" i="1"/>
  <c r="AVA70" i="1"/>
  <c r="CY68" i="1"/>
  <c r="AVL68" i="1"/>
  <c r="CU68" i="1"/>
  <c r="AVH68" i="1"/>
  <c r="DC67" i="1"/>
  <c r="AVP67" i="1"/>
  <c r="CX66" i="1"/>
  <c r="AVK66" i="1"/>
  <c r="CW64" i="1"/>
  <c r="AVJ64" i="1"/>
  <c r="CS64" i="1"/>
  <c r="AVF64" i="1"/>
  <c r="CX63" i="1"/>
  <c r="AVK63" i="1"/>
  <c r="CN62" i="1"/>
  <c r="CW61" i="1"/>
  <c r="AVJ61" i="1"/>
  <c r="CS61" i="1"/>
  <c r="AVF61" i="1"/>
  <c r="CN51" i="1"/>
  <c r="CN49" i="1"/>
  <c r="CW48" i="1"/>
  <c r="AVJ48" i="1"/>
  <c r="CS48" i="1"/>
  <c r="AVF48" i="1"/>
  <c r="CN47" i="1"/>
  <c r="CW46" i="1"/>
  <c r="AVJ46" i="1"/>
  <c r="CS46" i="1"/>
  <c r="AVF46" i="1"/>
  <c r="CX45" i="1"/>
  <c r="AVK45" i="1"/>
  <c r="CY44" i="1"/>
  <c r="AVL44" i="1"/>
  <c r="CU44" i="1"/>
  <c r="AVH44" i="1"/>
  <c r="CN44" i="1"/>
  <c r="AVA44" i="1"/>
  <c r="CW43" i="1"/>
  <c r="AVJ43" i="1"/>
  <c r="CS43" i="1"/>
  <c r="AVF43" i="1"/>
  <c r="CX42" i="1"/>
  <c r="AVK42" i="1"/>
  <c r="CY41" i="1"/>
  <c r="AVL41" i="1"/>
  <c r="CU41" i="1"/>
  <c r="AVH41" i="1"/>
  <c r="DC40" i="1"/>
  <c r="AVP40" i="1"/>
  <c r="CV40" i="1"/>
  <c r="AVI40" i="1"/>
  <c r="CQ40" i="1"/>
  <c r="AVD40" i="1"/>
  <c r="CX39" i="1"/>
  <c r="AVK39" i="1"/>
  <c r="CY38" i="1"/>
  <c r="AVL38" i="1"/>
  <c r="CU38" i="1"/>
  <c r="AVH38" i="1"/>
  <c r="DC37" i="1"/>
  <c r="AVP37" i="1"/>
  <c r="DC35" i="1"/>
  <c r="AVP35" i="1"/>
  <c r="DC33" i="1"/>
  <c r="AVP33" i="1"/>
  <c r="DC31" i="1"/>
  <c r="AVP31" i="1"/>
  <c r="CX30" i="1"/>
  <c r="AVK30" i="1"/>
  <c r="CY29" i="1"/>
  <c r="AVL29" i="1"/>
  <c r="CU29" i="1"/>
  <c r="AVH29" i="1"/>
  <c r="DC28" i="1"/>
  <c r="AVP28" i="1"/>
  <c r="CV28" i="1"/>
  <c r="AVI28" i="1"/>
  <c r="CQ28" i="1"/>
  <c r="AVD28" i="1"/>
  <c r="CX27" i="1"/>
  <c r="AVK27" i="1"/>
  <c r="CY26" i="1"/>
  <c r="AVL26" i="1"/>
  <c r="CU26" i="1"/>
  <c r="AVH26" i="1"/>
  <c r="DC25" i="1"/>
  <c r="AVP25" i="1"/>
  <c r="CV25" i="1"/>
  <c r="AVI25" i="1"/>
  <c r="CN25" i="1"/>
  <c r="AVA25" i="1"/>
  <c r="CN23" i="1"/>
  <c r="CY21" i="1"/>
  <c r="AVL21" i="1"/>
  <c r="CU21" i="1"/>
  <c r="AVH21" i="1"/>
  <c r="DC20" i="1"/>
  <c r="AVP20" i="1"/>
  <c r="CV20" i="1"/>
  <c r="AVI20" i="1"/>
  <c r="CQ20" i="1"/>
  <c r="AVD20" i="1"/>
  <c r="DC18" i="1"/>
  <c r="AVP18" i="1"/>
  <c r="CV18" i="1"/>
  <c r="AVI18" i="1"/>
  <c r="CN18" i="1"/>
  <c r="AVA18" i="1"/>
  <c r="CW17" i="1"/>
  <c r="AVJ17" i="1"/>
  <c r="CS17" i="1"/>
  <c r="AVF17" i="1"/>
  <c r="CX16" i="1"/>
  <c r="AVK16" i="1"/>
  <c r="DC15" i="1"/>
  <c r="AVP15" i="1"/>
  <c r="CV15" i="1"/>
  <c r="AVI15" i="1"/>
  <c r="CN15" i="1"/>
  <c r="AVA15" i="1"/>
  <c r="CW14" i="1"/>
  <c r="AVJ14" i="1"/>
  <c r="CS14" i="1"/>
  <c r="AVF14" i="1"/>
  <c r="CX13" i="1"/>
  <c r="AVK13" i="1"/>
  <c r="CN12" i="1"/>
  <c r="CN9" i="1"/>
  <c r="CP409" i="1"/>
  <c r="AVC409" i="1"/>
  <c r="CP399" i="1"/>
  <c r="AVC399" i="1"/>
  <c r="CP394" i="1"/>
  <c r="AVC394" i="1"/>
  <c r="CP376" i="1"/>
  <c r="AVC376" i="1"/>
  <c r="CP363" i="1"/>
  <c r="AVC363" i="1"/>
  <c r="CP359" i="1"/>
  <c r="AVC359" i="1"/>
  <c r="CP352" i="1"/>
  <c r="AVC352" i="1"/>
  <c r="CP340" i="1"/>
  <c r="AVC340" i="1"/>
  <c r="CP336" i="1"/>
  <c r="AVC336" i="1"/>
  <c r="CP332" i="1"/>
  <c r="AVC332" i="1"/>
  <c r="CP328" i="1"/>
  <c r="AVC328" i="1"/>
  <c r="CP317" i="1"/>
  <c r="AVC317" i="1"/>
  <c r="CP313" i="1"/>
  <c r="AVC313" i="1"/>
  <c r="CP302" i="1"/>
  <c r="AVC302" i="1"/>
  <c r="CP297" i="1"/>
  <c r="AVC297" i="1"/>
  <c r="CP280" i="1"/>
  <c r="AVC280" i="1"/>
  <c r="CP273" i="1"/>
  <c r="AVC273" i="1"/>
  <c r="CP268" i="1"/>
  <c r="AVC268" i="1"/>
  <c r="CP264" i="1"/>
  <c r="AVC264" i="1"/>
  <c r="CP260" i="1"/>
  <c r="AVC260" i="1"/>
  <c r="CP253" i="1"/>
  <c r="AVC253" i="1"/>
  <c r="CP249" i="1"/>
  <c r="AVC249" i="1"/>
  <c r="CP244" i="1"/>
  <c r="AVC244" i="1"/>
  <c r="CP240" i="1"/>
  <c r="AVC240" i="1"/>
  <c r="CP227" i="1"/>
  <c r="AVC227" i="1"/>
  <c r="CP223" i="1"/>
  <c r="AVC223" i="1"/>
  <c r="CP213" i="1"/>
  <c r="AVC213" i="1"/>
  <c r="CP209" i="1"/>
  <c r="AVC209" i="1"/>
  <c r="CP196" i="1"/>
  <c r="AVC196" i="1"/>
  <c r="CP186" i="1"/>
  <c r="AVC186" i="1"/>
  <c r="CP181" i="1"/>
  <c r="AVC181" i="1"/>
  <c r="CP177" i="1"/>
  <c r="AVC177" i="1"/>
  <c r="CP166" i="1"/>
  <c r="AVC166" i="1"/>
  <c r="CP161" i="1"/>
  <c r="AVC161" i="1"/>
  <c r="CP149" i="1"/>
  <c r="AVC149" i="1"/>
  <c r="CP142" i="1"/>
  <c r="AVC142" i="1"/>
  <c r="CP138" i="1"/>
  <c r="AVC138" i="1"/>
  <c r="CP127" i="1"/>
  <c r="AVC127" i="1"/>
  <c r="CP114" i="1"/>
  <c r="AVC114" i="1"/>
  <c r="CP106" i="1"/>
  <c r="AVC106" i="1"/>
  <c r="CP92" i="1"/>
  <c r="AVC92" i="1"/>
  <c r="CP84" i="1"/>
  <c r="AVC84" i="1"/>
  <c r="CP73" i="1"/>
  <c r="AVC73" i="1"/>
  <c r="CP68" i="1"/>
  <c r="AVC68" i="1"/>
  <c r="CP61" i="1"/>
  <c r="AVC61" i="1"/>
  <c r="CP44" i="1"/>
  <c r="AVC44" i="1"/>
  <c r="CP40" i="1"/>
  <c r="AVC40" i="1"/>
  <c r="CP29" i="1"/>
  <c r="AVC29" i="1"/>
  <c r="CP25" i="1"/>
  <c r="AVC25" i="1"/>
  <c r="CP17" i="1"/>
  <c r="AVC17" i="1"/>
  <c r="CP13" i="1"/>
  <c r="AVC13" i="1"/>
  <c r="CR409" i="1"/>
  <c r="AVE409" i="1"/>
  <c r="CR399" i="1"/>
  <c r="AVE399" i="1"/>
  <c r="CR394" i="1"/>
  <c r="AVE394" i="1"/>
  <c r="CR376" i="1"/>
  <c r="AVE376" i="1"/>
  <c r="CR363" i="1"/>
  <c r="AVE363" i="1"/>
  <c r="CR359" i="1"/>
  <c r="AVE359" i="1"/>
  <c r="CR352" i="1"/>
  <c r="AVE352" i="1"/>
  <c r="CR340" i="1"/>
  <c r="AVE340" i="1"/>
  <c r="CR336" i="1"/>
  <c r="AVE336" i="1"/>
  <c r="CR332" i="1"/>
  <c r="AVE332" i="1"/>
  <c r="CR328" i="1"/>
  <c r="AVE328" i="1"/>
  <c r="CR317" i="1"/>
  <c r="AVE317" i="1"/>
  <c r="CR313" i="1"/>
  <c r="AVE313" i="1"/>
  <c r="CR302" i="1"/>
  <c r="AVE302" i="1"/>
  <c r="CR297" i="1"/>
  <c r="AVE297" i="1"/>
  <c r="CR280" i="1"/>
  <c r="AVE280" i="1"/>
  <c r="CR273" i="1"/>
  <c r="AVE273" i="1"/>
  <c r="CR268" i="1"/>
  <c r="AVE268" i="1"/>
  <c r="CR264" i="1"/>
  <c r="AVE264" i="1"/>
  <c r="CR260" i="1"/>
  <c r="AVE260" i="1"/>
  <c r="CR253" i="1"/>
  <c r="AVE253" i="1"/>
  <c r="CR249" i="1"/>
  <c r="AVE249" i="1"/>
  <c r="CR244" i="1"/>
  <c r="AVE244" i="1"/>
  <c r="CR240" i="1"/>
  <c r="AVE240" i="1"/>
  <c r="CR227" i="1"/>
  <c r="AVE227" i="1"/>
  <c r="CR223" i="1"/>
  <c r="AVE223" i="1"/>
  <c r="CR213" i="1"/>
  <c r="AVE213" i="1"/>
  <c r="CR209" i="1"/>
  <c r="AVE209" i="1"/>
  <c r="CR196" i="1"/>
  <c r="AVE196" i="1"/>
  <c r="CR186" i="1"/>
  <c r="AVE186" i="1"/>
  <c r="CR181" i="1"/>
  <c r="AVE181" i="1"/>
  <c r="CR177" i="1"/>
  <c r="AVE177" i="1"/>
  <c r="CR166" i="1"/>
  <c r="AVE166" i="1"/>
  <c r="CR161" i="1"/>
  <c r="AVE161" i="1"/>
  <c r="CR149" i="1"/>
  <c r="AVE149" i="1"/>
  <c r="CR142" i="1"/>
  <c r="AVE142" i="1"/>
  <c r="CR138" i="1"/>
  <c r="AVE138" i="1"/>
  <c r="CR127" i="1"/>
  <c r="AVE127" i="1"/>
  <c r="CR114" i="1"/>
  <c r="AVE114" i="1"/>
  <c r="CR106" i="1"/>
  <c r="AVE106" i="1"/>
  <c r="CR92" i="1"/>
  <c r="AVE92" i="1"/>
  <c r="CR84" i="1"/>
  <c r="AVE84" i="1"/>
  <c r="CR73" i="1"/>
  <c r="AVE73" i="1"/>
  <c r="CR68" i="1"/>
  <c r="AVE68" i="1"/>
  <c r="CR61" i="1"/>
  <c r="AVE61" i="1"/>
  <c r="CR44" i="1"/>
  <c r="AVE44" i="1"/>
  <c r="CR40" i="1"/>
  <c r="AVE40" i="1"/>
  <c r="CR29" i="1"/>
  <c r="AVE29" i="1"/>
  <c r="CR25" i="1"/>
  <c r="AVE25" i="1"/>
  <c r="CR17" i="1"/>
  <c r="AVE17" i="1"/>
  <c r="CR13" i="1"/>
  <c r="AVE13" i="1"/>
  <c r="DC155" i="1"/>
  <c r="AVP155" i="1"/>
  <c r="DC153" i="1"/>
  <c r="AVP153" i="1"/>
  <c r="DC151" i="1"/>
  <c r="AVP151" i="1"/>
  <c r="DC149" i="1"/>
  <c r="AVP149" i="1"/>
  <c r="CV149" i="1"/>
  <c r="AVI149" i="1"/>
  <c r="CQ149" i="1"/>
  <c r="AVD149" i="1"/>
  <c r="CX148" i="1"/>
  <c r="AVK148" i="1"/>
  <c r="CY147" i="1"/>
  <c r="AVL147" i="1"/>
  <c r="CU147" i="1"/>
  <c r="AVH147" i="1"/>
  <c r="DC146" i="1"/>
  <c r="AVP146" i="1"/>
  <c r="DC143" i="1"/>
  <c r="AVP143" i="1"/>
  <c r="CV143" i="1"/>
  <c r="AVI143" i="1"/>
  <c r="CN143" i="1"/>
  <c r="AVA143" i="1"/>
  <c r="CW142" i="1"/>
  <c r="AVJ142" i="1"/>
  <c r="CS142" i="1"/>
  <c r="AVF142" i="1"/>
  <c r="CX141" i="1"/>
  <c r="AVK141" i="1"/>
  <c r="CY140" i="1"/>
  <c r="AVL140" i="1"/>
  <c r="CU140" i="1"/>
  <c r="AVH140" i="1"/>
  <c r="CN140" i="1"/>
  <c r="AVA140" i="1"/>
  <c r="CW139" i="1"/>
  <c r="AVJ139" i="1"/>
  <c r="CS139" i="1"/>
  <c r="AVF139" i="1"/>
  <c r="CX138" i="1"/>
  <c r="AVK138" i="1"/>
  <c r="CN137" i="1"/>
  <c r="CN135" i="1"/>
  <c r="CN133" i="1"/>
  <c r="CW130" i="1"/>
  <c r="AVJ130" i="1"/>
  <c r="CS130" i="1"/>
  <c r="AVF130" i="1"/>
  <c r="CY128" i="1"/>
  <c r="AVL128" i="1"/>
  <c r="CU128" i="1"/>
  <c r="AVH128" i="1"/>
  <c r="CN128" i="1"/>
  <c r="AVA128" i="1"/>
  <c r="CW127" i="1"/>
  <c r="AVJ127" i="1"/>
  <c r="CS127" i="1"/>
  <c r="AVF127" i="1"/>
  <c r="CX126" i="1"/>
  <c r="AVK126" i="1"/>
  <c r="CY125" i="1"/>
  <c r="AVL125" i="1"/>
  <c r="CU125" i="1"/>
  <c r="AVH125" i="1"/>
  <c r="DC124" i="1"/>
  <c r="AVP124" i="1"/>
  <c r="CV124" i="1"/>
  <c r="AVI124" i="1"/>
  <c r="CQ124" i="1"/>
  <c r="AVD124" i="1"/>
  <c r="DC122" i="1"/>
  <c r="AVP122" i="1"/>
  <c r="DC120" i="1"/>
  <c r="AVP120" i="1"/>
  <c r="CW117" i="1"/>
  <c r="AVJ117" i="1"/>
  <c r="CS117" i="1"/>
  <c r="AVF117" i="1"/>
  <c r="CX116" i="1"/>
  <c r="AVK116" i="1"/>
  <c r="DC115" i="1"/>
  <c r="AVP115" i="1"/>
  <c r="CV115" i="1"/>
  <c r="AVI115" i="1"/>
  <c r="CN115" i="1"/>
  <c r="AVA115" i="1"/>
  <c r="CW114" i="1"/>
  <c r="AVJ114" i="1"/>
  <c r="CS114" i="1"/>
  <c r="AVF114" i="1"/>
  <c r="DC112" i="1"/>
  <c r="AVP112" i="1"/>
  <c r="DC110" i="1"/>
  <c r="AVP110" i="1"/>
  <c r="CX109" i="1"/>
  <c r="AVK109" i="1"/>
  <c r="CY108" i="1"/>
  <c r="AVL108" i="1"/>
  <c r="CU108" i="1"/>
  <c r="AVH108" i="1"/>
  <c r="CN108" i="1"/>
  <c r="AVA108" i="1"/>
  <c r="CW107" i="1"/>
  <c r="AVJ107" i="1"/>
  <c r="CS107" i="1"/>
  <c r="AVF107" i="1"/>
  <c r="CX106" i="1"/>
  <c r="AVK106" i="1"/>
  <c r="CY105" i="1"/>
  <c r="AVL105" i="1"/>
  <c r="CU105" i="1"/>
  <c r="AVH105" i="1"/>
  <c r="DC104" i="1"/>
  <c r="AVP104" i="1"/>
  <c r="CV104" i="1"/>
  <c r="AVI104" i="1"/>
  <c r="CQ104" i="1"/>
  <c r="AVD104" i="1"/>
  <c r="DC102" i="1"/>
  <c r="AVP102" i="1"/>
  <c r="DC98" i="1"/>
  <c r="AVP98" i="1"/>
  <c r="CW92" i="1"/>
  <c r="AVJ92" i="1"/>
  <c r="CS92" i="1"/>
  <c r="AVF92" i="1"/>
  <c r="CY90" i="1"/>
  <c r="AVL90" i="1"/>
  <c r="CU90" i="1"/>
  <c r="AVH90" i="1"/>
  <c r="CY87" i="1"/>
  <c r="AVL87" i="1"/>
  <c r="CU87" i="1"/>
  <c r="AVH87" i="1"/>
  <c r="DC86" i="1"/>
  <c r="AVP86" i="1"/>
  <c r="CV86" i="1"/>
  <c r="AVI86" i="1"/>
  <c r="CN86" i="1"/>
  <c r="AVA86" i="1"/>
  <c r="CW85" i="1"/>
  <c r="AVJ85" i="1"/>
  <c r="CS85" i="1"/>
  <c r="AVF85" i="1"/>
  <c r="CY84" i="1"/>
  <c r="AVL84" i="1"/>
  <c r="CU84" i="1"/>
  <c r="AVH84" i="1"/>
  <c r="DC83" i="1"/>
  <c r="AVP83" i="1"/>
  <c r="CX82" i="1"/>
  <c r="AVK82" i="1"/>
  <c r="CN81" i="1"/>
  <c r="AVA81" i="1"/>
  <c r="CW80" i="1"/>
  <c r="AVJ80" i="1"/>
  <c r="CS80" i="1"/>
  <c r="AVF80" i="1"/>
  <c r="DC74" i="1"/>
  <c r="AVP74" i="1"/>
  <c r="CV74" i="1"/>
  <c r="AVI74" i="1"/>
  <c r="CN74" i="1"/>
  <c r="AVA74" i="1"/>
  <c r="CW73" i="1"/>
  <c r="AVJ73" i="1"/>
  <c r="CS73" i="1"/>
  <c r="AVF73" i="1"/>
  <c r="DC71" i="1"/>
  <c r="AVP71" i="1"/>
  <c r="CV71" i="1"/>
  <c r="AVI71" i="1"/>
  <c r="CN71" i="1"/>
  <c r="AVA71" i="1"/>
  <c r="CW70" i="1"/>
  <c r="AVJ70" i="1"/>
  <c r="CS70" i="1"/>
  <c r="AVF70" i="1"/>
  <c r="DC68" i="1"/>
  <c r="AVP68" i="1"/>
  <c r="CV68" i="1"/>
  <c r="AVI68" i="1"/>
  <c r="CN68" i="1"/>
  <c r="AVA68" i="1"/>
  <c r="CY66" i="1"/>
  <c r="AVL66" i="1"/>
  <c r="CU66" i="1"/>
  <c r="AVH66" i="1"/>
  <c r="CX64" i="1"/>
  <c r="AVK64" i="1"/>
  <c r="CY63" i="1"/>
  <c r="AVL63" i="1"/>
  <c r="CU63" i="1"/>
  <c r="AVH63" i="1"/>
  <c r="DC62" i="1"/>
  <c r="AVP62" i="1"/>
  <c r="CX61" i="1"/>
  <c r="AVK61" i="1"/>
  <c r="DC51" i="1"/>
  <c r="AVP51" i="1"/>
  <c r="DC49" i="1"/>
  <c r="AVP49" i="1"/>
  <c r="CX48" i="1"/>
  <c r="AVK48" i="1"/>
  <c r="DC47" i="1"/>
  <c r="AVP47" i="1"/>
  <c r="CX46" i="1"/>
  <c r="AVK46" i="1"/>
  <c r="CY45" i="1"/>
  <c r="AVL45" i="1"/>
  <c r="CU45" i="1"/>
  <c r="AVH45" i="1"/>
  <c r="DC44" i="1"/>
  <c r="AVP44" i="1"/>
  <c r="CV44" i="1"/>
  <c r="AVI44" i="1"/>
  <c r="CQ44" i="1"/>
  <c r="AVD44" i="1"/>
  <c r="CX43" i="1"/>
  <c r="AVK43" i="1"/>
  <c r="CY42" i="1"/>
  <c r="AVL42" i="1"/>
  <c r="CU42" i="1"/>
  <c r="AVH42" i="1"/>
  <c r="DC41" i="1"/>
  <c r="AVP41" i="1"/>
  <c r="CV41" i="1"/>
  <c r="AVI41" i="1"/>
  <c r="CN41" i="1"/>
  <c r="AVA41" i="1"/>
  <c r="CW40" i="1"/>
  <c r="AVJ40" i="1"/>
  <c r="CS40" i="1"/>
  <c r="AVF40" i="1"/>
  <c r="CY39" i="1"/>
  <c r="AVL39" i="1"/>
  <c r="CU39" i="1"/>
  <c r="AVH39" i="1"/>
  <c r="DC38" i="1"/>
  <c r="AVP38" i="1"/>
  <c r="CV38" i="1"/>
  <c r="AVI38" i="1"/>
  <c r="CN38" i="1"/>
  <c r="AVA38" i="1"/>
  <c r="CN36" i="1"/>
  <c r="CN34" i="1"/>
  <c r="CY30" i="1"/>
  <c r="AVL30" i="1"/>
  <c r="CU30" i="1"/>
  <c r="AVH30" i="1"/>
  <c r="DC29" i="1"/>
  <c r="AVP29" i="1"/>
  <c r="CV29" i="1"/>
  <c r="AVI29" i="1"/>
  <c r="CN29" i="1"/>
  <c r="AVA29" i="1"/>
  <c r="CW28" i="1"/>
  <c r="AVJ28" i="1"/>
  <c r="CS28" i="1"/>
  <c r="AVF28" i="1"/>
  <c r="CY27" i="1"/>
  <c r="AVL27" i="1"/>
  <c r="CU27" i="1"/>
  <c r="AVH27" i="1"/>
  <c r="DC26" i="1"/>
  <c r="AVP26" i="1"/>
  <c r="CV26" i="1"/>
  <c r="AVI26" i="1"/>
  <c r="CN26" i="1"/>
  <c r="AVA26" i="1"/>
  <c r="CW25" i="1"/>
  <c r="AVJ25" i="1"/>
  <c r="CS25" i="1"/>
  <c r="AVF25" i="1"/>
  <c r="DC23" i="1"/>
  <c r="AVP23" i="1"/>
  <c r="DC21" i="1"/>
  <c r="AVP21" i="1"/>
  <c r="CV21" i="1"/>
  <c r="AVI21" i="1"/>
  <c r="CN21" i="1"/>
  <c r="AVA21" i="1"/>
  <c r="CW20" i="1"/>
  <c r="AVJ20" i="1"/>
  <c r="CS20" i="1"/>
  <c r="AVF20" i="1"/>
  <c r="CN19" i="1"/>
  <c r="CW18" i="1"/>
  <c r="AVJ18" i="1"/>
  <c r="CS18" i="1"/>
  <c r="AVF18" i="1"/>
  <c r="CX17" i="1"/>
  <c r="AVK17" i="1"/>
  <c r="CY16" i="1"/>
  <c r="AVL16" i="1"/>
  <c r="CU16" i="1"/>
  <c r="AVH16" i="1"/>
  <c r="CN16" i="1"/>
  <c r="AVA16" i="1"/>
  <c r="CW15" i="1"/>
  <c r="AVJ15" i="1"/>
  <c r="CS15" i="1"/>
  <c r="AVF15" i="1"/>
  <c r="CX14" i="1"/>
  <c r="AVK14" i="1"/>
  <c r="CY13" i="1"/>
  <c r="AVL13" i="1"/>
  <c r="CU13" i="1"/>
  <c r="AVH13" i="1"/>
  <c r="DC12" i="1"/>
  <c r="AVP12" i="1"/>
  <c r="DC9" i="1"/>
  <c r="AVP9" i="1"/>
  <c r="CP410" i="1"/>
  <c r="AVC410" i="1"/>
  <c r="CP402" i="1"/>
  <c r="AVC402" i="1"/>
  <c r="CP395" i="1"/>
  <c r="AVC395" i="1"/>
  <c r="CP377" i="1"/>
  <c r="AVC377" i="1"/>
  <c r="CP364" i="1"/>
  <c r="AVC364" i="1"/>
  <c r="CP360" i="1"/>
  <c r="AVC360" i="1"/>
  <c r="CP356" i="1"/>
  <c r="AVC356" i="1"/>
  <c r="CP337" i="1"/>
  <c r="AVC337" i="1"/>
  <c r="CP329" i="1"/>
  <c r="AVC329" i="1"/>
  <c r="CP318" i="1"/>
  <c r="AVC318" i="1"/>
  <c r="CP314" i="1"/>
  <c r="AVC314" i="1"/>
  <c r="CP298" i="1"/>
  <c r="AVC298" i="1"/>
  <c r="CP275" i="1"/>
  <c r="AVC275" i="1"/>
  <c r="CP269" i="1"/>
  <c r="AVC269" i="1"/>
  <c r="CP265" i="1"/>
  <c r="AVC265" i="1"/>
  <c r="CP261" i="1"/>
  <c r="AVC261" i="1"/>
  <c r="CP257" i="1"/>
  <c r="AVC257" i="1"/>
  <c r="CP250" i="1"/>
  <c r="AVC250" i="1"/>
  <c r="CP241" i="1"/>
  <c r="AVC241" i="1"/>
  <c r="CP236" i="1"/>
  <c r="AVC236" i="1"/>
  <c r="CP224" i="1"/>
  <c r="AVC224" i="1"/>
  <c r="CP210" i="1"/>
  <c r="AVC210" i="1"/>
  <c r="CP202" i="1"/>
  <c r="AVC202" i="1"/>
  <c r="CP197" i="1"/>
  <c r="AVC197" i="1"/>
  <c r="CP183" i="1"/>
  <c r="AVC183" i="1"/>
  <c r="CP178" i="1"/>
  <c r="AVC178" i="1"/>
  <c r="CP171" i="1"/>
  <c r="AVC171" i="1"/>
  <c r="CP167" i="1"/>
  <c r="AVC167" i="1"/>
  <c r="CP162" i="1"/>
  <c r="AVC162" i="1"/>
  <c r="CP157" i="1"/>
  <c r="AVC157" i="1"/>
  <c r="CP143" i="1"/>
  <c r="AVC143" i="1"/>
  <c r="CP139" i="1"/>
  <c r="AVC139" i="1"/>
  <c r="CP128" i="1"/>
  <c r="AVC128" i="1"/>
  <c r="CP124" i="1"/>
  <c r="AVC124" i="1"/>
  <c r="CP115" i="1"/>
  <c r="AVC115" i="1"/>
  <c r="CP107" i="1"/>
  <c r="AVC107" i="1"/>
  <c r="CP85" i="1"/>
  <c r="AVC85" i="1"/>
  <c r="CP74" i="1"/>
  <c r="AVC74" i="1"/>
  <c r="CP70" i="1"/>
  <c r="AVC70" i="1"/>
  <c r="CP63" i="1"/>
  <c r="AVC63" i="1"/>
  <c r="CP45" i="1"/>
  <c r="AVC45" i="1"/>
  <c r="CP41" i="1"/>
  <c r="AVC41" i="1"/>
  <c r="CP30" i="1"/>
  <c r="AVC30" i="1"/>
  <c r="CP26" i="1"/>
  <c r="AVC26" i="1"/>
  <c r="CP18" i="1"/>
  <c r="AVC18" i="1"/>
  <c r="CP14" i="1"/>
  <c r="AVC14" i="1"/>
  <c r="CR410" i="1"/>
  <c r="AVE410" i="1"/>
  <c r="CR402" i="1"/>
  <c r="AVE402" i="1"/>
  <c r="CR395" i="1"/>
  <c r="AVE395" i="1"/>
  <c r="CR377" i="1"/>
  <c r="AVE377" i="1"/>
  <c r="CR364" i="1"/>
  <c r="AVE364" i="1"/>
  <c r="CR360" i="1"/>
  <c r="AVE360" i="1"/>
  <c r="CR356" i="1"/>
  <c r="AVE356" i="1"/>
  <c r="CR337" i="1"/>
  <c r="AVE337" i="1"/>
  <c r="CR329" i="1"/>
  <c r="AVE329" i="1"/>
  <c r="CR318" i="1"/>
  <c r="AVE318" i="1"/>
  <c r="CR314" i="1"/>
  <c r="AVE314" i="1"/>
  <c r="CR298" i="1"/>
  <c r="AVE298" i="1"/>
  <c r="CR275" i="1"/>
  <c r="AVE275" i="1"/>
  <c r="CR269" i="1"/>
  <c r="AVE269" i="1"/>
  <c r="CR265" i="1"/>
  <c r="AVE265" i="1"/>
  <c r="CR261" i="1"/>
  <c r="AVE261" i="1"/>
  <c r="CR257" i="1"/>
  <c r="AVE257" i="1"/>
  <c r="CR250" i="1"/>
  <c r="AVE250" i="1"/>
  <c r="CR241" i="1"/>
  <c r="AVE241" i="1"/>
  <c r="CR236" i="1"/>
  <c r="AVE236" i="1"/>
  <c r="CR224" i="1"/>
  <c r="AVE224" i="1"/>
  <c r="CR210" i="1"/>
  <c r="AVE210" i="1"/>
  <c r="CR202" i="1"/>
  <c r="AVE202" i="1"/>
  <c r="CR197" i="1"/>
  <c r="AVE197" i="1"/>
  <c r="CR183" i="1"/>
  <c r="AVE183" i="1"/>
  <c r="CR178" i="1"/>
  <c r="AVE178" i="1"/>
  <c r="CR171" i="1"/>
  <c r="AVE171" i="1"/>
  <c r="CR167" i="1"/>
  <c r="AVE167" i="1"/>
  <c r="CR162" i="1"/>
  <c r="AVE162" i="1"/>
  <c r="CR157" i="1"/>
  <c r="AVE157" i="1"/>
  <c r="CR143" i="1"/>
  <c r="AVE143" i="1"/>
  <c r="CR139" i="1"/>
  <c r="AVE139" i="1"/>
  <c r="CR128" i="1"/>
  <c r="AVE128" i="1"/>
  <c r="CR124" i="1"/>
  <c r="AVE124" i="1"/>
  <c r="CR115" i="1"/>
  <c r="AVE115" i="1"/>
  <c r="CR107" i="1"/>
  <c r="AVE107" i="1"/>
  <c r="CR85" i="1"/>
  <c r="AVE85" i="1"/>
  <c r="CR74" i="1"/>
  <c r="AVE74" i="1"/>
  <c r="CR70" i="1"/>
  <c r="AVE70" i="1"/>
  <c r="CR63" i="1"/>
  <c r="AVE63" i="1"/>
  <c r="CR45" i="1"/>
  <c r="AVE45" i="1"/>
  <c r="CR41" i="1"/>
  <c r="AVE41" i="1"/>
  <c r="CR30" i="1"/>
  <c r="AVE30" i="1"/>
  <c r="CR26" i="1"/>
  <c r="AVE26" i="1"/>
  <c r="CR18" i="1"/>
  <c r="AVE18" i="1"/>
  <c r="CR14" i="1"/>
  <c r="AVE14" i="1"/>
  <c r="AVB416" i="1"/>
  <c r="DC147" i="1"/>
  <c r="AVP147" i="1"/>
  <c r="CV147" i="1"/>
  <c r="AVI147" i="1"/>
  <c r="CN147" i="1"/>
  <c r="AVA147" i="1"/>
  <c r="CN145" i="1"/>
  <c r="CW143" i="1"/>
  <c r="AVJ143" i="1"/>
  <c r="CS143" i="1"/>
  <c r="AVF143" i="1"/>
  <c r="CX142" i="1"/>
  <c r="AVK142" i="1"/>
  <c r="CY141" i="1"/>
  <c r="AVL141" i="1"/>
  <c r="CU141" i="1"/>
  <c r="AVH141" i="1"/>
  <c r="DC140" i="1"/>
  <c r="AVP140" i="1"/>
  <c r="CV140" i="1"/>
  <c r="AVI140" i="1"/>
  <c r="CQ140" i="1"/>
  <c r="AVD140" i="1"/>
  <c r="CX139" i="1"/>
  <c r="AVK139" i="1"/>
  <c r="CY138" i="1"/>
  <c r="AVL138" i="1"/>
  <c r="CU138" i="1"/>
  <c r="AVH138" i="1"/>
  <c r="DC137" i="1"/>
  <c r="AVP137" i="1"/>
  <c r="DC135" i="1"/>
  <c r="AVP135" i="1"/>
  <c r="DC133" i="1"/>
  <c r="AVP133" i="1"/>
  <c r="CX130" i="1"/>
  <c r="AVK130" i="1"/>
  <c r="DC128" i="1"/>
  <c r="AVP128" i="1"/>
  <c r="CV128" i="1"/>
  <c r="AVI128" i="1"/>
  <c r="CQ128" i="1"/>
  <c r="AVD128" i="1"/>
  <c r="CX127" i="1"/>
  <c r="AVK127" i="1"/>
  <c r="CY126" i="1"/>
  <c r="AVL126" i="1"/>
  <c r="CU126" i="1"/>
  <c r="AVH126" i="1"/>
  <c r="DC125" i="1"/>
  <c r="AVP125" i="1"/>
  <c r="CV125" i="1"/>
  <c r="AVI125" i="1"/>
  <c r="CN125" i="1"/>
  <c r="AVA125" i="1"/>
  <c r="CW124" i="1"/>
  <c r="AVJ124" i="1"/>
  <c r="CS124" i="1"/>
  <c r="AVF124" i="1"/>
  <c r="CN121" i="1"/>
  <c r="CX117" i="1"/>
  <c r="AVK117" i="1"/>
  <c r="CY116" i="1"/>
  <c r="AVL116" i="1"/>
  <c r="CU116" i="1"/>
  <c r="AVH116" i="1"/>
  <c r="CN116" i="1"/>
  <c r="AVA116" i="1"/>
  <c r="CW115" i="1"/>
  <c r="AVJ115" i="1"/>
  <c r="CS115" i="1"/>
  <c r="AVF115" i="1"/>
  <c r="CX114" i="1"/>
  <c r="AVK114" i="1"/>
  <c r="CN113" i="1"/>
  <c r="CN111" i="1"/>
  <c r="CY109" i="1"/>
  <c r="AVL109" i="1"/>
  <c r="CU109" i="1"/>
  <c r="AVH109" i="1"/>
  <c r="DC108" i="1"/>
  <c r="AVP108" i="1"/>
  <c r="CV108" i="1"/>
  <c r="AVI108" i="1"/>
  <c r="CQ108" i="1"/>
  <c r="AVD108" i="1"/>
  <c r="CX107" i="1"/>
  <c r="AVK107" i="1"/>
  <c r="CY106" i="1"/>
  <c r="AVL106" i="1"/>
  <c r="CU106" i="1"/>
  <c r="AVH106" i="1"/>
  <c r="DC105" i="1"/>
  <c r="AVP105" i="1"/>
  <c r="CV105" i="1"/>
  <c r="AVI105" i="1"/>
  <c r="CN105" i="1"/>
  <c r="AVA105" i="1"/>
  <c r="CW104" i="1"/>
  <c r="AVJ104" i="1"/>
  <c r="CS104" i="1"/>
  <c r="AVF104" i="1"/>
  <c r="CN103" i="1"/>
  <c r="CN101" i="1"/>
  <c r="CN97" i="1"/>
  <c r="CX92" i="1"/>
  <c r="AVK92" i="1"/>
  <c r="DC90" i="1"/>
  <c r="AVP90" i="1"/>
  <c r="CV90" i="1"/>
  <c r="AVI90" i="1"/>
  <c r="CN90" i="1"/>
  <c r="AVA90" i="1"/>
  <c r="DC87" i="1"/>
  <c r="AVP87" i="1"/>
  <c r="CV87" i="1"/>
  <c r="AVI87" i="1"/>
  <c r="CN87" i="1"/>
  <c r="AVA87" i="1"/>
  <c r="CW86" i="1"/>
  <c r="AVJ86" i="1"/>
  <c r="CS86" i="1"/>
  <c r="AVF86" i="1"/>
  <c r="CX85" i="1"/>
  <c r="AVK85" i="1"/>
  <c r="DC84" i="1"/>
  <c r="AVP84" i="1"/>
  <c r="CV84" i="1"/>
  <c r="AVI84" i="1"/>
  <c r="CN84" i="1"/>
  <c r="AVA84" i="1"/>
  <c r="CY82" i="1"/>
  <c r="AVL82" i="1"/>
  <c r="CU82" i="1"/>
  <c r="AVH82" i="1"/>
  <c r="DC81" i="1"/>
  <c r="AVP81" i="1"/>
  <c r="CX80" i="1"/>
  <c r="AVK80" i="1"/>
  <c r="CN79" i="1"/>
  <c r="CN77" i="1"/>
  <c r="CW74" i="1"/>
  <c r="AVJ74" i="1"/>
  <c r="CS74" i="1"/>
  <c r="AVF74" i="1"/>
  <c r="CX73" i="1"/>
  <c r="AVK73" i="1"/>
  <c r="CW71" i="1"/>
  <c r="AVJ71" i="1"/>
  <c r="CS71" i="1"/>
  <c r="AVF71" i="1"/>
  <c r="CX70" i="1"/>
  <c r="AVK70" i="1"/>
  <c r="CW68" i="1"/>
  <c r="AVJ68" i="1"/>
  <c r="CS68" i="1"/>
  <c r="AVF68" i="1"/>
  <c r="DC66" i="1"/>
  <c r="AVP66" i="1"/>
  <c r="CV66" i="1"/>
  <c r="AVI66" i="1"/>
  <c r="CN66" i="1"/>
  <c r="AVA66" i="1"/>
  <c r="CY64" i="1"/>
  <c r="AVL64" i="1"/>
  <c r="CU64" i="1"/>
  <c r="AVH64" i="1"/>
  <c r="DC63" i="1"/>
  <c r="AVP63" i="1"/>
  <c r="CV63" i="1"/>
  <c r="AVI63" i="1"/>
  <c r="CN63" i="1"/>
  <c r="AVA63" i="1"/>
  <c r="CY61" i="1"/>
  <c r="AVL61" i="1"/>
  <c r="CU61" i="1"/>
  <c r="AVH61" i="1"/>
  <c r="CN61" i="1"/>
  <c r="AVA61" i="1"/>
  <c r="CN50" i="1"/>
  <c r="CY48" i="1"/>
  <c r="AVL48" i="1"/>
  <c r="CU48" i="1"/>
  <c r="AVH48" i="1"/>
  <c r="CN48" i="1"/>
  <c r="AVA48" i="1"/>
  <c r="CY46" i="1"/>
  <c r="AVL46" i="1"/>
  <c r="CU46" i="1"/>
  <c r="AVH46" i="1"/>
  <c r="DC45" i="1"/>
  <c r="AVP45" i="1"/>
  <c r="CV45" i="1"/>
  <c r="AVI45" i="1"/>
  <c r="CN45" i="1"/>
  <c r="AVA45" i="1"/>
  <c r="CW44" i="1"/>
  <c r="AVJ44" i="1"/>
  <c r="CS44" i="1"/>
  <c r="AVF44" i="1"/>
  <c r="CY43" i="1"/>
  <c r="AVL43" i="1"/>
  <c r="CU43" i="1"/>
  <c r="AVH43" i="1"/>
  <c r="DC42" i="1"/>
  <c r="AVP42" i="1"/>
  <c r="CV42" i="1"/>
  <c r="AVI42" i="1"/>
  <c r="CN42" i="1"/>
  <c r="AVA42" i="1"/>
  <c r="CW41" i="1"/>
  <c r="AVJ41" i="1"/>
  <c r="CS41" i="1"/>
  <c r="AVF41" i="1"/>
  <c r="CX40" i="1"/>
  <c r="AVK40" i="1"/>
  <c r="DC39" i="1"/>
  <c r="AVP39" i="1"/>
  <c r="CV39" i="1"/>
  <c r="AVI39" i="1"/>
  <c r="CN39" i="1"/>
  <c r="AVA39" i="1"/>
  <c r="CW38" i="1"/>
  <c r="AVJ38" i="1"/>
  <c r="CS38" i="1"/>
  <c r="AVF38" i="1"/>
  <c r="DC36" i="1"/>
  <c r="AVP36" i="1"/>
  <c r="DC34" i="1"/>
  <c r="AVP34" i="1"/>
  <c r="DC30" i="1"/>
  <c r="AVP30" i="1"/>
  <c r="CV30" i="1"/>
  <c r="AVI30" i="1"/>
  <c r="CN30" i="1"/>
  <c r="AVA30" i="1"/>
  <c r="CW29" i="1"/>
  <c r="AVJ29" i="1"/>
  <c r="CS29" i="1"/>
  <c r="AVF29" i="1"/>
  <c r="CX28" i="1"/>
  <c r="AVK28" i="1"/>
  <c r="DC27" i="1"/>
  <c r="AVP27" i="1"/>
  <c r="CV27" i="1"/>
  <c r="AVI27" i="1"/>
  <c r="CN27" i="1"/>
  <c r="AVA27" i="1"/>
  <c r="CW26" i="1"/>
  <c r="AVJ26" i="1"/>
  <c r="CS26" i="1"/>
  <c r="AVF26" i="1"/>
  <c r="CX25" i="1"/>
  <c r="AVK25" i="1"/>
  <c r="CN24" i="1"/>
  <c r="CN22" i="1"/>
  <c r="CW21" i="1"/>
  <c r="AVJ21" i="1"/>
  <c r="CS21" i="1"/>
  <c r="AVF21" i="1"/>
  <c r="CX20" i="1"/>
  <c r="AVK20" i="1"/>
  <c r="DC19" i="1"/>
  <c r="AVP19" i="1"/>
  <c r="CX18" i="1"/>
  <c r="AVK18" i="1"/>
  <c r="CY17" i="1"/>
  <c r="AVL17" i="1"/>
  <c r="CU17" i="1"/>
  <c r="AVH17" i="1"/>
  <c r="DC16" i="1"/>
  <c r="AVP16" i="1"/>
  <c r="CV16" i="1"/>
  <c r="AVI16" i="1"/>
  <c r="CQ16" i="1"/>
  <c r="AVD16" i="1"/>
  <c r="CX15" i="1"/>
  <c r="AVK15" i="1"/>
  <c r="CY14" i="1"/>
  <c r="AVL14" i="1"/>
  <c r="CU14" i="1"/>
  <c r="AVH14" i="1"/>
  <c r="DC13" i="1"/>
  <c r="AVP13" i="1"/>
  <c r="CV13" i="1"/>
  <c r="AVI13" i="1"/>
  <c r="CN13" i="1"/>
  <c r="AVA13" i="1"/>
  <c r="CN11" i="1"/>
  <c r="CN8" i="1"/>
  <c r="CP412" i="1"/>
  <c r="AVC412" i="1"/>
  <c r="CP403" i="1"/>
  <c r="AVC403" i="1"/>
  <c r="CP396" i="1"/>
  <c r="AVC396" i="1"/>
  <c r="CP374" i="1"/>
  <c r="AVC374" i="1"/>
  <c r="CP361" i="1"/>
  <c r="AVC361" i="1"/>
  <c r="CP357" i="1"/>
  <c r="AVC357" i="1"/>
  <c r="CP338" i="1"/>
  <c r="AVC338" i="1"/>
  <c r="CP330" i="1"/>
  <c r="AVC330" i="1"/>
  <c r="CP326" i="1"/>
  <c r="AVC326" i="1"/>
  <c r="CP315" i="1"/>
  <c r="AVC315" i="1"/>
  <c r="CP304" i="1"/>
  <c r="AVC304" i="1"/>
  <c r="CP299" i="1"/>
  <c r="AVC299" i="1"/>
  <c r="CP282" i="1"/>
  <c r="AVC282" i="1"/>
  <c r="CP276" i="1"/>
  <c r="AVC276" i="1"/>
  <c r="CP270" i="1"/>
  <c r="AVC270" i="1"/>
  <c r="CP266" i="1"/>
  <c r="AVC266" i="1"/>
  <c r="CP262" i="1"/>
  <c r="AVC262" i="1"/>
  <c r="CP258" i="1"/>
  <c r="AVC258" i="1"/>
  <c r="CP251" i="1"/>
  <c r="AVC251" i="1"/>
  <c r="CP247" i="1"/>
  <c r="AVC247" i="1"/>
  <c r="CP242" i="1"/>
  <c r="AVC242" i="1"/>
  <c r="CP238" i="1"/>
  <c r="AVC238" i="1"/>
  <c r="CP225" i="1"/>
  <c r="AVC225" i="1"/>
  <c r="CP221" i="1"/>
  <c r="AVC221" i="1"/>
  <c r="CP211" i="1"/>
  <c r="AVC211" i="1"/>
  <c r="CP203" i="1"/>
  <c r="AVC203" i="1"/>
  <c r="CP199" i="1"/>
  <c r="AVC199" i="1"/>
  <c r="CP188" i="1"/>
  <c r="AVC188" i="1"/>
  <c r="CP184" i="1"/>
  <c r="AVC184" i="1"/>
  <c r="CP179" i="1"/>
  <c r="AVC179" i="1"/>
  <c r="CP175" i="1"/>
  <c r="AVC175" i="1"/>
  <c r="CP168" i="1"/>
  <c r="AVC168" i="1"/>
  <c r="CP163" i="1"/>
  <c r="AVC163" i="1"/>
  <c r="CP158" i="1"/>
  <c r="AVC158" i="1"/>
  <c r="CP147" i="1"/>
  <c r="AVC147" i="1"/>
  <c r="CP140" i="1"/>
  <c r="AVC140" i="1"/>
  <c r="CP125" i="1"/>
  <c r="AVC125" i="1"/>
  <c r="CP116" i="1"/>
  <c r="AVC116" i="1"/>
  <c r="CP108" i="1"/>
  <c r="AVC108" i="1"/>
  <c r="CP104" i="1"/>
  <c r="AVC104" i="1"/>
  <c r="CP90" i="1"/>
  <c r="AVC90" i="1"/>
  <c r="CP86" i="1"/>
  <c r="AVC86" i="1"/>
  <c r="CP80" i="1"/>
  <c r="AVC80" i="1"/>
  <c r="CP71" i="1"/>
  <c r="AVC71" i="1"/>
  <c r="CP64" i="1"/>
  <c r="AVC64" i="1"/>
  <c r="CP46" i="1"/>
  <c r="AVC46" i="1"/>
  <c r="CP42" i="1"/>
  <c r="AVC42" i="1"/>
  <c r="CP38" i="1"/>
  <c r="AVC38" i="1"/>
  <c r="CP27" i="1"/>
  <c r="AVC27" i="1"/>
  <c r="CP20" i="1"/>
  <c r="AVC20" i="1"/>
  <c r="CP15" i="1"/>
  <c r="AVC15" i="1"/>
  <c r="CR412" i="1"/>
  <c r="AVE412" i="1"/>
  <c r="CR403" i="1"/>
  <c r="AVE403" i="1"/>
  <c r="CR396" i="1"/>
  <c r="AVE396" i="1"/>
  <c r="CR374" i="1"/>
  <c r="AVE374" i="1"/>
  <c r="CR361" i="1"/>
  <c r="AVE361" i="1"/>
  <c r="CR357" i="1"/>
  <c r="AVE357" i="1"/>
  <c r="CR338" i="1"/>
  <c r="AVE338" i="1"/>
  <c r="CR330" i="1"/>
  <c r="AVE330" i="1"/>
  <c r="CR326" i="1"/>
  <c r="AVE326" i="1"/>
  <c r="CR315" i="1"/>
  <c r="AVE315" i="1"/>
  <c r="CR304" i="1"/>
  <c r="AVE304" i="1"/>
  <c r="CR299" i="1"/>
  <c r="AVE299" i="1"/>
  <c r="CR282" i="1"/>
  <c r="AVE282" i="1"/>
  <c r="CR276" i="1"/>
  <c r="AVE276" i="1"/>
  <c r="CR270" i="1"/>
  <c r="AVE270" i="1"/>
  <c r="CR266" i="1"/>
  <c r="AVE266" i="1"/>
  <c r="CR262" i="1"/>
  <c r="AVE262" i="1"/>
  <c r="CR258" i="1"/>
  <c r="AVE258" i="1"/>
  <c r="CR251" i="1"/>
  <c r="AVE251" i="1"/>
  <c r="CR247" i="1"/>
  <c r="AVE247" i="1"/>
  <c r="CR242" i="1"/>
  <c r="AVE242" i="1"/>
  <c r="CR238" i="1"/>
  <c r="AVE238" i="1"/>
  <c r="CR225" i="1"/>
  <c r="AVE225" i="1"/>
  <c r="CR221" i="1"/>
  <c r="AVE221" i="1"/>
  <c r="CR211" i="1"/>
  <c r="AVE211" i="1"/>
  <c r="CR203" i="1"/>
  <c r="AVE203" i="1"/>
  <c r="CR199" i="1"/>
  <c r="AVE199" i="1"/>
  <c r="CR188" i="1"/>
  <c r="AVE188" i="1"/>
  <c r="CR184" i="1"/>
  <c r="AVE184" i="1"/>
  <c r="CR179" i="1"/>
  <c r="AVE179" i="1"/>
  <c r="CR175" i="1"/>
  <c r="AVE175" i="1"/>
  <c r="CR168" i="1"/>
  <c r="AVE168" i="1"/>
  <c r="CR163" i="1"/>
  <c r="AVE163" i="1"/>
  <c r="CR158" i="1"/>
  <c r="AVE158" i="1"/>
  <c r="CR147" i="1"/>
  <c r="AVE147" i="1"/>
  <c r="CR140" i="1"/>
  <c r="AVE140" i="1"/>
  <c r="CR125" i="1"/>
  <c r="AVE125" i="1"/>
  <c r="CR116" i="1"/>
  <c r="AVE116" i="1"/>
  <c r="CR108" i="1"/>
  <c r="AVE108" i="1"/>
  <c r="CR104" i="1"/>
  <c r="AVE104" i="1"/>
  <c r="CR90" i="1"/>
  <c r="AVE90" i="1"/>
  <c r="CR86" i="1"/>
  <c r="AVE86" i="1"/>
  <c r="CR80" i="1"/>
  <c r="AVE80" i="1"/>
  <c r="CR71" i="1"/>
  <c r="AVE71" i="1"/>
  <c r="CR64" i="1"/>
  <c r="AVE64" i="1"/>
  <c r="CR46" i="1"/>
  <c r="AVE46" i="1"/>
  <c r="CR42" i="1"/>
  <c r="AVE42" i="1"/>
  <c r="CR38" i="1"/>
  <c r="AVE38" i="1"/>
  <c r="CR27" i="1"/>
  <c r="AVE27" i="1"/>
  <c r="CR20" i="1"/>
  <c r="AVE20" i="1"/>
  <c r="CR15" i="1"/>
  <c r="AVE15" i="1"/>
  <c r="CN415" i="1"/>
  <c r="AVA415" i="1"/>
  <c r="CN398" i="1"/>
  <c r="CN378" i="1"/>
  <c r="AVA378" i="1"/>
  <c r="CN375" i="1"/>
  <c r="AVA375" i="1"/>
  <c r="CN369" i="1"/>
  <c r="CN355" i="1"/>
  <c r="AVA355" i="1"/>
  <c r="CN341" i="1"/>
  <c r="AVA341" i="1"/>
  <c r="CN342" i="1"/>
  <c r="AVA342" i="1"/>
  <c r="CN334" i="1"/>
  <c r="AVA334" i="1"/>
  <c r="CN335" i="1"/>
  <c r="AVA335" i="1"/>
  <c r="CN333" i="1"/>
  <c r="AVA333" i="1"/>
  <c r="CN303" i="1"/>
  <c r="AVA303" i="1"/>
  <c r="CN267" i="1"/>
  <c r="AVA267" i="1"/>
  <c r="CN228" i="1"/>
  <c r="CN220" i="1"/>
  <c r="CN219" i="1"/>
  <c r="AVA219" i="1"/>
  <c r="CN201" i="1"/>
  <c r="AVA201" i="1"/>
  <c r="CN187" i="1"/>
  <c r="AVA187" i="1"/>
  <c r="CN170" i="1"/>
  <c r="AVA170" i="1"/>
  <c r="CN132" i="1"/>
  <c r="CN118" i="1"/>
  <c r="AVA118" i="1"/>
  <c r="CN94" i="1"/>
  <c r="AVA94" i="1"/>
  <c r="CN88" i="1"/>
  <c r="AVA88" i="1"/>
  <c r="CN89" i="1"/>
  <c r="AVA89" i="1"/>
  <c r="CN91" i="1"/>
  <c r="AVA91" i="1"/>
  <c r="CN78" i="1"/>
  <c r="CN76" i="1"/>
  <c r="CN72" i="1"/>
  <c r="AVA72" i="1"/>
  <c r="CN65" i="1"/>
  <c r="AVA65" i="1"/>
  <c r="AQ311" i="1"/>
  <c r="AQ312" i="1"/>
  <c r="CA181" i="1"/>
  <c r="AQ182" i="1"/>
  <c r="CB181" i="1"/>
  <c r="CC181" i="1"/>
  <c r="CG181" i="1"/>
  <c r="BZ181" i="1"/>
  <c r="N46" i="18"/>
  <c r="N46" i="19"/>
  <c r="CG123" i="1"/>
  <c r="BK457" i="1"/>
  <c r="BR123" i="1"/>
  <c r="AV457" i="1"/>
  <c r="BR4" i="1"/>
  <c r="AV456" i="1"/>
  <c r="BK4" i="1"/>
  <c r="AO456" i="1"/>
  <c r="AO458" i="1" s="1"/>
  <c r="AO459" i="1" s="1"/>
  <c r="BX379" i="1"/>
  <c r="AVG379" i="1" s="1"/>
  <c r="BX245" i="1"/>
  <c r="V416" i="1"/>
  <c r="W416" i="1" s="1"/>
  <c r="AP416" i="1"/>
  <c r="V411" i="1"/>
  <c r="W411" i="1" s="1"/>
  <c r="V403" i="1"/>
  <c r="W403" i="1" s="1"/>
  <c r="AP403" i="1"/>
  <c r="V397" i="1"/>
  <c r="W397" i="1" s="1"/>
  <c r="AP397" i="1"/>
  <c r="V377" i="1"/>
  <c r="W377" i="1" s="1"/>
  <c r="AP377" i="1"/>
  <c r="V365" i="1"/>
  <c r="W365" i="1" s="1"/>
  <c r="V361" i="1"/>
  <c r="W361" i="1" s="1"/>
  <c r="AP361" i="1"/>
  <c r="V357" i="1"/>
  <c r="W357" i="1" s="1"/>
  <c r="AP357" i="1"/>
  <c r="V351" i="1"/>
  <c r="W351" i="1" s="1"/>
  <c r="AP351" i="1"/>
  <c r="V339" i="1"/>
  <c r="W339" i="1" s="1"/>
  <c r="AP339" i="1"/>
  <c r="V335" i="1"/>
  <c r="W335" i="1" s="1"/>
  <c r="AP335" i="1"/>
  <c r="V331" i="1"/>
  <c r="W331" i="1" s="1"/>
  <c r="AP331" i="1"/>
  <c r="V327" i="1"/>
  <c r="W327" i="1" s="1"/>
  <c r="AP327" i="1"/>
  <c r="V316" i="1"/>
  <c r="W316" i="1" s="1"/>
  <c r="AP316" i="1"/>
  <c r="V305" i="1"/>
  <c r="W305" i="1" s="1"/>
  <c r="AP305" i="1"/>
  <c r="V297" i="1"/>
  <c r="W297" i="1" s="1"/>
  <c r="AP297" i="1"/>
  <c r="V280" i="1"/>
  <c r="W280" i="1" s="1"/>
  <c r="AP280" i="1"/>
  <c r="V269" i="1"/>
  <c r="W269" i="1" s="1"/>
  <c r="AP269" i="1"/>
  <c r="V265" i="1"/>
  <c r="W265" i="1" s="1"/>
  <c r="AP265" i="1"/>
  <c r="V261" i="1"/>
  <c r="W261" i="1" s="1"/>
  <c r="AP261" i="1"/>
  <c r="V257" i="1"/>
  <c r="W257" i="1" s="1"/>
  <c r="AP257" i="1"/>
  <c r="V250" i="1"/>
  <c r="W250" i="1" s="1"/>
  <c r="AP250" i="1"/>
  <c r="V245" i="1"/>
  <c r="W245" i="1" s="1"/>
  <c r="AP245" i="1"/>
  <c r="V241" i="1"/>
  <c r="W241" i="1" s="1"/>
  <c r="AP241" i="1"/>
  <c r="V226" i="1"/>
  <c r="W226" i="1" s="1"/>
  <c r="AP226" i="1"/>
  <c r="V222" i="1"/>
  <c r="W222" i="1" s="1"/>
  <c r="AP222" i="1"/>
  <c r="V213" i="1"/>
  <c r="W213" i="1" s="1"/>
  <c r="AP213" i="1"/>
  <c r="V209" i="1"/>
  <c r="W209" i="1" s="1"/>
  <c r="AP209" i="1"/>
  <c r="V201" i="1"/>
  <c r="W201" i="1" s="1"/>
  <c r="AP201" i="1"/>
  <c r="V196" i="1"/>
  <c r="W196" i="1" s="1"/>
  <c r="AP196" i="1"/>
  <c r="V186" i="1"/>
  <c r="W186" i="1" s="1"/>
  <c r="AP186" i="1"/>
  <c r="V181" i="1"/>
  <c r="W181" i="1" s="1"/>
  <c r="AP181" i="1"/>
  <c r="V177" i="1"/>
  <c r="W177" i="1" s="1"/>
  <c r="AP177" i="1"/>
  <c r="V170" i="1"/>
  <c r="W170" i="1" s="1"/>
  <c r="AP170" i="1"/>
  <c r="V166" i="1"/>
  <c r="W166" i="1" s="1"/>
  <c r="AP166" i="1"/>
  <c r="V161" i="1"/>
  <c r="W161" i="1" s="1"/>
  <c r="AP161" i="1"/>
  <c r="V149" i="1"/>
  <c r="W149" i="1" s="1"/>
  <c r="AP149" i="1"/>
  <c r="V142" i="1"/>
  <c r="W142" i="1" s="1"/>
  <c r="AP142" i="1"/>
  <c r="V138" i="1"/>
  <c r="W138" i="1" s="1"/>
  <c r="AP138" i="1"/>
  <c r="V127" i="1"/>
  <c r="W127" i="1" s="1"/>
  <c r="AP127" i="1"/>
  <c r="V118" i="1"/>
  <c r="W118" i="1" s="1"/>
  <c r="AP118" i="1"/>
  <c r="V114" i="1"/>
  <c r="W114" i="1" s="1"/>
  <c r="AP114" i="1"/>
  <c r="V107" i="1"/>
  <c r="W107" i="1" s="1"/>
  <c r="AP107" i="1"/>
  <c r="V94" i="1"/>
  <c r="W94" i="1" s="1"/>
  <c r="AP94" i="1"/>
  <c r="V90" i="1"/>
  <c r="W90" i="1" s="1"/>
  <c r="AP90" i="1"/>
  <c r="V86" i="1"/>
  <c r="W86" i="1" s="1"/>
  <c r="AP86" i="1"/>
  <c r="V82" i="1"/>
  <c r="W82" i="1" s="1"/>
  <c r="AP82" i="1"/>
  <c r="V73" i="1"/>
  <c r="W73" i="1" s="1"/>
  <c r="AP73" i="1"/>
  <c r="V68" i="1"/>
  <c r="W68" i="1" s="1"/>
  <c r="AP68" i="1"/>
  <c r="V64" i="1"/>
  <c r="W64" i="1" s="1"/>
  <c r="AP64" i="1"/>
  <c r="V48" i="1"/>
  <c r="W48" i="1" s="1"/>
  <c r="AP48" i="1"/>
  <c r="V44" i="1"/>
  <c r="W44" i="1" s="1"/>
  <c r="AP44" i="1"/>
  <c r="V40" i="1"/>
  <c r="W40" i="1" s="1"/>
  <c r="AP40" i="1"/>
  <c r="V30" i="1"/>
  <c r="W30" i="1" s="1"/>
  <c r="AP30" i="1"/>
  <c r="V26" i="1"/>
  <c r="W26" i="1" s="1"/>
  <c r="AP26" i="1"/>
  <c r="V15" i="1"/>
  <c r="W15" i="1" s="1"/>
  <c r="AP15" i="1"/>
  <c r="V415" i="1"/>
  <c r="W415" i="1" s="1"/>
  <c r="AP415" i="1"/>
  <c r="V410" i="1"/>
  <c r="W410" i="1" s="1"/>
  <c r="AP410" i="1"/>
  <c r="V402" i="1"/>
  <c r="W402" i="1" s="1"/>
  <c r="AP402" i="1"/>
  <c r="V396" i="1"/>
  <c r="W396" i="1" s="1"/>
  <c r="AP396" i="1"/>
  <c r="V376" i="1"/>
  <c r="W376" i="1" s="1"/>
  <c r="AP376" i="1"/>
  <c r="V364" i="1"/>
  <c r="W364" i="1" s="1"/>
  <c r="AP364" i="1"/>
  <c r="V360" i="1"/>
  <c r="W360" i="1" s="1"/>
  <c r="AP360" i="1"/>
  <c r="V356" i="1"/>
  <c r="W356" i="1" s="1"/>
  <c r="AP356" i="1"/>
  <c r="V342" i="1"/>
  <c r="W342" i="1" s="1"/>
  <c r="AP342" i="1"/>
  <c r="V338" i="1"/>
  <c r="W338" i="1" s="1"/>
  <c r="AP338" i="1"/>
  <c r="V334" i="1"/>
  <c r="W334" i="1" s="1"/>
  <c r="AP334" i="1"/>
  <c r="V330" i="1"/>
  <c r="W330" i="1" s="1"/>
  <c r="AP330" i="1"/>
  <c r="V326" i="1"/>
  <c r="W326" i="1" s="1"/>
  <c r="AP326" i="1"/>
  <c r="V315" i="1"/>
  <c r="W315" i="1" s="1"/>
  <c r="AP315" i="1"/>
  <c r="V304" i="1"/>
  <c r="W304" i="1" s="1"/>
  <c r="AP304" i="1"/>
  <c r="V300" i="1"/>
  <c r="W300" i="1" s="1"/>
  <c r="AP300" i="1"/>
  <c r="V296" i="1"/>
  <c r="W296" i="1" s="1"/>
  <c r="AP296" i="1"/>
  <c r="V277" i="1"/>
  <c r="W277" i="1" s="1"/>
  <c r="AP277" i="1"/>
  <c r="V273" i="1"/>
  <c r="W273" i="1" s="1"/>
  <c r="AP273" i="1"/>
  <c r="V268" i="1"/>
  <c r="W268" i="1" s="1"/>
  <c r="AP268" i="1"/>
  <c r="V264" i="1"/>
  <c r="W264" i="1" s="1"/>
  <c r="AP264" i="1"/>
  <c r="V260" i="1"/>
  <c r="W260" i="1" s="1"/>
  <c r="AP260" i="1"/>
  <c r="V253" i="1"/>
  <c r="W253" i="1" s="1"/>
  <c r="AP253" i="1"/>
  <c r="V249" i="1"/>
  <c r="W249" i="1" s="1"/>
  <c r="AP249" i="1"/>
  <c r="V244" i="1"/>
  <c r="W244" i="1" s="1"/>
  <c r="AP244" i="1"/>
  <c r="V240" i="1"/>
  <c r="W240" i="1" s="1"/>
  <c r="AP240" i="1"/>
  <c r="V236" i="1"/>
  <c r="W236" i="1" s="1"/>
  <c r="AP236" i="1"/>
  <c r="V225" i="1"/>
  <c r="W225" i="1" s="1"/>
  <c r="AP225" i="1"/>
  <c r="V221" i="1"/>
  <c r="W221" i="1" s="1"/>
  <c r="AP221" i="1"/>
  <c r="V212" i="1"/>
  <c r="W212" i="1" s="1"/>
  <c r="AP212" i="1"/>
  <c r="V204" i="1"/>
  <c r="W204" i="1" s="1"/>
  <c r="AP204" i="1"/>
  <c r="V200" i="1"/>
  <c r="W200" i="1" s="1"/>
  <c r="AP200" i="1"/>
  <c r="V185" i="1"/>
  <c r="W185" i="1" s="1"/>
  <c r="AP185" i="1"/>
  <c r="V180" i="1"/>
  <c r="W180" i="1" s="1"/>
  <c r="AP180" i="1"/>
  <c r="V176" i="1"/>
  <c r="W176" i="1" s="1"/>
  <c r="AP176" i="1"/>
  <c r="V169" i="1"/>
  <c r="W169" i="1" s="1"/>
  <c r="AP169" i="1"/>
  <c r="V164" i="1"/>
  <c r="AP164" i="1"/>
  <c r="V159" i="1"/>
  <c r="W159" i="1" s="1"/>
  <c r="AP159" i="1"/>
  <c r="V148" i="1"/>
  <c r="W148" i="1" s="1"/>
  <c r="AP148" i="1"/>
  <c r="V141" i="1"/>
  <c r="W141" i="1" s="1"/>
  <c r="AP141" i="1"/>
  <c r="V130" i="1"/>
  <c r="W130" i="1" s="1"/>
  <c r="AP130" i="1"/>
  <c r="V126" i="1"/>
  <c r="W126" i="1" s="1"/>
  <c r="AP126" i="1"/>
  <c r="V117" i="1"/>
  <c r="W117" i="1" s="1"/>
  <c r="AP117" i="1"/>
  <c r="V106" i="1"/>
  <c r="W106" i="1" s="1"/>
  <c r="AP106" i="1"/>
  <c r="V89" i="1"/>
  <c r="W89" i="1" s="1"/>
  <c r="AP89" i="1"/>
  <c r="V85" i="1"/>
  <c r="W85" i="1" s="1"/>
  <c r="AP85" i="1"/>
  <c r="V81" i="1"/>
  <c r="W81" i="1" s="1"/>
  <c r="V72" i="1"/>
  <c r="W72" i="1" s="1"/>
  <c r="AP72" i="1"/>
  <c r="V67" i="1"/>
  <c r="W67" i="1" s="1"/>
  <c r="V63" i="1"/>
  <c r="W63" i="1" s="1"/>
  <c r="AP63" i="1"/>
  <c r="V43" i="1"/>
  <c r="W43" i="1" s="1"/>
  <c r="AP43" i="1"/>
  <c r="V39" i="1"/>
  <c r="W39" i="1" s="1"/>
  <c r="AP39" i="1"/>
  <c r="V29" i="1"/>
  <c r="W29" i="1" s="1"/>
  <c r="AP29" i="1"/>
  <c r="V25" i="1"/>
  <c r="W25" i="1" s="1"/>
  <c r="AP25" i="1"/>
  <c r="V18" i="1"/>
  <c r="W18" i="1" s="1"/>
  <c r="AP18" i="1"/>
  <c r="V14" i="1"/>
  <c r="W14" i="1" s="1"/>
  <c r="AP14" i="1"/>
  <c r="V414" i="1"/>
  <c r="W414" i="1" s="1"/>
  <c r="AP414" i="1"/>
  <c r="V409" i="1"/>
  <c r="W409" i="1" s="1"/>
  <c r="AP409" i="1"/>
  <c r="V399" i="1"/>
  <c r="W399" i="1" s="1"/>
  <c r="AP399" i="1"/>
  <c r="V395" i="1"/>
  <c r="W395" i="1" s="1"/>
  <c r="AP395" i="1"/>
  <c r="V379" i="1"/>
  <c r="W379" i="1" s="1"/>
  <c r="AP379" i="1"/>
  <c r="V375" i="1"/>
  <c r="W375" i="1" s="1"/>
  <c r="AP375" i="1"/>
  <c r="V363" i="1"/>
  <c r="W363" i="1" s="1"/>
  <c r="AP363" i="1"/>
  <c r="V359" i="1"/>
  <c r="W359" i="1" s="1"/>
  <c r="AP359" i="1"/>
  <c r="V355" i="1"/>
  <c r="W355" i="1" s="1"/>
  <c r="V341" i="1"/>
  <c r="W341" i="1" s="1"/>
  <c r="AP341" i="1"/>
  <c r="V337" i="1"/>
  <c r="W337" i="1" s="1"/>
  <c r="AP337" i="1"/>
  <c r="V333" i="1"/>
  <c r="W333" i="1" s="1"/>
  <c r="AP333" i="1"/>
  <c r="V329" i="1"/>
  <c r="W329" i="1" s="1"/>
  <c r="AP329" i="1"/>
  <c r="V318" i="1"/>
  <c r="W318" i="1" s="1"/>
  <c r="AP318" i="1"/>
  <c r="V314" i="1"/>
  <c r="W314" i="1" s="1"/>
  <c r="AP314" i="1"/>
  <c r="V303" i="1"/>
  <c r="W303" i="1" s="1"/>
  <c r="AP303" i="1"/>
  <c r="V299" i="1"/>
  <c r="W299" i="1" s="1"/>
  <c r="AP299" i="1"/>
  <c r="V282" i="1"/>
  <c r="W282" i="1" s="1"/>
  <c r="AP282" i="1"/>
  <c r="V276" i="1"/>
  <c r="W276" i="1" s="1"/>
  <c r="AP276" i="1"/>
  <c r="V271" i="1"/>
  <c r="W271" i="1" s="1"/>
  <c r="AP271" i="1"/>
  <c r="V267" i="1"/>
  <c r="W267" i="1" s="1"/>
  <c r="AP267" i="1"/>
  <c r="V263" i="1"/>
  <c r="W263" i="1" s="1"/>
  <c r="AP263" i="1"/>
  <c r="V259" i="1"/>
  <c r="W259" i="1" s="1"/>
  <c r="AP259" i="1"/>
  <c r="V252" i="1"/>
  <c r="W252" i="1" s="1"/>
  <c r="AP252" i="1"/>
  <c r="V248" i="1"/>
  <c r="W248" i="1" s="1"/>
  <c r="AP248" i="1"/>
  <c r="V243" i="1"/>
  <c r="W243" i="1" s="1"/>
  <c r="AP243" i="1"/>
  <c r="V239" i="1"/>
  <c r="W239" i="1" s="1"/>
  <c r="AP239" i="1"/>
  <c r="V224" i="1"/>
  <c r="W224" i="1" s="1"/>
  <c r="AP224" i="1"/>
  <c r="V211" i="1"/>
  <c r="W211" i="1" s="1"/>
  <c r="AP211" i="1"/>
  <c r="V203" i="1"/>
  <c r="W203" i="1" s="1"/>
  <c r="AP203" i="1"/>
  <c r="V199" i="1"/>
  <c r="W199" i="1" s="1"/>
  <c r="AP199" i="1"/>
  <c r="V188" i="1"/>
  <c r="W188" i="1" s="1"/>
  <c r="AP188" i="1"/>
  <c r="V184" i="1"/>
  <c r="W184" i="1" s="1"/>
  <c r="AP184" i="1"/>
  <c r="V179" i="1"/>
  <c r="W179" i="1" s="1"/>
  <c r="AP179" i="1"/>
  <c r="V175" i="1"/>
  <c r="W175" i="1" s="1"/>
  <c r="AP175" i="1"/>
  <c r="V168" i="1"/>
  <c r="W168" i="1" s="1"/>
  <c r="AP168" i="1"/>
  <c r="V163" i="1"/>
  <c r="W163" i="1" s="1"/>
  <c r="AP163" i="1"/>
  <c r="V158" i="1"/>
  <c r="W158" i="1" s="1"/>
  <c r="AP158" i="1"/>
  <c r="V147" i="1"/>
  <c r="W147" i="1" s="1"/>
  <c r="AP147" i="1"/>
  <c r="V140" i="1"/>
  <c r="W140" i="1" s="1"/>
  <c r="AP140" i="1"/>
  <c r="V129" i="1"/>
  <c r="W129" i="1" s="1"/>
  <c r="AP129" i="1"/>
  <c r="V125" i="1"/>
  <c r="W125" i="1" s="1"/>
  <c r="AP125" i="1"/>
  <c r="V116" i="1"/>
  <c r="W116" i="1" s="1"/>
  <c r="AP116" i="1"/>
  <c r="V109" i="1"/>
  <c r="W109" i="1" s="1"/>
  <c r="AP109" i="1"/>
  <c r="V105" i="1"/>
  <c r="W105" i="1" s="1"/>
  <c r="AP105" i="1"/>
  <c r="V92" i="1"/>
  <c r="W92" i="1" s="1"/>
  <c r="AP92" i="1"/>
  <c r="V88" i="1"/>
  <c r="W88" i="1" s="1"/>
  <c r="AP88" i="1"/>
  <c r="V84" i="1"/>
  <c r="W84" i="1" s="1"/>
  <c r="AP84" i="1"/>
  <c r="V80" i="1"/>
  <c r="W80" i="1" s="1"/>
  <c r="AP80" i="1"/>
  <c r="V71" i="1"/>
  <c r="W71" i="1" s="1"/>
  <c r="AP71" i="1"/>
  <c r="V66" i="1"/>
  <c r="W66" i="1" s="1"/>
  <c r="AP66" i="1"/>
  <c r="V46" i="1"/>
  <c r="W46" i="1" s="1"/>
  <c r="AP46" i="1"/>
  <c r="V42" i="1"/>
  <c r="W42" i="1" s="1"/>
  <c r="AP42" i="1"/>
  <c r="V38" i="1"/>
  <c r="W38" i="1" s="1"/>
  <c r="AP38" i="1"/>
  <c r="V28" i="1"/>
  <c r="W28" i="1" s="1"/>
  <c r="AP28" i="1"/>
  <c r="V21" i="1"/>
  <c r="W21" i="1" s="1"/>
  <c r="AP21" i="1"/>
  <c r="V17" i="1"/>
  <c r="W17" i="1" s="1"/>
  <c r="AP17" i="1"/>
  <c r="V13" i="1"/>
  <c r="W13" i="1" s="1"/>
  <c r="AP13" i="1"/>
  <c r="V417" i="1"/>
  <c r="W417" i="1" s="1"/>
  <c r="AP417" i="1"/>
  <c r="V412" i="1"/>
  <c r="W412" i="1" s="1"/>
  <c r="AP412" i="1"/>
  <c r="V404" i="1"/>
  <c r="W404" i="1" s="1"/>
  <c r="AP404" i="1"/>
  <c r="V394" i="1"/>
  <c r="W394" i="1" s="1"/>
  <c r="AP394" i="1"/>
  <c r="V378" i="1"/>
  <c r="W378" i="1" s="1"/>
  <c r="AP378" i="1"/>
  <c r="V374" i="1"/>
  <c r="W374" i="1" s="1"/>
  <c r="AP374" i="1"/>
  <c r="V362" i="1"/>
  <c r="W362" i="1" s="1"/>
  <c r="AP362" i="1"/>
  <c r="V358" i="1"/>
  <c r="W358" i="1" s="1"/>
  <c r="AP358" i="1"/>
  <c r="V352" i="1"/>
  <c r="W352" i="1" s="1"/>
  <c r="AP352" i="1"/>
  <c r="V340" i="1"/>
  <c r="W340" i="1" s="1"/>
  <c r="AP340" i="1"/>
  <c r="V336" i="1"/>
  <c r="W336" i="1" s="1"/>
  <c r="AP336" i="1"/>
  <c r="V332" i="1"/>
  <c r="W332" i="1" s="1"/>
  <c r="AP332" i="1"/>
  <c r="V328" i="1"/>
  <c r="W328" i="1" s="1"/>
  <c r="AP328" i="1"/>
  <c r="V317" i="1"/>
  <c r="W317" i="1" s="1"/>
  <c r="AP317" i="1"/>
  <c r="V313" i="1"/>
  <c r="W313" i="1" s="1"/>
  <c r="AP313" i="1"/>
  <c r="V302" i="1"/>
  <c r="W302" i="1" s="1"/>
  <c r="AP302" i="1"/>
  <c r="V298" i="1"/>
  <c r="W298" i="1" s="1"/>
  <c r="AP298" i="1"/>
  <c r="V281" i="1"/>
  <c r="W281" i="1" s="1"/>
  <c r="AP281" i="1"/>
  <c r="V275" i="1"/>
  <c r="W275" i="1" s="1"/>
  <c r="AP275" i="1"/>
  <c r="V270" i="1"/>
  <c r="W270" i="1" s="1"/>
  <c r="AP270" i="1"/>
  <c r="V266" i="1"/>
  <c r="W266" i="1" s="1"/>
  <c r="AP266" i="1"/>
  <c r="V262" i="1"/>
  <c r="W262" i="1" s="1"/>
  <c r="AP262" i="1"/>
  <c r="V258" i="1"/>
  <c r="W258" i="1" s="1"/>
  <c r="AP258" i="1"/>
  <c r="V251" i="1"/>
  <c r="W251" i="1" s="1"/>
  <c r="AP251" i="1"/>
  <c r="V247" i="1"/>
  <c r="W247" i="1" s="1"/>
  <c r="AP247" i="1"/>
  <c r="V242" i="1"/>
  <c r="W242" i="1" s="1"/>
  <c r="AP242" i="1"/>
  <c r="V238" i="1"/>
  <c r="W238" i="1" s="1"/>
  <c r="AP238" i="1"/>
  <c r="V227" i="1"/>
  <c r="W227" i="1" s="1"/>
  <c r="AP227" i="1"/>
  <c r="V223" i="1"/>
  <c r="W223" i="1" s="1"/>
  <c r="AP223" i="1"/>
  <c r="V219" i="1"/>
  <c r="W219" i="1" s="1"/>
  <c r="AP219" i="1"/>
  <c r="V210" i="1"/>
  <c r="W210" i="1" s="1"/>
  <c r="AP210" i="1"/>
  <c r="V202" i="1"/>
  <c r="W202" i="1" s="1"/>
  <c r="AP202" i="1"/>
  <c r="V197" i="1"/>
  <c r="W197" i="1" s="1"/>
  <c r="AP197" i="1"/>
  <c r="V187" i="1"/>
  <c r="W187" i="1" s="1"/>
  <c r="AP187" i="1"/>
  <c r="V183" i="1"/>
  <c r="W183" i="1" s="1"/>
  <c r="AP183" i="1"/>
  <c r="V178" i="1"/>
  <c r="W178" i="1" s="1"/>
  <c r="AP178" i="1"/>
  <c r="V171" i="1"/>
  <c r="W171" i="1" s="1"/>
  <c r="AP171" i="1"/>
  <c r="V167" i="1"/>
  <c r="W167" i="1" s="1"/>
  <c r="AP167" i="1"/>
  <c r="V162" i="1"/>
  <c r="W162" i="1" s="1"/>
  <c r="AP162" i="1"/>
  <c r="V157" i="1"/>
  <c r="W157" i="1" s="1"/>
  <c r="AP157" i="1"/>
  <c r="V143" i="1"/>
  <c r="W143" i="1" s="1"/>
  <c r="AP143" i="1"/>
  <c r="V139" i="1"/>
  <c r="W139" i="1" s="1"/>
  <c r="AP139" i="1"/>
  <c r="V128" i="1"/>
  <c r="W128" i="1" s="1"/>
  <c r="AP128" i="1"/>
  <c r="V124" i="1"/>
  <c r="W124" i="1" s="1"/>
  <c r="AP124" i="1"/>
  <c r="V115" i="1"/>
  <c r="W115" i="1" s="1"/>
  <c r="AP115" i="1"/>
  <c r="V108" i="1"/>
  <c r="W108" i="1" s="1"/>
  <c r="AP108" i="1"/>
  <c r="V104" i="1"/>
  <c r="W104" i="1" s="1"/>
  <c r="AP104" i="1"/>
  <c r="V91" i="1"/>
  <c r="W91" i="1" s="1"/>
  <c r="AP91" i="1"/>
  <c r="V87" i="1"/>
  <c r="W87" i="1" s="1"/>
  <c r="AP87" i="1"/>
  <c r="V83" i="1"/>
  <c r="W83" i="1" s="1"/>
  <c r="V74" i="1"/>
  <c r="W74" i="1" s="1"/>
  <c r="AP74" i="1"/>
  <c r="V70" i="1"/>
  <c r="W70" i="1" s="1"/>
  <c r="AP70" i="1"/>
  <c r="V65" i="1"/>
  <c r="W65" i="1" s="1"/>
  <c r="V61" i="1"/>
  <c r="W61" i="1" s="1"/>
  <c r="AP61" i="1"/>
  <c r="V45" i="1"/>
  <c r="W45" i="1" s="1"/>
  <c r="AP45" i="1"/>
  <c r="V41" i="1"/>
  <c r="W41" i="1" s="1"/>
  <c r="AP41" i="1"/>
  <c r="V27" i="1"/>
  <c r="W27" i="1" s="1"/>
  <c r="AP27" i="1"/>
  <c r="V20" i="1"/>
  <c r="W20" i="1" s="1"/>
  <c r="AP20" i="1"/>
  <c r="V16" i="1"/>
  <c r="W16" i="1" s="1"/>
  <c r="AP16" i="1"/>
  <c r="N93" i="12"/>
  <c r="BX270" i="1"/>
  <c r="CD30" i="1"/>
  <c r="CD26" i="1"/>
  <c r="BX244" i="1"/>
  <c r="AVG244" i="1" s="1"/>
  <c r="DX18" i="15"/>
  <c r="CC18" i="15"/>
  <c r="AG18" i="15"/>
  <c r="CD38" i="1"/>
  <c r="CD46" i="1"/>
  <c r="CD42" i="1"/>
  <c r="BX188" i="1"/>
  <c r="AVG188" i="1" s="1"/>
  <c r="BX186" i="1"/>
  <c r="BX130" i="1"/>
  <c r="BX20" i="1"/>
  <c r="BX18" i="1"/>
  <c r="BX16" i="1"/>
  <c r="BX14" i="1"/>
  <c r="BX184" i="1"/>
  <c r="BX181" i="1"/>
  <c r="BX179" i="1"/>
  <c r="BX177" i="1"/>
  <c r="BX175" i="1"/>
  <c r="BX171" i="1"/>
  <c r="BX169" i="1"/>
  <c r="BX167" i="1"/>
  <c r="AVG167" i="1" s="1"/>
  <c r="CT164" i="1"/>
  <c r="BX162" i="1"/>
  <c r="BX159" i="1"/>
  <c r="BX157" i="1"/>
  <c r="BX149" i="1"/>
  <c r="BX147" i="1"/>
  <c r="BX142" i="1"/>
  <c r="BX140" i="1"/>
  <c r="BX138" i="1"/>
  <c r="BX128" i="1"/>
  <c r="BX126" i="1"/>
  <c r="BX124" i="1"/>
  <c r="BX118" i="1"/>
  <c r="CT118" i="1" s="1"/>
  <c r="BX116" i="1"/>
  <c r="BX114" i="1"/>
  <c r="BX108" i="1"/>
  <c r="BX106" i="1"/>
  <c r="BX104" i="1"/>
  <c r="BX91" i="1"/>
  <c r="CT91" i="1" s="1"/>
  <c r="BX89" i="1"/>
  <c r="CT89" i="1" s="1"/>
  <c r="BX87" i="1"/>
  <c r="BX85" i="1"/>
  <c r="BX63" i="1"/>
  <c r="BX61" i="1"/>
  <c r="BX48" i="1"/>
  <c r="BX46" i="1"/>
  <c r="BX44" i="1"/>
  <c r="BX42" i="1"/>
  <c r="BX40" i="1"/>
  <c r="BX38" i="1"/>
  <c r="BX30" i="1"/>
  <c r="AVG30" i="1" s="1"/>
  <c r="BX28" i="1"/>
  <c r="BX26" i="1"/>
  <c r="O20" i="15"/>
  <c r="DF20" i="15"/>
  <c r="BK20" i="15"/>
  <c r="CC12" i="15"/>
  <c r="DX12" i="15"/>
  <c r="O35" i="15"/>
  <c r="AG12" i="15"/>
  <c r="N129" i="12"/>
  <c r="N120" i="12"/>
  <c r="N111" i="12"/>
  <c r="N84" i="12"/>
  <c r="N75" i="12"/>
  <c r="N165" i="12"/>
  <c r="N66" i="12"/>
  <c r="N57" i="12"/>
  <c r="N30" i="12"/>
  <c r="N147" i="12"/>
  <c r="N21" i="12"/>
  <c r="N12" i="12"/>
  <c r="N174" i="12"/>
  <c r="N102" i="12"/>
  <c r="DC93" i="1"/>
  <c r="CN93" i="1"/>
  <c r="CN159" i="1"/>
  <c r="CN245" i="1"/>
  <c r="N48" i="12"/>
  <c r="AQ159" i="1"/>
  <c r="BM159" i="1" s="1"/>
  <c r="AUV159" i="1" s="1"/>
  <c r="AUW159" i="1" s="1"/>
  <c r="AUX159" i="1" s="1"/>
  <c r="AQ89" i="1"/>
  <c r="AR89" i="1" s="1"/>
  <c r="AS89" i="1" s="1"/>
  <c r="AQ81" i="1"/>
  <c r="AR81" i="1" s="1"/>
  <c r="AS81" i="1" s="1"/>
  <c r="AQ63" i="1"/>
  <c r="BM63" i="1" s="1"/>
  <c r="AUV63" i="1" s="1"/>
  <c r="AQ184" i="1"/>
  <c r="AR184" i="1" s="1"/>
  <c r="AS184" i="1" s="1"/>
  <c r="AQ175" i="1"/>
  <c r="AR175" i="1" s="1"/>
  <c r="AS175" i="1" s="1"/>
  <c r="AQ140" i="1"/>
  <c r="AR140" i="1" s="1"/>
  <c r="AS140" i="1" s="1"/>
  <c r="AQ116" i="1"/>
  <c r="AR116" i="1" s="1"/>
  <c r="AS116" i="1" s="1"/>
  <c r="AQ71" i="1"/>
  <c r="AQ46" i="1"/>
  <c r="BM46" i="1" s="1"/>
  <c r="AUV46" i="1" s="1"/>
  <c r="AUW46" i="1" s="1"/>
  <c r="AUX46" i="1" s="1"/>
  <c r="AQ42" i="1"/>
  <c r="AR42" i="1" s="1"/>
  <c r="AS42" i="1" s="1"/>
  <c r="AQ38" i="1"/>
  <c r="AR38" i="1" s="1"/>
  <c r="AS38" i="1" s="1"/>
  <c r="AQ28" i="1"/>
  <c r="BM28" i="1" s="1"/>
  <c r="AUV28" i="1" s="1"/>
  <c r="AUW28" i="1" s="1"/>
  <c r="AUX28" i="1" s="1"/>
  <c r="AQ204" i="1"/>
  <c r="AR204" i="1" s="1"/>
  <c r="AS204" i="1" s="1"/>
  <c r="AQ169" i="1"/>
  <c r="AR169" i="1" s="1"/>
  <c r="AS169" i="1" s="1"/>
  <c r="AQ126" i="1"/>
  <c r="AQ18" i="1"/>
  <c r="AR18" i="1" s="1"/>
  <c r="AS18" i="1" s="1"/>
  <c r="AQ167" i="1"/>
  <c r="AQ157" i="1"/>
  <c r="BM157" i="1" s="1"/>
  <c r="AUV157" i="1" s="1"/>
  <c r="AUW157" i="1" s="1"/>
  <c r="AUX157" i="1" s="1"/>
  <c r="AQ124" i="1"/>
  <c r="BM124" i="1" s="1"/>
  <c r="AUV124" i="1" s="1"/>
  <c r="AUW124" i="1" s="1"/>
  <c r="AUX124" i="1" s="1"/>
  <c r="AQ108" i="1"/>
  <c r="BM108" i="1" s="1"/>
  <c r="AUV108" i="1" s="1"/>
  <c r="AUW108" i="1" s="1"/>
  <c r="AUX108" i="1" s="1"/>
  <c r="AQ104" i="1"/>
  <c r="BM104" i="1" s="1"/>
  <c r="AUV104" i="1" s="1"/>
  <c r="AUW104" i="1" s="1"/>
  <c r="AUX104" i="1" s="1"/>
  <c r="AQ91" i="1"/>
  <c r="AQ83" i="1"/>
  <c r="BM83" i="1" s="1"/>
  <c r="AUV83" i="1" s="1"/>
  <c r="AUW83" i="1" s="1"/>
  <c r="AUX83" i="1" s="1"/>
  <c r="AQ65" i="1"/>
  <c r="AR65" i="1" s="1"/>
  <c r="AS65" i="1" s="1"/>
  <c r="AQ61" i="1"/>
  <c r="AR61" i="1" s="1"/>
  <c r="AS61" i="1" s="1"/>
  <c r="AQ20" i="1"/>
  <c r="AQ16" i="1"/>
  <c r="BM16" i="1" s="1"/>
  <c r="AUV16" i="1" s="1"/>
  <c r="AUW16" i="1" s="1"/>
  <c r="AUX16" i="1" s="1"/>
  <c r="AQ67" i="1"/>
  <c r="AR67" i="1" s="1"/>
  <c r="AS67" i="1" s="1"/>
  <c r="AQ14" i="1"/>
  <c r="AR14" i="1" s="1"/>
  <c r="AS14" i="1" s="1"/>
  <c r="AQ186" i="1"/>
  <c r="BM186" i="1" s="1"/>
  <c r="AUV186" i="1" s="1"/>
  <c r="AUW186" i="1" s="1"/>
  <c r="AUX186" i="1" s="1"/>
  <c r="AQ177" i="1"/>
  <c r="BM177" i="1" s="1"/>
  <c r="AUV177" i="1" s="1"/>
  <c r="AUW177" i="1" s="1"/>
  <c r="AUX177" i="1" s="1"/>
  <c r="AQ149" i="1"/>
  <c r="AR149" i="1" s="1"/>
  <c r="AS149" i="1" s="1"/>
  <c r="AQ142" i="1"/>
  <c r="BM142" i="1" s="1"/>
  <c r="AUV142" i="1" s="1"/>
  <c r="AUW142" i="1" s="1"/>
  <c r="AUX142" i="1" s="1"/>
  <c r="AQ118" i="1"/>
  <c r="AR118" i="1" s="1"/>
  <c r="AS118" i="1" s="1"/>
  <c r="AQ73" i="1"/>
  <c r="BM73" i="1" s="1"/>
  <c r="AUV73" i="1" s="1"/>
  <c r="AUW73" i="1" s="1"/>
  <c r="AUX73" i="1" s="1"/>
  <c r="AQ48" i="1"/>
  <c r="BM48" i="1" s="1"/>
  <c r="AUV48" i="1" s="1"/>
  <c r="AUW48" i="1" s="1"/>
  <c r="AUX48" i="1" s="1"/>
  <c r="AQ44" i="1"/>
  <c r="BM44" i="1" s="1"/>
  <c r="AUV44" i="1" s="1"/>
  <c r="AUW44" i="1" s="1"/>
  <c r="AUX44" i="1" s="1"/>
  <c r="AQ40" i="1"/>
  <c r="BM40" i="1" s="1"/>
  <c r="AUV40" i="1" s="1"/>
  <c r="AUW40" i="1" s="1"/>
  <c r="AUX40" i="1" s="1"/>
  <c r="AQ30" i="1"/>
  <c r="AQ26" i="1"/>
  <c r="BM26" i="1" s="1"/>
  <c r="AUV26" i="1" s="1"/>
  <c r="AUW26" i="1" s="1"/>
  <c r="AUX26" i="1" s="1"/>
  <c r="CD63" i="1"/>
  <c r="CD18" i="1"/>
  <c r="CD14" i="1"/>
  <c r="CY417" i="1"/>
  <c r="CU417" i="1"/>
  <c r="CX416" i="1"/>
  <c r="X138" i="12"/>
  <c r="CN416" i="1"/>
  <c r="DC343" i="1"/>
  <c r="AC84" i="12"/>
  <c r="CN343" i="1"/>
  <c r="DC417" i="1"/>
  <c r="AC129" i="12"/>
  <c r="CX417" i="1"/>
  <c r="CV417" i="1"/>
  <c r="CQ417" i="1"/>
  <c r="CN417" i="1"/>
  <c r="CY416" i="1"/>
  <c r="Y138" i="12"/>
  <c r="CW416" i="1"/>
  <c r="W138" i="12"/>
  <c r="CU416" i="1"/>
  <c r="U138" i="12"/>
  <c r="CS416" i="1"/>
  <c r="S138" i="12"/>
  <c r="DC405" i="1"/>
  <c r="AC120" i="12"/>
  <c r="CN405" i="1"/>
  <c r="DC387" i="1"/>
  <c r="AC111" i="12"/>
  <c r="CN387" i="1"/>
  <c r="CY281" i="1"/>
  <c r="Y165" i="12"/>
  <c r="CW281" i="1"/>
  <c r="W165" i="12"/>
  <c r="CU281" i="1"/>
  <c r="U165" i="12"/>
  <c r="CS281" i="1"/>
  <c r="S165" i="12"/>
  <c r="DC254" i="1"/>
  <c r="AC66" i="12"/>
  <c r="CN254" i="1"/>
  <c r="DC214" i="1"/>
  <c r="AC48" i="12"/>
  <c r="CN214" i="1"/>
  <c r="DC185" i="1"/>
  <c r="CX185" i="1"/>
  <c r="CV185" i="1"/>
  <c r="CN185" i="1"/>
  <c r="DC150" i="1"/>
  <c r="CN150" i="1"/>
  <c r="DC131" i="1"/>
  <c r="AC30" i="12"/>
  <c r="CN131" i="1"/>
  <c r="DC129" i="1"/>
  <c r="AC147" i="12"/>
  <c r="CX129" i="1"/>
  <c r="CV129" i="1"/>
  <c r="CN129" i="1"/>
  <c r="DC119" i="1"/>
  <c r="AC21" i="12"/>
  <c r="CN119" i="1"/>
  <c r="CP416" i="1"/>
  <c r="P138" i="12"/>
  <c r="CP281" i="1"/>
  <c r="P165" i="12"/>
  <c r="CR417" i="1"/>
  <c r="CR185" i="1"/>
  <c r="CR129" i="1"/>
  <c r="AC93" i="12"/>
  <c r="CW417" i="1"/>
  <c r="CS417" i="1"/>
  <c r="DC416" i="1"/>
  <c r="AC138" i="12"/>
  <c r="CV416" i="1"/>
  <c r="V138" i="12"/>
  <c r="CQ416" i="1"/>
  <c r="Q138" i="12"/>
  <c r="DC283" i="1"/>
  <c r="AC75" i="12"/>
  <c r="CN283" i="1"/>
  <c r="DC281" i="1"/>
  <c r="AC165" i="12"/>
  <c r="CX281" i="1"/>
  <c r="X165" i="12"/>
  <c r="CV281" i="1"/>
  <c r="V165" i="12"/>
  <c r="CN281" i="1"/>
  <c r="DC191" i="1"/>
  <c r="CN191" i="1"/>
  <c r="CY185" i="1"/>
  <c r="CW185" i="1"/>
  <c r="CU185" i="1"/>
  <c r="CS185" i="1"/>
  <c r="CY129" i="1"/>
  <c r="CW129" i="1"/>
  <c r="CU129" i="1"/>
  <c r="CS129" i="1"/>
  <c r="DC95" i="1"/>
  <c r="AC12" i="12"/>
  <c r="CN95" i="1"/>
  <c r="DC75" i="1"/>
  <c r="CN75" i="1"/>
  <c r="DC69" i="1"/>
  <c r="AC174" i="12"/>
  <c r="CN69" i="1"/>
  <c r="DC32" i="1"/>
  <c r="AC102" i="12"/>
  <c r="CN32" i="1"/>
  <c r="CP185" i="1"/>
  <c r="CP129" i="1"/>
  <c r="CP417" i="1"/>
  <c r="CR416" i="1"/>
  <c r="R138" i="12"/>
  <c r="CR281" i="1"/>
  <c r="R165" i="12"/>
  <c r="P46" i="2"/>
  <c r="BX417" i="1"/>
  <c r="AVG417" i="1" s="1"/>
  <c r="BX416" i="1"/>
  <c r="AVG416" i="1" s="1"/>
  <c r="P24" i="2"/>
  <c r="E25" i="2"/>
  <c r="F25" i="2" s="1"/>
  <c r="BX281" i="1"/>
  <c r="AVG281" i="1" s="1"/>
  <c r="BX73" i="1"/>
  <c r="BX414" i="1"/>
  <c r="BX410" i="1"/>
  <c r="BX402" i="1"/>
  <c r="BX394" i="1"/>
  <c r="BX377" i="1"/>
  <c r="BX363" i="1"/>
  <c r="BX359" i="1"/>
  <c r="BX341" i="1"/>
  <c r="BX337" i="1"/>
  <c r="BX333" i="1"/>
  <c r="BX329" i="1"/>
  <c r="BX317" i="1"/>
  <c r="BX313" i="1"/>
  <c r="BX302" i="1"/>
  <c r="BX298" i="1"/>
  <c r="BX275" i="1"/>
  <c r="BX271" i="1"/>
  <c r="BX267" i="1"/>
  <c r="CT267" i="1" s="1"/>
  <c r="BX263" i="1"/>
  <c r="BX259" i="1"/>
  <c r="BX251" i="1"/>
  <c r="BX247" i="1"/>
  <c r="BX242" i="1"/>
  <c r="BX238" i="1"/>
  <c r="BX225" i="1"/>
  <c r="BX221" i="1"/>
  <c r="BX213" i="1"/>
  <c r="BX209" i="1"/>
  <c r="BX204" i="1"/>
  <c r="BX200" i="1"/>
  <c r="BX71" i="1"/>
  <c r="BX190" i="1"/>
  <c r="BX185" i="1"/>
  <c r="AVG185" i="1" s="1"/>
  <c r="BX180" i="1"/>
  <c r="BX176" i="1"/>
  <c r="BX129" i="1"/>
  <c r="CD73" i="1"/>
  <c r="BX163" i="1"/>
  <c r="BX158" i="1"/>
  <c r="BX141" i="1"/>
  <c r="BX125" i="1"/>
  <c r="BX117" i="1"/>
  <c r="BX109" i="1"/>
  <c r="BX105" i="1"/>
  <c r="BX94" i="1"/>
  <c r="BX90" i="1"/>
  <c r="BX86" i="1"/>
  <c r="BX82" i="1"/>
  <c r="BX66" i="1"/>
  <c r="BX45" i="1"/>
  <c r="BX41" i="1"/>
  <c r="BX29" i="1"/>
  <c r="BX25" i="1"/>
  <c r="BX21" i="1"/>
  <c r="BX17" i="1"/>
  <c r="BX13" i="1"/>
  <c r="BX227" i="1"/>
  <c r="BX223" i="1"/>
  <c r="BX219" i="1"/>
  <c r="CT219" i="1" s="1"/>
  <c r="BX211" i="1"/>
  <c r="BX202" i="1"/>
  <c r="BX197" i="1"/>
  <c r="CD71" i="1"/>
  <c r="CD417" i="1"/>
  <c r="AVM417" i="1" s="1"/>
  <c r="CD409" i="1"/>
  <c r="AVM409" i="1" s="1"/>
  <c r="CD397" i="1"/>
  <c r="CD376" i="1"/>
  <c r="CD362" i="1"/>
  <c r="CD358" i="1"/>
  <c r="CD352" i="1"/>
  <c r="AVM352" i="1" s="1"/>
  <c r="CD184" i="1"/>
  <c r="CD179" i="1"/>
  <c r="AVM179" i="1" s="1"/>
  <c r="CD175" i="1"/>
  <c r="CD171" i="1"/>
  <c r="AVM171" i="1" s="1"/>
  <c r="CD167" i="1"/>
  <c r="CD162" i="1"/>
  <c r="AVM162" i="1" s="1"/>
  <c r="CD157" i="1"/>
  <c r="CD149" i="1"/>
  <c r="CD140" i="1"/>
  <c r="CD128" i="1"/>
  <c r="AVM128" i="1" s="1"/>
  <c r="CD124" i="1"/>
  <c r="CD116" i="1"/>
  <c r="CD108" i="1"/>
  <c r="CD104" i="1"/>
  <c r="CD89" i="1"/>
  <c r="CZ89" i="1" s="1"/>
  <c r="CD85" i="1"/>
  <c r="CD61" i="1"/>
  <c r="CD48" i="1"/>
  <c r="CD44" i="1"/>
  <c r="CD40" i="1"/>
  <c r="CD28" i="1"/>
  <c r="CD20" i="1"/>
  <c r="CD16" i="1"/>
  <c r="BX74" i="1"/>
  <c r="BX70" i="1"/>
  <c r="CD415" i="1"/>
  <c r="CD403" i="1"/>
  <c r="AVM403" i="1" s="1"/>
  <c r="CD399" i="1"/>
  <c r="CD395" i="1"/>
  <c r="CD378" i="1"/>
  <c r="CZ378" i="1" s="1"/>
  <c r="CD374" i="1"/>
  <c r="CD364" i="1"/>
  <c r="CD360" i="1"/>
  <c r="CD356" i="1"/>
  <c r="AVM356" i="1" s="1"/>
  <c r="CD188" i="1"/>
  <c r="AVM188" i="1" s="1"/>
  <c r="BX342" i="1"/>
  <c r="CT342" i="1" s="1"/>
  <c r="BX338" i="1"/>
  <c r="BX334" i="1"/>
  <c r="CT334" i="1" s="1"/>
  <c r="BX330" i="1"/>
  <c r="BX326" i="1"/>
  <c r="BX318" i="1"/>
  <c r="BX314" i="1"/>
  <c r="BX303" i="1"/>
  <c r="BX299" i="1"/>
  <c r="BX282" i="1"/>
  <c r="AVG282" i="1" s="1"/>
  <c r="BX276" i="1"/>
  <c r="BX268" i="1"/>
  <c r="AVG268" i="1" s="1"/>
  <c r="BX264" i="1"/>
  <c r="BX260" i="1"/>
  <c r="BX252" i="1"/>
  <c r="BX248" i="1"/>
  <c r="BX243" i="1"/>
  <c r="BX239" i="1"/>
  <c r="BX226" i="1"/>
  <c r="BX222" i="1"/>
  <c r="BX210" i="1"/>
  <c r="BX201" i="1"/>
  <c r="CT201" i="1" s="1"/>
  <c r="BX196" i="1"/>
  <c r="BX187" i="1"/>
  <c r="BX183" i="1"/>
  <c r="BX178" i="1"/>
  <c r="BX170" i="1"/>
  <c r="CT170" i="1" s="1"/>
  <c r="BX166" i="1"/>
  <c r="BX161" i="1"/>
  <c r="BX148" i="1"/>
  <c r="BX143" i="1"/>
  <c r="AVG143" i="1" s="1"/>
  <c r="BX139" i="1"/>
  <c r="BX127" i="1"/>
  <c r="BX115" i="1"/>
  <c r="BX107" i="1"/>
  <c r="BX92" i="1"/>
  <c r="BX88" i="1"/>
  <c r="CT88" i="1" s="1"/>
  <c r="BX84" i="1"/>
  <c r="BX80" i="1"/>
  <c r="BX72" i="1"/>
  <c r="CT72" i="1" s="1"/>
  <c r="BX68" i="1"/>
  <c r="BX64" i="1"/>
  <c r="BX43" i="1"/>
  <c r="BX39" i="1"/>
  <c r="BX27" i="1"/>
  <c r="BX15" i="1"/>
  <c r="AW415" i="1"/>
  <c r="BS415" i="1" s="1"/>
  <c r="AW403" i="1"/>
  <c r="BS403" i="1" s="1"/>
  <c r="CO403" i="1" s="1"/>
  <c r="AW399" i="1"/>
  <c r="BS399" i="1" s="1"/>
  <c r="CO399" i="1" s="1"/>
  <c r="AW395" i="1"/>
  <c r="BS395" i="1" s="1"/>
  <c r="CO395" i="1" s="1"/>
  <c r="AW410" i="1"/>
  <c r="BS410" i="1" s="1"/>
  <c r="CO410" i="1" s="1"/>
  <c r="AW402" i="1"/>
  <c r="BS402" i="1" s="1"/>
  <c r="CO402" i="1" s="1"/>
  <c r="AW409" i="1"/>
  <c r="BS409" i="1" s="1"/>
  <c r="CO409" i="1" s="1"/>
  <c r="AW397" i="1"/>
  <c r="BS397" i="1" s="1"/>
  <c r="CO397" i="1" s="1"/>
  <c r="AW414" i="1"/>
  <c r="BS414" i="1" s="1"/>
  <c r="CO414" i="1" s="1"/>
  <c r="BI415" i="1"/>
  <c r="BJ415" i="1" s="1"/>
  <c r="BI403" i="1"/>
  <c r="BJ403" i="1" s="1"/>
  <c r="BI399" i="1"/>
  <c r="BJ399" i="1" s="1"/>
  <c r="BI417" i="1"/>
  <c r="BJ417" i="1" s="1"/>
  <c r="BI409" i="1"/>
  <c r="BJ409" i="1" s="1"/>
  <c r="BI397" i="1"/>
  <c r="BJ397" i="1" s="1"/>
  <c r="AW340" i="1"/>
  <c r="BS340" i="1" s="1"/>
  <c r="CO340" i="1" s="1"/>
  <c r="AY340" i="1"/>
  <c r="BU340" i="1" s="1"/>
  <c r="AW332" i="1"/>
  <c r="BS332" i="1" s="1"/>
  <c r="CO332" i="1" s="1"/>
  <c r="AY332" i="1"/>
  <c r="BU332" i="1" s="1"/>
  <c r="AW328" i="1"/>
  <c r="BS328" i="1" s="1"/>
  <c r="CO328" i="1" s="1"/>
  <c r="AY328" i="1"/>
  <c r="BU328" i="1" s="1"/>
  <c r="AW297" i="1"/>
  <c r="BS297" i="1" s="1"/>
  <c r="CO297" i="1" s="1"/>
  <c r="AY297" i="1"/>
  <c r="BU297" i="1" s="1"/>
  <c r="AW266" i="1"/>
  <c r="BS266" i="1" s="1"/>
  <c r="CO266" i="1" s="1"/>
  <c r="AY266" i="1"/>
  <c r="BU266" i="1" s="1"/>
  <c r="AW262" i="1"/>
  <c r="BS262" i="1" s="1"/>
  <c r="CO262" i="1" s="1"/>
  <c r="AY262" i="1"/>
  <c r="BU262" i="1" s="1"/>
  <c r="AW250" i="1"/>
  <c r="BS250" i="1" s="1"/>
  <c r="CO250" i="1" s="1"/>
  <c r="AY250" i="1"/>
  <c r="BU250" i="1" s="1"/>
  <c r="AW245" i="1"/>
  <c r="BS245" i="1" s="1"/>
  <c r="AY245" i="1"/>
  <c r="BU245" i="1" s="1"/>
  <c r="CQ245" i="1" s="1"/>
  <c r="AW241" i="1"/>
  <c r="BS241" i="1" s="1"/>
  <c r="CO241" i="1" s="1"/>
  <c r="AY241" i="1"/>
  <c r="BU241" i="1" s="1"/>
  <c r="AW212" i="1"/>
  <c r="BS212" i="1" s="1"/>
  <c r="CO212" i="1" s="1"/>
  <c r="AY212" i="1"/>
  <c r="BU212" i="1" s="1"/>
  <c r="AW203" i="1"/>
  <c r="BS203" i="1" s="1"/>
  <c r="CO203" i="1" s="1"/>
  <c r="AY203" i="1"/>
  <c r="BU203" i="1" s="1"/>
  <c r="AW176" i="1"/>
  <c r="BS176" i="1" s="1"/>
  <c r="CO176" i="1" s="1"/>
  <c r="AY176" i="1"/>
  <c r="BU176" i="1" s="1"/>
  <c r="AW158" i="1"/>
  <c r="BS158" i="1" s="1"/>
  <c r="CO158" i="1" s="1"/>
  <c r="AY158" i="1"/>
  <c r="BU158" i="1" s="1"/>
  <c r="AW141" i="1"/>
  <c r="BS141" i="1" s="1"/>
  <c r="CO141" i="1" s="1"/>
  <c r="AY141" i="1"/>
  <c r="BU141" i="1" s="1"/>
  <c r="AW117" i="1"/>
  <c r="BS117" i="1" s="1"/>
  <c r="CO117" i="1" s="1"/>
  <c r="AY117" i="1"/>
  <c r="BU117" i="1" s="1"/>
  <c r="AW94" i="1"/>
  <c r="BS94" i="1" s="1"/>
  <c r="AY94" i="1"/>
  <c r="BU94" i="1" s="1"/>
  <c r="CQ94" i="1" s="1"/>
  <c r="AW86" i="1"/>
  <c r="BS86" i="1" s="1"/>
  <c r="CO86" i="1" s="1"/>
  <c r="AY86" i="1"/>
  <c r="BU86" i="1" s="1"/>
  <c r="AW66" i="1"/>
  <c r="BS66" i="1" s="1"/>
  <c r="CO66" i="1" s="1"/>
  <c r="AY66" i="1"/>
  <c r="BU66" i="1" s="1"/>
  <c r="AW29" i="1"/>
  <c r="BS29" i="1" s="1"/>
  <c r="CO29" i="1" s="1"/>
  <c r="AY29" i="1"/>
  <c r="BU29" i="1" s="1"/>
  <c r="AW25" i="1"/>
  <c r="BS25" i="1" s="1"/>
  <c r="CO25" i="1" s="1"/>
  <c r="AY25" i="1"/>
  <c r="BU25" i="1" s="1"/>
  <c r="AW394" i="1"/>
  <c r="BS394" i="1" s="1"/>
  <c r="CO394" i="1" s="1"/>
  <c r="AY394" i="1"/>
  <c r="BU394" i="1" s="1"/>
  <c r="AW377" i="1"/>
  <c r="BS377" i="1" s="1"/>
  <c r="CO377" i="1" s="1"/>
  <c r="AY377" i="1"/>
  <c r="BU377" i="1" s="1"/>
  <c r="AW363" i="1"/>
  <c r="BS363" i="1" s="1"/>
  <c r="CO363" i="1" s="1"/>
  <c r="AY363" i="1"/>
  <c r="BU363" i="1" s="1"/>
  <c r="AW359" i="1"/>
  <c r="BS359" i="1" s="1"/>
  <c r="CO359" i="1" s="1"/>
  <c r="AY359" i="1"/>
  <c r="BU359" i="1" s="1"/>
  <c r="AW341" i="1"/>
  <c r="BS341" i="1" s="1"/>
  <c r="AY341" i="1"/>
  <c r="BU341" i="1" s="1"/>
  <c r="CQ341" i="1" s="1"/>
  <c r="AW337" i="1"/>
  <c r="BS337" i="1" s="1"/>
  <c r="CO337" i="1" s="1"/>
  <c r="AY337" i="1"/>
  <c r="BU337" i="1" s="1"/>
  <c r="AY333" i="1"/>
  <c r="BU333" i="1" s="1"/>
  <c r="CQ333" i="1" s="1"/>
  <c r="AW329" i="1"/>
  <c r="BS329" i="1" s="1"/>
  <c r="CO329" i="1" s="1"/>
  <c r="AY329" i="1"/>
  <c r="BU329" i="1" s="1"/>
  <c r="AW317" i="1"/>
  <c r="BS317" i="1" s="1"/>
  <c r="CO317" i="1" s="1"/>
  <c r="AY317" i="1"/>
  <c r="BU317" i="1" s="1"/>
  <c r="AW313" i="1"/>
  <c r="BS313" i="1" s="1"/>
  <c r="CO313" i="1" s="1"/>
  <c r="AY313" i="1"/>
  <c r="BU313" i="1" s="1"/>
  <c r="AW302" i="1"/>
  <c r="BS302" i="1" s="1"/>
  <c r="CO302" i="1" s="1"/>
  <c r="AY302" i="1"/>
  <c r="BU302" i="1" s="1"/>
  <c r="AW298" i="1"/>
  <c r="BS298" i="1" s="1"/>
  <c r="CO298" i="1" s="1"/>
  <c r="AY298" i="1"/>
  <c r="BU298" i="1" s="1"/>
  <c r="AW281" i="1"/>
  <c r="BS281" i="1" s="1"/>
  <c r="AY281" i="1"/>
  <c r="BU281" i="1" s="1"/>
  <c r="AVD281" i="1" s="1"/>
  <c r="AVB281" i="1" s="1"/>
  <c r="AW275" i="1"/>
  <c r="BS275" i="1" s="1"/>
  <c r="CO275" i="1" s="1"/>
  <c r="AY275" i="1"/>
  <c r="BU275" i="1" s="1"/>
  <c r="AW271" i="1"/>
  <c r="BS271" i="1" s="1"/>
  <c r="CO271" i="1" s="1"/>
  <c r="AY271" i="1"/>
  <c r="BU271" i="1" s="1"/>
  <c r="AW267" i="1"/>
  <c r="BS267" i="1" s="1"/>
  <c r="AY267" i="1"/>
  <c r="BU267" i="1" s="1"/>
  <c r="CQ267" i="1" s="1"/>
  <c r="AW263" i="1"/>
  <c r="BS263" i="1" s="1"/>
  <c r="CO263" i="1" s="1"/>
  <c r="AY263" i="1"/>
  <c r="BU263" i="1" s="1"/>
  <c r="AY259" i="1"/>
  <c r="BU259" i="1" s="1"/>
  <c r="AW251" i="1"/>
  <c r="BS251" i="1" s="1"/>
  <c r="CO251" i="1" s="1"/>
  <c r="AY251" i="1"/>
  <c r="BU251" i="1" s="1"/>
  <c r="AW247" i="1"/>
  <c r="BS247" i="1" s="1"/>
  <c r="CO247" i="1" s="1"/>
  <c r="AY247" i="1"/>
  <c r="BU247" i="1" s="1"/>
  <c r="AW242" i="1"/>
  <c r="BS242" i="1" s="1"/>
  <c r="CO242" i="1" s="1"/>
  <c r="AY242" i="1"/>
  <c r="BU242" i="1" s="1"/>
  <c r="AW238" i="1"/>
  <c r="BS238" i="1" s="1"/>
  <c r="CO238" i="1" s="1"/>
  <c r="AY238" i="1"/>
  <c r="BU238" i="1" s="1"/>
  <c r="AY225" i="1"/>
  <c r="BU225" i="1" s="1"/>
  <c r="AW221" i="1"/>
  <c r="BS221" i="1" s="1"/>
  <c r="CO221" i="1" s="1"/>
  <c r="AY221" i="1"/>
  <c r="BU221" i="1" s="1"/>
  <c r="AW213" i="1"/>
  <c r="BS213" i="1" s="1"/>
  <c r="CO213" i="1" s="1"/>
  <c r="AY213" i="1"/>
  <c r="BU213" i="1" s="1"/>
  <c r="AW209" i="1"/>
  <c r="BS209" i="1" s="1"/>
  <c r="CO209" i="1" s="1"/>
  <c r="AY209" i="1"/>
  <c r="BU209" i="1" s="1"/>
  <c r="AW204" i="1"/>
  <c r="BS204" i="1" s="1"/>
  <c r="CO204" i="1" s="1"/>
  <c r="AY204" i="1"/>
  <c r="BU204" i="1" s="1"/>
  <c r="AW200" i="1"/>
  <c r="BS200" i="1" s="1"/>
  <c r="CO200" i="1" s="1"/>
  <c r="AY200" i="1"/>
  <c r="BU200" i="1" s="1"/>
  <c r="AW186" i="1"/>
  <c r="BS186" i="1" s="1"/>
  <c r="CO186" i="1" s="1"/>
  <c r="AY186" i="1"/>
  <c r="BU186" i="1" s="1"/>
  <c r="AW181" i="1"/>
  <c r="BS181" i="1" s="1"/>
  <c r="CO181" i="1" s="1"/>
  <c r="AY181" i="1"/>
  <c r="BU181" i="1" s="1"/>
  <c r="AW177" i="1"/>
  <c r="BS177" i="1" s="1"/>
  <c r="CO177" i="1" s="1"/>
  <c r="AY177" i="1"/>
  <c r="BU177" i="1" s="1"/>
  <c r="AW169" i="1"/>
  <c r="BS169" i="1" s="1"/>
  <c r="CO169" i="1" s="1"/>
  <c r="AY169" i="1"/>
  <c r="BU169" i="1" s="1"/>
  <c r="CO164" i="1"/>
  <c r="CQ164" i="1"/>
  <c r="AW159" i="1"/>
  <c r="BS159" i="1" s="1"/>
  <c r="CO159" i="1" s="1"/>
  <c r="AY159" i="1"/>
  <c r="BU159" i="1" s="1"/>
  <c r="AW147" i="1"/>
  <c r="BS147" i="1" s="1"/>
  <c r="CO147" i="1" s="1"/>
  <c r="AY147" i="1"/>
  <c r="BU147" i="1" s="1"/>
  <c r="AW142" i="1"/>
  <c r="BS142" i="1" s="1"/>
  <c r="CO142" i="1" s="1"/>
  <c r="AY142" i="1"/>
  <c r="BU142" i="1" s="1"/>
  <c r="AW138" i="1"/>
  <c r="BS138" i="1" s="1"/>
  <c r="CO138" i="1" s="1"/>
  <c r="AY138" i="1"/>
  <c r="BU138" i="1" s="1"/>
  <c r="AW130" i="1"/>
  <c r="BS130" i="1" s="1"/>
  <c r="CO130" i="1" s="1"/>
  <c r="AY130" i="1"/>
  <c r="BU130" i="1" s="1"/>
  <c r="AW126" i="1"/>
  <c r="BS126" i="1" s="1"/>
  <c r="CO126" i="1" s="1"/>
  <c r="AY126" i="1"/>
  <c r="BU126" i="1" s="1"/>
  <c r="AW118" i="1"/>
  <c r="BS118" i="1" s="1"/>
  <c r="AY118" i="1"/>
  <c r="BU118" i="1" s="1"/>
  <c r="CQ118" i="1" s="1"/>
  <c r="AY114" i="1"/>
  <c r="BU114" i="1" s="1"/>
  <c r="AW106" i="1"/>
  <c r="BS106" i="1" s="1"/>
  <c r="CO106" i="1" s="1"/>
  <c r="AY106" i="1"/>
  <c r="BU106" i="1" s="1"/>
  <c r="AW91" i="1"/>
  <c r="BS91" i="1" s="1"/>
  <c r="AY91" i="1"/>
  <c r="BU91" i="1" s="1"/>
  <c r="CQ91" i="1" s="1"/>
  <c r="AW87" i="1"/>
  <c r="BS87" i="1" s="1"/>
  <c r="CO87" i="1" s="1"/>
  <c r="AY87" i="1"/>
  <c r="BU87" i="1" s="1"/>
  <c r="AW71" i="1"/>
  <c r="BS71" i="1" s="1"/>
  <c r="CO71" i="1" s="1"/>
  <c r="AY71" i="1"/>
  <c r="BU71" i="1" s="1"/>
  <c r="AW63" i="1"/>
  <c r="BS63" i="1" s="1"/>
  <c r="CO63" i="1" s="1"/>
  <c r="AY63" i="1"/>
  <c r="BU63" i="1" s="1"/>
  <c r="AW46" i="1"/>
  <c r="BS46" i="1" s="1"/>
  <c r="CO46" i="1" s="1"/>
  <c r="AY46" i="1"/>
  <c r="BU46" i="1" s="1"/>
  <c r="AW42" i="1"/>
  <c r="BS42" i="1" s="1"/>
  <c r="CO42" i="1" s="1"/>
  <c r="AY42" i="1"/>
  <c r="BU42" i="1" s="1"/>
  <c r="AY38" i="1"/>
  <c r="BU38" i="1" s="1"/>
  <c r="AW30" i="1"/>
  <c r="BS30" i="1" s="1"/>
  <c r="CO30" i="1" s="1"/>
  <c r="AY30" i="1"/>
  <c r="BU30" i="1" s="1"/>
  <c r="AW26" i="1"/>
  <c r="BS26" i="1" s="1"/>
  <c r="CO26" i="1" s="1"/>
  <c r="AY26" i="1"/>
  <c r="BU26" i="1" s="1"/>
  <c r="AW18" i="1"/>
  <c r="BS18" i="1" s="1"/>
  <c r="CO18" i="1" s="1"/>
  <c r="AY18" i="1"/>
  <c r="BU18" i="1" s="1"/>
  <c r="AY14" i="1"/>
  <c r="BU14" i="1" s="1"/>
  <c r="AQ397" i="1"/>
  <c r="AQ376" i="1"/>
  <c r="AQ362" i="1"/>
  <c r="AQ358" i="1"/>
  <c r="AQ352" i="1"/>
  <c r="AQ340" i="1"/>
  <c r="AQ336" i="1"/>
  <c r="AQ332" i="1"/>
  <c r="AQ328" i="1"/>
  <c r="AQ316" i="1"/>
  <c r="AQ305" i="1"/>
  <c r="AQ297" i="1"/>
  <c r="AQ280" i="1"/>
  <c r="AQ270" i="1"/>
  <c r="AQ266" i="1"/>
  <c r="AQ262" i="1"/>
  <c r="AQ258" i="1"/>
  <c r="AQ250" i="1"/>
  <c r="AQ245" i="1"/>
  <c r="AQ241" i="1"/>
  <c r="AQ224" i="1"/>
  <c r="AQ212" i="1"/>
  <c r="AQ203" i="1"/>
  <c r="AQ199" i="1"/>
  <c r="AQ190" i="1"/>
  <c r="AQ185" i="1"/>
  <c r="AQ180" i="1"/>
  <c r="AQ176" i="1"/>
  <c r="AQ168" i="1"/>
  <c r="AQ163" i="1"/>
  <c r="AQ158" i="1"/>
  <c r="AQ141" i="1"/>
  <c r="AQ129" i="1"/>
  <c r="AQ125" i="1"/>
  <c r="AQ117" i="1"/>
  <c r="AQ109" i="1"/>
  <c r="AQ105" i="1"/>
  <c r="AQ94" i="1"/>
  <c r="AQ90" i="1"/>
  <c r="AQ86" i="1"/>
  <c r="AQ82" i="1"/>
  <c r="AQ74" i="1"/>
  <c r="AQ70" i="1"/>
  <c r="AQ66" i="1"/>
  <c r="AQ45" i="1"/>
  <c r="AQ41" i="1"/>
  <c r="AQ29" i="1"/>
  <c r="AQ25" i="1"/>
  <c r="AQ21" i="1"/>
  <c r="AQ17" i="1"/>
  <c r="AQ13" i="1"/>
  <c r="BH377" i="1"/>
  <c r="CD377" i="1" s="1"/>
  <c r="BH363" i="1"/>
  <c r="CD363" i="1" s="1"/>
  <c r="BH359" i="1"/>
  <c r="CD359" i="1" s="1"/>
  <c r="BH341" i="1"/>
  <c r="CD341" i="1" s="1"/>
  <c r="CZ341" i="1" s="1"/>
  <c r="BH337" i="1"/>
  <c r="CD337" i="1" s="1"/>
  <c r="BH333" i="1"/>
  <c r="CD333" i="1" s="1"/>
  <c r="CZ333" i="1" s="1"/>
  <c r="BH329" i="1"/>
  <c r="CD329" i="1" s="1"/>
  <c r="BH317" i="1"/>
  <c r="CD317" i="1" s="1"/>
  <c r="BH313" i="1"/>
  <c r="CD313" i="1" s="1"/>
  <c r="BH302" i="1"/>
  <c r="CD302" i="1" s="1"/>
  <c r="BH298" i="1"/>
  <c r="CD298" i="1" s="1"/>
  <c r="BH281" i="1"/>
  <c r="CD281" i="1" s="1"/>
  <c r="AVM281" i="1" s="1"/>
  <c r="BH275" i="1"/>
  <c r="CD275" i="1" s="1"/>
  <c r="BH271" i="1"/>
  <c r="CD271" i="1" s="1"/>
  <c r="BH267" i="1"/>
  <c r="CD267" i="1" s="1"/>
  <c r="CZ267" i="1" s="1"/>
  <c r="BH263" i="1"/>
  <c r="CD263" i="1" s="1"/>
  <c r="BH259" i="1"/>
  <c r="CD259" i="1" s="1"/>
  <c r="BH251" i="1"/>
  <c r="CD251" i="1" s="1"/>
  <c r="BH247" i="1"/>
  <c r="CD247" i="1" s="1"/>
  <c r="BH242" i="1"/>
  <c r="CD242" i="1" s="1"/>
  <c r="BH238" i="1"/>
  <c r="CD238" i="1" s="1"/>
  <c r="BH225" i="1"/>
  <c r="CD225" i="1" s="1"/>
  <c r="BH221" i="1"/>
  <c r="CD221" i="1" s="1"/>
  <c r="BH213" i="1"/>
  <c r="CD213" i="1" s="1"/>
  <c r="BH209" i="1"/>
  <c r="CD209" i="1" s="1"/>
  <c r="BH204" i="1"/>
  <c r="CD204" i="1" s="1"/>
  <c r="BH200" i="1"/>
  <c r="CD200" i="1" s="1"/>
  <c r="BH186" i="1"/>
  <c r="CD186" i="1" s="1"/>
  <c r="BH181" i="1"/>
  <c r="BH177" i="1"/>
  <c r="CD177" i="1" s="1"/>
  <c r="BH169" i="1"/>
  <c r="CD169" i="1" s="1"/>
  <c r="CZ164" i="1"/>
  <c r="BH159" i="1"/>
  <c r="CD159" i="1" s="1"/>
  <c r="BH147" i="1"/>
  <c r="CD147" i="1" s="1"/>
  <c r="BH142" i="1"/>
  <c r="CD142" i="1" s="1"/>
  <c r="BH138" i="1"/>
  <c r="CD138" i="1" s="1"/>
  <c r="BH130" i="1"/>
  <c r="CD130" i="1" s="1"/>
  <c r="BH126" i="1"/>
  <c r="CD126" i="1" s="1"/>
  <c r="BH118" i="1"/>
  <c r="CD118" i="1" s="1"/>
  <c r="CZ118" i="1" s="1"/>
  <c r="BH114" i="1"/>
  <c r="CD114" i="1" s="1"/>
  <c r="BH106" i="1"/>
  <c r="CD106" i="1" s="1"/>
  <c r="BH91" i="1"/>
  <c r="CD91" i="1" s="1"/>
  <c r="CZ91" i="1" s="1"/>
  <c r="BH87" i="1"/>
  <c r="CD87" i="1" s="1"/>
  <c r="BI71" i="1"/>
  <c r="BJ71" i="1" s="1"/>
  <c r="BI63" i="1"/>
  <c r="BJ63" i="1" s="1"/>
  <c r="BI46" i="1"/>
  <c r="BJ46" i="1" s="1"/>
  <c r="BI42" i="1"/>
  <c r="BJ42" i="1" s="1"/>
  <c r="BI38" i="1"/>
  <c r="BJ38" i="1" s="1"/>
  <c r="BI30" i="1"/>
  <c r="BJ30" i="1" s="1"/>
  <c r="BI26" i="1"/>
  <c r="BJ26" i="1" s="1"/>
  <c r="BI18" i="1"/>
  <c r="BJ18" i="1" s="1"/>
  <c r="BI14" i="1"/>
  <c r="BJ14" i="1" s="1"/>
  <c r="AY415" i="1"/>
  <c r="BU415" i="1" s="1"/>
  <c r="CQ415" i="1" s="1"/>
  <c r="AY409" i="1"/>
  <c r="BU409" i="1" s="1"/>
  <c r="AY403" i="1"/>
  <c r="BU403" i="1" s="1"/>
  <c r="AQ399" i="1"/>
  <c r="BH396" i="1"/>
  <c r="CD396" i="1" s="1"/>
  <c r="AQ396" i="1"/>
  <c r="AQ223" i="1"/>
  <c r="AQ219" i="1"/>
  <c r="AQ211" i="1"/>
  <c r="AQ202" i="1"/>
  <c r="AQ197" i="1"/>
  <c r="AQ188" i="1"/>
  <c r="AQ179" i="1"/>
  <c r="AQ171" i="1"/>
  <c r="AQ162" i="1"/>
  <c r="AQ128" i="1"/>
  <c r="AQ85" i="1"/>
  <c r="BI376" i="1"/>
  <c r="BJ376" i="1" s="1"/>
  <c r="BI362" i="1"/>
  <c r="BJ362" i="1" s="1"/>
  <c r="BI358" i="1"/>
  <c r="BJ358" i="1" s="1"/>
  <c r="BI352" i="1"/>
  <c r="BJ352" i="1" s="1"/>
  <c r="BH340" i="1"/>
  <c r="CD340" i="1" s="1"/>
  <c r="BH336" i="1"/>
  <c r="CD336" i="1" s="1"/>
  <c r="BH332" i="1"/>
  <c r="CD332" i="1" s="1"/>
  <c r="BH328" i="1"/>
  <c r="CD328" i="1" s="1"/>
  <c r="BH316" i="1"/>
  <c r="CD316" i="1" s="1"/>
  <c r="BH305" i="1"/>
  <c r="CD305" i="1" s="1"/>
  <c r="BH297" i="1"/>
  <c r="CD297" i="1" s="1"/>
  <c r="BH280" i="1"/>
  <c r="CD280" i="1" s="1"/>
  <c r="BH270" i="1"/>
  <c r="CD270" i="1" s="1"/>
  <c r="BH266" i="1"/>
  <c r="CD266" i="1" s="1"/>
  <c r="BH262" i="1"/>
  <c r="CD262" i="1" s="1"/>
  <c r="BH258" i="1"/>
  <c r="CD258" i="1" s="1"/>
  <c r="BH250" i="1"/>
  <c r="CD250" i="1" s="1"/>
  <c r="BH245" i="1"/>
  <c r="CD245" i="1" s="1"/>
  <c r="CZ245" i="1" s="1"/>
  <c r="BH241" i="1"/>
  <c r="CD241" i="1" s="1"/>
  <c r="BH224" i="1"/>
  <c r="CD224" i="1" s="1"/>
  <c r="BH212" i="1"/>
  <c r="CD212" i="1" s="1"/>
  <c r="BH203" i="1"/>
  <c r="CD203" i="1" s="1"/>
  <c r="BH199" i="1"/>
  <c r="CD199" i="1" s="1"/>
  <c r="BH190" i="1"/>
  <c r="CD190" i="1" s="1"/>
  <c r="BH185" i="1"/>
  <c r="CD185" i="1" s="1"/>
  <c r="AVM185" i="1" s="1"/>
  <c r="BH180" i="1"/>
  <c r="CD180" i="1" s="1"/>
  <c r="BH176" i="1"/>
  <c r="CD176" i="1" s="1"/>
  <c r="BH168" i="1"/>
  <c r="CD168" i="1" s="1"/>
  <c r="BH163" i="1"/>
  <c r="CD163" i="1" s="1"/>
  <c r="BH158" i="1"/>
  <c r="CD158" i="1" s="1"/>
  <c r="BH141" i="1"/>
  <c r="CD141" i="1" s="1"/>
  <c r="BH129" i="1"/>
  <c r="CD129" i="1" s="1"/>
  <c r="BH125" i="1"/>
  <c r="CD125" i="1" s="1"/>
  <c r="BH117" i="1"/>
  <c r="CD117" i="1" s="1"/>
  <c r="BH109" i="1"/>
  <c r="CD109" i="1" s="1"/>
  <c r="BH105" i="1"/>
  <c r="CD105" i="1" s="1"/>
  <c r="BH94" i="1"/>
  <c r="CD94" i="1" s="1"/>
  <c r="CZ94" i="1" s="1"/>
  <c r="BH90" i="1"/>
  <c r="CD90" i="1" s="1"/>
  <c r="BH86" i="1"/>
  <c r="CD86" i="1" s="1"/>
  <c r="BH82" i="1"/>
  <c r="CD82" i="1" s="1"/>
  <c r="BH74" i="1"/>
  <c r="CD74" i="1" s="1"/>
  <c r="BH70" i="1"/>
  <c r="CD70" i="1" s="1"/>
  <c r="BH66" i="1"/>
  <c r="CD66" i="1" s="1"/>
  <c r="BH45" i="1"/>
  <c r="CD45" i="1" s="1"/>
  <c r="BH41" i="1"/>
  <c r="CD41" i="1" s="1"/>
  <c r="BH29" i="1"/>
  <c r="CD29" i="1" s="1"/>
  <c r="BH25" i="1"/>
  <c r="CD25" i="1" s="1"/>
  <c r="BH21" i="1"/>
  <c r="CD21" i="1" s="1"/>
  <c r="BH17" i="1"/>
  <c r="CD17" i="1" s="1"/>
  <c r="BH13" i="1"/>
  <c r="CD13" i="1" s="1"/>
  <c r="BH416" i="1"/>
  <c r="CD416" i="1" s="1"/>
  <c r="AVM416" i="1" s="1"/>
  <c r="AQ416" i="1"/>
  <c r="BH414" i="1"/>
  <c r="CD414" i="1" s="1"/>
  <c r="AQ414" i="1"/>
  <c r="BH412" i="1"/>
  <c r="CD412" i="1" s="1"/>
  <c r="AQ412" i="1"/>
  <c r="BH410" i="1"/>
  <c r="CD410" i="1" s="1"/>
  <c r="AQ410" i="1"/>
  <c r="BH404" i="1"/>
  <c r="CD404" i="1" s="1"/>
  <c r="AQ404" i="1"/>
  <c r="BH402" i="1"/>
  <c r="CD402" i="1" s="1"/>
  <c r="AQ402" i="1"/>
  <c r="AY395" i="1"/>
  <c r="BU395" i="1" s="1"/>
  <c r="AW376" i="1"/>
  <c r="BS376" i="1" s="1"/>
  <c r="CO376" i="1" s="1"/>
  <c r="AY376" i="1"/>
  <c r="BU376" i="1" s="1"/>
  <c r="AW352" i="1"/>
  <c r="BS352" i="1" s="1"/>
  <c r="CO352" i="1" s="1"/>
  <c r="AY352" i="1"/>
  <c r="BU352" i="1" s="1"/>
  <c r="AW305" i="1"/>
  <c r="BS305" i="1" s="1"/>
  <c r="CO305" i="1" s="1"/>
  <c r="AY305" i="1"/>
  <c r="BU305" i="1" s="1"/>
  <c r="AW280" i="1"/>
  <c r="BS280" i="1" s="1"/>
  <c r="CO280" i="1" s="1"/>
  <c r="AY280" i="1"/>
  <c r="BU280" i="1" s="1"/>
  <c r="AW270" i="1"/>
  <c r="BS270" i="1" s="1"/>
  <c r="CO270" i="1" s="1"/>
  <c r="AY270" i="1"/>
  <c r="BU270" i="1" s="1"/>
  <c r="AW258" i="1"/>
  <c r="BS258" i="1" s="1"/>
  <c r="CO258" i="1" s="1"/>
  <c r="AY258" i="1"/>
  <c r="BU258" i="1" s="1"/>
  <c r="AW224" i="1"/>
  <c r="BS224" i="1" s="1"/>
  <c r="CO224" i="1" s="1"/>
  <c r="AY224" i="1"/>
  <c r="BU224" i="1" s="1"/>
  <c r="AW199" i="1"/>
  <c r="BS199" i="1" s="1"/>
  <c r="CO199" i="1" s="1"/>
  <c r="AY199" i="1"/>
  <c r="BU199" i="1" s="1"/>
  <c r="AW185" i="1"/>
  <c r="BS185" i="1" s="1"/>
  <c r="AY185" i="1"/>
  <c r="BU185" i="1" s="1"/>
  <c r="AVD185" i="1" s="1"/>
  <c r="AVB185" i="1" s="1"/>
  <c r="AW180" i="1"/>
  <c r="BS180" i="1" s="1"/>
  <c r="CO180" i="1" s="1"/>
  <c r="AY180" i="1"/>
  <c r="BU180" i="1" s="1"/>
  <c r="AW168" i="1"/>
  <c r="BS168" i="1" s="1"/>
  <c r="CO168" i="1" s="1"/>
  <c r="AY168" i="1"/>
  <c r="BU168" i="1" s="1"/>
  <c r="AW163" i="1"/>
  <c r="BS163" i="1" s="1"/>
  <c r="CO163" i="1" s="1"/>
  <c r="AY163" i="1"/>
  <c r="BU163" i="1" s="1"/>
  <c r="AW109" i="1"/>
  <c r="BS109" i="1" s="1"/>
  <c r="CO109" i="1" s="1"/>
  <c r="AY109" i="1"/>
  <c r="BU109" i="1" s="1"/>
  <c r="AW90" i="1"/>
  <c r="BS90" i="1" s="1"/>
  <c r="CO90" i="1" s="1"/>
  <c r="AY90" i="1"/>
  <c r="BU90" i="1" s="1"/>
  <c r="AW74" i="1"/>
  <c r="BS74" i="1" s="1"/>
  <c r="CO74" i="1" s="1"/>
  <c r="AY74" i="1"/>
  <c r="BU74" i="1" s="1"/>
  <c r="AW41" i="1"/>
  <c r="BS41" i="1" s="1"/>
  <c r="CO41" i="1" s="1"/>
  <c r="AY41" i="1"/>
  <c r="BU41" i="1" s="1"/>
  <c r="AW17" i="1"/>
  <c r="BS17" i="1" s="1"/>
  <c r="CO17" i="1" s="1"/>
  <c r="AY17" i="1"/>
  <c r="BU17" i="1" s="1"/>
  <c r="AQ375" i="1"/>
  <c r="AQ365" i="1"/>
  <c r="AQ357" i="1"/>
  <c r="AQ339" i="1"/>
  <c r="AQ331" i="1"/>
  <c r="AQ327" i="1"/>
  <c r="AQ315" i="1"/>
  <c r="AQ304" i="1"/>
  <c r="AQ300" i="1"/>
  <c r="AQ277" i="1"/>
  <c r="AQ273" i="1"/>
  <c r="AQ269" i="1"/>
  <c r="AQ265" i="1"/>
  <c r="AQ261" i="1"/>
  <c r="AQ257" i="1"/>
  <c r="AQ253" i="1"/>
  <c r="AQ249" i="1"/>
  <c r="AQ244" i="1"/>
  <c r="AQ240" i="1"/>
  <c r="AQ236" i="1"/>
  <c r="AQ227" i="1"/>
  <c r="AQ395" i="1"/>
  <c r="AQ378" i="1"/>
  <c r="AQ374" i="1"/>
  <c r="AQ364" i="1"/>
  <c r="AQ360" i="1"/>
  <c r="AQ356" i="1"/>
  <c r="AQ342" i="1"/>
  <c r="AQ338" i="1"/>
  <c r="AQ334" i="1"/>
  <c r="AQ330" i="1"/>
  <c r="AQ326" i="1"/>
  <c r="AQ318" i="1"/>
  <c r="AQ314" i="1"/>
  <c r="AQ303" i="1"/>
  <c r="AQ299" i="1"/>
  <c r="AQ282" i="1"/>
  <c r="AQ276" i="1"/>
  <c r="AQ268" i="1"/>
  <c r="AQ264" i="1"/>
  <c r="AQ260" i="1"/>
  <c r="AQ252" i="1"/>
  <c r="AQ248" i="1"/>
  <c r="AQ243" i="1"/>
  <c r="AQ239" i="1"/>
  <c r="AQ226" i="1"/>
  <c r="AQ222" i="1"/>
  <c r="AQ210" i="1"/>
  <c r="AQ201" i="1"/>
  <c r="AQ196" i="1"/>
  <c r="AQ187" i="1"/>
  <c r="AQ183" i="1"/>
  <c r="AQ178" i="1"/>
  <c r="AQ170" i="1"/>
  <c r="AQ166" i="1"/>
  <c r="AQ161" i="1"/>
  <c r="AQ148" i="1"/>
  <c r="AQ143" i="1"/>
  <c r="AQ139" i="1"/>
  <c r="AQ127" i="1"/>
  <c r="AQ115" i="1"/>
  <c r="AQ107" i="1"/>
  <c r="AQ92" i="1"/>
  <c r="AQ88" i="1"/>
  <c r="AQ84" i="1"/>
  <c r="AQ80" i="1"/>
  <c r="AQ72" i="1"/>
  <c r="AQ68" i="1"/>
  <c r="AQ64" i="1"/>
  <c r="AQ43" i="1"/>
  <c r="AQ39" i="1"/>
  <c r="AQ27" i="1"/>
  <c r="AQ15" i="1"/>
  <c r="BH375" i="1"/>
  <c r="CD375" i="1" s="1"/>
  <c r="CZ375" i="1" s="1"/>
  <c r="BH361" i="1"/>
  <c r="CD361" i="1" s="1"/>
  <c r="BH357" i="1"/>
  <c r="CD357" i="1" s="1"/>
  <c r="BH351" i="1"/>
  <c r="CD351" i="1" s="1"/>
  <c r="BH339" i="1"/>
  <c r="CD339" i="1" s="1"/>
  <c r="BH335" i="1"/>
  <c r="CD335" i="1" s="1"/>
  <c r="CZ335" i="1" s="1"/>
  <c r="BH331" i="1"/>
  <c r="CD331" i="1" s="1"/>
  <c r="BH327" i="1"/>
  <c r="CD327" i="1" s="1"/>
  <c r="BH315" i="1"/>
  <c r="CD315" i="1" s="1"/>
  <c r="BH304" i="1"/>
  <c r="CD304" i="1" s="1"/>
  <c r="BH300" i="1"/>
  <c r="CD300" i="1" s="1"/>
  <c r="BH296" i="1"/>
  <c r="CD296" i="1" s="1"/>
  <c r="BH277" i="1"/>
  <c r="CD277" i="1" s="1"/>
  <c r="BH273" i="1"/>
  <c r="CD273" i="1" s="1"/>
  <c r="BH269" i="1"/>
  <c r="CD269" i="1" s="1"/>
  <c r="BH265" i="1"/>
  <c r="CD265" i="1" s="1"/>
  <c r="BH261" i="1"/>
  <c r="CD261" i="1" s="1"/>
  <c r="BH257" i="1"/>
  <c r="CD257" i="1" s="1"/>
  <c r="BH253" i="1"/>
  <c r="CD253" i="1" s="1"/>
  <c r="BH249" i="1"/>
  <c r="CD249" i="1" s="1"/>
  <c r="BH244" i="1"/>
  <c r="CD244" i="1" s="1"/>
  <c r="BH240" i="1"/>
  <c r="CD240" i="1" s="1"/>
  <c r="BH236" i="1"/>
  <c r="CD236" i="1" s="1"/>
  <c r="BH227" i="1"/>
  <c r="CD227" i="1" s="1"/>
  <c r="BH223" i="1"/>
  <c r="CD223" i="1" s="1"/>
  <c r="BH219" i="1"/>
  <c r="CD219" i="1" s="1"/>
  <c r="CZ219" i="1" s="1"/>
  <c r="BH211" i="1"/>
  <c r="CD211" i="1" s="1"/>
  <c r="BH202" i="1"/>
  <c r="CD202" i="1" s="1"/>
  <c r="BH197" i="1"/>
  <c r="CD197" i="1" s="1"/>
  <c r="BI188" i="1"/>
  <c r="BJ188" i="1" s="1"/>
  <c r="BI184" i="1"/>
  <c r="BJ184" i="1" s="1"/>
  <c r="BI179" i="1"/>
  <c r="BJ179" i="1" s="1"/>
  <c r="BI175" i="1"/>
  <c r="BJ175" i="1" s="1"/>
  <c r="BI171" i="1"/>
  <c r="BJ171" i="1" s="1"/>
  <c r="BI167" i="1"/>
  <c r="BJ167" i="1" s="1"/>
  <c r="BI162" i="1"/>
  <c r="BJ162" i="1" s="1"/>
  <c r="BI157" i="1"/>
  <c r="BJ157" i="1" s="1"/>
  <c r="BI149" i="1"/>
  <c r="BJ149" i="1" s="1"/>
  <c r="BI140" i="1"/>
  <c r="BJ140" i="1" s="1"/>
  <c r="BI128" i="1"/>
  <c r="BJ128" i="1" s="1"/>
  <c r="BI124" i="1"/>
  <c r="BJ124" i="1" s="1"/>
  <c r="BI116" i="1"/>
  <c r="BJ116" i="1" s="1"/>
  <c r="BI108" i="1"/>
  <c r="BJ108" i="1" s="1"/>
  <c r="BI104" i="1"/>
  <c r="BJ104" i="1" s="1"/>
  <c r="BI89" i="1"/>
  <c r="BJ89" i="1" s="1"/>
  <c r="BI85" i="1"/>
  <c r="BJ85" i="1" s="1"/>
  <c r="BI73" i="1"/>
  <c r="BJ73" i="1" s="1"/>
  <c r="BI61" i="1"/>
  <c r="BJ61" i="1" s="1"/>
  <c r="BI48" i="1"/>
  <c r="BJ48" i="1" s="1"/>
  <c r="BI44" i="1"/>
  <c r="BJ44" i="1" s="1"/>
  <c r="BI40" i="1"/>
  <c r="BJ40" i="1" s="1"/>
  <c r="BI28" i="1"/>
  <c r="BJ28" i="1" s="1"/>
  <c r="BI20" i="1"/>
  <c r="BJ20" i="1" s="1"/>
  <c r="BI16" i="1"/>
  <c r="BJ16" i="1" s="1"/>
  <c r="AY414" i="1"/>
  <c r="BU414" i="1" s="1"/>
  <c r="AY410" i="1"/>
  <c r="BU410" i="1" s="1"/>
  <c r="AY402" i="1"/>
  <c r="BU402" i="1" s="1"/>
  <c r="AY397" i="1"/>
  <c r="BU397" i="1" s="1"/>
  <c r="BH394" i="1"/>
  <c r="CD394" i="1" s="1"/>
  <c r="AQ394" i="1"/>
  <c r="AW362" i="1"/>
  <c r="BS362" i="1" s="1"/>
  <c r="CO362" i="1" s="1"/>
  <c r="AY362" i="1"/>
  <c r="BU362" i="1" s="1"/>
  <c r="AW358" i="1"/>
  <c r="BS358" i="1" s="1"/>
  <c r="CO358" i="1" s="1"/>
  <c r="AY358" i="1"/>
  <c r="BU358" i="1" s="1"/>
  <c r="AW336" i="1"/>
  <c r="BS336" i="1" s="1"/>
  <c r="CO336" i="1" s="1"/>
  <c r="AY336" i="1"/>
  <c r="BU336" i="1" s="1"/>
  <c r="AW316" i="1"/>
  <c r="BS316" i="1" s="1"/>
  <c r="CO316" i="1" s="1"/>
  <c r="AY316" i="1"/>
  <c r="BU316" i="1" s="1"/>
  <c r="AW190" i="1"/>
  <c r="BS190" i="1" s="1"/>
  <c r="CO190" i="1" s="1"/>
  <c r="AY190" i="1"/>
  <c r="BU190" i="1" s="1"/>
  <c r="AW129" i="1"/>
  <c r="BS129" i="1" s="1"/>
  <c r="AY129" i="1"/>
  <c r="BU129" i="1" s="1"/>
  <c r="AW125" i="1"/>
  <c r="BS125" i="1" s="1"/>
  <c r="CO125" i="1" s="1"/>
  <c r="AY125" i="1"/>
  <c r="BU125" i="1" s="1"/>
  <c r="AW105" i="1"/>
  <c r="BS105" i="1" s="1"/>
  <c r="CO105" i="1" s="1"/>
  <c r="AY105" i="1"/>
  <c r="BU105" i="1" s="1"/>
  <c r="AW82" i="1"/>
  <c r="BS82" i="1" s="1"/>
  <c r="CO82" i="1" s="1"/>
  <c r="AY82" i="1"/>
  <c r="BU82" i="1" s="1"/>
  <c r="AW70" i="1"/>
  <c r="BS70" i="1" s="1"/>
  <c r="CO70" i="1" s="1"/>
  <c r="AY70" i="1"/>
  <c r="BU70" i="1" s="1"/>
  <c r="AW45" i="1"/>
  <c r="BS45" i="1" s="1"/>
  <c r="CO45" i="1" s="1"/>
  <c r="AY45" i="1"/>
  <c r="BU45" i="1" s="1"/>
  <c r="AW21" i="1"/>
  <c r="BS21" i="1" s="1"/>
  <c r="CO21" i="1" s="1"/>
  <c r="AY21" i="1"/>
  <c r="BU21" i="1" s="1"/>
  <c r="AW13" i="1"/>
  <c r="BS13" i="1" s="1"/>
  <c r="CO13" i="1" s="1"/>
  <c r="AY13" i="1"/>
  <c r="BU13" i="1" s="1"/>
  <c r="AQ361" i="1"/>
  <c r="AQ351" i="1"/>
  <c r="AQ335" i="1"/>
  <c r="AQ296" i="1"/>
  <c r="AW378" i="1"/>
  <c r="BS378" i="1" s="1"/>
  <c r="AY378" i="1"/>
  <c r="BU378" i="1" s="1"/>
  <c r="CQ378" i="1" s="1"/>
  <c r="AW374" i="1"/>
  <c r="BS374" i="1" s="1"/>
  <c r="CO374" i="1" s="1"/>
  <c r="AY374" i="1"/>
  <c r="BU374" i="1" s="1"/>
  <c r="AW364" i="1"/>
  <c r="BS364" i="1" s="1"/>
  <c r="CO364" i="1" s="1"/>
  <c r="AY364" i="1"/>
  <c r="BU364" i="1" s="1"/>
  <c r="AW360" i="1"/>
  <c r="BS360" i="1" s="1"/>
  <c r="CO360" i="1" s="1"/>
  <c r="AY360" i="1"/>
  <c r="BU360" i="1" s="1"/>
  <c r="AY356" i="1"/>
  <c r="BU356" i="1" s="1"/>
  <c r="AW342" i="1"/>
  <c r="BS342" i="1" s="1"/>
  <c r="AY342" i="1"/>
  <c r="BU342" i="1" s="1"/>
  <c r="CQ342" i="1" s="1"/>
  <c r="AW338" i="1"/>
  <c r="BS338" i="1" s="1"/>
  <c r="CO338" i="1" s="1"/>
  <c r="AY338" i="1"/>
  <c r="BU338" i="1" s="1"/>
  <c r="AW334" i="1"/>
  <c r="BS334" i="1" s="1"/>
  <c r="AY334" i="1"/>
  <c r="BU334" i="1" s="1"/>
  <c r="CQ334" i="1" s="1"/>
  <c r="AW330" i="1"/>
  <c r="BS330" i="1" s="1"/>
  <c r="CO330" i="1" s="1"/>
  <c r="AY330" i="1"/>
  <c r="BU330" i="1" s="1"/>
  <c r="AW326" i="1"/>
  <c r="BS326" i="1" s="1"/>
  <c r="CO326" i="1" s="1"/>
  <c r="AY326" i="1"/>
  <c r="BU326" i="1" s="1"/>
  <c r="AW318" i="1"/>
  <c r="BS318" i="1" s="1"/>
  <c r="CO318" i="1" s="1"/>
  <c r="AY318" i="1"/>
  <c r="BU318" i="1" s="1"/>
  <c r="AW314" i="1"/>
  <c r="BS314" i="1" s="1"/>
  <c r="CO314" i="1" s="1"/>
  <c r="AY314" i="1"/>
  <c r="BU314" i="1" s="1"/>
  <c r="AW303" i="1"/>
  <c r="BS303" i="1" s="1"/>
  <c r="AY303" i="1"/>
  <c r="BU303" i="1" s="1"/>
  <c r="CQ303" i="1" s="1"/>
  <c r="AW299" i="1"/>
  <c r="BS299" i="1" s="1"/>
  <c r="CO299" i="1" s="1"/>
  <c r="AY299" i="1"/>
  <c r="BU299" i="1" s="1"/>
  <c r="AY282" i="1"/>
  <c r="BU282" i="1" s="1"/>
  <c r="AW276" i="1"/>
  <c r="BS276" i="1" s="1"/>
  <c r="CO276" i="1" s="1"/>
  <c r="AY276" i="1"/>
  <c r="BU276" i="1" s="1"/>
  <c r="AW268" i="1"/>
  <c r="BS268" i="1" s="1"/>
  <c r="CO268" i="1" s="1"/>
  <c r="AY268" i="1"/>
  <c r="BU268" i="1" s="1"/>
  <c r="AW264" i="1"/>
  <c r="BS264" i="1" s="1"/>
  <c r="CO264" i="1" s="1"/>
  <c r="AY264" i="1"/>
  <c r="BU264" i="1" s="1"/>
  <c r="AW260" i="1"/>
  <c r="BS260" i="1" s="1"/>
  <c r="CO260" i="1" s="1"/>
  <c r="AY260" i="1"/>
  <c r="BU260" i="1" s="1"/>
  <c r="AW252" i="1"/>
  <c r="BS252" i="1" s="1"/>
  <c r="CO252" i="1" s="1"/>
  <c r="AY252" i="1"/>
  <c r="BU252" i="1" s="1"/>
  <c r="AY248" i="1"/>
  <c r="BU248" i="1" s="1"/>
  <c r="AW243" i="1"/>
  <c r="BS243" i="1" s="1"/>
  <c r="CO243" i="1" s="1"/>
  <c r="AY243" i="1"/>
  <c r="BU243" i="1" s="1"/>
  <c r="AW239" i="1"/>
  <c r="BS239" i="1" s="1"/>
  <c r="CO239" i="1" s="1"/>
  <c r="AY239" i="1"/>
  <c r="BU239" i="1" s="1"/>
  <c r="AW226" i="1"/>
  <c r="BS226" i="1" s="1"/>
  <c r="CO226" i="1" s="1"/>
  <c r="AY226" i="1"/>
  <c r="BU226" i="1" s="1"/>
  <c r="AW222" i="1"/>
  <c r="BS222" i="1" s="1"/>
  <c r="CO222" i="1" s="1"/>
  <c r="AY222" i="1"/>
  <c r="BU222" i="1" s="1"/>
  <c r="AW210" i="1"/>
  <c r="BS210" i="1" s="1"/>
  <c r="CO210" i="1" s="1"/>
  <c r="AY210" i="1"/>
  <c r="BU210" i="1" s="1"/>
  <c r="AW201" i="1"/>
  <c r="BS201" i="1" s="1"/>
  <c r="AY201" i="1"/>
  <c r="BU201" i="1" s="1"/>
  <c r="CQ201" i="1" s="1"/>
  <c r="AW196" i="1"/>
  <c r="BS196" i="1" s="1"/>
  <c r="CO196" i="1" s="1"/>
  <c r="AY196" i="1"/>
  <c r="BU196" i="1" s="1"/>
  <c r="AW187" i="1"/>
  <c r="BS187" i="1" s="1"/>
  <c r="AY187" i="1"/>
  <c r="BU187" i="1" s="1"/>
  <c r="AW183" i="1"/>
  <c r="BS183" i="1" s="1"/>
  <c r="CO183" i="1" s="1"/>
  <c r="AY183" i="1"/>
  <c r="BU183" i="1" s="1"/>
  <c r="AY178" i="1"/>
  <c r="BU178" i="1" s="1"/>
  <c r="AW170" i="1"/>
  <c r="BS170" i="1" s="1"/>
  <c r="AY170" i="1"/>
  <c r="BU170" i="1" s="1"/>
  <c r="CQ170" i="1" s="1"/>
  <c r="AW166" i="1"/>
  <c r="BS166" i="1" s="1"/>
  <c r="CO166" i="1" s="1"/>
  <c r="AY166" i="1"/>
  <c r="BU166" i="1" s="1"/>
  <c r="AW161" i="1"/>
  <c r="BS161" i="1" s="1"/>
  <c r="CO161" i="1" s="1"/>
  <c r="AY161" i="1"/>
  <c r="BU161" i="1" s="1"/>
  <c r="AW148" i="1"/>
  <c r="BS148" i="1" s="1"/>
  <c r="CO148" i="1" s="1"/>
  <c r="AY148" i="1"/>
  <c r="BU148" i="1" s="1"/>
  <c r="AW143" i="1"/>
  <c r="BS143" i="1" s="1"/>
  <c r="CO143" i="1" s="1"/>
  <c r="AY143" i="1"/>
  <c r="BU143" i="1" s="1"/>
  <c r="AW139" i="1"/>
  <c r="BS139" i="1" s="1"/>
  <c r="CO139" i="1" s="1"/>
  <c r="AY139" i="1"/>
  <c r="BU139" i="1" s="1"/>
  <c r="AW127" i="1"/>
  <c r="BS127" i="1" s="1"/>
  <c r="CO127" i="1" s="1"/>
  <c r="AY127" i="1"/>
  <c r="BU127" i="1" s="1"/>
  <c r="AW115" i="1"/>
  <c r="BS115" i="1" s="1"/>
  <c r="CO115" i="1" s="1"/>
  <c r="AY115" i="1"/>
  <c r="BU115" i="1" s="1"/>
  <c r="AW107" i="1"/>
  <c r="BS107" i="1" s="1"/>
  <c r="CO107" i="1" s="1"/>
  <c r="AY107" i="1"/>
  <c r="BU107" i="1" s="1"/>
  <c r="AW92" i="1"/>
  <c r="BS92" i="1" s="1"/>
  <c r="CO92" i="1" s="1"/>
  <c r="AY92" i="1"/>
  <c r="BU92" i="1" s="1"/>
  <c r="AW88" i="1"/>
  <c r="BS88" i="1" s="1"/>
  <c r="AY88" i="1"/>
  <c r="BU88" i="1" s="1"/>
  <c r="CQ88" i="1" s="1"/>
  <c r="AW84" i="1"/>
  <c r="BS84" i="1" s="1"/>
  <c r="CO84" i="1" s="1"/>
  <c r="AY84" i="1"/>
  <c r="BU84" i="1" s="1"/>
  <c r="AW80" i="1"/>
  <c r="BS80" i="1" s="1"/>
  <c r="CO80" i="1" s="1"/>
  <c r="AY80" i="1"/>
  <c r="BU80" i="1" s="1"/>
  <c r="AW72" i="1"/>
  <c r="BS72" i="1" s="1"/>
  <c r="AY72" i="1"/>
  <c r="BU72" i="1" s="1"/>
  <c r="CQ72" i="1" s="1"/>
  <c r="AY68" i="1"/>
  <c r="BU68" i="1" s="1"/>
  <c r="AW64" i="1"/>
  <c r="BS64" i="1" s="1"/>
  <c r="CO64" i="1" s="1"/>
  <c r="AY64" i="1"/>
  <c r="BU64" i="1" s="1"/>
  <c r="AW43" i="1"/>
  <c r="BS43" i="1" s="1"/>
  <c r="CO43" i="1" s="1"/>
  <c r="AY43" i="1"/>
  <c r="BU43" i="1" s="1"/>
  <c r="AW39" i="1"/>
  <c r="BS39" i="1" s="1"/>
  <c r="CO39" i="1" s="1"/>
  <c r="AY39" i="1"/>
  <c r="BU39" i="1" s="1"/>
  <c r="AY27" i="1"/>
  <c r="BU27" i="1" s="1"/>
  <c r="AW15" i="1"/>
  <c r="BS15" i="1" s="1"/>
  <c r="CO15" i="1" s="1"/>
  <c r="AY15" i="1"/>
  <c r="BU15" i="1" s="1"/>
  <c r="AQ377" i="1"/>
  <c r="AQ363" i="1"/>
  <c r="AQ359" i="1"/>
  <c r="AQ355" i="1"/>
  <c r="AQ341" i="1"/>
  <c r="AQ337" i="1"/>
  <c r="AQ333" i="1"/>
  <c r="AQ329" i="1"/>
  <c r="AQ317" i="1"/>
  <c r="AQ313" i="1"/>
  <c r="AQ302" i="1"/>
  <c r="AQ298" i="1"/>
  <c r="AQ281" i="1"/>
  <c r="AQ275" i="1"/>
  <c r="AQ271" i="1"/>
  <c r="AQ267" i="1"/>
  <c r="AQ263" i="1"/>
  <c r="AQ259" i="1"/>
  <c r="AQ251" i="1"/>
  <c r="AQ247" i="1"/>
  <c r="AQ242" i="1"/>
  <c r="AQ238" i="1"/>
  <c r="AQ225" i="1"/>
  <c r="AQ221" i="1"/>
  <c r="AQ213" i="1"/>
  <c r="AQ209" i="1"/>
  <c r="AQ200" i="1"/>
  <c r="AQ181" i="1"/>
  <c r="AQ164" i="1"/>
  <c r="AQ147" i="1"/>
  <c r="AQ138" i="1"/>
  <c r="AQ130" i="1"/>
  <c r="AQ114" i="1"/>
  <c r="AQ106" i="1"/>
  <c r="AQ87" i="1"/>
  <c r="BI395" i="1"/>
  <c r="BJ395" i="1" s="1"/>
  <c r="BI378" i="1"/>
  <c r="BJ378" i="1" s="1"/>
  <c r="BI374" i="1"/>
  <c r="BJ374" i="1" s="1"/>
  <c r="BI364" i="1"/>
  <c r="BJ364" i="1" s="1"/>
  <c r="BI360" i="1"/>
  <c r="BJ360" i="1" s="1"/>
  <c r="BI356" i="1"/>
  <c r="BJ356" i="1" s="1"/>
  <c r="BH342" i="1"/>
  <c r="CD342" i="1" s="1"/>
  <c r="CZ342" i="1" s="1"/>
  <c r="BH338" i="1"/>
  <c r="CD338" i="1" s="1"/>
  <c r="BH334" i="1"/>
  <c r="CD334" i="1" s="1"/>
  <c r="CZ334" i="1" s="1"/>
  <c r="BH330" i="1"/>
  <c r="CD330" i="1" s="1"/>
  <c r="BH326" i="1"/>
  <c r="CD326" i="1" s="1"/>
  <c r="BH318" i="1"/>
  <c r="CD318" i="1" s="1"/>
  <c r="BH314" i="1"/>
  <c r="CD314" i="1" s="1"/>
  <c r="BH303" i="1"/>
  <c r="CD303" i="1" s="1"/>
  <c r="CZ303" i="1" s="1"/>
  <c r="BH299" i="1"/>
  <c r="CD299" i="1" s="1"/>
  <c r="BH282" i="1"/>
  <c r="CD282" i="1" s="1"/>
  <c r="BH276" i="1"/>
  <c r="CD276" i="1" s="1"/>
  <c r="BH268" i="1"/>
  <c r="CD268" i="1" s="1"/>
  <c r="BH264" i="1"/>
  <c r="CD264" i="1" s="1"/>
  <c r="BH260" i="1"/>
  <c r="CD260" i="1" s="1"/>
  <c r="BH252" i="1"/>
  <c r="CD252" i="1" s="1"/>
  <c r="BH248" i="1"/>
  <c r="CD248" i="1" s="1"/>
  <c r="BH243" i="1"/>
  <c r="CD243" i="1" s="1"/>
  <c r="BH239" i="1"/>
  <c r="CD239" i="1" s="1"/>
  <c r="BH226" i="1"/>
  <c r="CD226" i="1" s="1"/>
  <c r="BH222" i="1"/>
  <c r="CD222" i="1" s="1"/>
  <c r="BH210" i="1"/>
  <c r="CD210" i="1" s="1"/>
  <c r="BH201" i="1"/>
  <c r="CD201" i="1" s="1"/>
  <c r="CZ201" i="1" s="1"/>
  <c r="BH196" i="1"/>
  <c r="CD196" i="1" s="1"/>
  <c r="BH187" i="1"/>
  <c r="CD187" i="1" s="1"/>
  <c r="BH183" i="1"/>
  <c r="CD183" i="1" s="1"/>
  <c r="BH178" i="1"/>
  <c r="CD178" i="1" s="1"/>
  <c r="BH170" i="1"/>
  <c r="CD170" i="1" s="1"/>
  <c r="CZ170" i="1" s="1"/>
  <c r="BH166" i="1"/>
  <c r="CD166" i="1" s="1"/>
  <c r="BH161" i="1"/>
  <c r="CD161" i="1" s="1"/>
  <c r="BH148" i="1"/>
  <c r="CD148" i="1" s="1"/>
  <c r="BH143" i="1"/>
  <c r="CD143" i="1" s="1"/>
  <c r="BH139" i="1"/>
  <c r="CD139" i="1" s="1"/>
  <c r="BH127" i="1"/>
  <c r="CD127" i="1" s="1"/>
  <c r="BH115" i="1"/>
  <c r="CD115" i="1" s="1"/>
  <c r="BH107" i="1"/>
  <c r="CD107" i="1" s="1"/>
  <c r="BH92" i="1"/>
  <c r="CD92" i="1" s="1"/>
  <c r="BH88" i="1"/>
  <c r="CD88" i="1" s="1"/>
  <c r="CZ88" i="1" s="1"/>
  <c r="BH84" i="1"/>
  <c r="CD84" i="1" s="1"/>
  <c r="BH80" i="1"/>
  <c r="CD80" i="1" s="1"/>
  <c r="BH72" i="1"/>
  <c r="CD72" i="1" s="1"/>
  <c r="CZ72" i="1" s="1"/>
  <c r="BH68" i="1"/>
  <c r="CD68" i="1" s="1"/>
  <c r="BH64" i="1"/>
  <c r="CD64" i="1" s="1"/>
  <c r="BH43" i="1"/>
  <c r="CD43" i="1" s="1"/>
  <c r="BH39" i="1"/>
  <c r="CD39" i="1" s="1"/>
  <c r="BH27" i="1"/>
  <c r="CD27" i="1" s="1"/>
  <c r="BH15" i="1"/>
  <c r="CD15" i="1" s="1"/>
  <c r="AQ417" i="1"/>
  <c r="AQ415" i="1"/>
  <c r="AQ411" i="1"/>
  <c r="AQ409" i="1"/>
  <c r="AQ403" i="1"/>
  <c r="AY399" i="1"/>
  <c r="BU399" i="1" s="1"/>
  <c r="BH379" i="1"/>
  <c r="CD379" i="1" s="1"/>
  <c r="AQ379" i="1"/>
  <c r="AW417" i="1"/>
  <c r="BS417" i="1" s="1"/>
  <c r="AW416" i="1"/>
  <c r="BS416" i="1" s="1"/>
  <c r="AW412" i="1"/>
  <c r="BS412" i="1" s="1"/>
  <c r="CO412" i="1" s="1"/>
  <c r="AW404" i="1"/>
  <c r="BS404" i="1" s="1"/>
  <c r="CO404" i="1" s="1"/>
  <c r="AW396" i="1"/>
  <c r="BS396" i="1" s="1"/>
  <c r="CO396" i="1" s="1"/>
  <c r="AW379" i="1"/>
  <c r="BS379" i="1" s="1"/>
  <c r="CO379" i="1" s="1"/>
  <c r="AW375" i="1"/>
  <c r="BS375" i="1" s="1"/>
  <c r="AW361" i="1"/>
  <c r="BS361" i="1" s="1"/>
  <c r="CO361" i="1" s="1"/>
  <c r="AW357" i="1"/>
  <c r="BS357" i="1" s="1"/>
  <c r="CO357" i="1" s="1"/>
  <c r="AW351" i="1"/>
  <c r="BS351" i="1" s="1"/>
  <c r="CO351" i="1" s="1"/>
  <c r="AW339" i="1"/>
  <c r="BS339" i="1" s="1"/>
  <c r="CO339" i="1" s="1"/>
  <c r="AW335" i="1"/>
  <c r="BS335" i="1" s="1"/>
  <c r="AW331" i="1"/>
  <c r="BS331" i="1" s="1"/>
  <c r="CO331" i="1" s="1"/>
  <c r="AW327" i="1"/>
  <c r="BS327" i="1" s="1"/>
  <c r="CO327" i="1" s="1"/>
  <c r="AW315" i="1"/>
  <c r="BS315" i="1" s="1"/>
  <c r="CO315" i="1" s="1"/>
  <c r="AW300" i="1"/>
  <c r="BS300" i="1" s="1"/>
  <c r="CO300" i="1" s="1"/>
  <c r="AW296" i="1"/>
  <c r="BS296" i="1" s="1"/>
  <c r="CO296" i="1" s="1"/>
  <c r="AW277" i="1"/>
  <c r="BS277" i="1" s="1"/>
  <c r="CO277" i="1" s="1"/>
  <c r="AW273" i="1"/>
  <c r="BS273" i="1" s="1"/>
  <c r="CO273" i="1" s="1"/>
  <c r="AW269" i="1"/>
  <c r="BS269" i="1" s="1"/>
  <c r="CO269" i="1" s="1"/>
  <c r="AW265" i="1"/>
  <c r="BS265" i="1" s="1"/>
  <c r="CO265" i="1" s="1"/>
  <c r="AW261" i="1"/>
  <c r="BS261" i="1" s="1"/>
  <c r="CO261" i="1" s="1"/>
  <c r="AW257" i="1"/>
  <c r="BS257" i="1" s="1"/>
  <c r="CO257" i="1" s="1"/>
  <c r="AW253" i="1"/>
  <c r="BS253" i="1" s="1"/>
  <c r="CO253" i="1" s="1"/>
  <c r="AW249" i="1"/>
  <c r="BS249" i="1" s="1"/>
  <c r="CO249" i="1" s="1"/>
  <c r="AW244" i="1"/>
  <c r="BS244" i="1" s="1"/>
  <c r="CO244" i="1" s="1"/>
  <c r="AW240" i="1"/>
  <c r="BS240" i="1" s="1"/>
  <c r="CO240" i="1" s="1"/>
  <c r="AW236" i="1"/>
  <c r="BS236" i="1" s="1"/>
  <c r="CO236" i="1" s="1"/>
  <c r="AW227" i="1"/>
  <c r="BS227" i="1" s="1"/>
  <c r="CO227" i="1" s="1"/>
  <c r="AW223" i="1"/>
  <c r="BS223" i="1" s="1"/>
  <c r="CO223" i="1" s="1"/>
  <c r="AW219" i="1"/>
  <c r="BS219" i="1" s="1"/>
  <c r="AW211" i="1"/>
  <c r="BS211" i="1" s="1"/>
  <c r="CO211" i="1" s="1"/>
  <c r="AW202" i="1"/>
  <c r="BS202" i="1" s="1"/>
  <c r="CO202" i="1" s="1"/>
  <c r="AW197" i="1"/>
  <c r="BS197" i="1" s="1"/>
  <c r="CO197" i="1" s="1"/>
  <c r="AW188" i="1"/>
  <c r="BS188" i="1" s="1"/>
  <c r="CO188" i="1" s="1"/>
  <c r="AW184" i="1"/>
  <c r="BS184" i="1" s="1"/>
  <c r="CO184" i="1" s="1"/>
  <c r="AW179" i="1"/>
  <c r="BS179" i="1" s="1"/>
  <c r="CO179" i="1" s="1"/>
  <c r="AW175" i="1"/>
  <c r="BS175" i="1" s="1"/>
  <c r="CO175" i="1" s="1"/>
  <c r="AW171" i="1"/>
  <c r="BS171" i="1" s="1"/>
  <c r="CO171" i="1" s="1"/>
  <c r="AW167" i="1"/>
  <c r="BS167" i="1" s="1"/>
  <c r="CO167" i="1" s="1"/>
  <c r="AW162" i="1"/>
  <c r="BS162" i="1" s="1"/>
  <c r="CO162" i="1" s="1"/>
  <c r="AW157" i="1"/>
  <c r="BS157" i="1" s="1"/>
  <c r="CO157" i="1" s="1"/>
  <c r="AW149" i="1"/>
  <c r="BS149" i="1" s="1"/>
  <c r="CO149" i="1" s="1"/>
  <c r="AW140" i="1"/>
  <c r="BS140" i="1" s="1"/>
  <c r="CO140" i="1" s="1"/>
  <c r="AW128" i="1"/>
  <c r="BS128" i="1" s="1"/>
  <c r="CO128" i="1" s="1"/>
  <c r="AW124" i="1"/>
  <c r="BS124" i="1" s="1"/>
  <c r="CO124" i="1" s="1"/>
  <c r="AW116" i="1"/>
  <c r="BS116" i="1" s="1"/>
  <c r="CO116" i="1" s="1"/>
  <c r="AW108" i="1"/>
  <c r="BS108" i="1" s="1"/>
  <c r="CO108" i="1" s="1"/>
  <c r="AW104" i="1"/>
  <c r="BS104" i="1" s="1"/>
  <c r="CO104" i="1" s="1"/>
  <c r="AW85" i="1"/>
  <c r="BS85" i="1" s="1"/>
  <c r="CO85" i="1" s="1"/>
  <c r="AW73" i="1"/>
  <c r="BS73" i="1" s="1"/>
  <c r="CO73" i="1" s="1"/>
  <c r="AW61" i="1"/>
  <c r="BS61" i="1" s="1"/>
  <c r="CO61" i="1" s="1"/>
  <c r="AW48" i="1"/>
  <c r="BS48" i="1" s="1"/>
  <c r="CO48" i="1" s="1"/>
  <c r="AW44" i="1"/>
  <c r="BS44" i="1" s="1"/>
  <c r="CO44" i="1" s="1"/>
  <c r="AW40" i="1"/>
  <c r="BS40" i="1" s="1"/>
  <c r="CO40" i="1" s="1"/>
  <c r="AW20" i="1"/>
  <c r="BS20" i="1" s="1"/>
  <c r="CO20" i="1" s="1"/>
  <c r="AW16" i="1"/>
  <c r="BS16" i="1" s="1"/>
  <c r="CO16" i="1" s="1"/>
  <c r="X42" i="3"/>
  <c r="W42" i="3"/>
  <c r="V42" i="3"/>
  <c r="U42" i="3"/>
  <c r="T42" i="3"/>
  <c r="S42" i="3"/>
  <c r="R42" i="3"/>
  <c r="Q42" i="3"/>
  <c r="P42" i="3"/>
  <c r="O42" i="3"/>
  <c r="N42" i="3"/>
  <c r="G42" i="3"/>
  <c r="X41" i="3"/>
  <c r="W41" i="3"/>
  <c r="V41" i="3"/>
  <c r="U41" i="3"/>
  <c r="T41" i="3"/>
  <c r="S41" i="3"/>
  <c r="R41" i="3"/>
  <c r="Q41" i="3"/>
  <c r="P41" i="3"/>
  <c r="O41" i="3"/>
  <c r="N41" i="3"/>
  <c r="G41" i="3"/>
  <c r="X40" i="3"/>
  <c r="W40" i="3"/>
  <c r="V40" i="3"/>
  <c r="U40" i="3"/>
  <c r="T40" i="3"/>
  <c r="S40" i="3"/>
  <c r="R40" i="3"/>
  <c r="Q40" i="3"/>
  <c r="P40" i="3"/>
  <c r="O40" i="3"/>
  <c r="N40" i="3"/>
  <c r="G40" i="3"/>
  <c r="Y38" i="3"/>
  <c r="M38" i="3"/>
  <c r="Y37" i="3"/>
  <c r="Z37" i="3" s="1"/>
  <c r="M37" i="3"/>
  <c r="AB37" i="3" s="1"/>
  <c r="K37" i="3"/>
  <c r="Y36" i="3"/>
  <c r="Z36" i="3" s="1"/>
  <c r="M36" i="3"/>
  <c r="AB36" i="3" s="1"/>
  <c r="K40" i="3"/>
  <c r="X33" i="3"/>
  <c r="W33" i="3"/>
  <c r="V33" i="3"/>
  <c r="U33" i="3"/>
  <c r="T33" i="3"/>
  <c r="S33" i="3"/>
  <c r="R33" i="3"/>
  <c r="Q33" i="3"/>
  <c r="P33" i="3"/>
  <c r="O33" i="3"/>
  <c r="N33" i="3"/>
  <c r="G33" i="3"/>
  <c r="X32" i="3"/>
  <c r="W32" i="3"/>
  <c r="V32" i="3"/>
  <c r="U32" i="3"/>
  <c r="T32" i="3"/>
  <c r="S32" i="3"/>
  <c r="R32" i="3"/>
  <c r="Q32" i="3"/>
  <c r="P32" i="3"/>
  <c r="O32" i="3"/>
  <c r="N32" i="3"/>
  <c r="G32" i="3"/>
  <c r="X31" i="3"/>
  <c r="W31" i="3"/>
  <c r="V31" i="3"/>
  <c r="U31" i="3"/>
  <c r="T31" i="3"/>
  <c r="S31" i="3"/>
  <c r="R31" i="3"/>
  <c r="Q31" i="3"/>
  <c r="P31" i="3"/>
  <c r="O31" i="3"/>
  <c r="N31" i="3"/>
  <c r="X30" i="3"/>
  <c r="W30" i="3"/>
  <c r="V30" i="3"/>
  <c r="U30" i="3"/>
  <c r="T30" i="3"/>
  <c r="S30" i="3"/>
  <c r="R30" i="3"/>
  <c r="Q30" i="3"/>
  <c r="P30" i="3"/>
  <c r="O30" i="3"/>
  <c r="N30" i="3"/>
  <c r="G30" i="3"/>
  <c r="X29" i="3"/>
  <c r="AL93" i="1" s="1"/>
  <c r="W29" i="3"/>
  <c r="AK93" i="1" s="1"/>
  <c r="BG93" i="1" s="1"/>
  <c r="CC93" i="1" s="1"/>
  <c r="CY93" i="1" s="1"/>
  <c r="V29" i="3"/>
  <c r="AJ93" i="1" s="1"/>
  <c r="BF93" i="1" s="1"/>
  <c r="CB93" i="1" s="1"/>
  <c r="CX93" i="1" s="1"/>
  <c r="U29" i="3"/>
  <c r="AI93" i="1" s="1"/>
  <c r="BE93" i="1" s="1"/>
  <c r="CA93" i="1" s="1"/>
  <c r="CW93" i="1" s="1"/>
  <c r="T29" i="3"/>
  <c r="AH93" i="1" s="1"/>
  <c r="BD93" i="1" s="1"/>
  <c r="BZ93" i="1" s="1"/>
  <c r="CV93" i="1" s="1"/>
  <c r="S29" i="3"/>
  <c r="AG93" i="1" s="1"/>
  <c r="BC93" i="1" s="1"/>
  <c r="BY93" i="1" s="1"/>
  <c r="CU93" i="1" s="1"/>
  <c r="R29" i="3"/>
  <c r="AF93" i="1" s="1"/>
  <c r="BB93" i="1" s="1"/>
  <c r="BX93" i="1" s="1"/>
  <c r="CT93" i="1" s="1"/>
  <c r="Q29" i="3"/>
  <c r="AE93" i="1" s="1"/>
  <c r="BA93" i="1" s="1"/>
  <c r="BW93" i="1" s="1"/>
  <c r="CS93" i="1" s="1"/>
  <c r="P29" i="3"/>
  <c r="AD93" i="1" s="1"/>
  <c r="AZ93" i="1" s="1"/>
  <c r="BV93" i="1" s="1"/>
  <c r="CR93" i="1" s="1"/>
  <c r="O29" i="3"/>
  <c r="AC93" i="1" s="1"/>
  <c r="AY93" i="1" s="1"/>
  <c r="BU93" i="1" s="1"/>
  <c r="CQ93" i="1" s="1"/>
  <c r="N29" i="3"/>
  <c r="AB93" i="1" s="1"/>
  <c r="G29" i="3"/>
  <c r="U93" i="1" s="1"/>
  <c r="V93" i="1" s="1"/>
  <c r="W93" i="1" s="1"/>
  <c r="X25" i="3"/>
  <c r="AL367" i="1" s="1"/>
  <c r="W25" i="3"/>
  <c r="AK367" i="1" s="1"/>
  <c r="BG367" i="1" s="1"/>
  <c r="CC367" i="1" s="1"/>
  <c r="AVL367" i="1" s="1"/>
  <c r="V25" i="3"/>
  <c r="AJ367" i="1" s="1"/>
  <c r="BF367" i="1" s="1"/>
  <c r="CB367" i="1" s="1"/>
  <c r="AVK367" i="1" s="1"/>
  <c r="U25" i="3"/>
  <c r="AI367" i="1" s="1"/>
  <c r="BE367" i="1" s="1"/>
  <c r="CA367" i="1" s="1"/>
  <c r="AVJ367" i="1" s="1"/>
  <c r="T25" i="3"/>
  <c r="AH367" i="1" s="1"/>
  <c r="BD367" i="1" s="1"/>
  <c r="BZ367" i="1" s="1"/>
  <c r="AVI367" i="1" s="1"/>
  <c r="S25" i="3"/>
  <c r="AG367" i="1" s="1"/>
  <c r="BC367" i="1" s="1"/>
  <c r="BY367" i="1" s="1"/>
  <c r="AVH367" i="1" s="1"/>
  <c r="R25" i="3"/>
  <c r="AF367" i="1" s="1"/>
  <c r="BB367" i="1" s="1"/>
  <c r="BX367" i="1" s="1"/>
  <c r="AVG367" i="1" s="1"/>
  <c r="Q25" i="3"/>
  <c r="AE367" i="1" s="1"/>
  <c r="BA367" i="1" s="1"/>
  <c r="BW367" i="1" s="1"/>
  <c r="AVF367" i="1" s="1"/>
  <c r="P25" i="3"/>
  <c r="AD367" i="1" s="1"/>
  <c r="AZ367" i="1" s="1"/>
  <c r="BV367" i="1" s="1"/>
  <c r="AVE367" i="1" s="1"/>
  <c r="O25" i="3"/>
  <c r="AC367" i="1" s="1"/>
  <c r="AY367" i="1" s="1"/>
  <c r="BU367" i="1" s="1"/>
  <c r="AVD367" i="1" s="1"/>
  <c r="N25" i="3"/>
  <c r="AB367" i="1" s="1"/>
  <c r="X20" i="3"/>
  <c r="W20" i="3"/>
  <c r="V20" i="3"/>
  <c r="U20" i="3"/>
  <c r="T20" i="3"/>
  <c r="S20" i="3"/>
  <c r="R20" i="3"/>
  <c r="Q20" i="3"/>
  <c r="P20" i="3"/>
  <c r="O20" i="3"/>
  <c r="N20" i="3"/>
  <c r="G20" i="3"/>
  <c r="K33" i="3"/>
  <c r="Y18" i="3"/>
  <c r="Z18" i="3" s="1"/>
  <c r="M18" i="3"/>
  <c r="AB18" i="3" s="1"/>
  <c r="K32" i="3"/>
  <c r="H18" i="3"/>
  <c r="I18" i="3" s="1"/>
  <c r="Y17" i="3"/>
  <c r="Z17" i="3" s="1"/>
  <c r="M17" i="3"/>
  <c r="AB17" i="3" s="1"/>
  <c r="H17" i="3"/>
  <c r="I17" i="3" s="1"/>
  <c r="Y16" i="3"/>
  <c r="Z16" i="3" s="1"/>
  <c r="M16" i="3"/>
  <c r="AB16" i="3" s="1"/>
  <c r="K16" i="3"/>
  <c r="Y279" i="1" s="1"/>
  <c r="AU279" i="1" s="1"/>
  <c r="BQ279" i="1" s="1"/>
  <c r="AUZ279" i="1" s="1"/>
  <c r="H16" i="3"/>
  <c r="I16" i="3" s="1"/>
  <c r="Y15" i="3"/>
  <c r="Z15" i="3" s="1"/>
  <c r="M15" i="3"/>
  <c r="AB15" i="3" s="1"/>
  <c r="H15" i="3"/>
  <c r="I15" i="3" s="1"/>
  <c r="AB12" i="3"/>
  <c r="AB11" i="3"/>
  <c r="K11" i="3"/>
  <c r="Y8" i="3"/>
  <c r="Z8" i="3" s="1"/>
  <c r="M8" i="3"/>
  <c r="AB8" i="3" s="1"/>
  <c r="H8" i="3"/>
  <c r="I8" i="3" s="1"/>
  <c r="Y7" i="3"/>
  <c r="Z7" i="3" s="1"/>
  <c r="M7" i="3"/>
  <c r="AB7" i="3" s="1"/>
  <c r="H7" i="3"/>
  <c r="I7" i="3" s="1"/>
  <c r="Y6" i="3"/>
  <c r="Z6" i="3" s="1"/>
  <c r="M6" i="3"/>
  <c r="AB6" i="3" s="1"/>
  <c r="H6" i="3"/>
  <c r="I6" i="3" s="1"/>
  <c r="AH6" i="1" l="1"/>
  <c r="BD6" i="1" s="1"/>
  <c r="BZ6" i="1" s="1"/>
  <c r="AVI6" i="1" s="1"/>
  <c r="AH384" i="1"/>
  <c r="BD384" i="1" s="1"/>
  <c r="BZ384" i="1" s="1"/>
  <c r="AVI384" i="1" s="1"/>
  <c r="AH383" i="1"/>
  <c r="BD383" i="1" s="1"/>
  <c r="BZ383" i="1" s="1"/>
  <c r="AVI383" i="1" s="1"/>
  <c r="AH353" i="1"/>
  <c r="BD353" i="1" s="1"/>
  <c r="BZ353" i="1" s="1"/>
  <c r="U384" i="1"/>
  <c r="U383" i="1"/>
  <c r="U353" i="1"/>
  <c r="U96" i="1"/>
  <c r="U6" i="1"/>
  <c r="AI6" i="1"/>
  <c r="BE6" i="1" s="1"/>
  <c r="CA6" i="1" s="1"/>
  <c r="AVJ6" i="1" s="1"/>
  <c r="AI384" i="1"/>
  <c r="BE384" i="1" s="1"/>
  <c r="CA384" i="1" s="1"/>
  <c r="AVJ384" i="1" s="1"/>
  <c r="AI383" i="1"/>
  <c r="BE383" i="1" s="1"/>
  <c r="CA383" i="1" s="1"/>
  <c r="AVJ383" i="1" s="1"/>
  <c r="AI353" i="1"/>
  <c r="BE353" i="1" s="1"/>
  <c r="CA353" i="1" s="1"/>
  <c r="Y59" i="1"/>
  <c r="AU59" i="1" s="1"/>
  <c r="BQ59" i="1" s="1"/>
  <c r="AUZ59" i="1" s="1"/>
  <c r="Y58" i="1"/>
  <c r="AU58" i="1" s="1"/>
  <c r="BQ58" i="1" s="1"/>
  <c r="AUZ58" i="1" s="1"/>
  <c r="Y366" i="1"/>
  <c r="AU366" i="1" s="1"/>
  <c r="BQ366" i="1" s="1"/>
  <c r="AUZ366" i="1" s="1"/>
  <c r="Y354" i="1"/>
  <c r="AU354" i="1" s="1"/>
  <c r="BQ354" i="1" s="1"/>
  <c r="AUZ354" i="1" s="1"/>
  <c r="Y310" i="1"/>
  <c r="AU310" i="1" s="1"/>
  <c r="BQ310" i="1" s="1"/>
  <c r="AUZ310" i="1" s="1"/>
  <c r="Y309" i="1"/>
  <c r="AU309" i="1" s="1"/>
  <c r="BQ309" i="1" s="1"/>
  <c r="AUZ309" i="1" s="1"/>
  <c r="AG353" i="1"/>
  <c r="BC353" i="1" s="1"/>
  <c r="BY353" i="1" s="1"/>
  <c r="AG384" i="1"/>
  <c r="BC384" i="1" s="1"/>
  <c r="BY384" i="1" s="1"/>
  <c r="AVH384" i="1" s="1"/>
  <c r="AG6" i="1"/>
  <c r="BC6" i="1" s="1"/>
  <c r="BY6" i="1" s="1"/>
  <c r="AVH6" i="1" s="1"/>
  <c r="AG383" i="1"/>
  <c r="BC383" i="1" s="1"/>
  <c r="BY383" i="1" s="1"/>
  <c r="AVH383" i="1" s="1"/>
  <c r="AB6" i="1"/>
  <c r="AB383" i="1"/>
  <c r="AB353" i="1"/>
  <c r="AB384" i="1"/>
  <c r="AJ6" i="1"/>
  <c r="BF6" i="1" s="1"/>
  <c r="CB6" i="1" s="1"/>
  <c r="AVK6" i="1" s="1"/>
  <c r="AJ384" i="1"/>
  <c r="BF384" i="1" s="1"/>
  <c r="CB384" i="1" s="1"/>
  <c r="AVK384" i="1" s="1"/>
  <c r="AJ383" i="1"/>
  <c r="BF383" i="1" s="1"/>
  <c r="CB383" i="1" s="1"/>
  <c r="AVK383" i="1" s="1"/>
  <c r="AJ353" i="1"/>
  <c r="BF353" i="1" s="1"/>
  <c r="CB353" i="1" s="1"/>
  <c r="BH367" i="1"/>
  <c r="AM367" i="1"/>
  <c r="AN367" i="1" s="1"/>
  <c r="AD6" i="1"/>
  <c r="AZ6" i="1" s="1"/>
  <c r="BV6" i="1" s="1"/>
  <c r="AVE6" i="1" s="1"/>
  <c r="AD384" i="1"/>
  <c r="AZ384" i="1" s="1"/>
  <c r="BV384" i="1" s="1"/>
  <c r="AVE384" i="1" s="1"/>
  <c r="AD383" i="1"/>
  <c r="AZ383" i="1" s="1"/>
  <c r="BV383" i="1" s="1"/>
  <c r="AVE383" i="1" s="1"/>
  <c r="AD353" i="1"/>
  <c r="AZ353" i="1" s="1"/>
  <c r="BV353" i="1" s="1"/>
  <c r="AE6" i="1"/>
  <c r="BA6" i="1" s="1"/>
  <c r="BW6" i="1" s="1"/>
  <c r="AVF6" i="1" s="1"/>
  <c r="AE384" i="1"/>
  <c r="BA384" i="1" s="1"/>
  <c r="BW384" i="1" s="1"/>
  <c r="AVF384" i="1" s="1"/>
  <c r="AE383" i="1"/>
  <c r="BA383" i="1" s="1"/>
  <c r="BW383" i="1" s="1"/>
  <c r="AVF383" i="1" s="1"/>
  <c r="AE353" i="1"/>
  <c r="BA353" i="1" s="1"/>
  <c r="BW353" i="1" s="1"/>
  <c r="AC6" i="1"/>
  <c r="AY6" i="1" s="1"/>
  <c r="BU6" i="1" s="1"/>
  <c r="AVD6" i="1" s="1"/>
  <c r="AC383" i="1"/>
  <c r="AY383" i="1" s="1"/>
  <c r="BU383" i="1" s="1"/>
  <c r="AVD383" i="1" s="1"/>
  <c r="AC353" i="1"/>
  <c r="AY353" i="1" s="1"/>
  <c r="BU353" i="1" s="1"/>
  <c r="AC384" i="1"/>
  <c r="AY384" i="1" s="1"/>
  <c r="BU384" i="1" s="1"/>
  <c r="AVD384" i="1" s="1"/>
  <c r="AK383" i="1"/>
  <c r="BG383" i="1" s="1"/>
  <c r="CC383" i="1" s="1"/>
  <c r="AVL383" i="1" s="1"/>
  <c r="AK353" i="1"/>
  <c r="BG353" i="1" s="1"/>
  <c r="CC353" i="1" s="1"/>
  <c r="AK6" i="1"/>
  <c r="BG6" i="1" s="1"/>
  <c r="CC6" i="1" s="1"/>
  <c r="AVL6" i="1" s="1"/>
  <c r="AK384" i="1"/>
  <c r="BG384" i="1" s="1"/>
  <c r="CC384" i="1" s="1"/>
  <c r="AVL384" i="1" s="1"/>
  <c r="AL6" i="1"/>
  <c r="AL384" i="1"/>
  <c r="AL383" i="1"/>
  <c r="AL353" i="1"/>
  <c r="AA367" i="1"/>
  <c r="AX367" i="1"/>
  <c r="BT367" i="1" s="1"/>
  <c r="AVC367" i="1" s="1"/>
  <c r="AVB367" i="1" s="1"/>
  <c r="AF384" i="1"/>
  <c r="BB384" i="1" s="1"/>
  <c r="BX384" i="1" s="1"/>
  <c r="AVG384" i="1" s="1"/>
  <c r="AF383" i="1"/>
  <c r="BB383" i="1" s="1"/>
  <c r="BX383" i="1" s="1"/>
  <c r="AVG383" i="1" s="1"/>
  <c r="AF353" i="1"/>
  <c r="BB353" i="1" s="1"/>
  <c r="BX353" i="1" s="1"/>
  <c r="AF6" i="1"/>
  <c r="BB6" i="1" s="1"/>
  <c r="BX6" i="1" s="1"/>
  <c r="AVG6" i="1" s="1"/>
  <c r="AVB129" i="1"/>
  <c r="CQ187" i="1"/>
  <c r="AVD187" i="1"/>
  <c r="AVB187" i="1" s="1"/>
  <c r="CT187" i="1"/>
  <c r="AVG187" i="1"/>
  <c r="CZ187" i="1"/>
  <c r="AVM187" i="1"/>
  <c r="AVB20" i="1"/>
  <c r="AVB104" i="1"/>
  <c r="AVB116" i="1"/>
  <c r="AVB140" i="1"/>
  <c r="AVB179" i="1"/>
  <c r="AVB188" i="1"/>
  <c r="AVB315" i="1"/>
  <c r="AVB357" i="1"/>
  <c r="AVB61" i="1"/>
  <c r="AVB227" i="1"/>
  <c r="AVB244" i="1"/>
  <c r="AVB253" i="1"/>
  <c r="AVB273" i="1"/>
  <c r="CZ15" i="1"/>
  <c r="AVM15" i="1"/>
  <c r="CZ64" i="1"/>
  <c r="AVM64" i="1"/>
  <c r="CZ84" i="1"/>
  <c r="AVM84" i="1"/>
  <c r="CZ115" i="1"/>
  <c r="AVM115" i="1"/>
  <c r="CZ148" i="1"/>
  <c r="AVM148" i="1"/>
  <c r="CZ178" i="1"/>
  <c r="AVM178" i="1"/>
  <c r="CZ239" i="1"/>
  <c r="AVM239" i="1"/>
  <c r="CZ260" i="1"/>
  <c r="AVM260" i="1"/>
  <c r="CZ282" i="1"/>
  <c r="AVM282" i="1"/>
  <c r="CZ318" i="1"/>
  <c r="AVM318" i="1"/>
  <c r="CZ338" i="1"/>
  <c r="AVM338" i="1"/>
  <c r="CQ43" i="1"/>
  <c r="AVD43" i="1"/>
  <c r="AVB43" i="1" s="1"/>
  <c r="CQ68" i="1"/>
  <c r="AVD68" i="1"/>
  <c r="AVB68" i="1" s="1"/>
  <c r="CQ222" i="1"/>
  <c r="AVD222" i="1"/>
  <c r="AVB222" i="1" s="1"/>
  <c r="CQ239" i="1"/>
  <c r="AVD239" i="1"/>
  <c r="AVB239" i="1" s="1"/>
  <c r="CQ248" i="1"/>
  <c r="AVD248" i="1"/>
  <c r="AVB248" i="1" s="1"/>
  <c r="CQ299" i="1"/>
  <c r="AVD299" i="1"/>
  <c r="CQ314" i="1"/>
  <c r="AVD314" i="1"/>
  <c r="CQ326" i="1"/>
  <c r="AVD326" i="1"/>
  <c r="AVB326" i="1" s="1"/>
  <c r="CQ402" i="1"/>
  <c r="AVD402" i="1"/>
  <c r="AVB402" i="1" s="1"/>
  <c r="CZ197" i="1"/>
  <c r="AVM197" i="1"/>
  <c r="CZ223" i="1"/>
  <c r="AVM223" i="1"/>
  <c r="CZ244" i="1"/>
  <c r="AVM244" i="1"/>
  <c r="CZ261" i="1"/>
  <c r="AVM261" i="1"/>
  <c r="CZ277" i="1"/>
  <c r="AVM277" i="1"/>
  <c r="CZ315" i="1"/>
  <c r="AVM315" i="1"/>
  <c r="CZ339" i="1"/>
  <c r="AVM339" i="1"/>
  <c r="CQ41" i="1"/>
  <c r="AVD41" i="1"/>
  <c r="AVB41" i="1" s="1"/>
  <c r="CQ90" i="1"/>
  <c r="AVD90" i="1"/>
  <c r="AVB90" i="1" s="1"/>
  <c r="CQ163" i="1"/>
  <c r="AVD163" i="1"/>
  <c r="AVB163" i="1" s="1"/>
  <c r="CQ180" i="1"/>
  <c r="AVD180" i="1"/>
  <c r="AVB180" i="1" s="1"/>
  <c r="CQ199" i="1"/>
  <c r="AVD199" i="1"/>
  <c r="AVB199" i="1" s="1"/>
  <c r="CQ258" i="1"/>
  <c r="AVD258" i="1"/>
  <c r="CQ280" i="1"/>
  <c r="AVD280" i="1"/>
  <c r="AVB280" i="1" s="1"/>
  <c r="CQ352" i="1"/>
  <c r="AVD352" i="1"/>
  <c r="AVB352" i="1" s="1"/>
  <c r="CQ395" i="1"/>
  <c r="AVD395" i="1"/>
  <c r="AVB395" i="1" s="1"/>
  <c r="CZ404" i="1"/>
  <c r="AVM404" i="1"/>
  <c r="CZ412" i="1"/>
  <c r="AVM412" i="1"/>
  <c r="AVN416" i="1"/>
  <c r="AVO416" i="1" s="1"/>
  <c r="CZ25" i="1"/>
  <c r="AVM25" i="1"/>
  <c r="CZ66" i="1"/>
  <c r="AVM66" i="1"/>
  <c r="CZ86" i="1"/>
  <c r="AVM86" i="1"/>
  <c r="CZ109" i="1"/>
  <c r="AVM109" i="1"/>
  <c r="CZ141" i="1"/>
  <c r="AVM141" i="1"/>
  <c r="CZ176" i="1"/>
  <c r="AVM176" i="1"/>
  <c r="CZ199" i="1"/>
  <c r="AVM199" i="1"/>
  <c r="CZ241" i="1"/>
  <c r="AVM241" i="1"/>
  <c r="CZ262" i="1"/>
  <c r="AVM262" i="1"/>
  <c r="CZ297" i="1"/>
  <c r="AVM297" i="1"/>
  <c r="CZ332" i="1"/>
  <c r="AVM332" i="1"/>
  <c r="CZ114" i="1"/>
  <c r="AVM114" i="1"/>
  <c r="CZ138" i="1"/>
  <c r="AVM138" i="1"/>
  <c r="CZ186" i="1"/>
  <c r="AVM186" i="1"/>
  <c r="CZ213" i="1"/>
  <c r="AVM213" i="1"/>
  <c r="CZ242" i="1"/>
  <c r="AVM242" i="1"/>
  <c r="CZ263" i="1"/>
  <c r="AVM263" i="1"/>
  <c r="AVN281" i="1"/>
  <c r="AVO281" i="1" s="1"/>
  <c r="CZ317" i="1"/>
  <c r="AVM317" i="1"/>
  <c r="CQ18" i="1"/>
  <c r="AVD18" i="1"/>
  <c r="AVB18" i="1" s="1"/>
  <c r="CQ30" i="1"/>
  <c r="AVD30" i="1"/>
  <c r="AVB30" i="1" s="1"/>
  <c r="CQ126" i="1"/>
  <c r="AVD126" i="1"/>
  <c r="AVB126" i="1" s="1"/>
  <c r="CQ138" i="1"/>
  <c r="AVD138" i="1"/>
  <c r="CQ147" i="1"/>
  <c r="AVD147" i="1"/>
  <c r="AVB147" i="1" s="1"/>
  <c r="CQ177" i="1"/>
  <c r="AVD177" i="1"/>
  <c r="AVB177" i="1" s="1"/>
  <c r="CQ186" i="1"/>
  <c r="AVD186" i="1"/>
  <c r="AVB186" i="1" s="1"/>
  <c r="CQ204" i="1"/>
  <c r="AVD204" i="1"/>
  <c r="AVB204" i="1" s="1"/>
  <c r="CQ213" i="1"/>
  <c r="AVD213" i="1"/>
  <c r="AVB213" i="1" s="1"/>
  <c r="CQ225" i="1"/>
  <c r="AVD225" i="1"/>
  <c r="AVB225" i="1" s="1"/>
  <c r="CQ275" i="1"/>
  <c r="AVD275" i="1"/>
  <c r="AVB275" i="1" s="1"/>
  <c r="CQ298" i="1"/>
  <c r="AVD298" i="1"/>
  <c r="CQ313" i="1"/>
  <c r="AVD313" i="1"/>
  <c r="AVB313" i="1" s="1"/>
  <c r="CQ329" i="1"/>
  <c r="AVD329" i="1"/>
  <c r="AVB329" i="1" s="1"/>
  <c r="CT39" i="1"/>
  <c r="AVG39" i="1"/>
  <c r="CT92" i="1"/>
  <c r="AVG92" i="1"/>
  <c r="CT139" i="1"/>
  <c r="AVG139" i="1"/>
  <c r="CT166" i="1"/>
  <c r="AVG166" i="1"/>
  <c r="CT222" i="1"/>
  <c r="AVG222" i="1"/>
  <c r="CT248" i="1"/>
  <c r="AVG248" i="1"/>
  <c r="CT330" i="1"/>
  <c r="AVG330" i="1"/>
  <c r="AVN188" i="1"/>
  <c r="AVO188" i="1" s="1"/>
  <c r="CZ374" i="1"/>
  <c r="AVM374" i="1"/>
  <c r="AVN403" i="1"/>
  <c r="AVO403" i="1" s="1"/>
  <c r="CZ16" i="1"/>
  <c r="AVM16" i="1"/>
  <c r="CZ44" i="1"/>
  <c r="AVM44" i="1"/>
  <c r="CZ124" i="1"/>
  <c r="AVM124" i="1"/>
  <c r="CZ157" i="1"/>
  <c r="AVM157" i="1"/>
  <c r="CZ175" i="1"/>
  <c r="AVM175" i="1"/>
  <c r="CZ358" i="1"/>
  <c r="AVM358" i="1"/>
  <c r="AVN409" i="1"/>
  <c r="AVO409" i="1" s="1"/>
  <c r="CT202" i="1"/>
  <c r="AVG202" i="1"/>
  <c r="CT227" i="1"/>
  <c r="AVG227" i="1"/>
  <c r="CT25" i="1"/>
  <c r="AVG25" i="1"/>
  <c r="CT66" i="1"/>
  <c r="AVG66" i="1"/>
  <c r="CT125" i="1"/>
  <c r="AVG125" i="1"/>
  <c r="CZ73" i="1"/>
  <c r="AVM73" i="1"/>
  <c r="CT204" i="1"/>
  <c r="AVG204" i="1"/>
  <c r="CT225" i="1"/>
  <c r="AVG225" i="1"/>
  <c r="CT251" i="1"/>
  <c r="AVG251" i="1"/>
  <c r="CT271" i="1"/>
  <c r="AVG271" i="1"/>
  <c r="CT313" i="1"/>
  <c r="AVG313" i="1"/>
  <c r="CT337" i="1"/>
  <c r="AVG337" i="1"/>
  <c r="CT377" i="1"/>
  <c r="AVG377" i="1"/>
  <c r="CT414" i="1"/>
  <c r="AVG414" i="1"/>
  <c r="CT28" i="1"/>
  <c r="AVG28" i="1"/>
  <c r="CT42" i="1"/>
  <c r="AVG42" i="1"/>
  <c r="CT61" i="1"/>
  <c r="AVG61" i="1"/>
  <c r="CT108" i="1"/>
  <c r="AVG108" i="1"/>
  <c r="CT124" i="1"/>
  <c r="AVG124" i="1"/>
  <c r="CT140" i="1"/>
  <c r="AVG140" i="1"/>
  <c r="CT157" i="1"/>
  <c r="AVG157" i="1"/>
  <c r="CT177" i="1"/>
  <c r="AVG177" i="1"/>
  <c r="CT14" i="1"/>
  <c r="AVG14" i="1"/>
  <c r="CT130" i="1"/>
  <c r="AVG130" i="1"/>
  <c r="CZ46" i="1"/>
  <c r="AVM46" i="1"/>
  <c r="CT270" i="1"/>
  <c r="AVG270" i="1"/>
  <c r="CY181" i="1"/>
  <c r="AVL181" i="1"/>
  <c r="AVB108" i="1"/>
  <c r="AVB175" i="1"/>
  <c r="AVB184" i="1"/>
  <c r="AVB211" i="1"/>
  <c r="AVB304" i="1"/>
  <c r="AVB361" i="1"/>
  <c r="AVB396" i="1"/>
  <c r="AVB412" i="1"/>
  <c r="AVB44" i="1"/>
  <c r="AVB223" i="1"/>
  <c r="AVB240" i="1"/>
  <c r="AVB249" i="1"/>
  <c r="AVB16" i="1"/>
  <c r="AVB28" i="1"/>
  <c r="AVB296" i="1"/>
  <c r="AVB327" i="1"/>
  <c r="AVB339" i="1"/>
  <c r="AVB379" i="1"/>
  <c r="AVB404" i="1"/>
  <c r="CZ80" i="1"/>
  <c r="AVM80" i="1"/>
  <c r="CZ143" i="1"/>
  <c r="AVM143" i="1"/>
  <c r="CZ252" i="1"/>
  <c r="AVM252" i="1"/>
  <c r="CZ314" i="1"/>
  <c r="AVM314" i="1"/>
  <c r="CQ80" i="1"/>
  <c r="AVD80" i="1"/>
  <c r="AVB80" i="1" s="1"/>
  <c r="CQ127" i="1"/>
  <c r="AVD127" i="1"/>
  <c r="AVB127" i="1" s="1"/>
  <c r="CQ161" i="1"/>
  <c r="AVD161" i="1"/>
  <c r="AVB161" i="1" s="1"/>
  <c r="CQ268" i="1"/>
  <c r="AVD268" i="1"/>
  <c r="AVB268" i="1" s="1"/>
  <c r="CQ374" i="1"/>
  <c r="AVD374" i="1"/>
  <c r="AVB374" i="1" s="1"/>
  <c r="CQ45" i="1"/>
  <c r="AVD45" i="1"/>
  <c r="AVB45" i="1" s="1"/>
  <c r="CQ125" i="1"/>
  <c r="AVD125" i="1"/>
  <c r="AVB125" i="1" s="1"/>
  <c r="CQ362" i="1"/>
  <c r="AVD362" i="1"/>
  <c r="AVB362" i="1" s="1"/>
  <c r="CZ240" i="1"/>
  <c r="AVM240" i="1"/>
  <c r="CZ273" i="1"/>
  <c r="AVM273" i="1"/>
  <c r="CZ361" i="1"/>
  <c r="AVM361" i="1"/>
  <c r="CZ21" i="1"/>
  <c r="AVM21" i="1"/>
  <c r="CZ45" i="1"/>
  <c r="AVM45" i="1"/>
  <c r="CZ82" i="1"/>
  <c r="AVM82" i="1"/>
  <c r="CZ105" i="1"/>
  <c r="AVM105" i="1"/>
  <c r="CZ168" i="1"/>
  <c r="AVM168" i="1"/>
  <c r="CZ190" i="1"/>
  <c r="AVM190" i="1"/>
  <c r="CZ224" i="1"/>
  <c r="AVM224" i="1"/>
  <c r="CZ258" i="1"/>
  <c r="AVM258" i="1"/>
  <c r="CZ280" i="1"/>
  <c r="AVM280" i="1"/>
  <c r="CZ328" i="1"/>
  <c r="AVM328" i="1"/>
  <c r="CZ396" i="1"/>
  <c r="AVM396" i="1"/>
  <c r="CZ106" i="1"/>
  <c r="AVM106" i="1"/>
  <c r="CZ130" i="1"/>
  <c r="AVM130" i="1"/>
  <c r="CZ159" i="1"/>
  <c r="AVM159" i="1"/>
  <c r="CZ209" i="1"/>
  <c r="AVM209" i="1"/>
  <c r="CZ238" i="1"/>
  <c r="AVM238" i="1"/>
  <c r="CZ259" i="1"/>
  <c r="AVM259" i="1"/>
  <c r="CZ275" i="1"/>
  <c r="AVM275" i="1"/>
  <c r="CZ313" i="1"/>
  <c r="AVM313" i="1"/>
  <c r="CZ337" i="1"/>
  <c r="AVM337" i="1"/>
  <c r="CZ377" i="1"/>
  <c r="AVM377" i="1"/>
  <c r="CQ14" i="1"/>
  <c r="AVD14" i="1"/>
  <c r="AVB14" i="1" s="1"/>
  <c r="CQ42" i="1"/>
  <c r="AVD42" i="1"/>
  <c r="AVB42" i="1" s="1"/>
  <c r="CQ63" i="1"/>
  <c r="AVD63" i="1"/>
  <c r="AVB63" i="1" s="1"/>
  <c r="CQ87" i="1"/>
  <c r="AVD87" i="1"/>
  <c r="AVB87" i="1" s="1"/>
  <c r="CQ106" i="1"/>
  <c r="AVD106" i="1"/>
  <c r="AVB106" i="1" s="1"/>
  <c r="CQ242" i="1"/>
  <c r="AVD242" i="1"/>
  <c r="AVB242" i="1" s="1"/>
  <c r="CQ251" i="1"/>
  <c r="AVD251" i="1"/>
  <c r="AVB251" i="1" s="1"/>
  <c r="CQ337" i="1"/>
  <c r="AVD337" i="1"/>
  <c r="AVB337" i="1" s="1"/>
  <c r="CQ359" i="1"/>
  <c r="AVD359" i="1"/>
  <c r="AVB359" i="1" s="1"/>
  <c r="CQ377" i="1"/>
  <c r="AVD377" i="1"/>
  <c r="AVB377" i="1" s="1"/>
  <c r="CQ25" i="1"/>
  <c r="AVD25" i="1"/>
  <c r="AVB25" i="1" s="1"/>
  <c r="CQ66" i="1"/>
  <c r="AVD66" i="1"/>
  <c r="AVB66" i="1" s="1"/>
  <c r="CQ141" i="1"/>
  <c r="AVD141" i="1"/>
  <c r="AVB141" i="1" s="1"/>
  <c r="CQ176" i="1"/>
  <c r="AVD176" i="1"/>
  <c r="AVB176" i="1" s="1"/>
  <c r="CQ212" i="1"/>
  <c r="AVD212" i="1"/>
  <c r="AVB212" i="1" s="1"/>
  <c r="CQ262" i="1"/>
  <c r="AVD262" i="1"/>
  <c r="AVB262" i="1" s="1"/>
  <c r="CQ297" i="1"/>
  <c r="AVD297" i="1"/>
  <c r="AVB297" i="1" s="1"/>
  <c r="CQ332" i="1"/>
  <c r="AVD332" i="1"/>
  <c r="AVB332" i="1" s="1"/>
  <c r="CT27" i="1"/>
  <c r="AVG27" i="1"/>
  <c r="CT68" i="1"/>
  <c r="AVG68" i="1"/>
  <c r="CT127" i="1"/>
  <c r="AVG127" i="1"/>
  <c r="CT161" i="1"/>
  <c r="AVG161" i="1"/>
  <c r="CT183" i="1"/>
  <c r="AVG183" i="1"/>
  <c r="CT210" i="1"/>
  <c r="AVG210" i="1"/>
  <c r="CT243" i="1"/>
  <c r="AVG243" i="1"/>
  <c r="CT264" i="1"/>
  <c r="AVG264" i="1"/>
  <c r="CT299" i="1"/>
  <c r="AVG299" i="1"/>
  <c r="CT326" i="1"/>
  <c r="AVG326" i="1"/>
  <c r="CZ364" i="1"/>
  <c r="AVM364" i="1"/>
  <c r="CZ399" i="1"/>
  <c r="AVM399" i="1"/>
  <c r="CT74" i="1"/>
  <c r="AVG74" i="1"/>
  <c r="CZ40" i="1"/>
  <c r="AVM40" i="1"/>
  <c r="CZ85" i="1"/>
  <c r="AVM85" i="1"/>
  <c r="CZ116" i="1"/>
  <c r="AVM116" i="1"/>
  <c r="CZ149" i="1"/>
  <c r="AVM149" i="1"/>
  <c r="AVN171" i="1"/>
  <c r="AVO171" i="1" s="1"/>
  <c r="AVN352" i="1"/>
  <c r="AVO352" i="1" s="1"/>
  <c r="CZ397" i="1"/>
  <c r="AVM397" i="1"/>
  <c r="CT197" i="1"/>
  <c r="AVG197" i="1"/>
  <c r="CT223" i="1"/>
  <c r="AVG223" i="1"/>
  <c r="CT21" i="1"/>
  <c r="AVG21" i="1"/>
  <c r="CT45" i="1"/>
  <c r="AVG45" i="1"/>
  <c r="CT90" i="1"/>
  <c r="AVG90" i="1"/>
  <c r="CT117" i="1"/>
  <c r="AVG117" i="1"/>
  <c r="CT163" i="1"/>
  <c r="AVG163" i="1"/>
  <c r="CT180" i="1"/>
  <c r="AVG180" i="1"/>
  <c r="CT200" i="1"/>
  <c r="AVG200" i="1"/>
  <c r="CT221" i="1"/>
  <c r="AVG221" i="1"/>
  <c r="CT247" i="1"/>
  <c r="AVG247" i="1"/>
  <c r="CT302" i="1"/>
  <c r="AVG302" i="1"/>
  <c r="CT363" i="1"/>
  <c r="AVG363" i="1"/>
  <c r="CT410" i="1"/>
  <c r="AVG410" i="1"/>
  <c r="CZ63" i="1"/>
  <c r="AVM63" i="1"/>
  <c r="CT26" i="1"/>
  <c r="AVG26" i="1"/>
  <c r="CT40" i="1"/>
  <c r="AVG40" i="1"/>
  <c r="CT48" i="1"/>
  <c r="AVG48" i="1"/>
  <c r="CT87" i="1"/>
  <c r="AVG87" i="1"/>
  <c r="CT106" i="1"/>
  <c r="AVG106" i="1"/>
  <c r="CT138" i="1"/>
  <c r="AVG138" i="1"/>
  <c r="CT149" i="1"/>
  <c r="AVG149" i="1"/>
  <c r="CT175" i="1"/>
  <c r="AVG175" i="1"/>
  <c r="CT184" i="1"/>
  <c r="AVG184" i="1"/>
  <c r="CT20" i="1"/>
  <c r="AVG20" i="1"/>
  <c r="CZ42" i="1"/>
  <c r="AVM42" i="1"/>
  <c r="CZ30" i="1"/>
  <c r="AVM30" i="1"/>
  <c r="N3" i="12"/>
  <c r="AVA4" i="1"/>
  <c r="AC156" i="12"/>
  <c r="AVP123" i="1"/>
  <c r="DC181" i="1"/>
  <c r="AVP181" i="1"/>
  <c r="AVB85" i="1"/>
  <c r="AVB128" i="1"/>
  <c r="AVB162" i="1"/>
  <c r="AVB171" i="1"/>
  <c r="AVB202" i="1"/>
  <c r="AVB257" i="1"/>
  <c r="AVB265" i="1"/>
  <c r="AVB314" i="1"/>
  <c r="CZ43" i="1"/>
  <c r="AVM43" i="1"/>
  <c r="CZ107" i="1"/>
  <c r="AVM107" i="1"/>
  <c r="CZ196" i="1"/>
  <c r="AVM196" i="1"/>
  <c r="CZ226" i="1"/>
  <c r="AVM226" i="1"/>
  <c r="CZ276" i="1"/>
  <c r="AVM276" i="1"/>
  <c r="CQ15" i="1"/>
  <c r="AVD15" i="1"/>
  <c r="AVB15" i="1" s="1"/>
  <c r="CQ107" i="1"/>
  <c r="AVD107" i="1"/>
  <c r="AVB107" i="1" s="1"/>
  <c r="CQ143" i="1"/>
  <c r="AVD143" i="1"/>
  <c r="AVB143" i="1" s="1"/>
  <c r="CQ260" i="1"/>
  <c r="AVD260" i="1"/>
  <c r="AVB260" i="1" s="1"/>
  <c r="CQ282" i="1"/>
  <c r="AVD282" i="1"/>
  <c r="AVB282" i="1" s="1"/>
  <c r="CQ360" i="1"/>
  <c r="AVD360" i="1"/>
  <c r="AVB360" i="1" s="1"/>
  <c r="CQ13" i="1"/>
  <c r="AVD13" i="1"/>
  <c r="AVB13" i="1" s="1"/>
  <c r="CQ82" i="1"/>
  <c r="AVD82" i="1"/>
  <c r="AVB82" i="1" s="1"/>
  <c r="CQ190" i="1"/>
  <c r="AVD190" i="1"/>
  <c r="AVB190" i="1" s="1"/>
  <c r="CQ336" i="1"/>
  <c r="AVD336" i="1"/>
  <c r="AVB336" i="1" s="1"/>
  <c r="CQ397" i="1"/>
  <c r="AVD397" i="1"/>
  <c r="AVB397" i="1" s="1"/>
  <c r="CZ257" i="1"/>
  <c r="AVM257" i="1"/>
  <c r="CZ304" i="1"/>
  <c r="AVM304" i="1"/>
  <c r="CQ399" i="1"/>
  <c r="AVD399" i="1"/>
  <c r="AVB399" i="1" s="1"/>
  <c r="CZ39" i="1"/>
  <c r="AVM39" i="1"/>
  <c r="CZ92" i="1"/>
  <c r="AVM92" i="1"/>
  <c r="CZ139" i="1"/>
  <c r="AVM139" i="1"/>
  <c r="CZ166" i="1"/>
  <c r="AVM166" i="1"/>
  <c r="CZ222" i="1"/>
  <c r="AVM222" i="1"/>
  <c r="CZ248" i="1"/>
  <c r="AVM248" i="1"/>
  <c r="CZ268" i="1"/>
  <c r="AVM268" i="1"/>
  <c r="CZ330" i="1"/>
  <c r="AVM330" i="1"/>
  <c r="CQ39" i="1"/>
  <c r="AVD39" i="1"/>
  <c r="AVB39" i="1" s="1"/>
  <c r="CQ64" i="1"/>
  <c r="AVD64" i="1"/>
  <c r="AVB64" i="1" s="1"/>
  <c r="CQ183" i="1"/>
  <c r="AVD183" i="1"/>
  <c r="AVB183" i="1" s="1"/>
  <c r="CQ196" i="1"/>
  <c r="AVD196" i="1"/>
  <c r="AVB196" i="1" s="1"/>
  <c r="CQ210" i="1"/>
  <c r="AVD210" i="1"/>
  <c r="AVB210" i="1" s="1"/>
  <c r="CQ226" i="1"/>
  <c r="AVD226" i="1"/>
  <c r="AVB226" i="1" s="1"/>
  <c r="CQ243" i="1"/>
  <c r="AVD243" i="1"/>
  <c r="AVB243" i="1" s="1"/>
  <c r="CQ318" i="1"/>
  <c r="AVD318" i="1"/>
  <c r="AVB318" i="1" s="1"/>
  <c r="CQ330" i="1"/>
  <c r="AVD330" i="1"/>
  <c r="AVB330" i="1" s="1"/>
  <c r="CQ338" i="1"/>
  <c r="AVD338" i="1"/>
  <c r="AVB338" i="1" s="1"/>
  <c r="CQ356" i="1"/>
  <c r="AVD356" i="1"/>
  <c r="AVB356" i="1" s="1"/>
  <c r="CZ394" i="1"/>
  <c r="AVM394" i="1"/>
  <c r="CQ414" i="1"/>
  <c r="AVD414" i="1"/>
  <c r="AVB414" i="1" s="1"/>
  <c r="CZ211" i="1"/>
  <c r="AVM211" i="1"/>
  <c r="CZ236" i="1"/>
  <c r="AVM236" i="1"/>
  <c r="CZ253" i="1"/>
  <c r="AVM253" i="1"/>
  <c r="CZ269" i="1"/>
  <c r="AVM269" i="1"/>
  <c r="CZ300" i="1"/>
  <c r="AVM300" i="1"/>
  <c r="CZ331" i="1"/>
  <c r="AVM331" i="1"/>
  <c r="CZ357" i="1"/>
  <c r="AVM357" i="1"/>
  <c r="CQ17" i="1"/>
  <c r="AVD17" i="1"/>
  <c r="AVB17" i="1" s="1"/>
  <c r="CQ74" i="1"/>
  <c r="AVD74" i="1"/>
  <c r="AVB74" i="1" s="1"/>
  <c r="CQ109" i="1"/>
  <c r="AVD109" i="1"/>
  <c r="AVB109" i="1" s="1"/>
  <c r="CQ168" i="1"/>
  <c r="AVD168" i="1"/>
  <c r="AVB168" i="1" s="1"/>
  <c r="CQ224" i="1"/>
  <c r="AVD224" i="1"/>
  <c r="AVB224" i="1" s="1"/>
  <c r="CQ270" i="1"/>
  <c r="AVD270" i="1"/>
  <c r="AVB270" i="1" s="1"/>
  <c r="CQ305" i="1"/>
  <c r="AVD305" i="1"/>
  <c r="AVB305" i="1" s="1"/>
  <c r="CQ376" i="1"/>
  <c r="AVD376" i="1"/>
  <c r="AVB376" i="1" s="1"/>
  <c r="CZ402" i="1"/>
  <c r="AVM402" i="1"/>
  <c r="CZ410" i="1"/>
  <c r="AVM410" i="1"/>
  <c r="CZ414" i="1"/>
  <c r="AVM414" i="1"/>
  <c r="CZ17" i="1"/>
  <c r="AVM17" i="1"/>
  <c r="CZ41" i="1"/>
  <c r="AVM41" i="1"/>
  <c r="CZ74" i="1"/>
  <c r="AVM74" i="1"/>
  <c r="CZ125" i="1"/>
  <c r="AVM125" i="1"/>
  <c r="CZ163" i="1"/>
  <c r="AVM163" i="1"/>
  <c r="AVN185" i="1"/>
  <c r="AVO185" i="1" s="1"/>
  <c r="CZ212" i="1"/>
  <c r="AVM212" i="1"/>
  <c r="CZ250" i="1"/>
  <c r="AVM250" i="1"/>
  <c r="CZ270" i="1"/>
  <c r="AVM270" i="1"/>
  <c r="CZ316" i="1"/>
  <c r="AVM316" i="1"/>
  <c r="CZ340" i="1"/>
  <c r="AVM340" i="1"/>
  <c r="CQ409" i="1"/>
  <c r="AVD409" i="1"/>
  <c r="AVB409" i="1" s="1"/>
  <c r="CZ126" i="1"/>
  <c r="AVM126" i="1"/>
  <c r="CZ147" i="1"/>
  <c r="AVM147" i="1"/>
  <c r="CZ177" i="1"/>
  <c r="AVM177" i="1"/>
  <c r="CZ204" i="1"/>
  <c r="AVM204" i="1"/>
  <c r="CZ225" i="1"/>
  <c r="AVM225" i="1"/>
  <c r="CZ251" i="1"/>
  <c r="AVM251" i="1"/>
  <c r="CZ271" i="1"/>
  <c r="AVM271" i="1"/>
  <c r="CZ302" i="1"/>
  <c r="AVM302" i="1"/>
  <c r="CZ363" i="1"/>
  <c r="AVM363" i="1"/>
  <c r="CQ26" i="1"/>
  <c r="AVD26" i="1"/>
  <c r="AVB26" i="1" s="1"/>
  <c r="CQ38" i="1"/>
  <c r="AVD38" i="1"/>
  <c r="AVB38" i="1" s="1"/>
  <c r="CQ130" i="1"/>
  <c r="AVD130" i="1"/>
  <c r="AVB130" i="1" s="1"/>
  <c r="CQ142" i="1"/>
  <c r="AVD142" i="1"/>
  <c r="AVB142" i="1" s="1"/>
  <c r="CQ159" i="1"/>
  <c r="AVD159" i="1"/>
  <c r="AVB159" i="1" s="1"/>
  <c r="CQ169" i="1"/>
  <c r="AVD169" i="1"/>
  <c r="AVB169" i="1" s="1"/>
  <c r="CQ181" i="1"/>
  <c r="AVD181" i="1"/>
  <c r="AVB181" i="1" s="1"/>
  <c r="CQ200" i="1"/>
  <c r="AVD200" i="1"/>
  <c r="AVB200" i="1" s="1"/>
  <c r="CQ209" i="1"/>
  <c r="AVD209" i="1"/>
  <c r="AVB209" i="1" s="1"/>
  <c r="CQ221" i="1"/>
  <c r="AVD221" i="1"/>
  <c r="AVB221" i="1" s="1"/>
  <c r="CQ263" i="1"/>
  <c r="AVD263" i="1"/>
  <c r="AVB263" i="1" s="1"/>
  <c r="CQ271" i="1"/>
  <c r="AVD271" i="1"/>
  <c r="AVB271" i="1" s="1"/>
  <c r="CQ302" i="1"/>
  <c r="AVD302" i="1"/>
  <c r="AVB302" i="1" s="1"/>
  <c r="CQ317" i="1"/>
  <c r="AVD317" i="1"/>
  <c r="AVB317" i="1" s="1"/>
  <c r="CT15" i="1"/>
  <c r="AVG15" i="1"/>
  <c r="CT64" i="1"/>
  <c r="AVG64" i="1"/>
  <c r="CT84" i="1"/>
  <c r="AVG84" i="1"/>
  <c r="CT115" i="1"/>
  <c r="AVG115" i="1"/>
  <c r="CT148" i="1"/>
  <c r="AVG148" i="1"/>
  <c r="CT178" i="1"/>
  <c r="AVG178" i="1"/>
  <c r="CT239" i="1"/>
  <c r="AVG239" i="1"/>
  <c r="CT260" i="1"/>
  <c r="AVG260" i="1"/>
  <c r="CT318" i="1"/>
  <c r="AVG318" i="1"/>
  <c r="CT338" i="1"/>
  <c r="AVG338" i="1"/>
  <c r="CZ360" i="1"/>
  <c r="AVM360" i="1"/>
  <c r="CZ395" i="1"/>
  <c r="AVM395" i="1"/>
  <c r="CT70" i="1"/>
  <c r="AVG70" i="1"/>
  <c r="CZ28" i="1"/>
  <c r="AVM28" i="1"/>
  <c r="CZ61" i="1"/>
  <c r="AVM61" i="1"/>
  <c r="CZ108" i="1"/>
  <c r="AVM108" i="1"/>
  <c r="CZ140" i="1"/>
  <c r="AVM140" i="1"/>
  <c r="CZ167" i="1"/>
  <c r="AVM167" i="1"/>
  <c r="CZ184" i="1"/>
  <c r="AVM184" i="1"/>
  <c r="CZ376" i="1"/>
  <c r="AVM376" i="1"/>
  <c r="CZ71" i="1"/>
  <c r="AVM71" i="1"/>
  <c r="CT17" i="1"/>
  <c r="AVG17" i="1"/>
  <c r="CT41" i="1"/>
  <c r="AVG41" i="1"/>
  <c r="CT86" i="1"/>
  <c r="AVG86" i="1"/>
  <c r="CT109" i="1"/>
  <c r="AVG109" i="1"/>
  <c r="CT158" i="1"/>
  <c r="AVG158" i="1"/>
  <c r="CT176" i="1"/>
  <c r="AVG176" i="1"/>
  <c r="CT71" i="1"/>
  <c r="AVG71" i="1"/>
  <c r="CT213" i="1"/>
  <c r="AVG213" i="1"/>
  <c r="CT242" i="1"/>
  <c r="AVG242" i="1"/>
  <c r="CT263" i="1"/>
  <c r="AVG263" i="1"/>
  <c r="CT298" i="1"/>
  <c r="AVG298" i="1"/>
  <c r="CT329" i="1"/>
  <c r="AVG329" i="1"/>
  <c r="CT359" i="1"/>
  <c r="AVG359" i="1"/>
  <c r="CT402" i="1"/>
  <c r="AVG402" i="1"/>
  <c r="CZ18" i="1"/>
  <c r="AVM18" i="1"/>
  <c r="CT38" i="1"/>
  <c r="AVG38" i="1"/>
  <c r="CT46" i="1"/>
  <c r="AVG46" i="1"/>
  <c r="CT85" i="1"/>
  <c r="AVG85" i="1"/>
  <c r="CT104" i="1"/>
  <c r="AVG104" i="1"/>
  <c r="CT116" i="1"/>
  <c r="AVG116" i="1"/>
  <c r="CT128" i="1"/>
  <c r="AVG128" i="1"/>
  <c r="CT147" i="1"/>
  <c r="AVG147" i="1"/>
  <c r="CT162" i="1"/>
  <c r="AVG162" i="1"/>
  <c r="CT171" i="1"/>
  <c r="AVG171" i="1"/>
  <c r="CT181" i="1"/>
  <c r="AVG181" i="1"/>
  <c r="CT18" i="1"/>
  <c r="AVG18" i="1"/>
  <c r="CZ26" i="1"/>
  <c r="AVM26" i="1"/>
  <c r="CV181" i="1"/>
  <c r="AVI181" i="1"/>
  <c r="AVB258" i="1"/>
  <c r="AVB299" i="1"/>
  <c r="AVB40" i="1"/>
  <c r="AVB73" i="1"/>
  <c r="AVB138" i="1"/>
  <c r="AVB149" i="1"/>
  <c r="AVB48" i="1"/>
  <c r="AVB277" i="1"/>
  <c r="AVB300" i="1"/>
  <c r="AVB331" i="1"/>
  <c r="AVB351" i="1"/>
  <c r="CZ379" i="1"/>
  <c r="AVM379" i="1"/>
  <c r="CZ27" i="1"/>
  <c r="AVM27" i="1"/>
  <c r="CZ68" i="1"/>
  <c r="AVM68" i="1"/>
  <c r="CZ127" i="1"/>
  <c r="AVM127" i="1"/>
  <c r="CZ161" i="1"/>
  <c r="AVM161" i="1"/>
  <c r="CZ183" i="1"/>
  <c r="AVM183" i="1"/>
  <c r="CZ210" i="1"/>
  <c r="AVM210" i="1"/>
  <c r="CZ243" i="1"/>
  <c r="AVM243" i="1"/>
  <c r="CZ264" i="1"/>
  <c r="AVM264" i="1"/>
  <c r="CZ299" i="1"/>
  <c r="AVM299" i="1"/>
  <c r="CZ326" i="1"/>
  <c r="AVM326" i="1"/>
  <c r="CQ27" i="1"/>
  <c r="AVD27" i="1"/>
  <c r="AVB27" i="1" s="1"/>
  <c r="CQ84" i="1"/>
  <c r="AVD84" i="1"/>
  <c r="AVB84" i="1" s="1"/>
  <c r="CQ92" i="1"/>
  <c r="AVD92" i="1"/>
  <c r="AVB92" i="1" s="1"/>
  <c r="CQ115" i="1"/>
  <c r="AVD115" i="1"/>
  <c r="AVB115" i="1" s="1"/>
  <c r="CQ139" i="1"/>
  <c r="AVD139" i="1"/>
  <c r="AVB139" i="1" s="1"/>
  <c r="CQ148" i="1"/>
  <c r="AVD148" i="1"/>
  <c r="AVB148" i="1" s="1"/>
  <c r="CQ166" i="1"/>
  <c r="AVD166" i="1"/>
  <c r="AVB166" i="1" s="1"/>
  <c r="CQ178" i="1"/>
  <c r="AVD178" i="1"/>
  <c r="AVB178" i="1" s="1"/>
  <c r="CQ252" i="1"/>
  <c r="AVD252" i="1"/>
  <c r="AVB252" i="1" s="1"/>
  <c r="CQ264" i="1"/>
  <c r="AVD264" i="1"/>
  <c r="AVB264" i="1" s="1"/>
  <c r="CQ276" i="1"/>
  <c r="AVD276" i="1"/>
  <c r="AVB276" i="1" s="1"/>
  <c r="CQ364" i="1"/>
  <c r="AVD364" i="1"/>
  <c r="AVB364" i="1" s="1"/>
  <c r="CQ21" i="1"/>
  <c r="AVD21" i="1"/>
  <c r="AVB21" i="1" s="1"/>
  <c r="CQ70" i="1"/>
  <c r="AVD70" i="1"/>
  <c r="AVB70" i="1" s="1"/>
  <c r="CQ105" i="1"/>
  <c r="AVD105" i="1"/>
  <c r="AVB105" i="1" s="1"/>
  <c r="CQ316" i="1"/>
  <c r="AVD316" i="1"/>
  <c r="AVB316" i="1" s="1"/>
  <c r="CQ358" i="1"/>
  <c r="AVD358" i="1"/>
  <c r="AVB358" i="1" s="1"/>
  <c r="CQ410" i="1"/>
  <c r="AVD410" i="1"/>
  <c r="AVB410" i="1" s="1"/>
  <c r="CZ202" i="1"/>
  <c r="AVM202" i="1"/>
  <c r="CZ227" i="1"/>
  <c r="AVM227" i="1"/>
  <c r="CZ249" i="1"/>
  <c r="AVM249" i="1"/>
  <c r="CZ265" i="1"/>
  <c r="AVM265" i="1"/>
  <c r="CZ296" i="1"/>
  <c r="AVM296" i="1"/>
  <c r="CZ327" i="1"/>
  <c r="AVM327" i="1"/>
  <c r="CZ351" i="1"/>
  <c r="AVM351" i="1"/>
  <c r="CZ13" i="1"/>
  <c r="AVM13" i="1"/>
  <c r="CZ29" i="1"/>
  <c r="AVM29" i="1"/>
  <c r="CZ70" i="1"/>
  <c r="AVM70" i="1"/>
  <c r="CZ90" i="1"/>
  <c r="AVM90" i="1"/>
  <c r="CZ117" i="1"/>
  <c r="AVM117" i="1"/>
  <c r="CZ158" i="1"/>
  <c r="AVM158" i="1"/>
  <c r="CZ180" i="1"/>
  <c r="AVM180" i="1"/>
  <c r="CZ203" i="1"/>
  <c r="AVM203" i="1"/>
  <c r="CZ266" i="1"/>
  <c r="AVM266" i="1"/>
  <c r="CZ305" i="1"/>
  <c r="AVM305" i="1"/>
  <c r="CZ336" i="1"/>
  <c r="AVM336" i="1"/>
  <c r="CQ403" i="1"/>
  <c r="AVD403" i="1"/>
  <c r="AVB403" i="1" s="1"/>
  <c r="CZ87" i="1"/>
  <c r="AVM87" i="1"/>
  <c r="CZ142" i="1"/>
  <c r="AVM142" i="1"/>
  <c r="CZ169" i="1"/>
  <c r="AVM169" i="1"/>
  <c r="CZ200" i="1"/>
  <c r="AVM200" i="1"/>
  <c r="CZ221" i="1"/>
  <c r="AVM221" i="1"/>
  <c r="CZ247" i="1"/>
  <c r="AVM247" i="1"/>
  <c r="CZ298" i="1"/>
  <c r="AVM298" i="1"/>
  <c r="CZ329" i="1"/>
  <c r="AVM329" i="1"/>
  <c r="CZ359" i="1"/>
  <c r="AVM359" i="1"/>
  <c r="CQ46" i="1"/>
  <c r="AVD46" i="1"/>
  <c r="AVB46" i="1" s="1"/>
  <c r="CQ71" i="1"/>
  <c r="AVD71" i="1"/>
  <c r="AVB71" i="1" s="1"/>
  <c r="CQ114" i="1"/>
  <c r="AVD114" i="1"/>
  <c r="AVB114" i="1" s="1"/>
  <c r="CQ238" i="1"/>
  <c r="AVD238" i="1"/>
  <c r="AVB238" i="1" s="1"/>
  <c r="CQ247" i="1"/>
  <c r="AVD247" i="1"/>
  <c r="AVB247" i="1" s="1"/>
  <c r="CQ259" i="1"/>
  <c r="AVD259" i="1"/>
  <c r="AVB259" i="1" s="1"/>
  <c r="CQ363" i="1"/>
  <c r="AVD363" i="1"/>
  <c r="AVB363" i="1" s="1"/>
  <c r="CQ394" i="1"/>
  <c r="AVD394" i="1"/>
  <c r="AVB394" i="1" s="1"/>
  <c r="CQ29" i="1"/>
  <c r="AVD29" i="1"/>
  <c r="AVB29" i="1" s="1"/>
  <c r="CQ86" i="1"/>
  <c r="AVD86" i="1"/>
  <c r="AVB86" i="1" s="1"/>
  <c r="CQ117" i="1"/>
  <c r="AVD117" i="1"/>
  <c r="AVB117" i="1" s="1"/>
  <c r="CQ158" i="1"/>
  <c r="AVD158" i="1"/>
  <c r="AVB158" i="1" s="1"/>
  <c r="CQ203" i="1"/>
  <c r="AVD203" i="1"/>
  <c r="AVB203" i="1" s="1"/>
  <c r="CQ241" i="1"/>
  <c r="AVD241" i="1"/>
  <c r="AVB241" i="1" s="1"/>
  <c r="CQ250" i="1"/>
  <c r="AVD250" i="1"/>
  <c r="AVB250" i="1" s="1"/>
  <c r="CQ266" i="1"/>
  <c r="AVD266" i="1"/>
  <c r="AVB266" i="1" s="1"/>
  <c r="CQ328" i="1"/>
  <c r="AVD328" i="1"/>
  <c r="AVB328" i="1" s="1"/>
  <c r="CQ340" i="1"/>
  <c r="AVD340" i="1"/>
  <c r="AVB340" i="1" s="1"/>
  <c r="CT43" i="1"/>
  <c r="AVG43" i="1"/>
  <c r="CT80" i="1"/>
  <c r="AVG80" i="1"/>
  <c r="CT107" i="1"/>
  <c r="AVG107" i="1"/>
  <c r="CT196" i="1"/>
  <c r="AVG196" i="1"/>
  <c r="CT226" i="1"/>
  <c r="AVG226" i="1"/>
  <c r="CT252" i="1"/>
  <c r="AVG252" i="1"/>
  <c r="CT276" i="1"/>
  <c r="AVG276" i="1"/>
  <c r="CT314" i="1"/>
  <c r="AVG314" i="1"/>
  <c r="AVN356" i="1"/>
  <c r="AVO356" i="1" s="1"/>
  <c r="CZ20" i="1"/>
  <c r="AVM20" i="1"/>
  <c r="CZ48" i="1"/>
  <c r="AVM48" i="1"/>
  <c r="CZ104" i="1"/>
  <c r="AVM104" i="1"/>
  <c r="AVN128" i="1"/>
  <c r="AVO128" i="1" s="1"/>
  <c r="AVN162" i="1"/>
  <c r="AVO162" i="1" s="1"/>
  <c r="AVN179" i="1"/>
  <c r="AVO179" i="1" s="1"/>
  <c r="CZ362" i="1"/>
  <c r="AVM362" i="1"/>
  <c r="AVN417" i="1"/>
  <c r="AVO417" i="1" s="1"/>
  <c r="CT211" i="1"/>
  <c r="AVG211" i="1"/>
  <c r="CT13" i="1"/>
  <c r="AVG13" i="1"/>
  <c r="CT29" i="1"/>
  <c r="AVG29" i="1"/>
  <c r="CT82" i="1"/>
  <c r="AVG82" i="1"/>
  <c r="CT105" i="1"/>
  <c r="AVG105" i="1"/>
  <c r="CT141" i="1"/>
  <c r="AVG141" i="1"/>
  <c r="CT190" i="1"/>
  <c r="AVG190" i="1"/>
  <c r="CT209" i="1"/>
  <c r="AVG209" i="1"/>
  <c r="CT238" i="1"/>
  <c r="AVG238" i="1"/>
  <c r="CT259" i="1"/>
  <c r="AVG259" i="1"/>
  <c r="CT275" i="1"/>
  <c r="AVG275" i="1"/>
  <c r="CT317" i="1"/>
  <c r="AVG317" i="1"/>
  <c r="CT394" i="1"/>
  <c r="AVG394" i="1"/>
  <c r="CT73" i="1"/>
  <c r="AVG73" i="1"/>
  <c r="CZ14" i="1"/>
  <c r="AVM14" i="1"/>
  <c r="AUW63" i="1"/>
  <c r="AUX63" i="1" s="1"/>
  <c r="CT44" i="1"/>
  <c r="AVG44" i="1"/>
  <c r="CT63" i="1"/>
  <c r="AVG63" i="1"/>
  <c r="CT114" i="1"/>
  <c r="AVG114" i="1"/>
  <c r="CT126" i="1"/>
  <c r="AVG126" i="1"/>
  <c r="CT142" i="1"/>
  <c r="AVG142" i="1"/>
  <c r="CT159" i="1"/>
  <c r="AVG159" i="1"/>
  <c r="CT169" i="1"/>
  <c r="AVG169" i="1"/>
  <c r="CT179" i="1"/>
  <c r="AVG179" i="1"/>
  <c r="CT16" i="1"/>
  <c r="AVG16" i="1"/>
  <c r="CT186" i="1"/>
  <c r="AVG186" i="1"/>
  <c r="CZ38" i="1"/>
  <c r="AVM38" i="1"/>
  <c r="N39" i="12"/>
  <c r="CX181" i="1"/>
  <c r="AVK181" i="1"/>
  <c r="CW181" i="1"/>
  <c r="AVJ181" i="1"/>
  <c r="AVB124" i="1"/>
  <c r="AVB157" i="1"/>
  <c r="AVB167" i="1"/>
  <c r="AVB197" i="1"/>
  <c r="AVB236" i="1"/>
  <c r="AVB261" i="1"/>
  <c r="AVB269" i="1"/>
  <c r="AVB298" i="1"/>
  <c r="CO415" i="1"/>
  <c r="AVB415" i="1"/>
  <c r="CO378" i="1"/>
  <c r="AVB378" i="1"/>
  <c r="CO375" i="1"/>
  <c r="AVB375" i="1"/>
  <c r="CO342" i="1"/>
  <c r="AVB342" i="1"/>
  <c r="CO341" i="1"/>
  <c r="AVB341" i="1"/>
  <c r="CO334" i="1"/>
  <c r="AVB334" i="1"/>
  <c r="CO335" i="1"/>
  <c r="AVB335" i="1"/>
  <c r="CO303" i="1"/>
  <c r="AVB303" i="1"/>
  <c r="CO267" i="1"/>
  <c r="AVB267" i="1"/>
  <c r="CO245" i="1"/>
  <c r="AVB245" i="1"/>
  <c r="CO219" i="1"/>
  <c r="AVB219" i="1"/>
  <c r="CO201" i="1"/>
  <c r="AVB201" i="1"/>
  <c r="CO187" i="1"/>
  <c r="CO170" i="1"/>
  <c r="AVB170" i="1"/>
  <c r="W164" i="1"/>
  <c r="AVB164" i="1"/>
  <c r="CO118" i="1"/>
  <c r="AVB118" i="1"/>
  <c r="AVA93" i="1"/>
  <c r="CO94" i="1"/>
  <c r="AVB94" i="1"/>
  <c r="CO88" i="1"/>
  <c r="AVB88" i="1"/>
  <c r="CO91" i="1"/>
  <c r="AVB91" i="1"/>
  <c r="CO72" i="1"/>
  <c r="AVB72" i="1"/>
  <c r="AC57" i="12"/>
  <c r="BM312" i="1"/>
  <c r="AUV312" i="1" s="1"/>
  <c r="AUW312" i="1" s="1"/>
  <c r="AUX312" i="1" s="1"/>
  <c r="BL312" i="1"/>
  <c r="AR312" i="1"/>
  <c r="AS312" i="1" s="1"/>
  <c r="BM311" i="1"/>
  <c r="AUV311" i="1" s="1"/>
  <c r="AUW311" i="1" s="1"/>
  <c r="AUX311" i="1" s="1"/>
  <c r="AR311" i="1"/>
  <c r="AS311" i="1" s="1"/>
  <c r="BL311" i="1"/>
  <c r="CD181" i="1"/>
  <c r="BM164" i="1"/>
  <c r="BL164" i="1"/>
  <c r="BL182" i="1"/>
  <c r="AR182" i="1"/>
  <c r="AS182" i="1" s="1"/>
  <c r="BM182" i="1"/>
  <c r="AUV182" i="1" s="1"/>
  <c r="AUW182" i="1" s="1"/>
  <c r="AUX182" i="1" s="1"/>
  <c r="AC39" i="12"/>
  <c r="N156" i="12"/>
  <c r="O46" i="19"/>
  <c r="M46" i="19" s="1"/>
  <c r="O46" i="18"/>
  <c r="M46" i="18" s="1"/>
  <c r="K46" i="19"/>
  <c r="K46" i="18"/>
  <c r="BR456" i="1"/>
  <c r="AV458" i="1"/>
  <c r="AV459" i="1" s="1"/>
  <c r="CN123" i="1"/>
  <c r="BR457" i="1"/>
  <c r="DC123" i="1"/>
  <c r="CG457" i="1"/>
  <c r="CN4" i="1"/>
  <c r="CG4" i="1"/>
  <c r="AVP4" i="1" s="1"/>
  <c r="AVP458" i="1" s="1"/>
  <c r="BK456" i="1"/>
  <c r="BK458" i="1" s="1"/>
  <c r="BK459" i="1" s="1"/>
  <c r="Y453" i="1"/>
  <c r="AU453" i="1" s="1"/>
  <c r="BQ453" i="1" s="1"/>
  <c r="AUZ453" i="1" s="1"/>
  <c r="Y452" i="1"/>
  <c r="AU452" i="1" s="1"/>
  <c r="BQ452" i="1" s="1"/>
  <c r="AUZ452" i="1" s="1"/>
  <c r="BM30" i="1"/>
  <c r="BN30" i="1" s="1"/>
  <c r="CT30" i="1"/>
  <c r="CT333" i="1"/>
  <c r="CT188" i="1"/>
  <c r="CT268" i="1"/>
  <c r="CT303" i="1"/>
  <c r="CT94" i="1"/>
  <c r="BM167" i="1"/>
  <c r="AUV167" i="1" s="1"/>
  <c r="CT245" i="1"/>
  <c r="CT143" i="1"/>
  <c r="CT341" i="1"/>
  <c r="CT167" i="1"/>
  <c r="CT379" i="1"/>
  <c r="AE431" i="1"/>
  <c r="BA431" i="1" s="1"/>
  <c r="AE274" i="1"/>
  <c r="AM93" i="1"/>
  <c r="AN93" i="1" s="1"/>
  <c r="BH93" i="1"/>
  <c r="I44" i="3"/>
  <c r="H44" i="3"/>
  <c r="AB431" i="1"/>
  <c r="AB274" i="1"/>
  <c r="AB457" i="1" s="1"/>
  <c r="AF431" i="1"/>
  <c r="BB431" i="1" s="1"/>
  <c r="AF274" i="1"/>
  <c r="AJ431" i="1"/>
  <c r="BF431" i="1" s="1"/>
  <c r="CB431" i="1" s="1"/>
  <c r="AVK431" i="1" s="1"/>
  <c r="AJ274" i="1"/>
  <c r="AD19" i="1"/>
  <c r="AZ19" i="1" s="1"/>
  <c r="BV19" i="1" s="1"/>
  <c r="AD31" i="1"/>
  <c r="AZ31" i="1" s="1"/>
  <c r="BV31" i="1" s="1"/>
  <c r="AD35" i="1"/>
  <c r="AZ35" i="1" s="1"/>
  <c r="BV35" i="1" s="1"/>
  <c r="AD47" i="1"/>
  <c r="AZ47" i="1" s="1"/>
  <c r="BV47" i="1" s="1"/>
  <c r="AD51" i="1"/>
  <c r="AZ51" i="1" s="1"/>
  <c r="BV51" i="1" s="1"/>
  <c r="AD50" i="1"/>
  <c r="AZ50" i="1" s="1"/>
  <c r="BV50" i="1" s="1"/>
  <c r="AD8" i="1"/>
  <c r="AZ8" i="1" s="1"/>
  <c r="BV8" i="1" s="1"/>
  <c r="AD33" i="1"/>
  <c r="AZ33" i="1" s="1"/>
  <c r="BV33" i="1" s="1"/>
  <c r="AD62" i="1"/>
  <c r="AZ62" i="1" s="1"/>
  <c r="BV62" i="1" s="1"/>
  <c r="AD32" i="1"/>
  <c r="AZ32" i="1" s="1"/>
  <c r="BV32" i="1" s="1"/>
  <c r="AVE32" i="1" s="1"/>
  <c r="AD98" i="1"/>
  <c r="AZ98" i="1" s="1"/>
  <c r="BV98" i="1" s="1"/>
  <c r="AD111" i="1"/>
  <c r="AZ111" i="1" s="1"/>
  <c r="BV111" i="1" s="1"/>
  <c r="AD113" i="1"/>
  <c r="AZ113" i="1" s="1"/>
  <c r="BV113" i="1" s="1"/>
  <c r="AD207" i="1"/>
  <c r="AZ207" i="1" s="1"/>
  <c r="BV207" i="1" s="1"/>
  <c r="AD205" i="1"/>
  <c r="AZ205" i="1" s="1"/>
  <c r="BV205" i="1" s="1"/>
  <c r="AD206" i="1"/>
  <c r="AZ206" i="1" s="1"/>
  <c r="BV206" i="1" s="1"/>
  <c r="AD235" i="1"/>
  <c r="AZ235" i="1" s="1"/>
  <c r="BV235" i="1" s="1"/>
  <c r="AD220" i="1"/>
  <c r="AZ220" i="1" s="1"/>
  <c r="BV220" i="1" s="1"/>
  <c r="CR220" i="1" s="1"/>
  <c r="AD290" i="1"/>
  <c r="AZ290" i="1" s="1"/>
  <c r="BV290" i="1" s="1"/>
  <c r="AD228" i="1"/>
  <c r="AZ228" i="1" s="1"/>
  <c r="BV228" i="1" s="1"/>
  <c r="CR228" i="1" s="1"/>
  <c r="AD237" i="1"/>
  <c r="AZ237" i="1" s="1"/>
  <c r="BV237" i="1" s="1"/>
  <c r="AD301" i="1"/>
  <c r="AZ301" i="1" s="1"/>
  <c r="BV301" i="1" s="1"/>
  <c r="AD386" i="1"/>
  <c r="AZ386" i="1" s="1"/>
  <c r="BV386" i="1" s="1"/>
  <c r="AD398" i="1"/>
  <c r="AZ398" i="1" s="1"/>
  <c r="BV398" i="1" s="1"/>
  <c r="CR398" i="1" s="1"/>
  <c r="AD418" i="1"/>
  <c r="AZ418" i="1" s="1"/>
  <c r="BV418" i="1" s="1"/>
  <c r="AD385" i="1"/>
  <c r="AZ385" i="1" s="1"/>
  <c r="BV385" i="1" s="1"/>
  <c r="AD400" i="1"/>
  <c r="AZ400" i="1" s="1"/>
  <c r="BV400" i="1" s="1"/>
  <c r="AH19" i="1"/>
  <c r="BD19" i="1" s="1"/>
  <c r="BZ19" i="1" s="1"/>
  <c r="AH31" i="1"/>
  <c r="BD31" i="1" s="1"/>
  <c r="BZ31" i="1" s="1"/>
  <c r="AH35" i="1"/>
  <c r="BD35" i="1" s="1"/>
  <c r="BZ35" i="1" s="1"/>
  <c r="AH47" i="1"/>
  <c r="BD47" i="1" s="1"/>
  <c r="BZ47" i="1" s="1"/>
  <c r="AH51" i="1"/>
  <c r="BD51" i="1" s="1"/>
  <c r="BZ51" i="1" s="1"/>
  <c r="AH50" i="1"/>
  <c r="BD50" i="1" s="1"/>
  <c r="BZ50" i="1" s="1"/>
  <c r="AH8" i="1"/>
  <c r="BD8" i="1" s="1"/>
  <c r="BZ8" i="1" s="1"/>
  <c r="AH33" i="1"/>
  <c r="BD33" i="1" s="1"/>
  <c r="BZ33" i="1" s="1"/>
  <c r="AH62" i="1"/>
  <c r="BD62" i="1" s="1"/>
  <c r="BZ62" i="1" s="1"/>
  <c r="AH98" i="1"/>
  <c r="BD98" i="1" s="1"/>
  <c r="BZ98" i="1" s="1"/>
  <c r="AH32" i="1"/>
  <c r="BD32" i="1" s="1"/>
  <c r="BZ32" i="1" s="1"/>
  <c r="AVI32" i="1" s="1"/>
  <c r="AH111" i="1"/>
  <c r="BD111" i="1" s="1"/>
  <c r="BZ111" i="1" s="1"/>
  <c r="AH113" i="1"/>
  <c r="BD113" i="1" s="1"/>
  <c r="BZ113" i="1" s="1"/>
  <c r="AH207" i="1"/>
  <c r="BD207" i="1" s="1"/>
  <c r="BZ207" i="1" s="1"/>
  <c r="AH205" i="1"/>
  <c r="BD205" i="1" s="1"/>
  <c r="BZ205" i="1" s="1"/>
  <c r="AH220" i="1"/>
  <c r="BD220" i="1" s="1"/>
  <c r="BZ220" i="1" s="1"/>
  <c r="CV220" i="1" s="1"/>
  <c r="AH235" i="1"/>
  <c r="BD235" i="1" s="1"/>
  <c r="BZ235" i="1" s="1"/>
  <c r="AH206" i="1"/>
  <c r="AH290" i="1"/>
  <c r="BD290" i="1" s="1"/>
  <c r="BZ290" i="1" s="1"/>
  <c r="AH228" i="1"/>
  <c r="BD228" i="1" s="1"/>
  <c r="BZ228" i="1" s="1"/>
  <c r="CV228" i="1" s="1"/>
  <c r="AH237" i="1"/>
  <c r="BD237" i="1" s="1"/>
  <c r="BZ237" i="1" s="1"/>
  <c r="AH301" i="1"/>
  <c r="BD301" i="1" s="1"/>
  <c r="BZ301" i="1" s="1"/>
  <c r="AH386" i="1"/>
  <c r="BD386" i="1" s="1"/>
  <c r="BZ386" i="1" s="1"/>
  <c r="AH398" i="1"/>
  <c r="BD398" i="1" s="1"/>
  <c r="BZ398" i="1" s="1"/>
  <c r="CV398" i="1" s="1"/>
  <c r="AH418" i="1"/>
  <c r="BD418" i="1" s="1"/>
  <c r="BZ418" i="1" s="1"/>
  <c r="AH385" i="1"/>
  <c r="BD385" i="1" s="1"/>
  <c r="BZ385" i="1" s="1"/>
  <c r="AH400" i="1"/>
  <c r="BD400" i="1" s="1"/>
  <c r="BZ400" i="1" s="1"/>
  <c r="AL19" i="1"/>
  <c r="AL31" i="1"/>
  <c r="AL35" i="1"/>
  <c r="AL47" i="1"/>
  <c r="AL51" i="1"/>
  <c r="AL50" i="1"/>
  <c r="AM50" i="1" s="1"/>
  <c r="AN50" i="1" s="1"/>
  <c r="AL8" i="1"/>
  <c r="AM8" i="1" s="1"/>
  <c r="AN8" i="1" s="1"/>
  <c r="AL33" i="1"/>
  <c r="AM33" i="1" s="1"/>
  <c r="AN33" i="1" s="1"/>
  <c r="AL62" i="1"/>
  <c r="AL32" i="1"/>
  <c r="AM32" i="1" s="1"/>
  <c r="AN32" i="1" s="1"/>
  <c r="AL98" i="1"/>
  <c r="AL111" i="1"/>
  <c r="AM111" i="1" s="1"/>
  <c r="AN111" i="1" s="1"/>
  <c r="AL113" i="1"/>
  <c r="AL207" i="1"/>
  <c r="AM207" i="1" s="1"/>
  <c r="AN207" i="1" s="1"/>
  <c r="AL205" i="1"/>
  <c r="AL220" i="1"/>
  <c r="AL235" i="1"/>
  <c r="AL290" i="1"/>
  <c r="AM290" i="1" s="1"/>
  <c r="AN290" i="1" s="1"/>
  <c r="AL206" i="1"/>
  <c r="AM206" i="1" s="1"/>
  <c r="AN206" i="1" s="1"/>
  <c r="AL228" i="1"/>
  <c r="AL237" i="1"/>
  <c r="AL386" i="1"/>
  <c r="AL398" i="1"/>
  <c r="AL418" i="1"/>
  <c r="AL301" i="1"/>
  <c r="AL385" i="1"/>
  <c r="AL400" i="1"/>
  <c r="AM400" i="1" s="1"/>
  <c r="AN400" i="1" s="1"/>
  <c r="AE65" i="1"/>
  <c r="BA65" i="1" s="1"/>
  <c r="BW65" i="1" s="1"/>
  <c r="CS65" i="1" s="1"/>
  <c r="AE67" i="1"/>
  <c r="BA67" i="1" s="1"/>
  <c r="BW67" i="1" s="1"/>
  <c r="AE83" i="1"/>
  <c r="BA83" i="1" s="1"/>
  <c r="BW83" i="1" s="1"/>
  <c r="AE81" i="1"/>
  <c r="BA81" i="1" s="1"/>
  <c r="BW81" i="1" s="1"/>
  <c r="AE365" i="1"/>
  <c r="BA365" i="1" s="1"/>
  <c r="BW365" i="1" s="1"/>
  <c r="AE371" i="1"/>
  <c r="BA371" i="1" s="1"/>
  <c r="BW371" i="1" s="1"/>
  <c r="AE411" i="1"/>
  <c r="BA411" i="1" s="1"/>
  <c r="BW411" i="1" s="1"/>
  <c r="AE355" i="1"/>
  <c r="BA355" i="1" s="1"/>
  <c r="BW355" i="1" s="1"/>
  <c r="CS355" i="1" s="1"/>
  <c r="AI65" i="1"/>
  <c r="BE65" i="1" s="1"/>
  <c r="CA65" i="1" s="1"/>
  <c r="CW65" i="1" s="1"/>
  <c r="AI67" i="1"/>
  <c r="BE67" i="1" s="1"/>
  <c r="CA67" i="1" s="1"/>
  <c r="AI83" i="1"/>
  <c r="BE83" i="1" s="1"/>
  <c r="CA83" i="1" s="1"/>
  <c r="AI81" i="1"/>
  <c r="BE81" i="1" s="1"/>
  <c r="CA81" i="1" s="1"/>
  <c r="AI365" i="1"/>
  <c r="BE365" i="1" s="1"/>
  <c r="CA365" i="1" s="1"/>
  <c r="AI371" i="1"/>
  <c r="BE371" i="1" s="1"/>
  <c r="CA371" i="1" s="1"/>
  <c r="AI411" i="1"/>
  <c r="BE411" i="1" s="1"/>
  <c r="CA411" i="1" s="1"/>
  <c r="AI355" i="1"/>
  <c r="BE355" i="1" s="1"/>
  <c r="CA355" i="1" s="1"/>
  <c r="CW355" i="1" s="1"/>
  <c r="AC431" i="1"/>
  <c r="AY431" i="1" s="1"/>
  <c r="AC274" i="1"/>
  <c r="AK431" i="1"/>
  <c r="BG431" i="1" s="1"/>
  <c r="CC431" i="1" s="1"/>
  <c r="AVL431" i="1" s="1"/>
  <c r="AK274" i="1"/>
  <c r="Y26" i="1"/>
  <c r="AU26" i="1" s="1"/>
  <c r="BQ26" i="1" s="1"/>
  <c r="Y29" i="1"/>
  <c r="AU29" i="1" s="1"/>
  <c r="BQ29" i="1" s="1"/>
  <c r="Y88" i="1"/>
  <c r="Y92" i="1"/>
  <c r="AU92" i="1" s="1"/>
  <c r="BQ92" i="1" s="1"/>
  <c r="Y128" i="1"/>
  <c r="Y132" i="1"/>
  <c r="Y280" i="1"/>
  <c r="Y374" i="1"/>
  <c r="AU374" i="1" s="1"/>
  <c r="BQ374" i="1" s="1"/>
  <c r="Y423" i="1"/>
  <c r="Y377" i="1"/>
  <c r="AU377" i="1" s="1"/>
  <c r="BQ377" i="1" s="1"/>
  <c r="Y414" i="1"/>
  <c r="AU414" i="1" s="1"/>
  <c r="BQ414" i="1" s="1"/>
  <c r="Y422" i="1"/>
  <c r="Y336" i="1"/>
  <c r="AU336" i="1" s="1"/>
  <c r="BQ336" i="1" s="1"/>
  <c r="Y339" i="1"/>
  <c r="AB8" i="1"/>
  <c r="AB33" i="1"/>
  <c r="AB62" i="1"/>
  <c r="AB32" i="1"/>
  <c r="AB19" i="1"/>
  <c r="AB31" i="1"/>
  <c r="AB35" i="1"/>
  <c r="AB47" i="1"/>
  <c r="AB51" i="1"/>
  <c r="AB50" i="1"/>
  <c r="AB98" i="1"/>
  <c r="AB113" i="1"/>
  <c r="AB111" i="1"/>
  <c r="AB206" i="1"/>
  <c r="AB205" i="1"/>
  <c r="AB207" i="1"/>
  <c r="AB290" i="1"/>
  <c r="AB220" i="1"/>
  <c r="AB228" i="1"/>
  <c r="AB237" i="1"/>
  <c r="AB301" i="1"/>
  <c r="AB235" i="1"/>
  <c r="AB385" i="1"/>
  <c r="AB400" i="1"/>
  <c r="AB386" i="1"/>
  <c r="AB398" i="1"/>
  <c r="AB418" i="1"/>
  <c r="AF8" i="1"/>
  <c r="BB8" i="1" s="1"/>
  <c r="BX8" i="1" s="1"/>
  <c r="AF33" i="1"/>
  <c r="BB33" i="1" s="1"/>
  <c r="BX33" i="1" s="1"/>
  <c r="AF62" i="1"/>
  <c r="BB62" i="1" s="1"/>
  <c r="BX62" i="1" s="1"/>
  <c r="AF32" i="1"/>
  <c r="BB32" i="1" s="1"/>
  <c r="AF19" i="1"/>
  <c r="BB19" i="1" s="1"/>
  <c r="BX19" i="1" s="1"/>
  <c r="AF31" i="1"/>
  <c r="BB31" i="1" s="1"/>
  <c r="AF35" i="1"/>
  <c r="BB35" i="1" s="1"/>
  <c r="BX35" i="1" s="1"/>
  <c r="AF47" i="1"/>
  <c r="BB47" i="1" s="1"/>
  <c r="BX47" i="1" s="1"/>
  <c r="AF51" i="1"/>
  <c r="BB51" i="1" s="1"/>
  <c r="BX51" i="1" s="1"/>
  <c r="AF98" i="1"/>
  <c r="BB98" i="1" s="1"/>
  <c r="BX98" i="1" s="1"/>
  <c r="AF50" i="1"/>
  <c r="BB50" i="1" s="1"/>
  <c r="BX50" i="1" s="1"/>
  <c r="AF113" i="1"/>
  <c r="BB113" i="1" s="1"/>
  <c r="BX113" i="1" s="1"/>
  <c r="AF111" i="1"/>
  <c r="BB111" i="1" s="1"/>
  <c r="BX111" i="1" s="1"/>
  <c r="AF206" i="1"/>
  <c r="BB206" i="1" s="1"/>
  <c r="BX206" i="1" s="1"/>
  <c r="AF205" i="1"/>
  <c r="BB205" i="1" s="1"/>
  <c r="BX205" i="1" s="1"/>
  <c r="AF207" i="1"/>
  <c r="BB207" i="1" s="1"/>
  <c r="AF220" i="1"/>
  <c r="BB220" i="1" s="1"/>
  <c r="BX220" i="1" s="1"/>
  <c r="CT220" i="1" s="1"/>
  <c r="AF290" i="1"/>
  <c r="BB290" i="1" s="1"/>
  <c r="BX290" i="1" s="1"/>
  <c r="AF228" i="1"/>
  <c r="BB228" i="1" s="1"/>
  <c r="AF237" i="1"/>
  <c r="BB237" i="1" s="1"/>
  <c r="BX237" i="1" s="1"/>
  <c r="AF301" i="1"/>
  <c r="BB301" i="1" s="1"/>
  <c r="BX301" i="1" s="1"/>
  <c r="AF235" i="1"/>
  <c r="BB235" i="1" s="1"/>
  <c r="BX235" i="1" s="1"/>
  <c r="AF385" i="1"/>
  <c r="BB385" i="1" s="1"/>
  <c r="AF400" i="1"/>
  <c r="BB400" i="1" s="1"/>
  <c r="BX400" i="1" s="1"/>
  <c r="AF386" i="1"/>
  <c r="BB386" i="1" s="1"/>
  <c r="BX386" i="1" s="1"/>
  <c r="AF398" i="1"/>
  <c r="BB398" i="1" s="1"/>
  <c r="BX398" i="1" s="1"/>
  <c r="CT398" i="1" s="1"/>
  <c r="AF418" i="1"/>
  <c r="BB418" i="1" s="1"/>
  <c r="BX418" i="1" s="1"/>
  <c r="AJ8" i="1"/>
  <c r="BF8" i="1" s="1"/>
  <c r="CB8" i="1" s="1"/>
  <c r="AJ33" i="1"/>
  <c r="BF33" i="1" s="1"/>
  <c r="CB33" i="1" s="1"/>
  <c r="AJ62" i="1"/>
  <c r="BF62" i="1" s="1"/>
  <c r="CB62" i="1" s="1"/>
  <c r="AJ32" i="1"/>
  <c r="BF32" i="1" s="1"/>
  <c r="CB32" i="1" s="1"/>
  <c r="AVK32" i="1" s="1"/>
  <c r="AJ19" i="1"/>
  <c r="BF19" i="1" s="1"/>
  <c r="CB19" i="1" s="1"/>
  <c r="AJ31" i="1"/>
  <c r="BF31" i="1" s="1"/>
  <c r="CB31" i="1" s="1"/>
  <c r="AJ35" i="1"/>
  <c r="BF35" i="1" s="1"/>
  <c r="CB35" i="1" s="1"/>
  <c r="AJ47" i="1"/>
  <c r="BF47" i="1" s="1"/>
  <c r="CB47" i="1" s="1"/>
  <c r="AJ51" i="1"/>
  <c r="BF51" i="1" s="1"/>
  <c r="CB51" i="1" s="1"/>
  <c r="AJ98" i="1"/>
  <c r="BF98" i="1" s="1"/>
  <c r="CB98" i="1" s="1"/>
  <c r="AJ50" i="1"/>
  <c r="BF50" i="1" s="1"/>
  <c r="CB50" i="1" s="1"/>
  <c r="AJ113" i="1"/>
  <c r="BF113" i="1" s="1"/>
  <c r="CB113" i="1" s="1"/>
  <c r="AJ111" i="1"/>
  <c r="BF111" i="1" s="1"/>
  <c r="CB111" i="1" s="1"/>
  <c r="AJ206" i="1"/>
  <c r="BF206" i="1" s="1"/>
  <c r="CB206" i="1" s="1"/>
  <c r="AJ205" i="1"/>
  <c r="BF205" i="1" s="1"/>
  <c r="CB205" i="1" s="1"/>
  <c r="AJ207" i="1"/>
  <c r="BF207" i="1" s="1"/>
  <c r="CB207" i="1" s="1"/>
  <c r="AJ290" i="1"/>
  <c r="BF290" i="1" s="1"/>
  <c r="CB290" i="1" s="1"/>
  <c r="AJ228" i="1"/>
  <c r="BF228" i="1" s="1"/>
  <c r="CB228" i="1" s="1"/>
  <c r="CX228" i="1" s="1"/>
  <c r="AJ237" i="1"/>
  <c r="BF237" i="1" s="1"/>
  <c r="CB237" i="1" s="1"/>
  <c r="AJ301" i="1"/>
  <c r="BF301" i="1" s="1"/>
  <c r="CB301" i="1" s="1"/>
  <c r="AJ220" i="1"/>
  <c r="BF220" i="1" s="1"/>
  <c r="CB220" i="1" s="1"/>
  <c r="CX220" i="1" s="1"/>
  <c r="AJ235" i="1"/>
  <c r="BF235" i="1" s="1"/>
  <c r="CB235" i="1" s="1"/>
  <c r="AJ385" i="1"/>
  <c r="BF385" i="1" s="1"/>
  <c r="CB385" i="1" s="1"/>
  <c r="AJ400" i="1"/>
  <c r="BF400" i="1" s="1"/>
  <c r="CB400" i="1" s="1"/>
  <c r="AJ386" i="1"/>
  <c r="BF386" i="1" s="1"/>
  <c r="CB386" i="1" s="1"/>
  <c r="AJ398" i="1"/>
  <c r="BF398" i="1" s="1"/>
  <c r="CB398" i="1" s="1"/>
  <c r="CX398" i="1" s="1"/>
  <c r="AJ418" i="1"/>
  <c r="BF418" i="1" s="1"/>
  <c r="CB418" i="1" s="1"/>
  <c r="AC65" i="1"/>
  <c r="AY65" i="1" s="1"/>
  <c r="BU65" i="1" s="1"/>
  <c r="CQ65" i="1" s="1"/>
  <c r="AC81" i="1"/>
  <c r="AY81" i="1" s="1"/>
  <c r="BU81" i="1" s="1"/>
  <c r="AC67" i="1"/>
  <c r="AY67" i="1" s="1"/>
  <c r="BU67" i="1" s="1"/>
  <c r="AC83" i="1"/>
  <c r="AY83" i="1" s="1"/>
  <c r="BU83" i="1" s="1"/>
  <c r="AC355" i="1"/>
  <c r="AY355" i="1" s="1"/>
  <c r="BU355" i="1" s="1"/>
  <c r="CQ355" i="1" s="1"/>
  <c r="AC365" i="1"/>
  <c r="AY365" i="1" s="1"/>
  <c r="BU365" i="1" s="1"/>
  <c r="AC371" i="1"/>
  <c r="AY371" i="1" s="1"/>
  <c r="BU371" i="1" s="1"/>
  <c r="AC411" i="1"/>
  <c r="AY411" i="1" s="1"/>
  <c r="BU411" i="1" s="1"/>
  <c r="AG65" i="1"/>
  <c r="BC65" i="1" s="1"/>
  <c r="BY65" i="1" s="1"/>
  <c r="CU65" i="1" s="1"/>
  <c r="AG67" i="1"/>
  <c r="BC67" i="1" s="1"/>
  <c r="BY67" i="1" s="1"/>
  <c r="AG81" i="1"/>
  <c r="BC81" i="1" s="1"/>
  <c r="BY81" i="1" s="1"/>
  <c r="AG83" i="1"/>
  <c r="BC83" i="1" s="1"/>
  <c r="BY83" i="1" s="1"/>
  <c r="AG355" i="1"/>
  <c r="BC355" i="1" s="1"/>
  <c r="BY355" i="1" s="1"/>
  <c r="CU355" i="1" s="1"/>
  <c r="AG365" i="1"/>
  <c r="BC365" i="1" s="1"/>
  <c r="BY365" i="1" s="1"/>
  <c r="AG371" i="1"/>
  <c r="BC371" i="1" s="1"/>
  <c r="BY371" i="1" s="1"/>
  <c r="AG411" i="1"/>
  <c r="BC411" i="1" s="1"/>
  <c r="BY411" i="1" s="1"/>
  <c r="AK65" i="1"/>
  <c r="BG65" i="1" s="1"/>
  <c r="CC65" i="1" s="1"/>
  <c r="CY65" i="1" s="1"/>
  <c r="AK81" i="1"/>
  <c r="BG81" i="1" s="1"/>
  <c r="CC81" i="1" s="1"/>
  <c r="AK67" i="1"/>
  <c r="BG67" i="1" s="1"/>
  <c r="CC67" i="1" s="1"/>
  <c r="AK83" i="1"/>
  <c r="BG83" i="1" s="1"/>
  <c r="CC83" i="1" s="1"/>
  <c r="AK355" i="1"/>
  <c r="BG355" i="1" s="1"/>
  <c r="CC355" i="1" s="1"/>
  <c r="CY355" i="1" s="1"/>
  <c r="AK365" i="1"/>
  <c r="BG365" i="1" s="1"/>
  <c r="CC365" i="1" s="1"/>
  <c r="AK371" i="1"/>
  <c r="BG371" i="1" s="1"/>
  <c r="CC371" i="1" s="1"/>
  <c r="AK411" i="1"/>
  <c r="BG411" i="1" s="1"/>
  <c r="CC411" i="1" s="1"/>
  <c r="U431" i="1"/>
  <c r="AVA431" i="1" s="1"/>
  <c r="U274" i="1"/>
  <c r="AVA274" i="1" s="1"/>
  <c r="AI431" i="1"/>
  <c r="BE431" i="1" s="1"/>
  <c r="CA431" i="1" s="1"/>
  <c r="AVJ431" i="1" s="1"/>
  <c r="AI274" i="1"/>
  <c r="Y66" i="1"/>
  <c r="Y82" i="1"/>
  <c r="Y69" i="1"/>
  <c r="Y85" i="1"/>
  <c r="Y68" i="1"/>
  <c r="Y80" i="1"/>
  <c r="Y84" i="1"/>
  <c r="Y330" i="1"/>
  <c r="AU330" i="1" s="1"/>
  <c r="BQ330" i="1" s="1"/>
  <c r="Y356" i="1"/>
  <c r="Y364" i="1"/>
  <c r="Y370" i="1"/>
  <c r="Y369" i="1"/>
  <c r="Y340" i="1"/>
  <c r="AU340" i="1" s="1"/>
  <c r="BQ340" i="1" s="1"/>
  <c r="Y368" i="1"/>
  <c r="Y357" i="1"/>
  <c r="AC50" i="1"/>
  <c r="AY50" i="1" s="1"/>
  <c r="BU50" i="1" s="1"/>
  <c r="AC8" i="1"/>
  <c r="AY8" i="1" s="1"/>
  <c r="BU8" i="1" s="1"/>
  <c r="AC33" i="1"/>
  <c r="AY33" i="1" s="1"/>
  <c r="BU33" i="1" s="1"/>
  <c r="AC62" i="1"/>
  <c r="AY62" i="1" s="1"/>
  <c r="BU62" i="1" s="1"/>
  <c r="AC32" i="1"/>
  <c r="AY32" i="1" s="1"/>
  <c r="BU32" i="1" s="1"/>
  <c r="AVD32" i="1" s="1"/>
  <c r="AC19" i="1"/>
  <c r="AY19" i="1" s="1"/>
  <c r="BU19" i="1" s="1"/>
  <c r="AC113" i="1"/>
  <c r="AY113" i="1" s="1"/>
  <c r="BU113" i="1" s="1"/>
  <c r="AC31" i="1"/>
  <c r="AY31" i="1" s="1"/>
  <c r="BU31" i="1" s="1"/>
  <c r="AC35" i="1"/>
  <c r="AY35" i="1" s="1"/>
  <c r="BU35" i="1" s="1"/>
  <c r="AC51" i="1"/>
  <c r="AY51" i="1" s="1"/>
  <c r="BU51" i="1" s="1"/>
  <c r="AC111" i="1"/>
  <c r="AY111" i="1" s="1"/>
  <c r="BU111" i="1" s="1"/>
  <c r="AC47" i="1"/>
  <c r="AY47" i="1" s="1"/>
  <c r="BU47" i="1" s="1"/>
  <c r="AC207" i="1"/>
  <c r="AY207" i="1" s="1"/>
  <c r="BU207" i="1" s="1"/>
  <c r="AC220" i="1"/>
  <c r="AY220" i="1" s="1"/>
  <c r="BU220" i="1" s="1"/>
  <c r="CQ220" i="1" s="1"/>
  <c r="AC206" i="1"/>
  <c r="AY206" i="1" s="1"/>
  <c r="BU206" i="1" s="1"/>
  <c r="AC98" i="1"/>
  <c r="AY98" i="1" s="1"/>
  <c r="BU98" i="1" s="1"/>
  <c r="AC205" i="1"/>
  <c r="AY205" i="1" s="1"/>
  <c r="BU205" i="1" s="1"/>
  <c r="AC235" i="1"/>
  <c r="AY235" i="1" s="1"/>
  <c r="BU235" i="1" s="1"/>
  <c r="AC290" i="1"/>
  <c r="AY290" i="1" s="1"/>
  <c r="BU290" i="1" s="1"/>
  <c r="AC228" i="1"/>
  <c r="AY228" i="1" s="1"/>
  <c r="BU228" i="1" s="1"/>
  <c r="CQ228" i="1" s="1"/>
  <c r="AC237" i="1"/>
  <c r="AY237" i="1" s="1"/>
  <c r="BU237" i="1" s="1"/>
  <c r="AC301" i="1"/>
  <c r="AY301" i="1" s="1"/>
  <c r="BU301" i="1" s="1"/>
  <c r="AC386" i="1"/>
  <c r="AY386" i="1" s="1"/>
  <c r="BU386" i="1" s="1"/>
  <c r="AC398" i="1"/>
  <c r="AY398" i="1" s="1"/>
  <c r="BU398" i="1" s="1"/>
  <c r="CQ398" i="1" s="1"/>
  <c r="AC418" i="1"/>
  <c r="AY418" i="1" s="1"/>
  <c r="BU418" i="1" s="1"/>
  <c r="AC385" i="1"/>
  <c r="AY385" i="1" s="1"/>
  <c r="BU385" i="1" s="1"/>
  <c r="AC400" i="1"/>
  <c r="AY400" i="1" s="1"/>
  <c r="BU400" i="1" s="1"/>
  <c r="AG50" i="1"/>
  <c r="BC50" i="1" s="1"/>
  <c r="BY50" i="1" s="1"/>
  <c r="AG8" i="1"/>
  <c r="BC8" i="1" s="1"/>
  <c r="BY8" i="1" s="1"/>
  <c r="AG33" i="1"/>
  <c r="BC33" i="1" s="1"/>
  <c r="BY33" i="1" s="1"/>
  <c r="AG62" i="1"/>
  <c r="BC62" i="1" s="1"/>
  <c r="BY62" i="1" s="1"/>
  <c r="AG32" i="1"/>
  <c r="BC32" i="1" s="1"/>
  <c r="BY32" i="1" s="1"/>
  <c r="AVH32" i="1" s="1"/>
  <c r="AG19" i="1"/>
  <c r="BC19" i="1" s="1"/>
  <c r="BY19" i="1" s="1"/>
  <c r="AG47" i="1"/>
  <c r="BC47" i="1" s="1"/>
  <c r="BY47" i="1" s="1"/>
  <c r="AG113" i="1"/>
  <c r="BC113" i="1" s="1"/>
  <c r="BY113" i="1" s="1"/>
  <c r="AG31" i="1"/>
  <c r="BC31" i="1" s="1"/>
  <c r="BY31" i="1" s="1"/>
  <c r="AG35" i="1"/>
  <c r="BC35" i="1" s="1"/>
  <c r="BY35" i="1" s="1"/>
  <c r="AG51" i="1"/>
  <c r="BC51" i="1" s="1"/>
  <c r="BY51" i="1" s="1"/>
  <c r="AG111" i="1"/>
  <c r="BC111" i="1" s="1"/>
  <c r="BY111" i="1" s="1"/>
  <c r="AG98" i="1"/>
  <c r="BC98" i="1" s="1"/>
  <c r="BY98" i="1" s="1"/>
  <c r="AG207" i="1"/>
  <c r="BC207" i="1" s="1"/>
  <c r="BY207" i="1" s="1"/>
  <c r="AG220" i="1"/>
  <c r="BC220" i="1" s="1"/>
  <c r="BY220" i="1" s="1"/>
  <c r="CU220" i="1" s="1"/>
  <c r="AG206" i="1"/>
  <c r="BC206" i="1" s="1"/>
  <c r="BY206" i="1" s="1"/>
  <c r="AG235" i="1"/>
  <c r="BC235" i="1" s="1"/>
  <c r="BY235" i="1" s="1"/>
  <c r="AG205" i="1"/>
  <c r="BC205" i="1" s="1"/>
  <c r="BY205" i="1" s="1"/>
  <c r="AG290" i="1"/>
  <c r="BC290" i="1" s="1"/>
  <c r="BY290" i="1" s="1"/>
  <c r="AG228" i="1"/>
  <c r="BC228" i="1" s="1"/>
  <c r="BY228" i="1" s="1"/>
  <c r="CU228" i="1" s="1"/>
  <c r="AG237" i="1"/>
  <c r="BC237" i="1" s="1"/>
  <c r="BY237" i="1" s="1"/>
  <c r="AG301" i="1"/>
  <c r="BC301" i="1" s="1"/>
  <c r="BY301" i="1" s="1"/>
  <c r="AG386" i="1"/>
  <c r="BC386" i="1" s="1"/>
  <c r="BY386" i="1" s="1"/>
  <c r="AG398" i="1"/>
  <c r="BC398" i="1" s="1"/>
  <c r="BY398" i="1" s="1"/>
  <c r="CU398" i="1" s="1"/>
  <c r="AG418" i="1"/>
  <c r="BC418" i="1" s="1"/>
  <c r="BY418" i="1" s="1"/>
  <c r="AG385" i="1"/>
  <c r="BC385" i="1" s="1"/>
  <c r="BY385" i="1" s="1"/>
  <c r="AG400" i="1"/>
  <c r="AK50" i="1"/>
  <c r="BG50" i="1" s="1"/>
  <c r="CC50" i="1" s="1"/>
  <c r="AK8" i="1"/>
  <c r="BG8" i="1" s="1"/>
  <c r="CC8" i="1" s="1"/>
  <c r="AK33" i="1"/>
  <c r="BG33" i="1" s="1"/>
  <c r="CC33" i="1" s="1"/>
  <c r="AK62" i="1"/>
  <c r="BG62" i="1" s="1"/>
  <c r="CC62" i="1" s="1"/>
  <c r="AK32" i="1"/>
  <c r="BG32" i="1" s="1"/>
  <c r="CC32" i="1" s="1"/>
  <c r="AVL32" i="1" s="1"/>
  <c r="AK19" i="1"/>
  <c r="BG19" i="1" s="1"/>
  <c r="CC19" i="1" s="1"/>
  <c r="AK113" i="1"/>
  <c r="BG113" i="1" s="1"/>
  <c r="CC113" i="1" s="1"/>
  <c r="AK47" i="1"/>
  <c r="BG47" i="1" s="1"/>
  <c r="CC47" i="1" s="1"/>
  <c r="AK111" i="1"/>
  <c r="BG111" i="1" s="1"/>
  <c r="CC111" i="1" s="1"/>
  <c r="AK31" i="1"/>
  <c r="BG31" i="1" s="1"/>
  <c r="CC31" i="1" s="1"/>
  <c r="AK35" i="1"/>
  <c r="BG35" i="1" s="1"/>
  <c r="CC35" i="1" s="1"/>
  <c r="AK51" i="1"/>
  <c r="BG51" i="1" s="1"/>
  <c r="CC51" i="1" s="1"/>
  <c r="AK98" i="1"/>
  <c r="BG98" i="1" s="1"/>
  <c r="CC98" i="1" s="1"/>
  <c r="AK207" i="1"/>
  <c r="BG207" i="1" s="1"/>
  <c r="CC207" i="1" s="1"/>
  <c r="AK220" i="1"/>
  <c r="BG220" i="1" s="1"/>
  <c r="CC220" i="1" s="1"/>
  <c r="CY220" i="1" s="1"/>
  <c r="AK206" i="1"/>
  <c r="BG206" i="1" s="1"/>
  <c r="CC206" i="1" s="1"/>
  <c r="AK235" i="1"/>
  <c r="BG235" i="1" s="1"/>
  <c r="CC235" i="1" s="1"/>
  <c r="AK290" i="1"/>
  <c r="BG290" i="1" s="1"/>
  <c r="CC290" i="1" s="1"/>
  <c r="AK205" i="1"/>
  <c r="BG205" i="1" s="1"/>
  <c r="CC205" i="1" s="1"/>
  <c r="AK228" i="1"/>
  <c r="BG228" i="1" s="1"/>
  <c r="CC228" i="1" s="1"/>
  <c r="CY228" i="1" s="1"/>
  <c r="AK237" i="1"/>
  <c r="BG237" i="1" s="1"/>
  <c r="CC237" i="1" s="1"/>
  <c r="AK301" i="1"/>
  <c r="BG301" i="1" s="1"/>
  <c r="CC301" i="1" s="1"/>
  <c r="AK386" i="1"/>
  <c r="BG386" i="1" s="1"/>
  <c r="CC386" i="1" s="1"/>
  <c r="AK398" i="1"/>
  <c r="BG398" i="1" s="1"/>
  <c r="CC398" i="1" s="1"/>
  <c r="CY398" i="1" s="1"/>
  <c r="AK418" i="1"/>
  <c r="BG418" i="1" s="1"/>
  <c r="CC418" i="1" s="1"/>
  <c r="AK385" i="1"/>
  <c r="BG385" i="1" s="1"/>
  <c r="CC385" i="1" s="1"/>
  <c r="AK400" i="1"/>
  <c r="BG400" i="1" s="1"/>
  <c r="CC400" i="1" s="1"/>
  <c r="AD67" i="1"/>
  <c r="AZ67" i="1" s="1"/>
  <c r="BV67" i="1" s="1"/>
  <c r="AD65" i="1"/>
  <c r="AZ65" i="1" s="1"/>
  <c r="BV65" i="1" s="1"/>
  <c r="CR65" i="1" s="1"/>
  <c r="AD83" i="1"/>
  <c r="AZ83" i="1" s="1"/>
  <c r="BV83" i="1" s="1"/>
  <c r="AD81" i="1"/>
  <c r="AZ81" i="1" s="1"/>
  <c r="BV81" i="1" s="1"/>
  <c r="AD411" i="1"/>
  <c r="AZ411" i="1" s="1"/>
  <c r="BV411" i="1" s="1"/>
  <c r="AD355" i="1"/>
  <c r="AZ355" i="1" s="1"/>
  <c r="BV355" i="1" s="1"/>
  <c r="CR355" i="1" s="1"/>
  <c r="AD365" i="1"/>
  <c r="AZ365" i="1" s="1"/>
  <c r="BV365" i="1" s="1"/>
  <c r="AD371" i="1"/>
  <c r="AZ371" i="1" s="1"/>
  <c r="BV371" i="1" s="1"/>
  <c r="AH67" i="1"/>
  <c r="BD67" i="1" s="1"/>
  <c r="BZ67" i="1" s="1"/>
  <c r="AH83" i="1"/>
  <c r="BD83" i="1" s="1"/>
  <c r="BZ83" i="1" s="1"/>
  <c r="AH65" i="1"/>
  <c r="BD65" i="1" s="1"/>
  <c r="BZ65" i="1" s="1"/>
  <c r="CV65" i="1" s="1"/>
  <c r="AH81" i="1"/>
  <c r="BD81" i="1" s="1"/>
  <c r="BZ81" i="1" s="1"/>
  <c r="AH411" i="1"/>
  <c r="BD411" i="1" s="1"/>
  <c r="BZ411" i="1" s="1"/>
  <c r="AH355" i="1"/>
  <c r="BD355" i="1" s="1"/>
  <c r="BZ355" i="1" s="1"/>
  <c r="CV355" i="1" s="1"/>
  <c r="AH365" i="1"/>
  <c r="BD365" i="1" s="1"/>
  <c r="BZ365" i="1" s="1"/>
  <c r="AH371" i="1"/>
  <c r="BD371" i="1" s="1"/>
  <c r="BZ371" i="1" s="1"/>
  <c r="AL67" i="1"/>
  <c r="AL83" i="1"/>
  <c r="AL65" i="1"/>
  <c r="AL81" i="1"/>
  <c r="AL411" i="1"/>
  <c r="AL355" i="1"/>
  <c r="AL365" i="1"/>
  <c r="AL371" i="1"/>
  <c r="AM371" i="1" s="1"/>
  <c r="AN371" i="1" s="1"/>
  <c r="AB38" i="3"/>
  <c r="M44" i="3"/>
  <c r="AB44" i="3" s="1"/>
  <c r="AG431" i="1"/>
  <c r="BC431" i="1" s="1"/>
  <c r="BY431" i="1" s="1"/>
  <c r="AVH431" i="1" s="1"/>
  <c r="AG274" i="1"/>
  <c r="AQ93" i="1"/>
  <c r="BM93" i="1" s="1"/>
  <c r="U418" i="1"/>
  <c r="AVA418" i="1" s="1"/>
  <c r="U31" i="1"/>
  <c r="AVA31" i="1" s="1"/>
  <c r="U398" i="1"/>
  <c r="AVA398" i="1" s="1"/>
  <c r="U62" i="1"/>
  <c r="AVA62" i="1" s="1"/>
  <c r="U220" i="1"/>
  <c r="AVA220" i="1" s="1"/>
  <c r="U228" i="1"/>
  <c r="AVA228" i="1" s="1"/>
  <c r="U47" i="1"/>
  <c r="AVA47" i="1" s="1"/>
  <c r="U113" i="1"/>
  <c r="AVA113" i="1" s="1"/>
  <c r="U385" i="1"/>
  <c r="AVA385" i="1" s="1"/>
  <c r="U19" i="1"/>
  <c r="AVA19" i="1" s="1"/>
  <c r="U237" i="1"/>
  <c r="AVA237" i="1" s="1"/>
  <c r="U301" i="1"/>
  <c r="AVA301" i="1" s="1"/>
  <c r="U386" i="1"/>
  <c r="AVA386" i="1" s="1"/>
  <c r="AE32" i="1"/>
  <c r="BA32" i="1" s="1"/>
  <c r="BW32" i="1" s="1"/>
  <c r="AVF32" i="1" s="1"/>
  <c r="AE19" i="1"/>
  <c r="BA19" i="1" s="1"/>
  <c r="BW19" i="1" s="1"/>
  <c r="AE31" i="1"/>
  <c r="BA31" i="1" s="1"/>
  <c r="BW31" i="1" s="1"/>
  <c r="AE35" i="1"/>
  <c r="BA35" i="1" s="1"/>
  <c r="BW35" i="1" s="1"/>
  <c r="AE47" i="1"/>
  <c r="BA47" i="1" s="1"/>
  <c r="BW47" i="1" s="1"/>
  <c r="AE51" i="1"/>
  <c r="BA51" i="1" s="1"/>
  <c r="BW51" i="1" s="1"/>
  <c r="AE50" i="1"/>
  <c r="BA50" i="1" s="1"/>
  <c r="BW50" i="1" s="1"/>
  <c r="AE8" i="1"/>
  <c r="BA8" i="1" s="1"/>
  <c r="BW8" i="1" s="1"/>
  <c r="AE111" i="1"/>
  <c r="BA111" i="1" s="1"/>
  <c r="BW111" i="1" s="1"/>
  <c r="AE62" i="1"/>
  <c r="BA62" i="1" s="1"/>
  <c r="BW62" i="1" s="1"/>
  <c r="AE33" i="1"/>
  <c r="BA33" i="1" s="1"/>
  <c r="BW33" i="1" s="1"/>
  <c r="AE98" i="1"/>
  <c r="BA98" i="1" s="1"/>
  <c r="BW98" i="1" s="1"/>
  <c r="AE113" i="1"/>
  <c r="BA113" i="1" s="1"/>
  <c r="BW113" i="1" s="1"/>
  <c r="AE205" i="1"/>
  <c r="BA205" i="1" s="1"/>
  <c r="BW205" i="1" s="1"/>
  <c r="AE206" i="1"/>
  <c r="BA206" i="1" s="1"/>
  <c r="BW206" i="1" s="1"/>
  <c r="AE228" i="1"/>
  <c r="BA228" i="1" s="1"/>
  <c r="BW228" i="1" s="1"/>
  <c r="CS228" i="1" s="1"/>
  <c r="AE237" i="1"/>
  <c r="BA237" i="1" s="1"/>
  <c r="BW237" i="1" s="1"/>
  <c r="AE301" i="1"/>
  <c r="BA301" i="1" s="1"/>
  <c r="BW301" i="1" s="1"/>
  <c r="AE207" i="1"/>
  <c r="BA207" i="1" s="1"/>
  <c r="BW207" i="1" s="1"/>
  <c r="AE235" i="1"/>
  <c r="BA235" i="1" s="1"/>
  <c r="BW235" i="1" s="1"/>
  <c r="AE220" i="1"/>
  <c r="BA220" i="1" s="1"/>
  <c r="BW220" i="1" s="1"/>
  <c r="CS220" i="1" s="1"/>
  <c r="AE290" i="1"/>
  <c r="BA290" i="1" s="1"/>
  <c r="BW290" i="1" s="1"/>
  <c r="AE400" i="1"/>
  <c r="BA400" i="1" s="1"/>
  <c r="BW400" i="1" s="1"/>
  <c r="AE386" i="1"/>
  <c r="BA386" i="1" s="1"/>
  <c r="BW386" i="1" s="1"/>
  <c r="AE398" i="1"/>
  <c r="BA398" i="1" s="1"/>
  <c r="BW398" i="1" s="1"/>
  <c r="CS398" i="1" s="1"/>
  <c r="AE418" i="1"/>
  <c r="BA418" i="1" s="1"/>
  <c r="BW418" i="1" s="1"/>
  <c r="AE385" i="1"/>
  <c r="BA385" i="1" s="1"/>
  <c r="BW385" i="1" s="1"/>
  <c r="AI32" i="1"/>
  <c r="BE32" i="1" s="1"/>
  <c r="CA32" i="1" s="1"/>
  <c r="AVJ32" i="1" s="1"/>
  <c r="AI19" i="1"/>
  <c r="BE19" i="1" s="1"/>
  <c r="CA19" i="1" s="1"/>
  <c r="AI31" i="1"/>
  <c r="BE31" i="1" s="1"/>
  <c r="CA31" i="1" s="1"/>
  <c r="AI35" i="1"/>
  <c r="BE35" i="1" s="1"/>
  <c r="CA35" i="1" s="1"/>
  <c r="AI47" i="1"/>
  <c r="BE47" i="1" s="1"/>
  <c r="CA47" i="1" s="1"/>
  <c r="AI51" i="1"/>
  <c r="BE51" i="1" s="1"/>
  <c r="CA51" i="1" s="1"/>
  <c r="AI50" i="1"/>
  <c r="BE50" i="1" s="1"/>
  <c r="CA50" i="1" s="1"/>
  <c r="AI8" i="1"/>
  <c r="BE8" i="1" s="1"/>
  <c r="CA8" i="1" s="1"/>
  <c r="AI33" i="1"/>
  <c r="BE33" i="1" s="1"/>
  <c r="CA33" i="1" s="1"/>
  <c r="AI111" i="1"/>
  <c r="BE111" i="1" s="1"/>
  <c r="CA111" i="1" s="1"/>
  <c r="AI62" i="1"/>
  <c r="BE62" i="1" s="1"/>
  <c r="CA62" i="1" s="1"/>
  <c r="AI98" i="1"/>
  <c r="BE98" i="1" s="1"/>
  <c r="CA98" i="1" s="1"/>
  <c r="AI205" i="1"/>
  <c r="BE205" i="1" s="1"/>
  <c r="CA205" i="1" s="1"/>
  <c r="AI113" i="1"/>
  <c r="BE113" i="1" s="1"/>
  <c r="CA113" i="1" s="1"/>
  <c r="AI206" i="1"/>
  <c r="BE206" i="1" s="1"/>
  <c r="CA206" i="1" s="1"/>
  <c r="AI228" i="1"/>
  <c r="BE228" i="1" s="1"/>
  <c r="CA228" i="1" s="1"/>
  <c r="CW228" i="1" s="1"/>
  <c r="AI237" i="1"/>
  <c r="BE237" i="1" s="1"/>
  <c r="CA237" i="1" s="1"/>
  <c r="AI301" i="1"/>
  <c r="BE301" i="1" s="1"/>
  <c r="CA301" i="1" s="1"/>
  <c r="AI220" i="1"/>
  <c r="BE220" i="1" s="1"/>
  <c r="CA220" i="1" s="1"/>
  <c r="CW220" i="1" s="1"/>
  <c r="AI235" i="1"/>
  <c r="BE235" i="1" s="1"/>
  <c r="CA235" i="1" s="1"/>
  <c r="AI207" i="1"/>
  <c r="BE207" i="1" s="1"/>
  <c r="CA207" i="1" s="1"/>
  <c r="AI290" i="1"/>
  <c r="BE290" i="1" s="1"/>
  <c r="CA290" i="1" s="1"/>
  <c r="AI400" i="1"/>
  <c r="BE400" i="1" s="1"/>
  <c r="CA400" i="1" s="1"/>
  <c r="AI386" i="1"/>
  <c r="BE386" i="1" s="1"/>
  <c r="CA386" i="1" s="1"/>
  <c r="AI398" i="1"/>
  <c r="BE398" i="1" s="1"/>
  <c r="CA398" i="1" s="1"/>
  <c r="CW398" i="1" s="1"/>
  <c r="AI418" i="1"/>
  <c r="BE418" i="1" s="1"/>
  <c r="CA418" i="1" s="1"/>
  <c r="AI385" i="1"/>
  <c r="BE385" i="1" s="1"/>
  <c r="CA385" i="1" s="1"/>
  <c r="AB65" i="1"/>
  <c r="AB81" i="1"/>
  <c r="AB67" i="1"/>
  <c r="AB83" i="1"/>
  <c r="AB365" i="1"/>
  <c r="AB371" i="1"/>
  <c r="AB411" i="1"/>
  <c r="AB355" i="1"/>
  <c r="AF65" i="1"/>
  <c r="BB65" i="1" s="1"/>
  <c r="BX65" i="1" s="1"/>
  <c r="CT65" i="1" s="1"/>
  <c r="AF67" i="1"/>
  <c r="BB67" i="1" s="1"/>
  <c r="BX67" i="1" s="1"/>
  <c r="AF81" i="1"/>
  <c r="BB81" i="1" s="1"/>
  <c r="BX81" i="1" s="1"/>
  <c r="AF83" i="1"/>
  <c r="BB83" i="1" s="1"/>
  <c r="BX83" i="1" s="1"/>
  <c r="AF365" i="1"/>
  <c r="BB365" i="1" s="1"/>
  <c r="BX365" i="1" s="1"/>
  <c r="AF371" i="1"/>
  <c r="BB371" i="1" s="1"/>
  <c r="BX371" i="1" s="1"/>
  <c r="AF411" i="1"/>
  <c r="BB411" i="1" s="1"/>
  <c r="BX411" i="1" s="1"/>
  <c r="AF355" i="1"/>
  <c r="BB355" i="1" s="1"/>
  <c r="BX355" i="1" s="1"/>
  <c r="CT355" i="1" s="1"/>
  <c r="AJ65" i="1"/>
  <c r="BF65" i="1" s="1"/>
  <c r="CB65" i="1" s="1"/>
  <c r="CX65" i="1" s="1"/>
  <c r="AJ81" i="1"/>
  <c r="BF81" i="1" s="1"/>
  <c r="CB81" i="1" s="1"/>
  <c r="AJ67" i="1"/>
  <c r="BF67" i="1" s="1"/>
  <c r="CB67" i="1" s="1"/>
  <c r="AJ83" i="1"/>
  <c r="BF83" i="1" s="1"/>
  <c r="CB83" i="1" s="1"/>
  <c r="AJ365" i="1"/>
  <c r="BF365" i="1" s="1"/>
  <c r="CB365" i="1" s="1"/>
  <c r="AJ371" i="1"/>
  <c r="BF371" i="1" s="1"/>
  <c r="CB371" i="1" s="1"/>
  <c r="AJ411" i="1"/>
  <c r="BF411" i="1" s="1"/>
  <c r="CB411" i="1" s="1"/>
  <c r="AJ355" i="1"/>
  <c r="BF355" i="1" s="1"/>
  <c r="CB355" i="1" s="1"/>
  <c r="CX355" i="1" s="1"/>
  <c r="AA93" i="1"/>
  <c r="AW93" i="1" s="1"/>
  <c r="BS93" i="1" s="1"/>
  <c r="AX93" i="1"/>
  <c r="BT93" i="1" s="1"/>
  <c r="CP93" i="1" s="1"/>
  <c r="Z38" i="3"/>
  <c r="Z44" i="3" s="1"/>
  <c r="Y44" i="3"/>
  <c r="AD431" i="1"/>
  <c r="AZ431" i="1" s="1"/>
  <c r="AD274" i="1"/>
  <c r="AH431" i="1"/>
  <c r="BD431" i="1" s="1"/>
  <c r="BZ431" i="1" s="1"/>
  <c r="AVI431" i="1" s="1"/>
  <c r="AH274" i="1"/>
  <c r="AL431" i="1"/>
  <c r="AL274" i="1"/>
  <c r="AL457" i="1" s="1"/>
  <c r="AR186" i="1"/>
  <c r="AS186" i="1" s="1"/>
  <c r="BZ18" i="15"/>
  <c r="DU18" i="15"/>
  <c r="AD18" i="15"/>
  <c r="CT244" i="1"/>
  <c r="CD18" i="15"/>
  <c r="CB18" i="15" s="1"/>
  <c r="DY18" i="15"/>
  <c r="DW18" i="15" s="1"/>
  <c r="AH18" i="15"/>
  <c r="AF18" i="15" s="1"/>
  <c r="BM65" i="1"/>
  <c r="BN65" i="1" s="1"/>
  <c r="BM67" i="1"/>
  <c r="DY12" i="15"/>
  <c r="DW12" i="15" s="1"/>
  <c r="CD12" i="15"/>
  <c r="CB12" i="15" s="1"/>
  <c r="DG20" i="15"/>
  <c r="DE20" i="15" s="1"/>
  <c r="BL20" i="15"/>
  <c r="BJ20" i="15" s="1"/>
  <c r="L20" i="15"/>
  <c r="DC20" i="15"/>
  <c r="BH20" i="15"/>
  <c r="BZ12" i="15"/>
  <c r="DU12" i="15"/>
  <c r="AD12" i="15"/>
  <c r="L35" i="15"/>
  <c r="T138" i="12"/>
  <c r="P20" i="15"/>
  <c r="N20" i="15" s="1"/>
  <c r="P35" i="15"/>
  <c r="N35" i="15" s="1"/>
  <c r="AH12" i="15"/>
  <c r="AF12" i="15" s="1"/>
  <c r="AR26" i="1"/>
  <c r="AS26" i="1" s="1"/>
  <c r="AR124" i="1"/>
  <c r="AS124" i="1" s="1"/>
  <c r="BM61" i="1"/>
  <c r="BM81" i="1"/>
  <c r="AR83" i="1"/>
  <c r="AS83" i="1" s="1"/>
  <c r="BM18" i="1"/>
  <c r="BM169" i="1"/>
  <c r="BM149" i="1"/>
  <c r="AR46" i="1"/>
  <c r="AS46" i="1" s="1"/>
  <c r="AR159" i="1"/>
  <c r="AS159" i="1" s="1"/>
  <c r="AR40" i="1"/>
  <c r="AS40" i="1" s="1"/>
  <c r="AR104" i="1"/>
  <c r="AS104" i="1" s="1"/>
  <c r="AR167" i="1"/>
  <c r="AS167" i="1" s="1"/>
  <c r="BM38" i="1"/>
  <c r="BM118" i="1"/>
  <c r="CI118" i="1" s="1"/>
  <c r="BM116" i="1"/>
  <c r="BM175" i="1"/>
  <c r="AR16" i="1"/>
  <c r="AS16" i="1" s="1"/>
  <c r="AR48" i="1"/>
  <c r="AS48" i="1" s="1"/>
  <c r="AU116" i="1"/>
  <c r="BQ116" i="1" s="1"/>
  <c r="AU175" i="1"/>
  <c r="BQ175" i="1" s="1"/>
  <c r="AU211" i="1"/>
  <c r="BQ211" i="1" s="1"/>
  <c r="AU242" i="1"/>
  <c r="BQ242" i="1" s="1"/>
  <c r="AU331" i="1"/>
  <c r="BQ331" i="1" s="1"/>
  <c r="AU64" i="1"/>
  <c r="BQ64" i="1" s="1"/>
  <c r="AU148" i="1"/>
  <c r="BQ148" i="1" s="1"/>
  <c r="AU178" i="1"/>
  <c r="BQ178" i="1" s="1"/>
  <c r="AU239" i="1"/>
  <c r="BQ239" i="1" s="1"/>
  <c r="AU243" i="1"/>
  <c r="BQ243" i="1" s="1"/>
  <c r="AU403" i="1"/>
  <c r="BQ403" i="1" s="1"/>
  <c r="AU327" i="1"/>
  <c r="BQ327" i="1" s="1"/>
  <c r="AU329" i="1"/>
  <c r="BQ329" i="1" s="1"/>
  <c r="AU326" i="1"/>
  <c r="BQ326" i="1" s="1"/>
  <c r="AU241" i="1"/>
  <c r="BQ241" i="1" s="1"/>
  <c r="AU179" i="1"/>
  <c r="BQ179" i="1" s="1"/>
  <c r="AU181" i="1"/>
  <c r="BQ181" i="1" s="1"/>
  <c r="AU378" i="1"/>
  <c r="BQ378" i="1" s="1"/>
  <c r="AU117" i="1"/>
  <c r="BQ117" i="1" s="1"/>
  <c r="AR108" i="1"/>
  <c r="AS108" i="1" s="1"/>
  <c r="BM140" i="1"/>
  <c r="AR30" i="1"/>
  <c r="AS30" i="1" s="1"/>
  <c r="AR63" i="1"/>
  <c r="AS63" i="1" s="1"/>
  <c r="AR177" i="1"/>
  <c r="AS177" i="1" s="1"/>
  <c r="AR73" i="1"/>
  <c r="AS73" i="1" s="1"/>
  <c r="BM42" i="1"/>
  <c r="BM204" i="1"/>
  <c r="AR28" i="1"/>
  <c r="AS28" i="1" s="1"/>
  <c r="AR44" i="1"/>
  <c r="AS44" i="1" s="1"/>
  <c r="CI44" i="1"/>
  <c r="CI28" i="1"/>
  <c r="CI142" i="1"/>
  <c r="CI83" i="1"/>
  <c r="CI40" i="1"/>
  <c r="CI157" i="1"/>
  <c r="CI73" i="1"/>
  <c r="AR142" i="1"/>
  <c r="AS142" i="1" s="1"/>
  <c r="CI26" i="1"/>
  <c r="CI46" i="1"/>
  <c r="CI177" i="1"/>
  <c r="CI124" i="1"/>
  <c r="CI63" i="1"/>
  <c r="CI16" i="1"/>
  <c r="CI48" i="1"/>
  <c r="CI104" i="1"/>
  <c r="CI186" i="1"/>
  <c r="CI159" i="1"/>
  <c r="CI108" i="1"/>
  <c r="BM114" i="1"/>
  <c r="AUV114" i="1" s="1"/>
  <c r="AUW114" i="1" s="1"/>
  <c r="AUX114" i="1" s="1"/>
  <c r="BM181" i="1"/>
  <c r="AUV181" i="1" s="1"/>
  <c r="AUW181" i="1" s="1"/>
  <c r="AUX181" i="1" s="1"/>
  <c r="BM225" i="1"/>
  <c r="AUV225" i="1" s="1"/>
  <c r="AUW225" i="1" s="1"/>
  <c r="AUX225" i="1" s="1"/>
  <c r="BM263" i="1"/>
  <c r="AUV263" i="1" s="1"/>
  <c r="AUW263" i="1" s="1"/>
  <c r="AUX263" i="1" s="1"/>
  <c r="BM302" i="1"/>
  <c r="AUV302" i="1" s="1"/>
  <c r="AUW302" i="1" s="1"/>
  <c r="AUX302" i="1" s="1"/>
  <c r="BM341" i="1"/>
  <c r="BM361" i="1"/>
  <c r="AUV361" i="1" s="1"/>
  <c r="AUW361" i="1" s="1"/>
  <c r="AUX361" i="1" s="1"/>
  <c r="BM394" i="1"/>
  <c r="AUV394" i="1" s="1"/>
  <c r="AUW394" i="1" s="1"/>
  <c r="AUX394" i="1" s="1"/>
  <c r="BM27" i="1"/>
  <c r="AUV27" i="1" s="1"/>
  <c r="BM68" i="1"/>
  <c r="AUV68" i="1" s="1"/>
  <c r="AUW68" i="1" s="1"/>
  <c r="AUX68" i="1" s="1"/>
  <c r="BM107" i="1"/>
  <c r="AUV107" i="1" s="1"/>
  <c r="AUW107" i="1" s="1"/>
  <c r="AUX107" i="1" s="1"/>
  <c r="BM161" i="1"/>
  <c r="AUV161" i="1" s="1"/>
  <c r="AUW161" i="1" s="1"/>
  <c r="AUX161" i="1" s="1"/>
  <c r="BM196" i="1"/>
  <c r="AUV196" i="1" s="1"/>
  <c r="AUW196" i="1" s="1"/>
  <c r="AUX196" i="1" s="1"/>
  <c r="BM226" i="1"/>
  <c r="AUV226" i="1" s="1"/>
  <c r="AUW226" i="1" s="1"/>
  <c r="AUX226" i="1" s="1"/>
  <c r="BM276" i="1"/>
  <c r="AUV276" i="1" s="1"/>
  <c r="AUW276" i="1" s="1"/>
  <c r="AUX276" i="1" s="1"/>
  <c r="BM326" i="1"/>
  <c r="AUV326" i="1" s="1"/>
  <c r="AUW326" i="1" s="1"/>
  <c r="AUX326" i="1" s="1"/>
  <c r="BM360" i="1"/>
  <c r="AUV360" i="1" s="1"/>
  <c r="AUW360" i="1" s="1"/>
  <c r="AUX360" i="1" s="1"/>
  <c r="BM236" i="1"/>
  <c r="AUV236" i="1" s="1"/>
  <c r="AUW236" i="1" s="1"/>
  <c r="AUX236" i="1" s="1"/>
  <c r="BM261" i="1"/>
  <c r="AUV261" i="1" s="1"/>
  <c r="AUW261" i="1" s="1"/>
  <c r="AUX261" i="1" s="1"/>
  <c r="BM304" i="1"/>
  <c r="AUV304" i="1" s="1"/>
  <c r="AUW304" i="1" s="1"/>
  <c r="AUX304" i="1" s="1"/>
  <c r="BM365" i="1"/>
  <c r="AUV365" i="1" s="1"/>
  <c r="AUW365" i="1" s="1"/>
  <c r="AUX365" i="1" s="1"/>
  <c r="BM25" i="1"/>
  <c r="AUV25" i="1" s="1"/>
  <c r="AUW25" i="1" s="1"/>
  <c r="AUX25" i="1" s="1"/>
  <c r="BM70" i="1"/>
  <c r="AUV70" i="1" s="1"/>
  <c r="AUW70" i="1" s="1"/>
  <c r="AUX70" i="1" s="1"/>
  <c r="BM105" i="1"/>
  <c r="AUV105" i="1" s="1"/>
  <c r="AUW105" i="1" s="1"/>
  <c r="AUX105" i="1" s="1"/>
  <c r="BM141" i="1"/>
  <c r="BM176" i="1"/>
  <c r="AUV176" i="1" s="1"/>
  <c r="AUW176" i="1" s="1"/>
  <c r="AUX176" i="1" s="1"/>
  <c r="BM199" i="1"/>
  <c r="AUV199" i="1" s="1"/>
  <c r="AUW199" i="1" s="1"/>
  <c r="AUX199" i="1" s="1"/>
  <c r="BM245" i="1"/>
  <c r="BM266" i="1"/>
  <c r="AUV266" i="1" s="1"/>
  <c r="AUW266" i="1" s="1"/>
  <c r="AUX266" i="1" s="1"/>
  <c r="BM328" i="1"/>
  <c r="AUV328" i="1" s="1"/>
  <c r="AUW328" i="1" s="1"/>
  <c r="AUX328" i="1" s="1"/>
  <c r="BM362" i="1"/>
  <c r="AUV362" i="1" s="1"/>
  <c r="AUW362" i="1" s="1"/>
  <c r="AUX362" i="1" s="1"/>
  <c r="BM411" i="1"/>
  <c r="AUV411" i="1" s="1"/>
  <c r="AUW411" i="1" s="1"/>
  <c r="AUX411" i="1" s="1"/>
  <c r="AR71" i="1"/>
  <c r="AS71" i="1" s="1"/>
  <c r="AR91" i="1"/>
  <c r="AS91" i="1" s="1"/>
  <c r="BM147" i="1"/>
  <c r="AUV147" i="1" s="1"/>
  <c r="AUW147" i="1" s="1"/>
  <c r="AUX147" i="1" s="1"/>
  <c r="BM402" i="1"/>
  <c r="AUV402" i="1" s="1"/>
  <c r="AUW402" i="1" s="1"/>
  <c r="AUX402" i="1" s="1"/>
  <c r="BM410" i="1"/>
  <c r="AUV410" i="1" s="1"/>
  <c r="AUW410" i="1" s="1"/>
  <c r="AUX410" i="1" s="1"/>
  <c r="BM414" i="1"/>
  <c r="AUV414" i="1" s="1"/>
  <c r="AUW414" i="1" s="1"/>
  <c r="AUX414" i="1" s="1"/>
  <c r="BM128" i="1"/>
  <c r="AUV128" i="1" s="1"/>
  <c r="AUW128" i="1" s="1"/>
  <c r="AUX128" i="1" s="1"/>
  <c r="AR157" i="1"/>
  <c r="AS157" i="1" s="1"/>
  <c r="BM171" i="1"/>
  <c r="AUV171" i="1" s="1"/>
  <c r="AUW171" i="1" s="1"/>
  <c r="AUX171" i="1" s="1"/>
  <c r="BM197" i="1"/>
  <c r="AUV197" i="1" s="1"/>
  <c r="AUW197" i="1" s="1"/>
  <c r="AUX197" i="1" s="1"/>
  <c r="BM211" i="1"/>
  <c r="AUV211" i="1" s="1"/>
  <c r="AUW211" i="1" s="1"/>
  <c r="AUX211" i="1" s="1"/>
  <c r="BM223" i="1"/>
  <c r="AUV223" i="1" s="1"/>
  <c r="AUW223" i="1" s="1"/>
  <c r="AUX223" i="1" s="1"/>
  <c r="BM399" i="1"/>
  <c r="AUV399" i="1" s="1"/>
  <c r="AUW399" i="1" s="1"/>
  <c r="AUX399" i="1" s="1"/>
  <c r="BM14" i="1"/>
  <c r="BM126" i="1"/>
  <c r="BM184" i="1"/>
  <c r="BM71" i="1"/>
  <c r="AUV71" i="1" s="1"/>
  <c r="BM409" i="1"/>
  <c r="AUV409" i="1" s="1"/>
  <c r="AUW409" i="1" s="1"/>
  <c r="AUX409" i="1" s="1"/>
  <c r="BM213" i="1"/>
  <c r="AUV213" i="1" s="1"/>
  <c r="AUW213" i="1" s="1"/>
  <c r="AUX213" i="1" s="1"/>
  <c r="BM251" i="1"/>
  <c r="AUV251" i="1" s="1"/>
  <c r="AUW251" i="1" s="1"/>
  <c r="AUX251" i="1" s="1"/>
  <c r="BM333" i="1"/>
  <c r="BM377" i="1"/>
  <c r="AUV377" i="1" s="1"/>
  <c r="AUW377" i="1" s="1"/>
  <c r="AUX377" i="1" s="1"/>
  <c r="BM335" i="1"/>
  <c r="BM39" i="1"/>
  <c r="AUV39" i="1" s="1"/>
  <c r="BM80" i="1"/>
  <c r="AUV80" i="1" s="1"/>
  <c r="AUW80" i="1" s="1"/>
  <c r="AUX80" i="1" s="1"/>
  <c r="BM127" i="1"/>
  <c r="AUV127" i="1" s="1"/>
  <c r="BM170" i="1"/>
  <c r="BM210" i="1"/>
  <c r="AUV210" i="1" s="1"/>
  <c r="AUW210" i="1" s="1"/>
  <c r="AUX210" i="1" s="1"/>
  <c r="BM252" i="1"/>
  <c r="AUV252" i="1" s="1"/>
  <c r="AUW252" i="1" s="1"/>
  <c r="AUX252" i="1" s="1"/>
  <c r="BM264" i="1"/>
  <c r="AUV264" i="1" s="1"/>
  <c r="AUW264" i="1" s="1"/>
  <c r="AUX264" i="1" s="1"/>
  <c r="BM314" i="1"/>
  <c r="AUV314" i="1" s="1"/>
  <c r="AUW314" i="1" s="1"/>
  <c r="AUX314" i="1" s="1"/>
  <c r="BM342" i="1"/>
  <c r="BM395" i="1"/>
  <c r="AUV395" i="1" s="1"/>
  <c r="AUW395" i="1" s="1"/>
  <c r="AUX395" i="1" s="1"/>
  <c r="BM253" i="1"/>
  <c r="AUV253" i="1" s="1"/>
  <c r="AUW253" i="1" s="1"/>
  <c r="AUX253" i="1" s="1"/>
  <c r="BM277" i="1"/>
  <c r="AUV277" i="1" s="1"/>
  <c r="AUW277" i="1" s="1"/>
  <c r="AUX277" i="1" s="1"/>
  <c r="BM339" i="1"/>
  <c r="AUV339" i="1" s="1"/>
  <c r="AUW339" i="1" s="1"/>
  <c r="AUX339" i="1" s="1"/>
  <c r="BM85" i="1"/>
  <c r="AUV85" i="1" s="1"/>
  <c r="AUW85" i="1" s="1"/>
  <c r="AUX85" i="1" s="1"/>
  <c r="BM17" i="1"/>
  <c r="AUV17" i="1" s="1"/>
  <c r="AUW17" i="1" s="1"/>
  <c r="AUX17" i="1" s="1"/>
  <c r="BM90" i="1"/>
  <c r="AUV90" i="1" s="1"/>
  <c r="AUW90" i="1" s="1"/>
  <c r="AUX90" i="1" s="1"/>
  <c r="BM125" i="1"/>
  <c r="AUV125" i="1" s="1"/>
  <c r="AUW125" i="1" s="1"/>
  <c r="AUX125" i="1" s="1"/>
  <c r="BM212" i="1"/>
  <c r="AUV212" i="1" s="1"/>
  <c r="AUW212" i="1" s="1"/>
  <c r="AUX212" i="1" s="1"/>
  <c r="BM305" i="1"/>
  <c r="AUV305" i="1" s="1"/>
  <c r="AUW305" i="1" s="1"/>
  <c r="AUX305" i="1" s="1"/>
  <c r="BM352" i="1"/>
  <c r="AUV352" i="1" s="1"/>
  <c r="AUW352" i="1" s="1"/>
  <c r="AUX352" i="1" s="1"/>
  <c r="BM415" i="1"/>
  <c r="BM106" i="1"/>
  <c r="AUV106" i="1" s="1"/>
  <c r="AUW106" i="1" s="1"/>
  <c r="AUX106" i="1" s="1"/>
  <c r="BM138" i="1"/>
  <c r="AUV138" i="1" s="1"/>
  <c r="AUW138" i="1" s="1"/>
  <c r="AUX138" i="1" s="1"/>
  <c r="BM209" i="1"/>
  <c r="AUV209" i="1" s="1"/>
  <c r="AUW209" i="1" s="1"/>
  <c r="AUX209" i="1" s="1"/>
  <c r="BM238" i="1"/>
  <c r="AUV238" i="1" s="1"/>
  <c r="AUW238" i="1" s="1"/>
  <c r="AUX238" i="1" s="1"/>
  <c r="BM259" i="1"/>
  <c r="AUV259" i="1" s="1"/>
  <c r="AUW259" i="1" s="1"/>
  <c r="AUX259" i="1" s="1"/>
  <c r="BM275" i="1"/>
  <c r="AUV275" i="1" s="1"/>
  <c r="AUW275" i="1" s="1"/>
  <c r="AUX275" i="1" s="1"/>
  <c r="BM313" i="1"/>
  <c r="AUV313" i="1" s="1"/>
  <c r="AUW313" i="1" s="1"/>
  <c r="AUX313" i="1" s="1"/>
  <c r="BM355" i="1"/>
  <c r="BM351" i="1"/>
  <c r="AUV351" i="1" s="1"/>
  <c r="AUW351" i="1" s="1"/>
  <c r="AUX351" i="1" s="1"/>
  <c r="BM64" i="1"/>
  <c r="AUV64" i="1" s="1"/>
  <c r="AUW64" i="1" s="1"/>
  <c r="AUX64" i="1" s="1"/>
  <c r="BM84" i="1"/>
  <c r="AUV84" i="1" s="1"/>
  <c r="AUW84" i="1" s="1"/>
  <c r="AUX84" i="1" s="1"/>
  <c r="BM115" i="1"/>
  <c r="AUV115" i="1" s="1"/>
  <c r="AUW115" i="1" s="1"/>
  <c r="AUX115" i="1" s="1"/>
  <c r="BM148" i="1"/>
  <c r="AUV148" i="1" s="1"/>
  <c r="AUW148" i="1" s="1"/>
  <c r="AUX148" i="1" s="1"/>
  <c r="BM178" i="1"/>
  <c r="AUV178" i="1" s="1"/>
  <c r="AUW178" i="1" s="1"/>
  <c r="AUX178" i="1" s="1"/>
  <c r="BM201" i="1"/>
  <c r="BM239" i="1"/>
  <c r="AUV239" i="1" s="1"/>
  <c r="AUW239" i="1" s="1"/>
  <c r="AUX239" i="1" s="1"/>
  <c r="BM260" i="1"/>
  <c r="AUV260" i="1" s="1"/>
  <c r="AUW260" i="1" s="1"/>
  <c r="AUX260" i="1" s="1"/>
  <c r="BM282" i="1"/>
  <c r="AUV282" i="1" s="1"/>
  <c r="AUW282" i="1" s="1"/>
  <c r="AUX282" i="1" s="1"/>
  <c r="BM318" i="1"/>
  <c r="AUV318" i="1" s="1"/>
  <c r="AUW318" i="1" s="1"/>
  <c r="AUX318" i="1" s="1"/>
  <c r="BM338" i="1"/>
  <c r="AUV338" i="1" s="1"/>
  <c r="AUW338" i="1" s="1"/>
  <c r="AUX338" i="1" s="1"/>
  <c r="BM364" i="1"/>
  <c r="AUV364" i="1" s="1"/>
  <c r="AUW364" i="1" s="1"/>
  <c r="AUX364" i="1" s="1"/>
  <c r="BM227" i="1"/>
  <c r="AUV227" i="1" s="1"/>
  <c r="AUW227" i="1" s="1"/>
  <c r="AUX227" i="1" s="1"/>
  <c r="BM249" i="1"/>
  <c r="AUV249" i="1" s="1"/>
  <c r="AUW249" i="1" s="1"/>
  <c r="AUX249" i="1" s="1"/>
  <c r="BM265" i="1"/>
  <c r="AUV265" i="1" s="1"/>
  <c r="AUW265" i="1" s="1"/>
  <c r="AUX265" i="1" s="1"/>
  <c r="BM300" i="1"/>
  <c r="AUV300" i="1" s="1"/>
  <c r="AUW300" i="1" s="1"/>
  <c r="AUX300" i="1" s="1"/>
  <c r="BM357" i="1"/>
  <c r="AUV357" i="1" s="1"/>
  <c r="AUW357" i="1" s="1"/>
  <c r="AUX357" i="1" s="1"/>
  <c r="BM162" i="1"/>
  <c r="AUV162" i="1" s="1"/>
  <c r="AUW162" i="1" s="1"/>
  <c r="AUX162" i="1" s="1"/>
  <c r="BM21" i="1"/>
  <c r="AUV21" i="1" s="1"/>
  <c r="AUW21" i="1" s="1"/>
  <c r="AUX21" i="1" s="1"/>
  <c r="BM45" i="1"/>
  <c r="AUV45" i="1" s="1"/>
  <c r="AUW45" i="1" s="1"/>
  <c r="AUX45" i="1" s="1"/>
  <c r="BM74" i="1"/>
  <c r="AUV74" i="1" s="1"/>
  <c r="AUW74" i="1" s="1"/>
  <c r="AUX74" i="1" s="1"/>
  <c r="BM94" i="1"/>
  <c r="BM168" i="1"/>
  <c r="AUV168" i="1" s="1"/>
  <c r="AUW168" i="1" s="1"/>
  <c r="AUX168" i="1" s="1"/>
  <c r="BM190" i="1"/>
  <c r="AUV190" i="1" s="1"/>
  <c r="AUW190" i="1" s="1"/>
  <c r="AUX190" i="1" s="1"/>
  <c r="BM241" i="1"/>
  <c r="AUV241" i="1" s="1"/>
  <c r="AUW241" i="1" s="1"/>
  <c r="AUX241" i="1" s="1"/>
  <c r="BM262" i="1"/>
  <c r="AUV262" i="1" s="1"/>
  <c r="AUW262" i="1" s="1"/>
  <c r="AUX262" i="1" s="1"/>
  <c r="BM332" i="1"/>
  <c r="AUV332" i="1" s="1"/>
  <c r="AUW332" i="1" s="1"/>
  <c r="AUX332" i="1" s="1"/>
  <c r="BM340" i="1"/>
  <c r="AUV340" i="1" s="1"/>
  <c r="AUW340" i="1" s="1"/>
  <c r="AUX340" i="1" s="1"/>
  <c r="BM376" i="1"/>
  <c r="AUV376" i="1" s="1"/>
  <c r="AUW376" i="1" s="1"/>
  <c r="AUX376" i="1" s="1"/>
  <c r="BM397" i="1"/>
  <c r="AUV397" i="1" s="1"/>
  <c r="AUW397" i="1" s="1"/>
  <c r="AUX397" i="1" s="1"/>
  <c r="BM379" i="1"/>
  <c r="AUV379" i="1" s="1"/>
  <c r="AUW379" i="1" s="1"/>
  <c r="AUX379" i="1" s="1"/>
  <c r="BM130" i="1"/>
  <c r="AUV130" i="1" s="1"/>
  <c r="AUW130" i="1" s="1"/>
  <c r="AUX130" i="1" s="1"/>
  <c r="BM242" i="1"/>
  <c r="AUV242" i="1" s="1"/>
  <c r="AUW242" i="1" s="1"/>
  <c r="AUX242" i="1" s="1"/>
  <c r="BM271" i="1"/>
  <c r="AUV271" i="1" s="1"/>
  <c r="AUW271" i="1" s="1"/>
  <c r="AUX271" i="1" s="1"/>
  <c r="BM317" i="1"/>
  <c r="AUV317" i="1" s="1"/>
  <c r="AUW317" i="1" s="1"/>
  <c r="AUX317" i="1" s="1"/>
  <c r="BM359" i="1"/>
  <c r="AUV359" i="1" s="1"/>
  <c r="AUW359" i="1" s="1"/>
  <c r="AUX359" i="1" s="1"/>
  <c r="BM15" i="1"/>
  <c r="AUV15" i="1" s="1"/>
  <c r="BM88" i="1"/>
  <c r="BM143" i="1"/>
  <c r="AUV143" i="1" s="1"/>
  <c r="AUW143" i="1" s="1"/>
  <c r="AUX143" i="1" s="1"/>
  <c r="BM183" i="1"/>
  <c r="AUV183" i="1" s="1"/>
  <c r="AUW183" i="1" s="1"/>
  <c r="AUX183" i="1" s="1"/>
  <c r="BM243" i="1"/>
  <c r="AUV243" i="1" s="1"/>
  <c r="AUW243" i="1" s="1"/>
  <c r="AUX243" i="1" s="1"/>
  <c r="BM299" i="1"/>
  <c r="AUV299" i="1" s="1"/>
  <c r="AUW299" i="1" s="1"/>
  <c r="AUX299" i="1" s="1"/>
  <c r="BM334" i="1"/>
  <c r="BM374" i="1"/>
  <c r="AUV374" i="1" s="1"/>
  <c r="AUW374" i="1" s="1"/>
  <c r="AUX374" i="1" s="1"/>
  <c r="BM244" i="1"/>
  <c r="AUV244" i="1" s="1"/>
  <c r="AUW244" i="1" s="1"/>
  <c r="AUX244" i="1" s="1"/>
  <c r="BM269" i="1"/>
  <c r="AUV269" i="1" s="1"/>
  <c r="AUW269" i="1" s="1"/>
  <c r="AUX269" i="1" s="1"/>
  <c r="BM327" i="1"/>
  <c r="AUV327" i="1" s="1"/>
  <c r="AUW327" i="1" s="1"/>
  <c r="AUX327" i="1" s="1"/>
  <c r="BM179" i="1"/>
  <c r="AUV179" i="1" s="1"/>
  <c r="AUW179" i="1" s="1"/>
  <c r="AUX179" i="1" s="1"/>
  <c r="BM41" i="1"/>
  <c r="AUV41" i="1" s="1"/>
  <c r="AUW41" i="1" s="1"/>
  <c r="AUX41" i="1" s="1"/>
  <c r="BM82" i="1"/>
  <c r="AUV82" i="1" s="1"/>
  <c r="AUW82" i="1" s="1"/>
  <c r="AUX82" i="1" s="1"/>
  <c r="BM163" i="1"/>
  <c r="AUV163" i="1" s="1"/>
  <c r="AUW163" i="1" s="1"/>
  <c r="AUX163" i="1" s="1"/>
  <c r="BM224" i="1"/>
  <c r="AUV224" i="1" s="1"/>
  <c r="AUW224" i="1" s="1"/>
  <c r="AUX224" i="1" s="1"/>
  <c r="BM258" i="1"/>
  <c r="AUV258" i="1" s="1"/>
  <c r="AUW258" i="1" s="1"/>
  <c r="AUX258" i="1" s="1"/>
  <c r="BM297" i="1"/>
  <c r="AUV297" i="1" s="1"/>
  <c r="AUW297" i="1" s="1"/>
  <c r="AUX297" i="1" s="1"/>
  <c r="BM336" i="1"/>
  <c r="AUV336" i="1" s="1"/>
  <c r="AUW336" i="1" s="1"/>
  <c r="AUX336" i="1" s="1"/>
  <c r="BM221" i="1"/>
  <c r="AUV221" i="1" s="1"/>
  <c r="AUW221" i="1" s="1"/>
  <c r="AUX221" i="1" s="1"/>
  <c r="BM247" i="1"/>
  <c r="AUV247" i="1" s="1"/>
  <c r="AUW247" i="1" s="1"/>
  <c r="AUX247" i="1" s="1"/>
  <c r="BM267" i="1"/>
  <c r="BM298" i="1"/>
  <c r="AUV298" i="1" s="1"/>
  <c r="AUW298" i="1" s="1"/>
  <c r="AUX298" i="1" s="1"/>
  <c r="BM329" i="1"/>
  <c r="AUV329" i="1" s="1"/>
  <c r="AUW329" i="1" s="1"/>
  <c r="AUX329" i="1" s="1"/>
  <c r="BM337" i="1"/>
  <c r="AUV337" i="1" s="1"/>
  <c r="AUW337" i="1" s="1"/>
  <c r="AUX337" i="1" s="1"/>
  <c r="BM363" i="1"/>
  <c r="AUV363" i="1" s="1"/>
  <c r="AUW363" i="1" s="1"/>
  <c r="AUX363" i="1" s="1"/>
  <c r="BM296" i="1"/>
  <c r="AUV296" i="1" s="1"/>
  <c r="AUW296" i="1" s="1"/>
  <c r="AUX296" i="1" s="1"/>
  <c r="BM43" i="1"/>
  <c r="AUV43" i="1" s="1"/>
  <c r="BM72" i="1"/>
  <c r="BM92" i="1"/>
  <c r="AUV92" i="1" s="1"/>
  <c r="AUW92" i="1" s="1"/>
  <c r="AUX92" i="1" s="1"/>
  <c r="BM139" i="1"/>
  <c r="AUV139" i="1" s="1"/>
  <c r="AUW139" i="1" s="1"/>
  <c r="AUX139" i="1" s="1"/>
  <c r="BM166" i="1"/>
  <c r="AUV166" i="1" s="1"/>
  <c r="AUW166" i="1" s="1"/>
  <c r="AUX166" i="1" s="1"/>
  <c r="BM187" i="1"/>
  <c r="AUV187" i="1" s="1"/>
  <c r="BM222" i="1"/>
  <c r="AUV222" i="1" s="1"/>
  <c r="AUW222" i="1" s="1"/>
  <c r="AUX222" i="1" s="1"/>
  <c r="BM248" i="1"/>
  <c r="AUV248" i="1" s="1"/>
  <c r="AUW248" i="1" s="1"/>
  <c r="AUX248" i="1" s="1"/>
  <c r="BM268" i="1"/>
  <c r="AUV268" i="1" s="1"/>
  <c r="AUW268" i="1" s="1"/>
  <c r="AUX268" i="1" s="1"/>
  <c r="BM303" i="1"/>
  <c r="BM330" i="1"/>
  <c r="AUV330" i="1" s="1"/>
  <c r="AUW330" i="1" s="1"/>
  <c r="AUX330" i="1" s="1"/>
  <c r="BM356" i="1"/>
  <c r="AUV356" i="1" s="1"/>
  <c r="AUW356" i="1" s="1"/>
  <c r="AUX356" i="1" s="1"/>
  <c r="BM378" i="1"/>
  <c r="BM240" i="1"/>
  <c r="AUV240" i="1" s="1"/>
  <c r="AUW240" i="1" s="1"/>
  <c r="AUX240" i="1" s="1"/>
  <c r="BM257" i="1"/>
  <c r="AUV257" i="1" s="1"/>
  <c r="AUW257" i="1" s="1"/>
  <c r="AUX257" i="1" s="1"/>
  <c r="BM273" i="1"/>
  <c r="AUV273" i="1" s="1"/>
  <c r="AUW273" i="1" s="1"/>
  <c r="AUX273" i="1" s="1"/>
  <c r="BM315" i="1"/>
  <c r="AUV315" i="1" s="1"/>
  <c r="AUW315" i="1" s="1"/>
  <c r="AUX315" i="1" s="1"/>
  <c r="BM331" i="1"/>
  <c r="AUV331" i="1" s="1"/>
  <c r="AUW331" i="1" s="1"/>
  <c r="AUX331" i="1" s="1"/>
  <c r="BM375" i="1"/>
  <c r="BM13" i="1"/>
  <c r="AUV13" i="1" s="1"/>
  <c r="AUW13" i="1" s="1"/>
  <c r="AUX13" i="1" s="1"/>
  <c r="BM29" i="1"/>
  <c r="AUV29" i="1" s="1"/>
  <c r="AUW29" i="1" s="1"/>
  <c r="AUX29" i="1" s="1"/>
  <c r="BM66" i="1"/>
  <c r="AUV66" i="1" s="1"/>
  <c r="AUW66" i="1" s="1"/>
  <c r="AUX66" i="1" s="1"/>
  <c r="BM86" i="1"/>
  <c r="AUV86" i="1" s="1"/>
  <c r="AUW86" i="1" s="1"/>
  <c r="AUX86" i="1" s="1"/>
  <c r="BM109" i="1"/>
  <c r="AUV109" i="1" s="1"/>
  <c r="AUW109" i="1" s="1"/>
  <c r="AUX109" i="1" s="1"/>
  <c r="BM117" i="1"/>
  <c r="AUV117" i="1" s="1"/>
  <c r="AUW117" i="1" s="1"/>
  <c r="AUX117" i="1" s="1"/>
  <c r="BM158" i="1"/>
  <c r="AUV158" i="1" s="1"/>
  <c r="AUW158" i="1" s="1"/>
  <c r="AUX158" i="1" s="1"/>
  <c r="BM180" i="1"/>
  <c r="AUV180" i="1" s="1"/>
  <c r="AUW180" i="1" s="1"/>
  <c r="AUX180" i="1" s="1"/>
  <c r="BM203" i="1"/>
  <c r="AUV203" i="1" s="1"/>
  <c r="AUW203" i="1" s="1"/>
  <c r="AUX203" i="1" s="1"/>
  <c r="BM250" i="1"/>
  <c r="AUV250" i="1" s="1"/>
  <c r="AUW250" i="1" s="1"/>
  <c r="AUX250" i="1" s="1"/>
  <c r="BM270" i="1"/>
  <c r="AUV270" i="1" s="1"/>
  <c r="AUW270" i="1" s="1"/>
  <c r="AUX270" i="1" s="1"/>
  <c r="BM280" i="1"/>
  <c r="AUV280" i="1" s="1"/>
  <c r="AUW280" i="1" s="1"/>
  <c r="AUX280" i="1" s="1"/>
  <c r="BM316" i="1"/>
  <c r="AUV316" i="1" s="1"/>
  <c r="AUW316" i="1" s="1"/>
  <c r="AUX316" i="1" s="1"/>
  <c r="BM358" i="1"/>
  <c r="AUV358" i="1" s="1"/>
  <c r="AUW358" i="1" s="1"/>
  <c r="AUX358" i="1" s="1"/>
  <c r="BM403" i="1"/>
  <c r="AUV403" i="1" s="1"/>
  <c r="AUW403" i="1" s="1"/>
  <c r="AUX403" i="1" s="1"/>
  <c r="BM87" i="1"/>
  <c r="AUV87" i="1" s="1"/>
  <c r="AUW87" i="1" s="1"/>
  <c r="AUX87" i="1" s="1"/>
  <c r="AR126" i="1"/>
  <c r="AS126" i="1" s="1"/>
  <c r="BM200" i="1"/>
  <c r="AUV200" i="1" s="1"/>
  <c r="AUW200" i="1" s="1"/>
  <c r="AUX200" i="1" s="1"/>
  <c r="BM404" i="1"/>
  <c r="BM412" i="1"/>
  <c r="AUV412" i="1" s="1"/>
  <c r="AUW412" i="1" s="1"/>
  <c r="AUX412" i="1" s="1"/>
  <c r="AR20" i="1"/>
  <c r="AS20" i="1" s="1"/>
  <c r="BM188" i="1"/>
  <c r="AUV188" i="1" s="1"/>
  <c r="AUW188" i="1" s="1"/>
  <c r="AUX188" i="1" s="1"/>
  <c r="BM202" i="1"/>
  <c r="AUV202" i="1" s="1"/>
  <c r="AUW202" i="1" s="1"/>
  <c r="AUX202" i="1" s="1"/>
  <c r="BM219" i="1"/>
  <c r="BM396" i="1"/>
  <c r="AUV396" i="1" s="1"/>
  <c r="AUW396" i="1" s="1"/>
  <c r="AUX396" i="1" s="1"/>
  <c r="BM91" i="1"/>
  <c r="BM20" i="1"/>
  <c r="BM89" i="1"/>
  <c r="M29" i="3"/>
  <c r="AB29" i="3" s="1"/>
  <c r="M32" i="3"/>
  <c r="AB32" i="3" s="1"/>
  <c r="M33" i="3"/>
  <c r="AB33" i="3" s="1"/>
  <c r="M31" i="3"/>
  <c r="AB31" i="3" s="1"/>
  <c r="M30" i="3"/>
  <c r="AB30" i="3" s="1"/>
  <c r="K36" i="3"/>
  <c r="K7" i="3"/>
  <c r="K38" i="3"/>
  <c r="M41" i="3"/>
  <c r="AB41" i="3" s="1"/>
  <c r="M40" i="3"/>
  <c r="AB40" i="3" s="1"/>
  <c r="K18" i="3"/>
  <c r="M20" i="3"/>
  <c r="AB20" i="3" s="1"/>
  <c r="AY75" i="1"/>
  <c r="BU75" i="1" s="1"/>
  <c r="AVD75" i="1" s="1"/>
  <c r="AY95" i="1"/>
  <c r="BU95" i="1" s="1"/>
  <c r="AVD95" i="1" s="1"/>
  <c r="AY151" i="1"/>
  <c r="BU151" i="1" s="1"/>
  <c r="AY283" i="1"/>
  <c r="BU283" i="1" s="1"/>
  <c r="AVD283" i="1" s="1"/>
  <c r="AY343" i="1"/>
  <c r="BU343" i="1" s="1"/>
  <c r="AY345" i="1"/>
  <c r="BU345" i="1" s="1"/>
  <c r="AY152" i="1"/>
  <c r="BU152" i="1" s="1"/>
  <c r="AY284" i="1"/>
  <c r="BU284" i="1" s="1"/>
  <c r="AY289" i="1"/>
  <c r="BU289" i="1" s="1"/>
  <c r="AY387" i="1"/>
  <c r="BU387" i="1" s="1"/>
  <c r="AVD387" i="1" s="1"/>
  <c r="AY405" i="1"/>
  <c r="BU405" i="1" s="1"/>
  <c r="AVD405" i="1" s="1"/>
  <c r="BC152" i="1"/>
  <c r="BY152" i="1" s="1"/>
  <c r="BC284" i="1"/>
  <c r="BY284" i="1" s="1"/>
  <c r="BC289" i="1"/>
  <c r="BY289" i="1" s="1"/>
  <c r="BC387" i="1"/>
  <c r="BY387" i="1" s="1"/>
  <c r="AVH387" i="1" s="1"/>
  <c r="BC75" i="1"/>
  <c r="BY75" i="1" s="1"/>
  <c r="AVH75" i="1" s="1"/>
  <c r="BC95" i="1"/>
  <c r="BY95" i="1" s="1"/>
  <c r="AVH95" i="1" s="1"/>
  <c r="BC151" i="1"/>
  <c r="BY151" i="1" s="1"/>
  <c r="BC283" i="1"/>
  <c r="BY283" i="1" s="1"/>
  <c r="AVH283" i="1" s="1"/>
  <c r="BC343" i="1"/>
  <c r="BY343" i="1" s="1"/>
  <c r="BC345" i="1"/>
  <c r="BY345" i="1" s="1"/>
  <c r="BC405" i="1"/>
  <c r="BY405" i="1" s="1"/>
  <c r="AVH405" i="1" s="1"/>
  <c r="BG152" i="1"/>
  <c r="CC152" i="1" s="1"/>
  <c r="BG284" i="1"/>
  <c r="CC284" i="1" s="1"/>
  <c r="BG289" i="1"/>
  <c r="CC289" i="1" s="1"/>
  <c r="BG387" i="1"/>
  <c r="CC387" i="1" s="1"/>
  <c r="AVL387" i="1" s="1"/>
  <c r="BG75" i="1"/>
  <c r="CC75" i="1" s="1"/>
  <c r="AVL75" i="1" s="1"/>
  <c r="BG95" i="1"/>
  <c r="CC95" i="1" s="1"/>
  <c r="AVL95" i="1" s="1"/>
  <c r="BG151" i="1"/>
  <c r="CC151" i="1" s="1"/>
  <c r="BG283" i="1"/>
  <c r="CC283" i="1" s="1"/>
  <c r="AVL283" i="1" s="1"/>
  <c r="BG343" i="1"/>
  <c r="CC343" i="1" s="1"/>
  <c r="BG345" i="1"/>
  <c r="CC345" i="1" s="1"/>
  <c r="BG405" i="1"/>
  <c r="CC405" i="1" s="1"/>
  <c r="AVL405" i="1" s="1"/>
  <c r="BA346" i="1"/>
  <c r="BW346" i="1" s="1"/>
  <c r="BE346" i="1"/>
  <c r="CA346" i="1" s="1"/>
  <c r="BA11" i="1"/>
  <c r="BW11" i="1" s="1"/>
  <c r="BA37" i="1"/>
  <c r="BW37" i="1" s="1"/>
  <c r="BA76" i="1"/>
  <c r="BW76" i="1" s="1"/>
  <c r="CS76" i="1" s="1"/>
  <c r="BA78" i="1"/>
  <c r="BW78" i="1" s="1"/>
  <c r="CS78" i="1" s="1"/>
  <c r="BA97" i="1"/>
  <c r="BW97" i="1" s="1"/>
  <c r="BA101" i="1"/>
  <c r="BW101" i="1" s="1"/>
  <c r="BA103" i="1"/>
  <c r="BW103" i="1" s="1"/>
  <c r="BA119" i="1"/>
  <c r="BW119" i="1" s="1"/>
  <c r="AVF119" i="1" s="1"/>
  <c r="BA121" i="1"/>
  <c r="BW121" i="1" s="1"/>
  <c r="BA123" i="1"/>
  <c r="BA131" i="1"/>
  <c r="BW131" i="1" s="1"/>
  <c r="BA133" i="1"/>
  <c r="BW133" i="1" s="1"/>
  <c r="BA135" i="1"/>
  <c r="BW135" i="1" s="1"/>
  <c r="BA137" i="1"/>
  <c r="BW137" i="1" s="1"/>
  <c r="BA150" i="1"/>
  <c r="BW150" i="1" s="1"/>
  <c r="AVF150" i="1" s="1"/>
  <c r="BA154" i="1"/>
  <c r="BW154" i="1" s="1"/>
  <c r="BA156" i="1"/>
  <c r="BW156" i="1" s="1"/>
  <c r="BA192" i="1"/>
  <c r="BW192" i="1" s="1"/>
  <c r="BA194" i="1"/>
  <c r="BW194" i="1" s="1"/>
  <c r="BA214" i="1"/>
  <c r="BW214" i="1" s="1"/>
  <c r="AVF214" i="1" s="1"/>
  <c r="BA216" i="1"/>
  <c r="BW216" i="1" s="1"/>
  <c r="BA218" i="1"/>
  <c r="BW218" i="1" s="1"/>
  <c r="BA254" i="1"/>
  <c r="BW254" i="1" s="1"/>
  <c r="AVF254" i="1" s="1"/>
  <c r="BA256" i="1"/>
  <c r="BW256" i="1" s="1"/>
  <c r="BA287" i="1"/>
  <c r="BW287" i="1" s="1"/>
  <c r="BA291" i="1"/>
  <c r="BW291" i="1" s="1"/>
  <c r="BA293" i="1"/>
  <c r="BW293" i="1" s="1"/>
  <c r="BA295" i="1"/>
  <c r="BW295" i="1" s="1"/>
  <c r="BA344" i="1"/>
  <c r="BW344" i="1" s="1"/>
  <c r="BA348" i="1"/>
  <c r="BW348" i="1" s="1"/>
  <c r="BA391" i="1"/>
  <c r="BW391" i="1" s="1"/>
  <c r="BA407" i="1"/>
  <c r="BW407" i="1" s="1"/>
  <c r="BA9" i="1"/>
  <c r="BW9" i="1" s="1"/>
  <c r="BA12" i="1"/>
  <c r="BW12" i="1" s="1"/>
  <c r="BA34" i="1"/>
  <c r="BW34" i="1" s="1"/>
  <c r="BA36" i="1"/>
  <c r="BW36" i="1" s="1"/>
  <c r="BA77" i="1"/>
  <c r="BW77" i="1" s="1"/>
  <c r="BA79" i="1"/>
  <c r="BW79" i="1" s="1"/>
  <c r="BA102" i="1"/>
  <c r="BW102" i="1" s="1"/>
  <c r="BA120" i="1"/>
  <c r="BW120" i="1" s="1"/>
  <c r="BA122" i="1"/>
  <c r="BW122" i="1" s="1"/>
  <c r="BA132" i="1"/>
  <c r="BW132" i="1" s="1"/>
  <c r="CS132" i="1" s="1"/>
  <c r="BA134" i="1"/>
  <c r="BW134" i="1" s="1"/>
  <c r="BA136" i="1"/>
  <c r="BW136" i="1" s="1"/>
  <c r="BA153" i="1"/>
  <c r="BW153" i="1" s="1"/>
  <c r="BA155" i="1"/>
  <c r="BW155" i="1" s="1"/>
  <c r="BA191" i="1"/>
  <c r="BW191" i="1" s="1"/>
  <c r="AVF191" i="1" s="1"/>
  <c r="BA193" i="1"/>
  <c r="BW193" i="1" s="1"/>
  <c r="BA195" i="1"/>
  <c r="BW195" i="1" s="1"/>
  <c r="BA215" i="1"/>
  <c r="BW215" i="1" s="1"/>
  <c r="BA217" i="1"/>
  <c r="BW217" i="1" s="1"/>
  <c r="BA255" i="1"/>
  <c r="BW255" i="1" s="1"/>
  <c r="BA285" i="1"/>
  <c r="BW285" i="1" s="1"/>
  <c r="BA288" i="1"/>
  <c r="BW288" i="1" s="1"/>
  <c r="BA292" i="1"/>
  <c r="BW292" i="1" s="1"/>
  <c r="BA294" i="1"/>
  <c r="BW294" i="1" s="1"/>
  <c r="BA347" i="1"/>
  <c r="BW347" i="1" s="1"/>
  <c r="BA349" i="1"/>
  <c r="BW349" i="1" s="1"/>
  <c r="BA388" i="1"/>
  <c r="BW388" i="1" s="1"/>
  <c r="BA390" i="1"/>
  <c r="BW390" i="1" s="1"/>
  <c r="BA392" i="1"/>
  <c r="BW392" i="1" s="1"/>
  <c r="BA406" i="1"/>
  <c r="BW406" i="1" s="1"/>
  <c r="BA408" i="1"/>
  <c r="BW408" i="1" s="1"/>
  <c r="AE4" i="1"/>
  <c r="BA350" i="1"/>
  <c r="BW350" i="1" s="1"/>
  <c r="BA389" i="1"/>
  <c r="BW389" i="1" s="1"/>
  <c r="BA393" i="1"/>
  <c r="BW393" i="1" s="1"/>
  <c r="BE11" i="1"/>
  <c r="CA11" i="1" s="1"/>
  <c r="BE37" i="1"/>
  <c r="CA37" i="1" s="1"/>
  <c r="BE76" i="1"/>
  <c r="CA76" i="1" s="1"/>
  <c r="CW76" i="1" s="1"/>
  <c r="BE78" i="1"/>
  <c r="CA78" i="1" s="1"/>
  <c r="CW78" i="1" s="1"/>
  <c r="BE97" i="1"/>
  <c r="CA97" i="1" s="1"/>
  <c r="BE101" i="1"/>
  <c r="CA101" i="1" s="1"/>
  <c r="BE103" i="1"/>
  <c r="CA103" i="1" s="1"/>
  <c r="BE119" i="1"/>
  <c r="CA119" i="1" s="1"/>
  <c r="AVJ119" i="1" s="1"/>
  <c r="BE121" i="1"/>
  <c r="CA121" i="1" s="1"/>
  <c r="BE123" i="1"/>
  <c r="BE131" i="1"/>
  <c r="CA131" i="1" s="1"/>
  <c r="BE133" i="1"/>
  <c r="CA133" i="1" s="1"/>
  <c r="BE135" i="1"/>
  <c r="CA135" i="1" s="1"/>
  <c r="BE137" i="1"/>
  <c r="CA137" i="1" s="1"/>
  <c r="BE150" i="1"/>
  <c r="CA150" i="1" s="1"/>
  <c r="AVJ150" i="1" s="1"/>
  <c r="BE154" i="1"/>
  <c r="CA154" i="1" s="1"/>
  <c r="BE156" i="1"/>
  <c r="CA156" i="1" s="1"/>
  <c r="BE192" i="1"/>
  <c r="CA192" i="1" s="1"/>
  <c r="BE194" i="1"/>
  <c r="CA194" i="1" s="1"/>
  <c r="BE214" i="1"/>
  <c r="CA214" i="1" s="1"/>
  <c r="AVJ214" i="1" s="1"/>
  <c r="BE216" i="1"/>
  <c r="CA216" i="1" s="1"/>
  <c r="BE218" i="1"/>
  <c r="CA218" i="1" s="1"/>
  <c r="BE254" i="1"/>
  <c r="CA254" i="1" s="1"/>
  <c r="AVJ254" i="1" s="1"/>
  <c r="BE256" i="1"/>
  <c r="CA256" i="1" s="1"/>
  <c r="BE287" i="1"/>
  <c r="CA287" i="1" s="1"/>
  <c r="BE291" i="1"/>
  <c r="CA291" i="1" s="1"/>
  <c r="BE293" i="1"/>
  <c r="CA293" i="1" s="1"/>
  <c r="BE295" i="1"/>
  <c r="CA295" i="1" s="1"/>
  <c r="BE344" i="1"/>
  <c r="CA344" i="1" s="1"/>
  <c r="BE348" i="1"/>
  <c r="CA348" i="1" s="1"/>
  <c r="BE391" i="1"/>
  <c r="CA391" i="1" s="1"/>
  <c r="BE407" i="1"/>
  <c r="CA407" i="1" s="1"/>
  <c r="BE9" i="1"/>
  <c r="CA9" i="1" s="1"/>
  <c r="BE12" i="1"/>
  <c r="CA12" i="1" s="1"/>
  <c r="BE34" i="1"/>
  <c r="CA34" i="1" s="1"/>
  <c r="BE36" i="1"/>
  <c r="CA36" i="1" s="1"/>
  <c r="BE77" i="1"/>
  <c r="CA77" i="1" s="1"/>
  <c r="BE79" i="1"/>
  <c r="CA79" i="1" s="1"/>
  <c r="BE102" i="1"/>
  <c r="CA102" i="1" s="1"/>
  <c r="BE120" i="1"/>
  <c r="CA120" i="1" s="1"/>
  <c r="BE122" i="1"/>
  <c r="CA122" i="1" s="1"/>
  <c r="BE132" i="1"/>
  <c r="CA132" i="1" s="1"/>
  <c r="CW132" i="1" s="1"/>
  <c r="BE134" i="1"/>
  <c r="CA134" i="1" s="1"/>
  <c r="BE136" i="1"/>
  <c r="CA136" i="1" s="1"/>
  <c r="BE153" i="1"/>
  <c r="CA153" i="1" s="1"/>
  <c r="BE155" i="1"/>
  <c r="CA155" i="1" s="1"/>
  <c r="BE191" i="1"/>
  <c r="CA191" i="1" s="1"/>
  <c r="AVJ191" i="1" s="1"/>
  <c r="BE193" i="1"/>
  <c r="CA193" i="1" s="1"/>
  <c r="BE195" i="1"/>
  <c r="CA195" i="1" s="1"/>
  <c r="BE215" i="1"/>
  <c r="CA215" i="1" s="1"/>
  <c r="BE217" i="1"/>
  <c r="CA217" i="1" s="1"/>
  <c r="BE255" i="1"/>
  <c r="CA255" i="1" s="1"/>
  <c r="BE285" i="1"/>
  <c r="CA285" i="1" s="1"/>
  <c r="BE288" i="1"/>
  <c r="CA288" i="1" s="1"/>
  <c r="BE292" i="1"/>
  <c r="CA292" i="1" s="1"/>
  <c r="BE294" i="1"/>
  <c r="CA294" i="1" s="1"/>
  <c r="BE347" i="1"/>
  <c r="CA347" i="1" s="1"/>
  <c r="BE349" i="1"/>
  <c r="CA349" i="1" s="1"/>
  <c r="BE388" i="1"/>
  <c r="CA388" i="1" s="1"/>
  <c r="BE390" i="1"/>
  <c r="CA390" i="1" s="1"/>
  <c r="BE392" i="1"/>
  <c r="CA392" i="1" s="1"/>
  <c r="BE406" i="1"/>
  <c r="CA406" i="1" s="1"/>
  <c r="BE408" i="1"/>
  <c r="CA408" i="1" s="1"/>
  <c r="AI4" i="1"/>
  <c r="BE350" i="1"/>
  <c r="CA350" i="1" s="1"/>
  <c r="BE389" i="1"/>
  <c r="CA389" i="1" s="1"/>
  <c r="BE393" i="1"/>
  <c r="CA393" i="1" s="1"/>
  <c r="U235" i="1"/>
  <c r="AVA235" i="1" s="1"/>
  <c r="U320" i="1"/>
  <c r="AVA320" i="1" s="1"/>
  <c r="U368" i="1"/>
  <c r="AVA368" i="1" s="1"/>
  <c r="U370" i="1"/>
  <c r="AVA370" i="1" s="1"/>
  <c r="U229" i="1"/>
  <c r="AVA229" i="1" s="1"/>
  <c r="U319" i="1"/>
  <c r="AVA319" i="1" s="1"/>
  <c r="U325" i="1"/>
  <c r="AVA325" i="1" s="1"/>
  <c r="M25" i="3"/>
  <c r="AB25" i="3" s="1"/>
  <c r="AY229" i="1"/>
  <c r="BU229" i="1" s="1"/>
  <c r="AY319" i="1"/>
  <c r="BU319" i="1" s="1"/>
  <c r="AY325" i="1"/>
  <c r="BU325" i="1" s="1"/>
  <c r="AY320" i="1"/>
  <c r="BU320" i="1" s="1"/>
  <c r="AY368" i="1"/>
  <c r="BU368" i="1" s="1"/>
  <c r="AY370" i="1"/>
  <c r="BU370" i="1" s="1"/>
  <c r="BC368" i="1"/>
  <c r="BY368" i="1" s="1"/>
  <c r="BC370" i="1"/>
  <c r="BY370" i="1" s="1"/>
  <c r="BC229" i="1"/>
  <c r="BY229" i="1" s="1"/>
  <c r="BC319" i="1"/>
  <c r="BY319" i="1" s="1"/>
  <c r="BC325" i="1"/>
  <c r="BY325" i="1" s="1"/>
  <c r="BC320" i="1"/>
  <c r="BY320" i="1" s="1"/>
  <c r="BG368" i="1"/>
  <c r="CC368" i="1" s="1"/>
  <c r="BG370" i="1"/>
  <c r="CC370" i="1" s="1"/>
  <c r="BG229" i="1"/>
  <c r="CC229" i="1" s="1"/>
  <c r="BG319" i="1"/>
  <c r="CC319" i="1" s="1"/>
  <c r="BG325" i="1"/>
  <c r="CC325" i="1" s="1"/>
  <c r="BG320" i="1"/>
  <c r="CC320" i="1" s="1"/>
  <c r="BA23" i="1"/>
  <c r="BW23" i="1" s="1"/>
  <c r="BA49" i="1"/>
  <c r="BW49" i="1" s="1"/>
  <c r="BA146" i="1"/>
  <c r="BW146" i="1" s="1"/>
  <c r="BA172" i="1"/>
  <c r="BW172" i="1" s="1"/>
  <c r="BA174" i="1"/>
  <c r="BW174" i="1" s="1"/>
  <c r="BA230" i="1"/>
  <c r="BW230" i="1" s="1"/>
  <c r="BA232" i="1"/>
  <c r="BW232" i="1" s="1"/>
  <c r="BA272" i="1"/>
  <c r="BW272" i="1" s="1"/>
  <c r="BA322" i="1"/>
  <c r="BW322" i="1" s="1"/>
  <c r="BA324" i="1"/>
  <c r="BW324" i="1" s="1"/>
  <c r="BA401" i="1"/>
  <c r="BW401" i="1" s="1"/>
  <c r="BA22" i="1"/>
  <c r="BW22" i="1" s="1"/>
  <c r="BA24" i="1"/>
  <c r="BW24" i="1" s="1"/>
  <c r="BA110" i="1"/>
  <c r="BW110" i="1" s="1"/>
  <c r="BA112" i="1"/>
  <c r="BW112" i="1" s="1"/>
  <c r="BA145" i="1"/>
  <c r="BW145" i="1" s="1"/>
  <c r="AVF145" i="1" s="1"/>
  <c r="BA173" i="1"/>
  <c r="BW173" i="1" s="1"/>
  <c r="BA231" i="1"/>
  <c r="BW231" i="1" s="1"/>
  <c r="BA234" i="1"/>
  <c r="BW234" i="1" s="1"/>
  <c r="BA321" i="1"/>
  <c r="BW321" i="1" s="1"/>
  <c r="BA323" i="1"/>
  <c r="BW323" i="1" s="1"/>
  <c r="BA369" i="1"/>
  <c r="BW369" i="1" s="1"/>
  <c r="CS369" i="1" s="1"/>
  <c r="BA373" i="1"/>
  <c r="BW373" i="1" s="1"/>
  <c r="BA372" i="1"/>
  <c r="BW372" i="1" s="1"/>
  <c r="BA413" i="1"/>
  <c r="BW413" i="1" s="1"/>
  <c r="BE23" i="1"/>
  <c r="CA23" i="1" s="1"/>
  <c r="BE49" i="1"/>
  <c r="CA49" i="1" s="1"/>
  <c r="BE146" i="1"/>
  <c r="CA146" i="1" s="1"/>
  <c r="BE172" i="1"/>
  <c r="CA172" i="1" s="1"/>
  <c r="BE174" i="1"/>
  <c r="CA174" i="1" s="1"/>
  <c r="BE230" i="1"/>
  <c r="CA230" i="1" s="1"/>
  <c r="BE232" i="1"/>
  <c r="CA232" i="1" s="1"/>
  <c r="BE272" i="1"/>
  <c r="CA272" i="1" s="1"/>
  <c r="BE322" i="1"/>
  <c r="CA322" i="1" s="1"/>
  <c r="BE324" i="1"/>
  <c r="CA324" i="1" s="1"/>
  <c r="BE401" i="1"/>
  <c r="CA401" i="1" s="1"/>
  <c r="BE22" i="1"/>
  <c r="CA22" i="1" s="1"/>
  <c r="BE24" i="1"/>
  <c r="CA24" i="1" s="1"/>
  <c r="BE110" i="1"/>
  <c r="CA110" i="1" s="1"/>
  <c r="BE112" i="1"/>
  <c r="CA112" i="1" s="1"/>
  <c r="BE145" i="1"/>
  <c r="CA145" i="1" s="1"/>
  <c r="AVJ145" i="1" s="1"/>
  <c r="BE173" i="1"/>
  <c r="CA173" i="1" s="1"/>
  <c r="BE231" i="1"/>
  <c r="CA231" i="1" s="1"/>
  <c r="BE234" i="1"/>
  <c r="CA234" i="1" s="1"/>
  <c r="BE321" i="1"/>
  <c r="CA321" i="1" s="1"/>
  <c r="BE323" i="1"/>
  <c r="CA323" i="1" s="1"/>
  <c r="BE369" i="1"/>
  <c r="CA369" i="1" s="1"/>
  <c r="CW369" i="1" s="1"/>
  <c r="BE373" i="1"/>
  <c r="CA373" i="1" s="1"/>
  <c r="BE372" i="1"/>
  <c r="CA372" i="1" s="1"/>
  <c r="BE413" i="1"/>
  <c r="CA413" i="1" s="1"/>
  <c r="K41" i="3"/>
  <c r="AT423" i="1"/>
  <c r="BP423" i="1" s="1"/>
  <c r="AUY423" i="1" s="1"/>
  <c r="AT69" i="1"/>
  <c r="BP69" i="1" s="1"/>
  <c r="AUY69" i="1" s="1"/>
  <c r="AZ423" i="1"/>
  <c r="BV423" i="1" s="1"/>
  <c r="AZ69" i="1"/>
  <c r="BV69" i="1" s="1"/>
  <c r="AVE69" i="1" s="1"/>
  <c r="BF423" i="1"/>
  <c r="CB423" i="1" s="1"/>
  <c r="BF69" i="1"/>
  <c r="CB69" i="1" s="1"/>
  <c r="AVK69" i="1" s="1"/>
  <c r="CO416" i="1"/>
  <c r="O138" i="12"/>
  <c r="CQ185" i="1"/>
  <c r="CQ281" i="1"/>
  <c r="Q165" i="12"/>
  <c r="T165" i="12"/>
  <c r="U152" i="1"/>
  <c r="AVA152" i="1" s="1"/>
  <c r="U284" i="1"/>
  <c r="AVA284" i="1" s="1"/>
  <c r="U289" i="1"/>
  <c r="AVA289" i="1" s="1"/>
  <c r="U387" i="1"/>
  <c r="AVA387" i="1" s="1"/>
  <c r="U405" i="1"/>
  <c r="AVA405" i="1" s="1"/>
  <c r="U75" i="1"/>
  <c r="AVA75" i="1" s="1"/>
  <c r="U95" i="1"/>
  <c r="AVA95" i="1" s="1"/>
  <c r="U151" i="1"/>
  <c r="AVA151" i="1" s="1"/>
  <c r="U283" i="1"/>
  <c r="AVA283" i="1" s="1"/>
  <c r="U343" i="1"/>
  <c r="AVA343" i="1" s="1"/>
  <c r="U345" i="1"/>
  <c r="AVA345" i="1" s="1"/>
  <c r="BA152" i="1"/>
  <c r="BW152" i="1" s="1"/>
  <c r="BA284" i="1"/>
  <c r="BW284" i="1" s="1"/>
  <c r="BA289" i="1"/>
  <c r="BW289" i="1" s="1"/>
  <c r="BA405" i="1"/>
  <c r="BW405" i="1" s="1"/>
  <c r="AVF405" i="1" s="1"/>
  <c r="BA75" i="1"/>
  <c r="BW75" i="1" s="1"/>
  <c r="AVF75" i="1" s="1"/>
  <c r="BA95" i="1"/>
  <c r="BW95" i="1" s="1"/>
  <c r="AVF95" i="1" s="1"/>
  <c r="BA151" i="1"/>
  <c r="BW151" i="1" s="1"/>
  <c r="BA283" i="1"/>
  <c r="BW283" i="1" s="1"/>
  <c r="AVF283" i="1" s="1"/>
  <c r="BA343" i="1"/>
  <c r="BW343" i="1" s="1"/>
  <c r="BA345" i="1"/>
  <c r="BW345" i="1" s="1"/>
  <c r="BA387" i="1"/>
  <c r="BW387" i="1" s="1"/>
  <c r="AVF387" i="1" s="1"/>
  <c r="BE152" i="1"/>
  <c r="CA152" i="1" s="1"/>
  <c r="BE284" i="1"/>
  <c r="CA284" i="1" s="1"/>
  <c r="BE289" i="1"/>
  <c r="CA289" i="1" s="1"/>
  <c r="BE405" i="1"/>
  <c r="CA405" i="1" s="1"/>
  <c r="AVJ405" i="1" s="1"/>
  <c r="BE75" i="1"/>
  <c r="CA75" i="1" s="1"/>
  <c r="AVJ75" i="1" s="1"/>
  <c r="BE95" i="1"/>
  <c r="CA95" i="1" s="1"/>
  <c r="AVJ95" i="1" s="1"/>
  <c r="BE151" i="1"/>
  <c r="CA151" i="1" s="1"/>
  <c r="BE283" i="1"/>
  <c r="CA283" i="1" s="1"/>
  <c r="AVJ283" i="1" s="1"/>
  <c r="BE343" i="1"/>
  <c r="CA343" i="1" s="1"/>
  <c r="BE345" i="1"/>
  <c r="CA345" i="1" s="1"/>
  <c r="BE387" i="1"/>
  <c r="CA387" i="1" s="1"/>
  <c r="AVJ387" i="1" s="1"/>
  <c r="U346" i="1"/>
  <c r="AVA346" i="1" s="1"/>
  <c r="U290" i="1"/>
  <c r="AVA290" i="1" s="1"/>
  <c r="AY346" i="1"/>
  <c r="BU346" i="1" s="1"/>
  <c r="BC346" i="1"/>
  <c r="BY346" i="1" s="1"/>
  <c r="BG346" i="1"/>
  <c r="CC346" i="1" s="1"/>
  <c r="U8" i="1"/>
  <c r="AVA8" i="1" s="1"/>
  <c r="U11" i="1"/>
  <c r="AVA11" i="1" s="1"/>
  <c r="U33" i="1"/>
  <c r="AVA33" i="1" s="1"/>
  <c r="U35" i="1"/>
  <c r="AVA35" i="1" s="1"/>
  <c r="U37" i="1"/>
  <c r="AVA37" i="1" s="1"/>
  <c r="U76" i="1"/>
  <c r="AVA76" i="1" s="1"/>
  <c r="U78" i="1"/>
  <c r="AVA78" i="1" s="1"/>
  <c r="U97" i="1"/>
  <c r="AVA97" i="1" s="1"/>
  <c r="U101" i="1"/>
  <c r="AVA101" i="1" s="1"/>
  <c r="U103" i="1"/>
  <c r="AVA103" i="1" s="1"/>
  <c r="U119" i="1"/>
  <c r="AVA119" i="1" s="1"/>
  <c r="U121" i="1"/>
  <c r="AVA121" i="1" s="1"/>
  <c r="U123" i="1"/>
  <c r="AVA123" i="1" s="1"/>
  <c r="U131" i="1"/>
  <c r="AVA131" i="1" s="1"/>
  <c r="U133" i="1"/>
  <c r="AVA133" i="1" s="1"/>
  <c r="U135" i="1"/>
  <c r="AVA135" i="1" s="1"/>
  <c r="U137" i="1"/>
  <c r="AVA137" i="1" s="1"/>
  <c r="U150" i="1"/>
  <c r="AVA150" i="1" s="1"/>
  <c r="U154" i="1"/>
  <c r="AVA154" i="1" s="1"/>
  <c r="U156" i="1"/>
  <c r="AVA156" i="1" s="1"/>
  <c r="U192" i="1"/>
  <c r="AVA192" i="1" s="1"/>
  <c r="U194" i="1"/>
  <c r="AVA194" i="1" s="1"/>
  <c r="U214" i="1"/>
  <c r="AVA214" i="1" s="1"/>
  <c r="U216" i="1"/>
  <c r="AVA216" i="1" s="1"/>
  <c r="U218" i="1"/>
  <c r="AVA218" i="1" s="1"/>
  <c r="U254" i="1"/>
  <c r="AVA254" i="1" s="1"/>
  <c r="U256" i="1"/>
  <c r="AVA256" i="1" s="1"/>
  <c r="U287" i="1"/>
  <c r="AVA287" i="1" s="1"/>
  <c r="U291" i="1"/>
  <c r="AVA291" i="1" s="1"/>
  <c r="U293" i="1"/>
  <c r="AVA293" i="1" s="1"/>
  <c r="U295" i="1"/>
  <c r="AVA295" i="1" s="1"/>
  <c r="U344" i="1"/>
  <c r="AVA344" i="1" s="1"/>
  <c r="U348" i="1"/>
  <c r="AVA348" i="1" s="1"/>
  <c r="U350" i="1"/>
  <c r="AVA350" i="1" s="1"/>
  <c r="U389" i="1"/>
  <c r="AVA389" i="1" s="1"/>
  <c r="U391" i="1"/>
  <c r="AVA391" i="1" s="1"/>
  <c r="U393" i="1"/>
  <c r="AVA393" i="1" s="1"/>
  <c r="U407" i="1"/>
  <c r="AVA407" i="1" s="1"/>
  <c r="U9" i="1"/>
  <c r="AVA9" i="1" s="1"/>
  <c r="U12" i="1"/>
  <c r="AVA12" i="1" s="1"/>
  <c r="U32" i="1"/>
  <c r="AVA32" i="1" s="1"/>
  <c r="U34" i="1"/>
  <c r="AVA34" i="1" s="1"/>
  <c r="U36" i="1"/>
  <c r="AVA36" i="1" s="1"/>
  <c r="U77" i="1"/>
  <c r="AVA77" i="1" s="1"/>
  <c r="U79" i="1"/>
  <c r="AVA79" i="1" s="1"/>
  <c r="U98" i="1"/>
  <c r="AVA98" i="1" s="1"/>
  <c r="U102" i="1"/>
  <c r="AVA102" i="1" s="1"/>
  <c r="U120" i="1"/>
  <c r="AVA120" i="1" s="1"/>
  <c r="U122" i="1"/>
  <c r="AVA122" i="1" s="1"/>
  <c r="U132" i="1"/>
  <c r="AVA132" i="1" s="1"/>
  <c r="U134" i="1"/>
  <c r="AVA134" i="1" s="1"/>
  <c r="U136" i="1"/>
  <c r="AVA136" i="1" s="1"/>
  <c r="U153" i="1"/>
  <c r="AVA153" i="1" s="1"/>
  <c r="U155" i="1"/>
  <c r="AVA155" i="1" s="1"/>
  <c r="U191" i="1"/>
  <c r="AVA191" i="1" s="1"/>
  <c r="U193" i="1"/>
  <c r="AVA193" i="1" s="1"/>
  <c r="U195" i="1"/>
  <c r="AVA195" i="1" s="1"/>
  <c r="U215" i="1"/>
  <c r="AVA215" i="1" s="1"/>
  <c r="U217" i="1"/>
  <c r="AVA217" i="1" s="1"/>
  <c r="U255" i="1"/>
  <c r="AVA255" i="1" s="1"/>
  <c r="U285" i="1"/>
  <c r="AVA285" i="1" s="1"/>
  <c r="U288" i="1"/>
  <c r="AVA288" i="1" s="1"/>
  <c r="U292" i="1"/>
  <c r="AVA292" i="1" s="1"/>
  <c r="U294" i="1"/>
  <c r="AVA294" i="1" s="1"/>
  <c r="U347" i="1"/>
  <c r="AVA347" i="1" s="1"/>
  <c r="U349" i="1"/>
  <c r="AVA349" i="1" s="1"/>
  <c r="U388" i="1"/>
  <c r="AVA388" i="1" s="1"/>
  <c r="U390" i="1"/>
  <c r="AVA390" i="1" s="1"/>
  <c r="U392" i="1"/>
  <c r="AVA392" i="1" s="1"/>
  <c r="U406" i="1"/>
  <c r="AVA406" i="1" s="1"/>
  <c r="U408" i="1"/>
  <c r="AVA408" i="1" s="1"/>
  <c r="AY9" i="1"/>
  <c r="BU9" i="1" s="1"/>
  <c r="AY12" i="1"/>
  <c r="BU12" i="1" s="1"/>
  <c r="AY34" i="1"/>
  <c r="BU34" i="1" s="1"/>
  <c r="AY36" i="1"/>
  <c r="BU36" i="1" s="1"/>
  <c r="AY77" i="1"/>
  <c r="BU77" i="1" s="1"/>
  <c r="AY79" i="1"/>
  <c r="BU79" i="1" s="1"/>
  <c r="AY102" i="1"/>
  <c r="BU102" i="1" s="1"/>
  <c r="AY120" i="1"/>
  <c r="BU120" i="1" s="1"/>
  <c r="AY122" i="1"/>
  <c r="BU122" i="1" s="1"/>
  <c r="AY132" i="1"/>
  <c r="BU132" i="1" s="1"/>
  <c r="CQ132" i="1" s="1"/>
  <c r="AY134" i="1"/>
  <c r="BU134" i="1" s="1"/>
  <c r="AY136" i="1"/>
  <c r="BU136" i="1" s="1"/>
  <c r="AY153" i="1"/>
  <c r="BU153" i="1" s="1"/>
  <c r="AY155" i="1"/>
  <c r="BU155" i="1" s="1"/>
  <c r="AY191" i="1"/>
  <c r="BU191" i="1" s="1"/>
  <c r="AVD191" i="1" s="1"/>
  <c r="AY193" i="1"/>
  <c r="BU193" i="1" s="1"/>
  <c r="AY195" i="1"/>
  <c r="BU195" i="1" s="1"/>
  <c r="AY215" i="1"/>
  <c r="BU215" i="1" s="1"/>
  <c r="AY217" i="1"/>
  <c r="BU217" i="1" s="1"/>
  <c r="AY255" i="1"/>
  <c r="BU255" i="1" s="1"/>
  <c r="AY285" i="1"/>
  <c r="BU285" i="1" s="1"/>
  <c r="AY288" i="1"/>
  <c r="BU288" i="1" s="1"/>
  <c r="AY292" i="1"/>
  <c r="BU292" i="1" s="1"/>
  <c r="AY294" i="1"/>
  <c r="BU294" i="1" s="1"/>
  <c r="AY347" i="1"/>
  <c r="BU347" i="1" s="1"/>
  <c r="AY349" i="1"/>
  <c r="BU349" i="1" s="1"/>
  <c r="AY392" i="1"/>
  <c r="BU392" i="1" s="1"/>
  <c r="AY406" i="1"/>
  <c r="BU406" i="1" s="1"/>
  <c r="AY408" i="1"/>
  <c r="BU408" i="1" s="1"/>
  <c r="AC4" i="1"/>
  <c r="AY11" i="1"/>
  <c r="BU11" i="1" s="1"/>
  <c r="AY37" i="1"/>
  <c r="BU37" i="1" s="1"/>
  <c r="AY76" i="1"/>
  <c r="BU76" i="1" s="1"/>
  <c r="CQ76" i="1" s="1"/>
  <c r="AY78" i="1"/>
  <c r="BU78" i="1" s="1"/>
  <c r="CQ78" i="1" s="1"/>
  <c r="AY97" i="1"/>
  <c r="BU97" i="1" s="1"/>
  <c r="AY101" i="1"/>
  <c r="BU101" i="1" s="1"/>
  <c r="AY103" i="1"/>
  <c r="BU103" i="1" s="1"/>
  <c r="AY119" i="1"/>
  <c r="BU119" i="1" s="1"/>
  <c r="AVD119" i="1" s="1"/>
  <c r="AY121" i="1"/>
  <c r="BU121" i="1" s="1"/>
  <c r="AY123" i="1"/>
  <c r="AY131" i="1"/>
  <c r="BU131" i="1" s="1"/>
  <c r="AY133" i="1"/>
  <c r="BU133" i="1" s="1"/>
  <c r="AY135" i="1"/>
  <c r="BU135" i="1" s="1"/>
  <c r="AY137" i="1"/>
  <c r="BU137" i="1" s="1"/>
  <c r="AY150" i="1"/>
  <c r="BU150" i="1" s="1"/>
  <c r="AVD150" i="1" s="1"/>
  <c r="AY154" i="1"/>
  <c r="BU154" i="1" s="1"/>
  <c r="AY156" i="1"/>
  <c r="BU156" i="1" s="1"/>
  <c r="AY192" i="1"/>
  <c r="BU192" i="1" s="1"/>
  <c r="AY194" i="1"/>
  <c r="BU194" i="1" s="1"/>
  <c r="AY214" i="1"/>
  <c r="BU214" i="1" s="1"/>
  <c r="AVD214" i="1" s="1"/>
  <c r="AY216" i="1"/>
  <c r="BU216" i="1" s="1"/>
  <c r="AY218" i="1"/>
  <c r="BU218" i="1" s="1"/>
  <c r="AY254" i="1"/>
  <c r="BU254" i="1" s="1"/>
  <c r="AVD254" i="1" s="1"/>
  <c r="AY256" i="1"/>
  <c r="BU256" i="1" s="1"/>
  <c r="AY287" i="1"/>
  <c r="BU287" i="1" s="1"/>
  <c r="AY291" i="1"/>
  <c r="BU291" i="1" s="1"/>
  <c r="AY293" i="1"/>
  <c r="BU293" i="1" s="1"/>
  <c r="AY295" i="1"/>
  <c r="BU295" i="1" s="1"/>
  <c r="AY344" i="1"/>
  <c r="BU344" i="1" s="1"/>
  <c r="AY348" i="1"/>
  <c r="BU348" i="1" s="1"/>
  <c r="AY350" i="1"/>
  <c r="BU350" i="1" s="1"/>
  <c r="AY389" i="1"/>
  <c r="BU389" i="1" s="1"/>
  <c r="AY391" i="1"/>
  <c r="BU391" i="1" s="1"/>
  <c r="AY393" i="1"/>
  <c r="BU393" i="1" s="1"/>
  <c r="AY407" i="1"/>
  <c r="BU407" i="1" s="1"/>
  <c r="AY388" i="1"/>
  <c r="BU388" i="1" s="1"/>
  <c r="AY390" i="1"/>
  <c r="BU390" i="1" s="1"/>
  <c r="BC11" i="1"/>
  <c r="BY11" i="1" s="1"/>
  <c r="BC37" i="1"/>
  <c r="BY37" i="1" s="1"/>
  <c r="BC76" i="1"/>
  <c r="BY76" i="1" s="1"/>
  <c r="CU76" i="1" s="1"/>
  <c r="BC78" i="1"/>
  <c r="BY78" i="1" s="1"/>
  <c r="CU78" i="1" s="1"/>
  <c r="BC97" i="1"/>
  <c r="BY97" i="1" s="1"/>
  <c r="BC101" i="1"/>
  <c r="BY101" i="1" s="1"/>
  <c r="BC103" i="1"/>
  <c r="BY103" i="1" s="1"/>
  <c r="BC119" i="1"/>
  <c r="BY119" i="1" s="1"/>
  <c r="AVH119" i="1" s="1"/>
  <c r="BC121" i="1"/>
  <c r="BY121" i="1" s="1"/>
  <c r="BC123" i="1"/>
  <c r="BC131" i="1"/>
  <c r="BY131" i="1" s="1"/>
  <c r="BC133" i="1"/>
  <c r="BY133" i="1" s="1"/>
  <c r="BC135" i="1"/>
  <c r="BY135" i="1" s="1"/>
  <c r="BC137" i="1"/>
  <c r="BY137" i="1" s="1"/>
  <c r="BC150" i="1"/>
  <c r="BY150" i="1" s="1"/>
  <c r="AVH150" i="1" s="1"/>
  <c r="BC154" i="1"/>
  <c r="BY154" i="1" s="1"/>
  <c r="BC156" i="1"/>
  <c r="BY156" i="1" s="1"/>
  <c r="BC192" i="1"/>
  <c r="BY192" i="1" s="1"/>
  <c r="BC194" i="1"/>
  <c r="BY194" i="1" s="1"/>
  <c r="BC214" i="1"/>
  <c r="BY214" i="1" s="1"/>
  <c r="AVH214" i="1" s="1"/>
  <c r="BC216" i="1"/>
  <c r="BY216" i="1" s="1"/>
  <c r="BC218" i="1"/>
  <c r="BY218" i="1" s="1"/>
  <c r="BC254" i="1"/>
  <c r="BY254" i="1" s="1"/>
  <c r="AVH254" i="1" s="1"/>
  <c r="BC256" i="1"/>
  <c r="BY256" i="1" s="1"/>
  <c r="BC287" i="1"/>
  <c r="BY287" i="1" s="1"/>
  <c r="BC291" i="1"/>
  <c r="BY291" i="1" s="1"/>
  <c r="BC293" i="1"/>
  <c r="BY293" i="1" s="1"/>
  <c r="BC295" i="1"/>
  <c r="BY295" i="1" s="1"/>
  <c r="BC350" i="1"/>
  <c r="BY350" i="1" s="1"/>
  <c r="BC389" i="1"/>
  <c r="BY389" i="1" s="1"/>
  <c r="BC393" i="1"/>
  <c r="BY393" i="1" s="1"/>
  <c r="BC9" i="1"/>
  <c r="BY9" i="1" s="1"/>
  <c r="BC12" i="1"/>
  <c r="BY12" i="1" s="1"/>
  <c r="BC34" i="1"/>
  <c r="BY34" i="1" s="1"/>
  <c r="BC36" i="1"/>
  <c r="BY36" i="1" s="1"/>
  <c r="BC77" i="1"/>
  <c r="BY77" i="1" s="1"/>
  <c r="BC79" i="1"/>
  <c r="BY79" i="1" s="1"/>
  <c r="BC102" i="1"/>
  <c r="BY102" i="1" s="1"/>
  <c r="BC120" i="1"/>
  <c r="BY120" i="1" s="1"/>
  <c r="BC122" i="1"/>
  <c r="BY122" i="1" s="1"/>
  <c r="BC132" i="1"/>
  <c r="BY132" i="1" s="1"/>
  <c r="CU132" i="1" s="1"/>
  <c r="BC134" i="1"/>
  <c r="BY134" i="1" s="1"/>
  <c r="BC136" i="1"/>
  <c r="BY136" i="1" s="1"/>
  <c r="BC153" i="1"/>
  <c r="BY153" i="1" s="1"/>
  <c r="BC155" i="1"/>
  <c r="BY155" i="1" s="1"/>
  <c r="BC191" i="1"/>
  <c r="BY191" i="1" s="1"/>
  <c r="AVH191" i="1" s="1"/>
  <c r="BC193" i="1"/>
  <c r="BY193" i="1" s="1"/>
  <c r="BC195" i="1"/>
  <c r="BY195" i="1" s="1"/>
  <c r="BC215" i="1"/>
  <c r="BY215" i="1" s="1"/>
  <c r="BC217" i="1"/>
  <c r="BY217" i="1" s="1"/>
  <c r="BC255" i="1"/>
  <c r="BY255" i="1" s="1"/>
  <c r="BC285" i="1"/>
  <c r="BY285" i="1" s="1"/>
  <c r="BC288" i="1"/>
  <c r="BY288" i="1" s="1"/>
  <c r="BC292" i="1"/>
  <c r="BY292" i="1" s="1"/>
  <c r="BC294" i="1"/>
  <c r="BY294" i="1" s="1"/>
  <c r="BC347" i="1"/>
  <c r="BY347" i="1" s="1"/>
  <c r="BC349" i="1"/>
  <c r="BY349" i="1" s="1"/>
  <c r="BC388" i="1"/>
  <c r="BY388" i="1" s="1"/>
  <c r="BC390" i="1"/>
  <c r="BY390" i="1" s="1"/>
  <c r="BC392" i="1"/>
  <c r="BY392" i="1" s="1"/>
  <c r="BC406" i="1"/>
  <c r="BY406" i="1" s="1"/>
  <c r="BC408" i="1"/>
  <c r="BY408" i="1" s="1"/>
  <c r="AG4" i="1"/>
  <c r="BC344" i="1"/>
  <c r="BY344" i="1" s="1"/>
  <c r="BC348" i="1"/>
  <c r="BY348" i="1" s="1"/>
  <c r="BC391" i="1"/>
  <c r="BY391" i="1" s="1"/>
  <c r="BC407" i="1"/>
  <c r="BY407" i="1" s="1"/>
  <c r="BG11" i="1"/>
  <c r="CC11" i="1" s="1"/>
  <c r="BG37" i="1"/>
  <c r="CC37" i="1" s="1"/>
  <c r="BG76" i="1"/>
  <c r="CC76" i="1" s="1"/>
  <c r="CY76" i="1" s="1"/>
  <c r="BG78" i="1"/>
  <c r="CC78" i="1" s="1"/>
  <c r="CY78" i="1" s="1"/>
  <c r="BG97" i="1"/>
  <c r="CC97" i="1" s="1"/>
  <c r="BG101" i="1"/>
  <c r="CC101" i="1" s="1"/>
  <c r="BG103" i="1"/>
  <c r="CC103" i="1" s="1"/>
  <c r="BG119" i="1"/>
  <c r="CC119" i="1" s="1"/>
  <c r="AVL119" i="1" s="1"/>
  <c r="BG121" i="1"/>
  <c r="CC121" i="1" s="1"/>
  <c r="BG123" i="1"/>
  <c r="BG131" i="1"/>
  <c r="CC131" i="1" s="1"/>
  <c r="BG133" i="1"/>
  <c r="CC133" i="1" s="1"/>
  <c r="BG135" i="1"/>
  <c r="CC135" i="1" s="1"/>
  <c r="BG137" i="1"/>
  <c r="CC137" i="1" s="1"/>
  <c r="BG150" i="1"/>
  <c r="CC150" i="1" s="1"/>
  <c r="AVL150" i="1" s="1"/>
  <c r="BG154" i="1"/>
  <c r="CC154" i="1" s="1"/>
  <c r="BG156" i="1"/>
  <c r="CC156" i="1" s="1"/>
  <c r="BG192" i="1"/>
  <c r="CC192" i="1" s="1"/>
  <c r="BG194" i="1"/>
  <c r="CC194" i="1" s="1"/>
  <c r="BG214" i="1"/>
  <c r="CC214" i="1" s="1"/>
  <c r="AVL214" i="1" s="1"/>
  <c r="BG216" i="1"/>
  <c r="CC216" i="1" s="1"/>
  <c r="BG218" i="1"/>
  <c r="CC218" i="1" s="1"/>
  <c r="BG254" i="1"/>
  <c r="CC254" i="1" s="1"/>
  <c r="AVL254" i="1" s="1"/>
  <c r="BG256" i="1"/>
  <c r="CC256" i="1" s="1"/>
  <c r="BG287" i="1"/>
  <c r="CC287" i="1" s="1"/>
  <c r="BG291" i="1"/>
  <c r="CC291" i="1" s="1"/>
  <c r="BG293" i="1"/>
  <c r="CC293" i="1" s="1"/>
  <c r="BG295" i="1"/>
  <c r="CC295" i="1" s="1"/>
  <c r="BG350" i="1"/>
  <c r="CC350" i="1" s="1"/>
  <c r="BG389" i="1"/>
  <c r="CC389" i="1" s="1"/>
  <c r="BG393" i="1"/>
  <c r="CC393" i="1" s="1"/>
  <c r="BG9" i="1"/>
  <c r="CC9" i="1" s="1"/>
  <c r="BG12" i="1"/>
  <c r="CC12" i="1" s="1"/>
  <c r="BG34" i="1"/>
  <c r="CC34" i="1" s="1"/>
  <c r="BG36" i="1"/>
  <c r="CC36" i="1" s="1"/>
  <c r="BG77" i="1"/>
  <c r="CC77" i="1" s="1"/>
  <c r="BG79" i="1"/>
  <c r="CC79" i="1" s="1"/>
  <c r="BG102" i="1"/>
  <c r="CC102" i="1" s="1"/>
  <c r="BG120" i="1"/>
  <c r="CC120" i="1" s="1"/>
  <c r="BG122" i="1"/>
  <c r="CC122" i="1" s="1"/>
  <c r="BG132" i="1"/>
  <c r="CC132" i="1" s="1"/>
  <c r="CY132" i="1" s="1"/>
  <c r="BG134" i="1"/>
  <c r="CC134" i="1" s="1"/>
  <c r="BG136" i="1"/>
  <c r="CC136" i="1" s="1"/>
  <c r="BG153" i="1"/>
  <c r="CC153" i="1" s="1"/>
  <c r="BG155" i="1"/>
  <c r="CC155" i="1" s="1"/>
  <c r="BG191" i="1"/>
  <c r="CC191" i="1" s="1"/>
  <c r="AVL191" i="1" s="1"/>
  <c r="BG193" i="1"/>
  <c r="CC193" i="1" s="1"/>
  <c r="BG195" i="1"/>
  <c r="CC195" i="1" s="1"/>
  <c r="BG215" i="1"/>
  <c r="CC215" i="1" s="1"/>
  <c r="BG217" i="1"/>
  <c r="CC217" i="1" s="1"/>
  <c r="BG255" i="1"/>
  <c r="CC255" i="1" s="1"/>
  <c r="BG285" i="1"/>
  <c r="CC285" i="1" s="1"/>
  <c r="BG288" i="1"/>
  <c r="CC288" i="1" s="1"/>
  <c r="BG292" i="1"/>
  <c r="CC292" i="1" s="1"/>
  <c r="BG294" i="1"/>
  <c r="CC294" i="1" s="1"/>
  <c r="BG347" i="1"/>
  <c r="CC347" i="1" s="1"/>
  <c r="BG349" i="1"/>
  <c r="CC349" i="1" s="1"/>
  <c r="BG388" i="1"/>
  <c r="CC388" i="1" s="1"/>
  <c r="BG390" i="1"/>
  <c r="CC390" i="1" s="1"/>
  <c r="BG392" i="1"/>
  <c r="CC392" i="1" s="1"/>
  <c r="BG406" i="1"/>
  <c r="CC406" i="1" s="1"/>
  <c r="BG408" i="1"/>
  <c r="CC408" i="1" s="1"/>
  <c r="AK4" i="1"/>
  <c r="BG344" i="1"/>
  <c r="CC344" i="1" s="1"/>
  <c r="BG348" i="1"/>
  <c r="CC348" i="1" s="1"/>
  <c r="BG391" i="1"/>
  <c r="CC391" i="1" s="1"/>
  <c r="BG407" i="1"/>
  <c r="CC407" i="1" s="1"/>
  <c r="BA320" i="1"/>
  <c r="BW320" i="1" s="1"/>
  <c r="BA229" i="1"/>
  <c r="BW229" i="1" s="1"/>
  <c r="BA319" i="1"/>
  <c r="BW319" i="1" s="1"/>
  <c r="BA325" i="1"/>
  <c r="BW325" i="1" s="1"/>
  <c r="BA368" i="1"/>
  <c r="BW368" i="1" s="1"/>
  <c r="BA370" i="1"/>
  <c r="BW370" i="1" s="1"/>
  <c r="BE320" i="1"/>
  <c r="CA320" i="1" s="1"/>
  <c r="BE229" i="1"/>
  <c r="CA229" i="1" s="1"/>
  <c r="BE319" i="1"/>
  <c r="CA319" i="1" s="1"/>
  <c r="BE325" i="1"/>
  <c r="CA325" i="1" s="1"/>
  <c r="BE368" i="1"/>
  <c r="CA368" i="1" s="1"/>
  <c r="BE370" i="1"/>
  <c r="CA370" i="1" s="1"/>
  <c r="U23" i="1"/>
  <c r="AVA23" i="1" s="1"/>
  <c r="U49" i="1"/>
  <c r="AVA49" i="1" s="1"/>
  <c r="U51" i="1"/>
  <c r="AVA51" i="1" s="1"/>
  <c r="U111" i="1"/>
  <c r="AVA111" i="1" s="1"/>
  <c r="U146" i="1"/>
  <c r="AVA146" i="1" s="1"/>
  <c r="U172" i="1"/>
  <c r="AVA172" i="1" s="1"/>
  <c r="U174" i="1"/>
  <c r="AVA174" i="1" s="1"/>
  <c r="U205" i="1"/>
  <c r="AVA205" i="1" s="1"/>
  <c r="U207" i="1"/>
  <c r="AVA207" i="1" s="1"/>
  <c r="U230" i="1"/>
  <c r="AVA230" i="1" s="1"/>
  <c r="U232" i="1"/>
  <c r="AVA232" i="1" s="1"/>
  <c r="U272" i="1"/>
  <c r="AVA272" i="1" s="1"/>
  <c r="U322" i="1"/>
  <c r="AVA322" i="1" s="1"/>
  <c r="U324" i="1"/>
  <c r="AVA324" i="1" s="1"/>
  <c r="U372" i="1"/>
  <c r="AVA372" i="1" s="1"/>
  <c r="U401" i="1"/>
  <c r="AVA401" i="1" s="1"/>
  <c r="U413" i="1"/>
  <c r="AVA413" i="1" s="1"/>
  <c r="U22" i="1"/>
  <c r="AVA22" i="1" s="1"/>
  <c r="U24" i="1"/>
  <c r="AVA24" i="1" s="1"/>
  <c r="U50" i="1"/>
  <c r="AVA50" i="1" s="1"/>
  <c r="U110" i="1"/>
  <c r="AVA110" i="1" s="1"/>
  <c r="U112" i="1"/>
  <c r="AVA112" i="1" s="1"/>
  <c r="U145" i="1"/>
  <c r="AVA145" i="1" s="1"/>
  <c r="U173" i="1"/>
  <c r="AVA173" i="1" s="1"/>
  <c r="U206" i="1"/>
  <c r="AVA206" i="1" s="1"/>
  <c r="U231" i="1"/>
  <c r="AVA231" i="1" s="1"/>
  <c r="U234" i="1"/>
  <c r="AVA234" i="1" s="1"/>
  <c r="U321" i="1"/>
  <c r="AVA321" i="1" s="1"/>
  <c r="U323" i="1"/>
  <c r="AVA323" i="1" s="1"/>
  <c r="U369" i="1"/>
  <c r="AVA369" i="1" s="1"/>
  <c r="U371" i="1"/>
  <c r="AVA371" i="1" s="1"/>
  <c r="U373" i="1"/>
  <c r="AVA373" i="1" s="1"/>
  <c r="U400" i="1"/>
  <c r="AVA400" i="1" s="1"/>
  <c r="AY22" i="1"/>
  <c r="BU22" i="1" s="1"/>
  <c r="AY24" i="1"/>
  <c r="BU24" i="1" s="1"/>
  <c r="AY110" i="1"/>
  <c r="BU110" i="1" s="1"/>
  <c r="AY112" i="1"/>
  <c r="BU112" i="1" s="1"/>
  <c r="AY145" i="1"/>
  <c r="BU145" i="1" s="1"/>
  <c r="AY173" i="1"/>
  <c r="BU173" i="1" s="1"/>
  <c r="AY231" i="1"/>
  <c r="BU231" i="1" s="1"/>
  <c r="AY234" i="1"/>
  <c r="BU234" i="1" s="1"/>
  <c r="AY321" i="1"/>
  <c r="BU321" i="1" s="1"/>
  <c r="AY323" i="1"/>
  <c r="BU323" i="1" s="1"/>
  <c r="AY23" i="1"/>
  <c r="BU23" i="1" s="1"/>
  <c r="AY49" i="1"/>
  <c r="BU49" i="1" s="1"/>
  <c r="AY146" i="1"/>
  <c r="BU146" i="1" s="1"/>
  <c r="AY172" i="1"/>
  <c r="BU172" i="1" s="1"/>
  <c r="AY174" i="1"/>
  <c r="BU174" i="1" s="1"/>
  <c r="AY230" i="1"/>
  <c r="BU230" i="1" s="1"/>
  <c r="AY232" i="1"/>
  <c r="BU232" i="1" s="1"/>
  <c r="AY272" i="1"/>
  <c r="BU272" i="1" s="1"/>
  <c r="AY322" i="1"/>
  <c r="BU322" i="1" s="1"/>
  <c r="AY324" i="1"/>
  <c r="BU324" i="1" s="1"/>
  <c r="AY372" i="1"/>
  <c r="BU372" i="1" s="1"/>
  <c r="AY401" i="1"/>
  <c r="BU401" i="1" s="1"/>
  <c r="AY413" i="1"/>
  <c r="BU413" i="1" s="1"/>
  <c r="AY369" i="1"/>
  <c r="BU369" i="1" s="1"/>
  <c r="CQ369" i="1" s="1"/>
  <c r="AY373" i="1"/>
  <c r="BU373" i="1" s="1"/>
  <c r="BC23" i="1"/>
  <c r="BY23" i="1" s="1"/>
  <c r="BC49" i="1"/>
  <c r="BY49" i="1" s="1"/>
  <c r="BC146" i="1"/>
  <c r="BY146" i="1" s="1"/>
  <c r="BC172" i="1"/>
  <c r="BY172" i="1" s="1"/>
  <c r="BC174" i="1"/>
  <c r="BY174" i="1" s="1"/>
  <c r="BC230" i="1"/>
  <c r="BY230" i="1" s="1"/>
  <c r="BC232" i="1"/>
  <c r="BY232" i="1" s="1"/>
  <c r="BC272" i="1"/>
  <c r="BY272" i="1" s="1"/>
  <c r="BC372" i="1"/>
  <c r="BY372" i="1" s="1"/>
  <c r="BC413" i="1"/>
  <c r="BY413" i="1" s="1"/>
  <c r="BC22" i="1"/>
  <c r="BY22" i="1" s="1"/>
  <c r="BC24" i="1"/>
  <c r="BY24" i="1" s="1"/>
  <c r="BC110" i="1"/>
  <c r="BY110" i="1" s="1"/>
  <c r="BC112" i="1"/>
  <c r="BY112" i="1" s="1"/>
  <c r="BC145" i="1"/>
  <c r="BY145" i="1" s="1"/>
  <c r="AVH145" i="1" s="1"/>
  <c r="BC173" i="1"/>
  <c r="BY173" i="1" s="1"/>
  <c r="BC231" i="1"/>
  <c r="BY231" i="1" s="1"/>
  <c r="BC234" i="1"/>
  <c r="BY234" i="1" s="1"/>
  <c r="BC321" i="1"/>
  <c r="BY321" i="1" s="1"/>
  <c r="BC323" i="1"/>
  <c r="BY323" i="1" s="1"/>
  <c r="BC369" i="1"/>
  <c r="BY369" i="1" s="1"/>
  <c r="CU369" i="1" s="1"/>
  <c r="BC373" i="1"/>
  <c r="BY373" i="1" s="1"/>
  <c r="BC400" i="1"/>
  <c r="BY400" i="1" s="1"/>
  <c r="BC322" i="1"/>
  <c r="BY322" i="1" s="1"/>
  <c r="BC324" i="1"/>
  <c r="BY324" i="1" s="1"/>
  <c r="BC401" i="1"/>
  <c r="BY401" i="1" s="1"/>
  <c r="BG23" i="1"/>
  <c r="CC23" i="1" s="1"/>
  <c r="BG49" i="1"/>
  <c r="CC49" i="1" s="1"/>
  <c r="BG146" i="1"/>
  <c r="CC146" i="1" s="1"/>
  <c r="BG172" i="1"/>
  <c r="CC172" i="1" s="1"/>
  <c r="BG174" i="1"/>
  <c r="CC174" i="1" s="1"/>
  <c r="BG230" i="1"/>
  <c r="CC230" i="1" s="1"/>
  <c r="BG232" i="1"/>
  <c r="CC232" i="1" s="1"/>
  <c r="BG272" i="1"/>
  <c r="CC272" i="1" s="1"/>
  <c r="BG372" i="1"/>
  <c r="CC372" i="1" s="1"/>
  <c r="BG413" i="1"/>
  <c r="CC413" i="1" s="1"/>
  <c r="BG22" i="1"/>
  <c r="CC22" i="1" s="1"/>
  <c r="BG24" i="1"/>
  <c r="CC24" i="1" s="1"/>
  <c r="BG110" i="1"/>
  <c r="CC110" i="1" s="1"/>
  <c r="BG112" i="1"/>
  <c r="CC112" i="1" s="1"/>
  <c r="BG145" i="1"/>
  <c r="CC145" i="1" s="1"/>
  <c r="AVL145" i="1" s="1"/>
  <c r="BG173" i="1"/>
  <c r="CC173" i="1" s="1"/>
  <c r="BG231" i="1"/>
  <c r="CC231" i="1" s="1"/>
  <c r="BG234" i="1"/>
  <c r="CC234" i="1" s="1"/>
  <c r="BG321" i="1"/>
  <c r="CC321" i="1" s="1"/>
  <c r="BG323" i="1"/>
  <c r="CC323" i="1" s="1"/>
  <c r="BG369" i="1"/>
  <c r="CC369" i="1" s="1"/>
  <c r="CY369" i="1" s="1"/>
  <c r="BG373" i="1"/>
  <c r="CC373" i="1" s="1"/>
  <c r="BG322" i="1"/>
  <c r="CC322" i="1" s="1"/>
  <c r="BG324" i="1"/>
  <c r="CC324" i="1" s="1"/>
  <c r="BG401" i="1"/>
  <c r="CC401" i="1" s="1"/>
  <c r="M42" i="3"/>
  <c r="AB42" i="3" s="1"/>
  <c r="BB423" i="1"/>
  <c r="BB69" i="1"/>
  <c r="BD423" i="1"/>
  <c r="BZ423" i="1" s="1"/>
  <c r="BD69" i="1"/>
  <c r="BZ69" i="1" s="1"/>
  <c r="AVI69" i="1" s="1"/>
  <c r="CO417" i="1"/>
  <c r="CQ129" i="1"/>
  <c r="CZ129" i="1"/>
  <c r="CZ185" i="1"/>
  <c r="CZ281" i="1"/>
  <c r="Z165" i="12"/>
  <c r="K6" i="3"/>
  <c r="K8" i="3"/>
  <c r="K12" i="3"/>
  <c r="Y444" i="1" s="1"/>
  <c r="AU444" i="1" s="1"/>
  <c r="BQ444" i="1" s="1"/>
  <c r="AUZ444" i="1" s="1"/>
  <c r="K15" i="3"/>
  <c r="K17" i="3"/>
  <c r="AZ75" i="1"/>
  <c r="BV75" i="1" s="1"/>
  <c r="AVE75" i="1" s="1"/>
  <c r="AZ95" i="1"/>
  <c r="BV95" i="1" s="1"/>
  <c r="AVE95" i="1" s="1"/>
  <c r="AZ151" i="1"/>
  <c r="BV151" i="1" s="1"/>
  <c r="AZ283" i="1"/>
  <c r="BV283" i="1" s="1"/>
  <c r="AVE283" i="1" s="1"/>
  <c r="AZ343" i="1"/>
  <c r="BV343" i="1" s="1"/>
  <c r="AZ345" i="1"/>
  <c r="BV345" i="1" s="1"/>
  <c r="AZ152" i="1"/>
  <c r="BV152" i="1" s="1"/>
  <c r="AZ284" i="1"/>
  <c r="BV284" i="1" s="1"/>
  <c r="AZ289" i="1"/>
  <c r="BV289" i="1" s="1"/>
  <c r="AZ387" i="1"/>
  <c r="BV387" i="1" s="1"/>
  <c r="AVE387" i="1" s="1"/>
  <c r="AZ405" i="1"/>
  <c r="BV405" i="1" s="1"/>
  <c r="AVE405" i="1" s="1"/>
  <c r="BB75" i="1"/>
  <c r="BB95" i="1"/>
  <c r="BB151" i="1"/>
  <c r="BX151" i="1" s="1"/>
  <c r="BB283" i="1"/>
  <c r="BB343" i="1"/>
  <c r="BB345" i="1"/>
  <c r="BX345" i="1" s="1"/>
  <c r="BB152" i="1"/>
  <c r="BX152" i="1" s="1"/>
  <c r="BB284" i="1"/>
  <c r="BX284" i="1" s="1"/>
  <c r="BB289" i="1"/>
  <c r="BX289" i="1" s="1"/>
  <c r="BB387" i="1"/>
  <c r="BB405" i="1"/>
  <c r="BD75" i="1"/>
  <c r="BZ75" i="1" s="1"/>
  <c r="AVI75" i="1" s="1"/>
  <c r="BD95" i="1"/>
  <c r="BZ95" i="1" s="1"/>
  <c r="AVI95" i="1" s="1"/>
  <c r="BD151" i="1"/>
  <c r="BZ151" i="1" s="1"/>
  <c r="BD283" i="1"/>
  <c r="BZ283" i="1" s="1"/>
  <c r="AVI283" i="1" s="1"/>
  <c r="BD152" i="1"/>
  <c r="BZ152" i="1" s="1"/>
  <c r="BD284" i="1"/>
  <c r="BZ284" i="1" s="1"/>
  <c r="BD289" i="1"/>
  <c r="BZ289" i="1" s="1"/>
  <c r="BD387" i="1"/>
  <c r="BZ387" i="1" s="1"/>
  <c r="AVI387" i="1" s="1"/>
  <c r="BD405" i="1"/>
  <c r="BZ405" i="1" s="1"/>
  <c r="AVI405" i="1" s="1"/>
  <c r="BD343" i="1"/>
  <c r="BZ343" i="1" s="1"/>
  <c r="BD345" i="1"/>
  <c r="BZ345" i="1" s="1"/>
  <c r="BF75" i="1"/>
  <c r="CB75" i="1" s="1"/>
  <c r="AVK75" i="1" s="1"/>
  <c r="BF95" i="1"/>
  <c r="CB95" i="1" s="1"/>
  <c r="AVK95" i="1" s="1"/>
  <c r="BF151" i="1"/>
  <c r="CB151" i="1" s="1"/>
  <c r="BF283" i="1"/>
  <c r="CB283" i="1" s="1"/>
  <c r="AVK283" i="1" s="1"/>
  <c r="BF343" i="1"/>
  <c r="CB343" i="1" s="1"/>
  <c r="BF345" i="1"/>
  <c r="CB345" i="1" s="1"/>
  <c r="BF152" i="1"/>
  <c r="CB152" i="1" s="1"/>
  <c r="BF284" i="1"/>
  <c r="CB284" i="1" s="1"/>
  <c r="BF289" i="1"/>
  <c r="CB289" i="1" s="1"/>
  <c r="BF387" i="1"/>
  <c r="CB387" i="1" s="1"/>
  <c r="AVK387" i="1" s="1"/>
  <c r="BF405" i="1"/>
  <c r="CB405" i="1" s="1"/>
  <c r="AVK405" i="1" s="1"/>
  <c r="AZ346" i="1"/>
  <c r="BV346" i="1" s="1"/>
  <c r="BB346" i="1"/>
  <c r="BX346" i="1" s="1"/>
  <c r="BD346" i="1"/>
  <c r="BZ346" i="1" s="1"/>
  <c r="BF346" i="1"/>
  <c r="CB346" i="1" s="1"/>
  <c r="AX4" i="1"/>
  <c r="AZ9" i="1"/>
  <c r="BV9" i="1" s="1"/>
  <c r="AZ12" i="1"/>
  <c r="BV12" i="1" s="1"/>
  <c r="AZ34" i="1"/>
  <c r="BV34" i="1" s="1"/>
  <c r="AZ36" i="1"/>
  <c r="BV36" i="1" s="1"/>
  <c r="AZ77" i="1"/>
  <c r="BV77" i="1" s="1"/>
  <c r="AZ79" i="1"/>
  <c r="BV79" i="1" s="1"/>
  <c r="AZ102" i="1"/>
  <c r="BV102" i="1" s="1"/>
  <c r="AZ120" i="1"/>
  <c r="BV120" i="1" s="1"/>
  <c r="AZ122" i="1"/>
  <c r="BV122" i="1" s="1"/>
  <c r="AZ132" i="1"/>
  <c r="BV132" i="1" s="1"/>
  <c r="CR132" i="1" s="1"/>
  <c r="AZ134" i="1"/>
  <c r="BV134" i="1" s="1"/>
  <c r="AZ136" i="1"/>
  <c r="BV136" i="1" s="1"/>
  <c r="AZ153" i="1"/>
  <c r="BV153" i="1" s="1"/>
  <c r="AZ155" i="1"/>
  <c r="BV155" i="1" s="1"/>
  <c r="AZ191" i="1"/>
  <c r="BV191" i="1" s="1"/>
  <c r="AVE191" i="1" s="1"/>
  <c r="AZ193" i="1"/>
  <c r="BV193" i="1" s="1"/>
  <c r="AZ195" i="1"/>
  <c r="BV195" i="1" s="1"/>
  <c r="AZ215" i="1"/>
  <c r="BV215" i="1" s="1"/>
  <c r="AZ217" i="1"/>
  <c r="BV217" i="1" s="1"/>
  <c r="AZ255" i="1"/>
  <c r="BV255" i="1" s="1"/>
  <c r="AZ285" i="1"/>
  <c r="BV285" i="1" s="1"/>
  <c r="AZ288" i="1"/>
  <c r="BV288" i="1" s="1"/>
  <c r="AZ292" i="1"/>
  <c r="BV292" i="1" s="1"/>
  <c r="AZ294" i="1"/>
  <c r="BV294" i="1" s="1"/>
  <c r="AZ347" i="1"/>
  <c r="BV347" i="1" s="1"/>
  <c r="AZ349" i="1"/>
  <c r="BV349" i="1" s="1"/>
  <c r="AZ388" i="1"/>
  <c r="BV388" i="1" s="1"/>
  <c r="AZ390" i="1"/>
  <c r="BV390" i="1" s="1"/>
  <c r="AZ392" i="1"/>
  <c r="BV392" i="1" s="1"/>
  <c r="AZ406" i="1"/>
  <c r="BV406" i="1" s="1"/>
  <c r="AZ408" i="1"/>
  <c r="BV408" i="1" s="1"/>
  <c r="AZ11" i="1"/>
  <c r="BV11" i="1" s="1"/>
  <c r="AZ37" i="1"/>
  <c r="BV37" i="1" s="1"/>
  <c r="AZ76" i="1"/>
  <c r="BV76" i="1" s="1"/>
  <c r="CR76" i="1" s="1"/>
  <c r="AZ78" i="1"/>
  <c r="BV78" i="1" s="1"/>
  <c r="CR78" i="1" s="1"/>
  <c r="AZ97" i="1"/>
  <c r="BV97" i="1" s="1"/>
  <c r="AZ101" i="1"/>
  <c r="BV101" i="1" s="1"/>
  <c r="AZ103" i="1"/>
  <c r="BV103" i="1" s="1"/>
  <c r="AZ119" i="1"/>
  <c r="BV119" i="1" s="1"/>
  <c r="AVE119" i="1" s="1"/>
  <c r="AZ121" i="1"/>
  <c r="BV121" i="1" s="1"/>
  <c r="AZ123" i="1"/>
  <c r="AZ131" i="1"/>
  <c r="BV131" i="1" s="1"/>
  <c r="AZ133" i="1"/>
  <c r="BV133" i="1" s="1"/>
  <c r="AZ135" i="1"/>
  <c r="BV135" i="1" s="1"/>
  <c r="AZ137" i="1"/>
  <c r="BV137" i="1" s="1"/>
  <c r="AZ150" i="1"/>
  <c r="BV150" i="1" s="1"/>
  <c r="AVE150" i="1" s="1"/>
  <c r="AZ154" i="1"/>
  <c r="BV154" i="1" s="1"/>
  <c r="AZ156" i="1"/>
  <c r="BV156" i="1" s="1"/>
  <c r="AZ192" i="1"/>
  <c r="BV192" i="1" s="1"/>
  <c r="AZ194" i="1"/>
  <c r="BV194" i="1" s="1"/>
  <c r="AZ214" i="1"/>
  <c r="BV214" i="1" s="1"/>
  <c r="AVE214" i="1" s="1"/>
  <c r="AZ216" i="1"/>
  <c r="BV216" i="1" s="1"/>
  <c r="AZ218" i="1"/>
  <c r="BV218" i="1" s="1"/>
  <c r="AZ254" i="1"/>
  <c r="BV254" i="1" s="1"/>
  <c r="AVE254" i="1" s="1"/>
  <c r="AZ256" i="1"/>
  <c r="BV256" i="1" s="1"/>
  <c r="AZ287" i="1"/>
  <c r="BV287" i="1" s="1"/>
  <c r="AZ291" i="1"/>
  <c r="BV291" i="1" s="1"/>
  <c r="AZ293" i="1"/>
  <c r="BV293" i="1" s="1"/>
  <c r="AZ295" i="1"/>
  <c r="BV295" i="1" s="1"/>
  <c r="AZ344" i="1"/>
  <c r="BV344" i="1" s="1"/>
  <c r="AZ348" i="1"/>
  <c r="BV348" i="1" s="1"/>
  <c r="AZ350" i="1"/>
  <c r="BV350" i="1" s="1"/>
  <c r="AZ389" i="1"/>
  <c r="BV389" i="1" s="1"/>
  <c r="AZ391" i="1"/>
  <c r="BV391" i="1" s="1"/>
  <c r="AZ393" i="1"/>
  <c r="BV393" i="1" s="1"/>
  <c r="AZ407" i="1"/>
  <c r="BV407" i="1" s="1"/>
  <c r="AD4" i="1"/>
  <c r="BB9" i="1"/>
  <c r="BX9" i="1" s="1"/>
  <c r="BB12" i="1"/>
  <c r="BX12" i="1" s="1"/>
  <c r="BB34" i="1"/>
  <c r="BX34" i="1" s="1"/>
  <c r="BB36" i="1"/>
  <c r="BX36" i="1" s="1"/>
  <c r="BB77" i="1"/>
  <c r="BX77" i="1" s="1"/>
  <c r="BB79" i="1"/>
  <c r="BX79" i="1" s="1"/>
  <c r="BB102" i="1"/>
  <c r="BX102" i="1" s="1"/>
  <c r="BB120" i="1"/>
  <c r="BX120" i="1" s="1"/>
  <c r="BB122" i="1"/>
  <c r="BX122" i="1" s="1"/>
  <c r="BB132" i="1"/>
  <c r="BX132" i="1" s="1"/>
  <c r="CT132" i="1" s="1"/>
  <c r="BB134" i="1"/>
  <c r="BX134" i="1" s="1"/>
  <c r="BB136" i="1"/>
  <c r="BX136" i="1" s="1"/>
  <c r="BB153" i="1"/>
  <c r="BX153" i="1" s="1"/>
  <c r="BB155" i="1"/>
  <c r="BX155" i="1" s="1"/>
  <c r="BB191" i="1"/>
  <c r="BB193" i="1"/>
  <c r="BX193" i="1" s="1"/>
  <c r="BB195" i="1"/>
  <c r="BX195" i="1" s="1"/>
  <c r="BB215" i="1"/>
  <c r="BX215" i="1" s="1"/>
  <c r="BB217" i="1"/>
  <c r="BX217" i="1" s="1"/>
  <c r="BB255" i="1"/>
  <c r="BX255" i="1" s="1"/>
  <c r="BB285" i="1"/>
  <c r="BX285" i="1" s="1"/>
  <c r="BB288" i="1"/>
  <c r="BX288" i="1" s="1"/>
  <c r="BB292" i="1"/>
  <c r="BX292" i="1" s="1"/>
  <c r="BB294" i="1"/>
  <c r="BX294" i="1" s="1"/>
  <c r="BB347" i="1"/>
  <c r="BX347" i="1" s="1"/>
  <c r="BB390" i="1"/>
  <c r="BX390" i="1" s="1"/>
  <c r="BB406" i="1"/>
  <c r="BX406" i="1" s="1"/>
  <c r="BB408" i="1"/>
  <c r="BX408" i="1" s="1"/>
  <c r="BB11" i="1"/>
  <c r="BX11" i="1" s="1"/>
  <c r="BB37" i="1"/>
  <c r="BX37" i="1" s="1"/>
  <c r="BB76" i="1"/>
  <c r="BX76" i="1" s="1"/>
  <c r="CT76" i="1" s="1"/>
  <c r="BB78" i="1"/>
  <c r="BX78" i="1" s="1"/>
  <c r="CT78" i="1" s="1"/>
  <c r="BB97" i="1"/>
  <c r="BX97" i="1" s="1"/>
  <c r="BB101" i="1"/>
  <c r="BX101" i="1" s="1"/>
  <c r="BB103" i="1"/>
  <c r="BX103" i="1" s="1"/>
  <c r="BB119" i="1"/>
  <c r="BB121" i="1"/>
  <c r="BX121" i="1" s="1"/>
  <c r="BB123" i="1"/>
  <c r="BB131" i="1"/>
  <c r="BB133" i="1"/>
  <c r="BB135" i="1"/>
  <c r="BX135" i="1" s="1"/>
  <c r="BB137" i="1"/>
  <c r="BX137" i="1" s="1"/>
  <c r="BB150" i="1"/>
  <c r="BB154" i="1"/>
  <c r="BX154" i="1" s="1"/>
  <c r="BB156" i="1"/>
  <c r="BX156" i="1" s="1"/>
  <c r="BB192" i="1"/>
  <c r="BX192" i="1" s="1"/>
  <c r="BB194" i="1"/>
  <c r="BX194" i="1" s="1"/>
  <c r="BB214" i="1"/>
  <c r="BB216" i="1"/>
  <c r="BX216" i="1" s="1"/>
  <c r="BB218" i="1"/>
  <c r="BX218" i="1" s="1"/>
  <c r="BB254" i="1"/>
  <c r="BB256" i="1"/>
  <c r="BX256" i="1" s="1"/>
  <c r="BB287" i="1"/>
  <c r="BX287" i="1" s="1"/>
  <c r="BB291" i="1"/>
  <c r="BX291" i="1" s="1"/>
  <c r="BB293" i="1"/>
  <c r="BX293" i="1" s="1"/>
  <c r="BB295" i="1"/>
  <c r="BX295" i="1" s="1"/>
  <c r="BB344" i="1"/>
  <c r="BX344" i="1" s="1"/>
  <c r="BB348" i="1"/>
  <c r="BX348" i="1" s="1"/>
  <c r="BB350" i="1"/>
  <c r="BX350" i="1" s="1"/>
  <c r="BB389" i="1"/>
  <c r="BX389" i="1" s="1"/>
  <c r="BB391" i="1"/>
  <c r="BX391" i="1" s="1"/>
  <c r="BB393" i="1"/>
  <c r="BX393" i="1" s="1"/>
  <c r="BB407" i="1"/>
  <c r="BX407" i="1" s="1"/>
  <c r="BB349" i="1"/>
  <c r="BX349" i="1" s="1"/>
  <c r="BB388" i="1"/>
  <c r="BX388" i="1" s="1"/>
  <c r="BB392" i="1"/>
  <c r="BX392" i="1" s="1"/>
  <c r="AF4" i="1"/>
  <c r="BB4" i="1" s="1"/>
  <c r="BD9" i="1"/>
  <c r="BZ9" i="1" s="1"/>
  <c r="BD12" i="1"/>
  <c r="BZ12" i="1" s="1"/>
  <c r="BD34" i="1"/>
  <c r="BZ34" i="1" s="1"/>
  <c r="BD36" i="1"/>
  <c r="BZ36" i="1" s="1"/>
  <c r="BD77" i="1"/>
  <c r="BZ77" i="1" s="1"/>
  <c r="BD79" i="1"/>
  <c r="BZ79" i="1" s="1"/>
  <c r="BD102" i="1"/>
  <c r="BZ102" i="1" s="1"/>
  <c r="BD120" i="1"/>
  <c r="BZ120" i="1" s="1"/>
  <c r="BD122" i="1"/>
  <c r="BZ122" i="1" s="1"/>
  <c r="BD132" i="1"/>
  <c r="BZ132" i="1" s="1"/>
  <c r="CV132" i="1" s="1"/>
  <c r="BD134" i="1"/>
  <c r="BZ134" i="1" s="1"/>
  <c r="BD136" i="1"/>
  <c r="BZ136" i="1" s="1"/>
  <c r="BD153" i="1"/>
  <c r="BZ153" i="1" s="1"/>
  <c r="BD155" i="1"/>
  <c r="BZ155" i="1" s="1"/>
  <c r="BD191" i="1"/>
  <c r="BZ191" i="1" s="1"/>
  <c r="AVI191" i="1" s="1"/>
  <c r="BD193" i="1"/>
  <c r="BZ193" i="1" s="1"/>
  <c r="BD195" i="1"/>
  <c r="BZ195" i="1" s="1"/>
  <c r="BD215" i="1"/>
  <c r="BZ215" i="1" s="1"/>
  <c r="BD217" i="1"/>
  <c r="BZ217" i="1" s="1"/>
  <c r="BD255" i="1"/>
  <c r="BZ255" i="1" s="1"/>
  <c r="BD285" i="1"/>
  <c r="BZ285" i="1" s="1"/>
  <c r="BD288" i="1"/>
  <c r="BZ288" i="1" s="1"/>
  <c r="BD292" i="1"/>
  <c r="BZ292" i="1" s="1"/>
  <c r="BD294" i="1"/>
  <c r="BZ294" i="1" s="1"/>
  <c r="BD349" i="1"/>
  <c r="BZ349" i="1" s="1"/>
  <c r="BD388" i="1"/>
  <c r="BZ388" i="1" s="1"/>
  <c r="BD392" i="1"/>
  <c r="BZ392" i="1" s="1"/>
  <c r="AH4" i="1"/>
  <c r="BD11" i="1"/>
  <c r="BZ11" i="1" s="1"/>
  <c r="BD37" i="1"/>
  <c r="BZ37" i="1" s="1"/>
  <c r="BD76" i="1"/>
  <c r="BZ76" i="1" s="1"/>
  <c r="CV76" i="1" s="1"/>
  <c r="BD78" i="1"/>
  <c r="BZ78" i="1" s="1"/>
  <c r="CV78" i="1" s="1"/>
  <c r="BD97" i="1"/>
  <c r="BZ97" i="1" s="1"/>
  <c r="BD101" i="1"/>
  <c r="BZ101" i="1" s="1"/>
  <c r="BD103" i="1"/>
  <c r="BZ103" i="1" s="1"/>
  <c r="BD119" i="1"/>
  <c r="BZ119" i="1" s="1"/>
  <c r="AVI119" i="1" s="1"/>
  <c r="BD121" i="1"/>
  <c r="BZ121" i="1" s="1"/>
  <c r="BD123" i="1"/>
  <c r="BD131" i="1"/>
  <c r="BZ131" i="1" s="1"/>
  <c r="BD133" i="1"/>
  <c r="BZ133" i="1" s="1"/>
  <c r="BD135" i="1"/>
  <c r="BZ135" i="1" s="1"/>
  <c r="BD137" i="1"/>
  <c r="BZ137" i="1" s="1"/>
  <c r="BD150" i="1"/>
  <c r="BZ150" i="1" s="1"/>
  <c r="AVI150" i="1" s="1"/>
  <c r="BD154" i="1"/>
  <c r="BZ154" i="1" s="1"/>
  <c r="BD156" i="1"/>
  <c r="BZ156" i="1" s="1"/>
  <c r="BD192" i="1"/>
  <c r="BZ192" i="1" s="1"/>
  <c r="BD194" i="1"/>
  <c r="BZ194" i="1" s="1"/>
  <c r="BD214" i="1"/>
  <c r="BZ214" i="1" s="1"/>
  <c r="AVI214" i="1" s="1"/>
  <c r="BD216" i="1"/>
  <c r="BZ216" i="1" s="1"/>
  <c r="BD218" i="1"/>
  <c r="BZ218" i="1" s="1"/>
  <c r="BD254" i="1"/>
  <c r="BZ254" i="1" s="1"/>
  <c r="AVI254" i="1" s="1"/>
  <c r="BD256" i="1"/>
  <c r="BZ256" i="1" s="1"/>
  <c r="BD287" i="1"/>
  <c r="BZ287" i="1" s="1"/>
  <c r="BD291" i="1"/>
  <c r="BZ291" i="1" s="1"/>
  <c r="BD293" i="1"/>
  <c r="BZ293" i="1" s="1"/>
  <c r="BD295" i="1"/>
  <c r="BZ295" i="1" s="1"/>
  <c r="BD344" i="1"/>
  <c r="BZ344" i="1" s="1"/>
  <c r="BD348" i="1"/>
  <c r="BZ348" i="1" s="1"/>
  <c r="BD350" i="1"/>
  <c r="BZ350" i="1" s="1"/>
  <c r="BD389" i="1"/>
  <c r="BZ389" i="1" s="1"/>
  <c r="BD391" i="1"/>
  <c r="BZ391" i="1" s="1"/>
  <c r="BD393" i="1"/>
  <c r="BZ393" i="1" s="1"/>
  <c r="BD407" i="1"/>
  <c r="BZ407" i="1" s="1"/>
  <c r="BD347" i="1"/>
  <c r="BZ347" i="1" s="1"/>
  <c r="BD390" i="1"/>
  <c r="BZ390" i="1" s="1"/>
  <c r="BD406" i="1"/>
  <c r="BZ406" i="1" s="1"/>
  <c r="BD408" i="1"/>
  <c r="BZ408" i="1" s="1"/>
  <c r="BF9" i="1"/>
  <c r="CB9" i="1" s="1"/>
  <c r="BF12" i="1"/>
  <c r="CB12" i="1" s="1"/>
  <c r="BF34" i="1"/>
  <c r="CB34" i="1" s="1"/>
  <c r="BF36" i="1"/>
  <c r="CB36" i="1" s="1"/>
  <c r="BF77" i="1"/>
  <c r="CB77" i="1" s="1"/>
  <c r="BF79" i="1"/>
  <c r="CB79" i="1" s="1"/>
  <c r="BF102" i="1"/>
  <c r="CB102" i="1" s="1"/>
  <c r="BF120" i="1"/>
  <c r="CB120" i="1" s="1"/>
  <c r="BF122" i="1"/>
  <c r="CB122" i="1" s="1"/>
  <c r="BF132" i="1"/>
  <c r="CB132" i="1" s="1"/>
  <c r="CX132" i="1" s="1"/>
  <c r="BF134" i="1"/>
  <c r="CB134" i="1" s="1"/>
  <c r="BF136" i="1"/>
  <c r="CB136" i="1" s="1"/>
  <c r="BF153" i="1"/>
  <c r="CB153" i="1" s="1"/>
  <c r="BF155" i="1"/>
  <c r="CB155" i="1" s="1"/>
  <c r="BF191" i="1"/>
  <c r="CB191" i="1" s="1"/>
  <c r="AVK191" i="1" s="1"/>
  <c r="BF193" i="1"/>
  <c r="CB193" i="1" s="1"/>
  <c r="BF195" i="1"/>
  <c r="CB195" i="1" s="1"/>
  <c r="BF215" i="1"/>
  <c r="CB215" i="1" s="1"/>
  <c r="BF217" i="1"/>
  <c r="CB217" i="1" s="1"/>
  <c r="BF255" i="1"/>
  <c r="CB255" i="1" s="1"/>
  <c r="BF285" i="1"/>
  <c r="CB285" i="1" s="1"/>
  <c r="BF288" i="1"/>
  <c r="CB288" i="1" s="1"/>
  <c r="BF292" i="1"/>
  <c r="CB292" i="1" s="1"/>
  <c r="BF294" i="1"/>
  <c r="CB294" i="1" s="1"/>
  <c r="BF347" i="1"/>
  <c r="CB347" i="1" s="1"/>
  <c r="BF390" i="1"/>
  <c r="CB390" i="1" s="1"/>
  <c r="BF406" i="1"/>
  <c r="CB406" i="1" s="1"/>
  <c r="BF408" i="1"/>
  <c r="CB408" i="1" s="1"/>
  <c r="BF11" i="1"/>
  <c r="CB11" i="1" s="1"/>
  <c r="BF37" i="1"/>
  <c r="CB37" i="1" s="1"/>
  <c r="BF76" i="1"/>
  <c r="CB76" i="1" s="1"/>
  <c r="CX76" i="1" s="1"/>
  <c r="BF78" i="1"/>
  <c r="CB78" i="1" s="1"/>
  <c r="CX78" i="1" s="1"/>
  <c r="BF97" i="1"/>
  <c r="CB97" i="1" s="1"/>
  <c r="BF101" i="1"/>
  <c r="CB101" i="1" s="1"/>
  <c r="BF103" i="1"/>
  <c r="CB103" i="1" s="1"/>
  <c r="BF119" i="1"/>
  <c r="CB119" i="1" s="1"/>
  <c r="AVK119" i="1" s="1"/>
  <c r="BF121" i="1"/>
  <c r="CB121" i="1" s="1"/>
  <c r="BF123" i="1"/>
  <c r="BF131" i="1"/>
  <c r="CB131" i="1" s="1"/>
  <c r="BF133" i="1"/>
  <c r="CB133" i="1" s="1"/>
  <c r="BF135" i="1"/>
  <c r="CB135" i="1" s="1"/>
  <c r="BF137" i="1"/>
  <c r="CB137" i="1" s="1"/>
  <c r="BF150" i="1"/>
  <c r="CB150" i="1" s="1"/>
  <c r="AVK150" i="1" s="1"/>
  <c r="BF154" i="1"/>
  <c r="CB154" i="1" s="1"/>
  <c r="BF156" i="1"/>
  <c r="CB156" i="1" s="1"/>
  <c r="BF192" i="1"/>
  <c r="CB192" i="1" s="1"/>
  <c r="BF194" i="1"/>
  <c r="CB194" i="1" s="1"/>
  <c r="BF214" i="1"/>
  <c r="CB214" i="1" s="1"/>
  <c r="AVK214" i="1" s="1"/>
  <c r="BF216" i="1"/>
  <c r="CB216" i="1" s="1"/>
  <c r="BF218" i="1"/>
  <c r="CB218" i="1" s="1"/>
  <c r="BF254" i="1"/>
  <c r="CB254" i="1" s="1"/>
  <c r="AVK254" i="1" s="1"/>
  <c r="BF256" i="1"/>
  <c r="CB256" i="1" s="1"/>
  <c r="BF287" i="1"/>
  <c r="CB287" i="1" s="1"/>
  <c r="BF291" i="1"/>
  <c r="CB291" i="1" s="1"/>
  <c r="BF293" i="1"/>
  <c r="CB293" i="1" s="1"/>
  <c r="BF295" i="1"/>
  <c r="CB295" i="1" s="1"/>
  <c r="BF344" i="1"/>
  <c r="CB344" i="1" s="1"/>
  <c r="BF348" i="1"/>
  <c r="CB348" i="1" s="1"/>
  <c r="BF350" i="1"/>
  <c r="CB350" i="1" s="1"/>
  <c r="BF389" i="1"/>
  <c r="CB389" i="1" s="1"/>
  <c r="BF391" i="1"/>
  <c r="CB391" i="1" s="1"/>
  <c r="BF393" i="1"/>
  <c r="CB393" i="1" s="1"/>
  <c r="BF407" i="1"/>
  <c r="CB407" i="1" s="1"/>
  <c r="BF349" i="1"/>
  <c r="CB349" i="1" s="1"/>
  <c r="BF388" i="1"/>
  <c r="CB388" i="1" s="1"/>
  <c r="BF392" i="1"/>
  <c r="CB392" i="1" s="1"/>
  <c r="AJ4" i="1"/>
  <c r="AL4" i="1"/>
  <c r="AZ229" i="1"/>
  <c r="BV229" i="1" s="1"/>
  <c r="AZ319" i="1"/>
  <c r="BV319" i="1" s="1"/>
  <c r="AZ325" i="1"/>
  <c r="BV325" i="1" s="1"/>
  <c r="AZ320" i="1"/>
  <c r="BV320" i="1" s="1"/>
  <c r="AZ368" i="1"/>
  <c r="BV368" i="1" s="1"/>
  <c r="AZ370" i="1"/>
  <c r="BV370" i="1" s="1"/>
  <c r="BB229" i="1"/>
  <c r="BX229" i="1" s="1"/>
  <c r="BB319" i="1"/>
  <c r="BB320" i="1"/>
  <c r="BX320" i="1" s="1"/>
  <c r="BB368" i="1"/>
  <c r="BX368" i="1" s="1"/>
  <c r="BB370" i="1"/>
  <c r="BX370" i="1" s="1"/>
  <c r="BB325" i="1"/>
  <c r="BX325" i="1" s="1"/>
  <c r="BD229" i="1"/>
  <c r="BZ229" i="1" s="1"/>
  <c r="BD325" i="1"/>
  <c r="BZ325" i="1" s="1"/>
  <c r="BD320" i="1"/>
  <c r="BZ320" i="1" s="1"/>
  <c r="BD368" i="1"/>
  <c r="BZ368" i="1" s="1"/>
  <c r="BD370" i="1"/>
  <c r="BZ370" i="1" s="1"/>
  <c r="BD319" i="1"/>
  <c r="BZ319" i="1" s="1"/>
  <c r="BF229" i="1"/>
  <c r="CB229" i="1" s="1"/>
  <c r="BF319" i="1"/>
  <c r="CB319" i="1" s="1"/>
  <c r="BF320" i="1"/>
  <c r="CB320" i="1" s="1"/>
  <c r="BF368" i="1"/>
  <c r="CB368" i="1" s="1"/>
  <c r="BF370" i="1"/>
  <c r="CB370" i="1" s="1"/>
  <c r="BF325" i="1"/>
  <c r="CB325" i="1" s="1"/>
  <c r="AZ22" i="1"/>
  <c r="BV22" i="1" s="1"/>
  <c r="AZ24" i="1"/>
  <c r="BV24" i="1" s="1"/>
  <c r="AZ110" i="1"/>
  <c r="BV110" i="1" s="1"/>
  <c r="AZ112" i="1"/>
  <c r="BV112" i="1" s="1"/>
  <c r="AZ145" i="1"/>
  <c r="BV145" i="1" s="1"/>
  <c r="AVE145" i="1" s="1"/>
  <c r="AZ173" i="1"/>
  <c r="BV173" i="1" s="1"/>
  <c r="AZ231" i="1"/>
  <c r="BV231" i="1" s="1"/>
  <c r="AZ234" i="1"/>
  <c r="BV234" i="1" s="1"/>
  <c r="AZ321" i="1"/>
  <c r="BV321" i="1" s="1"/>
  <c r="AZ323" i="1"/>
  <c r="BV323" i="1" s="1"/>
  <c r="AZ369" i="1"/>
  <c r="BV369" i="1" s="1"/>
  <c r="CR369" i="1" s="1"/>
  <c r="AZ373" i="1"/>
  <c r="BV373" i="1" s="1"/>
  <c r="AZ23" i="1"/>
  <c r="BV23" i="1" s="1"/>
  <c r="AZ49" i="1"/>
  <c r="BV49" i="1" s="1"/>
  <c r="AZ146" i="1"/>
  <c r="BV146" i="1" s="1"/>
  <c r="AZ172" i="1"/>
  <c r="BV172" i="1" s="1"/>
  <c r="AZ174" i="1"/>
  <c r="BV174" i="1" s="1"/>
  <c r="AZ230" i="1"/>
  <c r="BV230" i="1" s="1"/>
  <c r="AZ232" i="1"/>
  <c r="BV232" i="1" s="1"/>
  <c r="AZ272" i="1"/>
  <c r="BV272" i="1" s="1"/>
  <c r="AZ322" i="1"/>
  <c r="BV322" i="1" s="1"/>
  <c r="AZ324" i="1"/>
  <c r="BV324" i="1" s="1"/>
  <c r="AZ372" i="1"/>
  <c r="BV372" i="1" s="1"/>
  <c r="AZ401" i="1"/>
  <c r="BV401" i="1" s="1"/>
  <c r="AZ413" i="1"/>
  <c r="BV413" i="1" s="1"/>
  <c r="BB22" i="1"/>
  <c r="BX22" i="1" s="1"/>
  <c r="BB24" i="1"/>
  <c r="BX24" i="1" s="1"/>
  <c r="BB110" i="1"/>
  <c r="BX110" i="1" s="1"/>
  <c r="BB112" i="1"/>
  <c r="BX112" i="1" s="1"/>
  <c r="BB145" i="1"/>
  <c r="BB173" i="1"/>
  <c r="BX173" i="1" s="1"/>
  <c r="BB231" i="1"/>
  <c r="BX231" i="1" s="1"/>
  <c r="BB234" i="1"/>
  <c r="BX234" i="1" s="1"/>
  <c r="BB321" i="1"/>
  <c r="BX321" i="1" s="1"/>
  <c r="BB323" i="1"/>
  <c r="BX323" i="1" s="1"/>
  <c r="BB373" i="1"/>
  <c r="BX373" i="1" s="1"/>
  <c r="BB23" i="1"/>
  <c r="BX23" i="1" s="1"/>
  <c r="BB49" i="1"/>
  <c r="BX49" i="1" s="1"/>
  <c r="BB146" i="1"/>
  <c r="BB172" i="1"/>
  <c r="BB174" i="1"/>
  <c r="BX174" i="1" s="1"/>
  <c r="BB230" i="1"/>
  <c r="BX230" i="1" s="1"/>
  <c r="BB232" i="1"/>
  <c r="BX232" i="1" s="1"/>
  <c r="BB272" i="1"/>
  <c r="BB322" i="1"/>
  <c r="BX322" i="1" s="1"/>
  <c r="BB324" i="1"/>
  <c r="BX324" i="1" s="1"/>
  <c r="BB372" i="1"/>
  <c r="BX372" i="1" s="1"/>
  <c r="BB401" i="1"/>
  <c r="BX401" i="1" s="1"/>
  <c r="BB413" i="1"/>
  <c r="BX413" i="1" s="1"/>
  <c r="BB369" i="1"/>
  <c r="BX369" i="1" s="1"/>
  <c r="CT369" i="1" s="1"/>
  <c r="BD22" i="1"/>
  <c r="BZ22" i="1" s="1"/>
  <c r="BD24" i="1"/>
  <c r="BZ24" i="1" s="1"/>
  <c r="BD110" i="1"/>
  <c r="BZ110" i="1" s="1"/>
  <c r="BD112" i="1"/>
  <c r="BZ112" i="1" s="1"/>
  <c r="BD145" i="1"/>
  <c r="BZ145" i="1" s="1"/>
  <c r="AVI145" i="1" s="1"/>
  <c r="BD173" i="1"/>
  <c r="BZ173" i="1" s="1"/>
  <c r="BD206" i="1"/>
  <c r="BZ206" i="1" s="1"/>
  <c r="BD231" i="1"/>
  <c r="BZ231" i="1" s="1"/>
  <c r="BD234" i="1"/>
  <c r="BZ234" i="1" s="1"/>
  <c r="BD369" i="1"/>
  <c r="BZ369" i="1" s="1"/>
  <c r="CV369" i="1" s="1"/>
  <c r="BD23" i="1"/>
  <c r="BZ23" i="1" s="1"/>
  <c r="BD49" i="1"/>
  <c r="BZ49" i="1" s="1"/>
  <c r="BD146" i="1"/>
  <c r="BZ146" i="1" s="1"/>
  <c r="BD172" i="1"/>
  <c r="BZ172" i="1" s="1"/>
  <c r="BD174" i="1"/>
  <c r="BZ174" i="1" s="1"/>
  <c r="BD230" i="1"/>
  <c r="BZ230" i="1" s="1"/>
  <c r="BD232" i="1"/>
  <c r="BZ232" i="1" s="1"/>
  <c r="BD272" i="1"/>
  <c r="BZ272" i="1" s="1"/>
  <c r="BD322" i="1"/>
  <c r="BZ322" i="1" s="1"/>
  <c r="BD324" i="1"/>
  <c r="BZ324" i="1" s="1"/>
  <c r="BD372" i="1"/>
  <c r="BZ372" i="1" s="1"/>
  <c r="BD401" i="1"/>
  <c r="BZ401" i="1" s="1"/>
  <c r="BD413" i="1"/>
  <c r="BZ413" i="1" s="1"/>
  <c r="BD321" i="1"/>
  <c r="BZ321" i="1" s="1"/>
  <c r="BD323" i="1"/>
  <c r="BZ323" i="1" s="1"/>
  <c r="BD373" i="1"/>
  <c r="BZ373" i="1" s="1"/>
  <c r="BF22" i="1"/>
  <c r="CB22" i="1" s="1"/>
  <c r="BF24" i="1"/>
  <c r="CB24" i="1" s="1"/>
  <c r="BF110" i="1"/>
  <c r="CB110" i="1" s="1"/>
  <c r="BF112" i="1"/>
  <c r="CB112" i="1" s="1"/>
  <c r="BF145" i="1"/>
  <c r="CB145" i="1" s="1"/>
  <c r="AVK145" i="1" s="1"/>
  <c r="BF173" i="1"/>
  <c r="CB173" i="1" s="1"/>
  <c r="BF231" i="1"/>
  <c r="CB231" i="1" s="1"/>
  <c r="BF234" i="1"/>
  <c r="CB234" i="1" s="1"/>
  <c r="BF321" i="1"/>
  <c r="CB321" i="1" s="1"/>
  <c r="BF323" i="1"/>
  <c r="CB323" i="1" s="1"/>
  <c r="BF373" i="1"/>
  <c r="CB373" i="1" s="1"/>
  <c r="BF23" i="1"/>
  <c r="CB23" i="1" s="1"/>
  <c r="BF49" i="1"/>
  <c r="CB49" i="1" s="1"/>
  <c r="BF146" i="1"/>
  <c r="CB146" i="1" s="1"/>
  <c r="BF172" i="1"/>
  <c r="CB172" i="1" s="1"/>
  <c r="BF174" i="1"/>
  <c r="CB174" i="1" s="1"/>
  <c r="BF230" i="1"/>
  <c r="CB230" i="1" s="1"/>
  <c r="BF232" i="1"/>
  <c r="CB232" i="1" s="1"/>
  <c r="BF272" i="1"/>
  <c r="CB272" i="1" s="1"/>
  <c r="BF322" i="1"/>
  <c r="CB322" i="1" s="1"/>
  <c r="BF324" i="1"/>
  <c r="CB324" i="1" s="1"/>
  <c r="BF372" i="1"/>
  <c r="CB372" i="1" s="1"/>
  <c r="BF401" i="1"/>
  <c r="CB401" i="1" s="1"/>
  <c r="BF413" i="1"/>
  <c r="CB413" i="1" s="1"/>
  <c r="BF369" i="1"/>
  <c r="CB369" i="1" s="1"/>
  <c r="CX369" i="1" s="1"/>
  <c r="K29" i="3"/>
  <c r="Y93" i="1" s="1"/>
  <c r="AU93" i="1" s="1"/>
  <c r="BQ93" i="1" s="1"/>
  <c r="K30" i="3"/>
  <c r="K31" i="3"/>
  <c r="U423" i="1"/>
  <c r="AVA423" i="1" s="1"/>
  <c r="U69" i="1"/>
  <c r="AVA69" i="1" s="1"/>
  <c r="K42" i="3"/>
  <c r="AY423" i="1"/>
  <c r="BU423" i="1" s="1"/>
  <c r="AY69" i="1"/>
  <c r="BU69" i="1" s="1"/>
  <c r="AVD69" i="1" s="1"/>
  <c r="BA423" i="1"/>
  <c r="BW423" i="1" s="1"/>
  <c r="BA69" i="1"/>
  <c r="BW69" i="1" s="1"/>
  <c r="AVF69" i="1" s="1"/>
  <c r="BC423" i="1"/>
  <c r="BY423" i="1" s="1"/>
  <c r="BC69" i="1"/>
  <c r="BY69" i="1" s="1"/>
  <c r="AVH69" i="1" s="1"/>
  <c r="BE423" i="1"/>
  <c r="CA423" i="1" s="1"/>
  <c r="BE69" i="1"/>
  <c r="CA69" i="1" s="1"/>
  <c r="AVJ69" i="1" s="1"/>
  <c r="BG423" i="1"/>
  <c r="CC423" i="1" s="1"/>
  <c r="BG69" i="1"/>
  <c r="CC69" i="1" s="1"/>
  <c r="AVL69" i="1" s="1"/>
  <c r="CO129" i="1"/>
  <c r="CO185" i="1"/>
  <c r="CZ416" i="1"/>
  <c r="Z138" i="12"/>
  <c r="CO281" i="1"/>
  <c r="BM417" i="1"/>
  <c r="AUV417" i="1" s="1"/>
  <c r="AUW417" i="1" s="1"/>
  <c r="AUX417" i="1" s="1"/>
  <c r="BM416" i="1"/>
  <c r="AUV416" i="1" s="1"/>
  <c r="AUW416" i="1" s="1"/>
  <c r="AUX416" i="1" s="1"/>
  <c r="M24" i="2"/>
  <c r="CE356" i="1"/>
  <c r="CZ356" i="1"/>
  <c r="CT129" i="1"/>
  <c r="CT185" i="1"/>
  <c r="CT417" i="1"/>
  <c r="CE415" i="1"/>
  <c r="CZ415" i="1"/>
  <c r="CE171" i="1"/>
  <c r="CZ171" i="1"/>
  <c r="CE352" i="1"/>
  <c r="CZ352" i="1"/>
  <c r="CE409" i="1"/>
  <c r="CZ409" i="1"/>
  <c r="M46" i="2"/>
  <c r="CT282" i="1"/>
  <c r="CE403" i="1"/>
  <c r="CZ403" i="1"/>
  <c r="CT281" i="1"/>
  <c r="Q46" i="2"/>
  <c r="O46" i="2" s="1"/>
  <c r="CT416" i="1"/>
  <c r="Q24" i="2"/>
  <c r="O24" i="2" s="1"/>
  <c r="CE188" i="1"/>
  <c r="CZ188" i="1"/>
  <c r="CE128" i="1"/>
  <c r="CZ128" i="1"/>
  <c r="CE162" i="1"/>
  <c r="CZ162" i="1"/>
  <c r="CE179" i="1"/>
  <c r="CZ179" i="1"/>
  <c r="CE417" i="1"/>
  <c r="CZ417" i="1"/>
  <c r="BM129" i="1"/>
  <c r="BM281" i="1"/>
  <c r="AUV281" i="1" s="1"/>
  <c r="AUW281" i="1" s="1"/>
  <c r="AUX281" i="1" s="1"/>
  <c r="BM185" i="1"/>
  <c r="AUV185" i="1" s="1"/>
  <c r="AUW185" i="1" s="1"/>
  <c r="AUX185" i="1" s="1"/>
  <c r="BI379" i="1"/>
  <c r="BJ379" i="1" s="1"/>
  <c r="AR415" i="1"/>
  <c r="AS415" i="1" s="1"/>
  <c r="CE15" i="1"/>
  <c r="BI15" i="1"/>
  <c r="BJ15" i="1" s="1"/>
  <c r="CE39" i="1"/>
  <c r="BI39" i="1"/>
  <c r="BJ39" i="1" s="1"/>
  <c r="CE64" i="1"/>
  <c r="BI64" i="1"/>
  <c r="BJ64" i="1" s="1"/>
  <c r="CE72" i="1"/>
  <c r="BI72" i="1"/>
  <c r="BJ72" i="1" s="1"/>
  <c r="CE80" i="1"/>
  <c r="BI80" i="1"/>
  <c r="BJ80" i="1" s="1"/>
  <c r="CE88" i="1"/>
  <c r="BI88" i="1"/>
  <c r="BJ88" i="1" s="1"/>
  <c r="CE107" i="1"/>
  <c r="BI107" i="1"/>
  <c r="BJ107" i="1" s="1"/>
  <c r="CE115" i="1"/>
  <c r="BI115" i="1"/>
  <c r="BJ115" i="1" s="1"/>
  <c r="CE139" i="1"/>
  <c r="BI139" i="1"/>
  <c r="BJ139" i="1" s="1"/>
  <c r="CE148" i="1"/>
  <c r="BI148" i="1"/>
  <c r="BJ148" i="1" s="1"/>
  <c r="CE166" i="1"/>
  <c r="BI166" i="1"/>
  <c r="BJ166" i="1" s="1"/>
  <c r="CE183" i="1"/>
  <c r="BI183" i="1"/>
  <c r="BJ183" i="1" s="1"/>
  <c r="CE201" i="1"/>
  <c r="BI201" i="1"/>
  <c r="BJ201" i="1" s="1"/>
  <c r="CE210" i="1"/>
  <c r="BI210" i="1"/>
  <c r="BJ210" i="1" s="1"/>
  <c r="CE226" i="1"/>
  <c r="BI226" i="1"/>
  <c r="BJ226" i="1" s="1"/>
  <c r="CE243" i="1"/>
  <c r="BI243" i="1"/>
  <c r="BJ243" i="1" s="1"/>
  <c r="CE252" i="1"/>
  <c r="BI252" i="1"/>
  <c r="BJ252" i="1" s="1"/>
  <c r="CE260" i="1"/>
  <c r="BI260" i="1"/>
  <c r="BJ260" i="1" s="1"/>
  <c r="CE268" i="1"/>
  <c r="BI268" i="1"/>
  <c r="BJ268" i="1" s="1"/>
  <c r="CE276" i="1"/>
  <c r="BI276" i="1"/>
  <c r="BJ276" i="1" s="1"/>
  <c r="CE303" i="1"/>
  <c r="BI303" i="1"/>
  <c r="BJ303" i="1" s="1"/>
  <c r="CE318" i="1"/>
  <c r="BI318" i="1"/>
  <c r="BJ318" i="1" s="1"/>
  <c r="CE326" i="1"/>
  <c r="BI326" i="1"/>
  <c r="BJ326" i="1" s="1"/>
  <c r="CE334" i="1"/>
  <c r="BI334" i="1"/>
  <c r="BJ334" i="1" s="1"/>
  <c r="CE342" i="1"/>
  <c r="BI342" i="1"/>
  <c r="BJ342" i="1" s="1"/>
  <c r="CE364" i="1"/>
  <c r="BN63" i="1"/>
  <c r="AR87" i="1"/>
  <c r="AS87" i="1" s="1"/>
  <c r="BN159" i="1"/>
  <c r="AR213" i="1"/>
  <c r="AS213" i="1" s="1"/>
  <c r="AR221" i="1"/>
  <c r="AS221" i="1" s="1"/>
  <c r="AR238" i="1"/>
  <c r="AS238" i="1" s="1"/>
  <c r="AR247" i="1"/>
  <c r="AS247" i="1" s="1"/>
  <c r="AR263" i="1"/>
  <c r="AS263" i="1" s="1"/>
  <c r="AR271" i="1"/>
  <c r="AS271" i="1" s="1"/>
  <c r="AR281" i="1"/>
  <c r="AS281" i="1" s="1"/>
  <c r="AR298" i="1"/>
  <c r="AS298" i="1" s="1"/>
  <c r="AR313" i="1"/>
  <c r="AS313" i="1" s="1"/>
  <c r="AR329" i="1"/>
  <c r="AS329" i="1" s="1"/>
  <c r="AR337" i="1"/>
  <c r="AS337" i="1" s="1"/>
  <c r="AR355" i="1"/>
  <c r="AS355" i="1" s="1"/>
  <c r="AR363" i="1"/>
  <c r="AS363" i="1" s="1"/>
  <c r="AR296" i="1"/>
  <c r="AS296" i="1" s="1"/>
  <c r="AR361" i="1"/>
  <c r="AS361" i="1" s="1"/>
  <c r="CE28" i="1"/>
  <c r="CE44" i="1"/>
  <c r="CE85" i="1"/>
  <c r="CE104" i="1"/>
  <c r="BI197" i="1"/>
  <c r="BJ197" i="1" s="1"/>
  <c r="CE223" i="1"/>
  <c r="BI223" i="1"/>
  <c r="BJ223" i="1" s="1"/>
  <c r="CE240" i="1"/>
  <c r="BI240" i="1"/>
  <c r="BJ240" i="1" s="1"/>
  <c r="CE249" i="1"/>
  <c r="BI249" i="1"/>
  <c r="BJ249" i="1" s="1"/>
  <c r="CE257" i="1"/>
  <c r="BI257" i="1"/>
  <c r="BJ257" i="1" s="1"/>
  <c r="CE265" i="1"/>
  <c r="BI265" i="1"/>
  <c r="BJ265" i="1" s="1"/>
  <c r="CE273" i="1"/>
  <c r="BI273" i="1"/>
  <c r="BJ273" i="1" s="1"/>
  <c r="CE300" i="1"/>
  <c r="BI300" i="1"/>
  <c r="BJ300" i="1" s="1"/>
  <c r="CE315" i="1"/>
  <c r="BI315" i="1"/>
  <c r="BJ315" i="1" s="1"/>
  <c r="CE331" i="1"/>
  <c r="BI331" i="1"/>
  <c r="BJ331" i="1" s="1"/>
  <c r="BI339" i="1"/>
  <c r="BJ339" i="1" s="1"/>
  <c r="BI357" i="1"/>
  <c r="BJ357" i="1" s="1"/>
  <c r="BI375" i="1"/>
  <c r="BJ375" i="1" s="1"/>
  <c r="AR15" i="1"/>
  <c r="AS15" i="1" s="1"/>
  <c r="AR39" i="1"/>
  <c r="AS39" i="1" s="1"/>
  <c r="AR64" i="1"/>
  <c r="AS64" i="1" s="1"/>
  <c r="AR72" i="1"/>
  <c r="AS72" i="1" s="1"/>
  <c r="AR80" i="1"/>
  <c r="AS80" i="1" s="1"/>
  <c r="AR88" i="1"/>
  <c r="AS88" i="1" s="1"/>
  <c r="AR107" i="1"/>
  <c r="AS107" i="1" s="1"/>
  <c r="AR115" i="1"/>
  <c r="AS115" i="1" s="1"/>
  <c r="AR139" i="1"/>
  <c r="AS139" i="1" s="1"/>
  <c r="AR148" i="1"/>
  <c r="AS148" i="1" s="1"/>
  <c r="AR166" i="1"/>
  <c r="AS166" i="1" s="1"/>
  <c r="AR183" i="1"/>
  <c r="AS183" i="1" s="1"/>
  <c r="AR201" i="1"/>
  <c r="AS201" i="1" s="1"/>
  <c r="AR210" i="1"/>
  <c r="AS210" i="1" s="1"/>
  <c r="AR226" i="1"/>
  <c r="AS226" i="1" s="1"/>
  <c r="AR243" i="1"/>
  <c r="AS243" i="1" s="1"/>
  <c r="AR252" i="1"/>
  <c r="AS252" i="1" s="1"/>
  <c r="AR260" i="1"/>
  <c r="AS260" i="1" s="1"/>
  <c r="AR268" i="1"/>
  <c r="AS268" i="1" s="1"/>
  <c r="AR276" i="1"/>
  <c r="AS276" i="1" s="1"/>
  <c r="AR303" i="1"/>
  <c r="AS303" i="1" s="1"/>
  <c r="AR318" i="1"/>
  <c r="AS318" i="1" s="1"/>
  <c r="AR326" i="1"/>
  <c r="AS326" i="1" s="1"/>
  <c r="AR334" i="1"/>
  <c r="AS334" i="1" s="1"/>
  <c r="AR342" i="1"/>
  <c r="AS342" i="1" s="1"/>
  <c r="AR360" i="1"/>
  <c r="AS360" i="1" s="1"/>
  <c r="AR378" i="1"/>
  <c r="AS378" i="1" s="1"/>
  <c r="AR227" i="1"/>
  <c r="AS227" i="1" s="1"/>
  <c r="AR236" i="1"/>
  <c r="AS236" i="1" s="1"/>
  <c r="AR244" i="1"/>
  <c r="AS244" i="1" s="1"/>
  <c r="AR253" i="1"/>
  <c r="AS253" i="1" s="1"/>
  <c r="AR261" i="1"/>
  <c r="AS261" i="1" s="1"/>
  <c r="AR269" i="1"/>
  <c r="AS269" i="1" s="1"/>
  <c r="AR277" i="1"/>
  <c r="AS277" i="1" s="1"/>
  <c r="AR300" i="1"/>
  <c r="AS300" i="1" s="1"/>
  <c r="AR315" i="1"/>
  <c r="AS315" i="1" s="1"/>
  <c r="AR331" i="1"/>
  <c r="AS331" i="1" s="1"/>
  <c r="BI404" i="1"/>
  <c r="BJ404" i="1" s="1"/>
  <c r="BI412" i="1"/>
  <c r="BJ412" i="1" s="1"/>
  <c r="BI416" i="1"/>
  <c r="BJ416" i="1" s="1"/>
  <c r="BN40" i="1"/>
  <c r="BN108" i="1"/>
  <c r="AR171" i="1"/>
  <c r="AS171" i="1" s="1"/>
  <c r="AR202" i="1"/>
  <c r="AS202" i="1" s="1"/>
  <c r="AR211" i="1"/>
  <c r="AS211" i="1" s="1"/>
  <c r="AR219" i="1"/>
  <c r="AS219" i="1" s="1"/>
  <c r="BI396" i="1"/>
  <c r="BJ396" i="1" s="1"/>
  <c r="CE26" i="1"/>
  <c r="CE42" i="1"/>
  <c r="CE91" i="1"/>
  <c r="BI91" i="1"/>
  <c r="BJ91" i="1" s="1"/>
  <c r="BI118" i="1"/>
  <c r="BJ118" i="1" s="1"/>
  <c r="BI126" i="1"/>
  <c r="BJ126" i="1" s="1"/>
  <c r="BI142" i="1"/>
  <c r="BJ142" i="1" s="1"/>
  <c r="BI159" i="1"/>
  <c r="BJ159" i="1" s="1"/>
  <c r="BI169" i="1"/>
  <c r="BJ169" i="1" s="1"/>
  <c r="BI177" i="1"/>
  <c r="BJ177" i="1" s="1"/>
  <c r="BI186" i="1"/>
  <c r="BJ186" i="1" s="1"/>
  <c r="BI204" i="1"/>
  <c r="BJ204" i="1" s="1"/>
  <c r="CE213" i="1"/>
  <c r="BI213" i="1"/>
  <c r="BJ213" i="1" s="1"/>
  <c r="CE221" i="1"/>
  <c r="BI221" i="1"/>
  <c r="BJ221" i="1" s="1"/>
  <c r="CE238" i="1"/>
  <c r="BI238" i="1"/>
  <c r="BJ238" i="1" s="1"/>
  <c r="CE247" i="1"/>
  <c r="BI247" i="1"/>
  <c r="BJ247" i="1" s="1"/>
  <c r="CE263" i="1"/>
  <c r="BI263" i="1"/>
  <c r="BJ263" i="1" s="1"/>
  <c r="CE271" i="1"/>
  <c r="BI271" i="1"/>
  <c r="BJ271" i="1" s="1"/>
  <c r="CE281" i="1"/>
  <c r="BI281" i="1"/>
  <c r="BJ281" i="1" s="1"/>
  <c r="CE298" i="1"/>
  <c r="BI298" i="1"/>
  <c r="BJ298" i="1" s="1"/>
  <c r="CE313" i="1"/>
  <c r="BI313" i="1"/>
  <c r="BJ313" i="1" s="1"/>
  <c r="CE329" i="1"/>
  <c r="BI329" i="1"/>
  <c r="BJ329" i="1" s="1"/>
  <c r="CE337" i="1"/>
  <c r="BI337" i="1"/>
  <c r="BJ337" i="1" s="1"/>
  <c r="BI363" i="1"/>
  <c r="BJ363" i="1" s="1"/>
  <c r="AR17" i="1"/>
  <c r="AS17" i="1" s="1"/>
  <c r="AR25" i="1"/>
  <c r="AS25" i="1" s="1"/>
  <c r="AR41" i="1"/>
  <c r="AS41" i="1" s="1"/>
  <c r="AR66" i="1"/>
  <c r="AS66" i="1" s="1"/>
  <c r="AR74" i="1"/>
  <c r="AS74" i="1" s="1"/>
  <c r="AR82" i="1"/>
  <c r="AS82" i="1" s="1"/>
  <c r="AR90" i="1"/>
  <c r="AS90" i="1" s="1"/>
  <c r="AR109" i="1"/>
  <c r="AS109" i="1" s="1"/>
  <c r="AR117" i="1"/>
  <c r="AS117" i="1" s="1"/>
  <c r="AR125" i="1"/>
  <c r="AS125" i="1" s="1"/>
  <c r="AR141" i="1"/>
  <c r="AS141" i="1" s="1"/>
  <c r="AR158" i="1"/>
  <c r="AS158" i="1" s="1"/>
  <c r="AR168" i="1"/>
  <c r="AS168" i="1" s="1"/>
  <c r="AR176" i="1"/>
  <c r="AS176" i="1" s="1"/>
  <c r="AR185" i="1"/>
  <c r="AS185" i="1" s="1"/>
  <c r="AR203" i="1"/>
  <c r="AS203" i="1" s="1"/>
  <c r="AR212" i="1"/>
  <c r="AS212" i="1" s="1"/>
  <c r="AR245" i="1"/>
  <c r="AS245" i="1" s="1"/>
  <c r="AR262" i="1"/>
  <c r="AS262" i="1" s="1"/>
  <c r="AR270" i="1"/>
  <c r="AS270" i="1" s="1"/>
  <c r="AR280" i="1"/>
  <c r="AS280" i="1" s="1"/>
  <c r="AR297" i="1"/>
  <c r="AS297" i="1" s="1"/>
  <c r="AR305" i="1"/>
  <c r="AS305" i="1" s="1"/>
  <c r="AR328" i="1"/>
  <c r="AS328" i="1" s="1"/>
  <c r="AR336" i="1"/>
  <c r="AS336" i="1" s="1"/>
  <c r="AR352" i="1"/>
  <c r="AS352" i="1" s="1"/>
  <c r="AR362" i="1"/>
  <c r="AS362" i="1" s="1"/>
  <c r="CE399" i="1"/>
  <c r="AW304" i="1"/>
  <c r="BS304" i="1" s="1"/>
  <c r="CO304" i="1" s="1"/>
  <c r="AR409" i="1"/>
  <c r="AS409" i="1" s="1"/>
  <c r="AR417" i="1"/>
  <c r="AS417" i="1" s="1"/>
  <c r="AR130" i="1"/>
  <c r="AS130" i="1" s="1"/>
  <c r="AR164" i="1"/>
  <c r="AS164" i="1" s="1"/>
  <c r="AR200" i="1"/>
  <c r="AS200" i="1" s="1"/>
  <c r="AW27" i="1"/>
  <c r="BS27" i="1" s="1"/>
  <c r="CO27" i="1" s="1"/>
  <c r="AW68" i="1"/>
  <c r="BS68" i="1" s="1"/>
  <c r="CO68" i="1" s="1"/>
  <c r="AW178" i="1"/>
  <c r="BS178" i="1" s="1"/>
  <c r="CO178" i="1" s="1"/>
  <c r="AW248" i="1"/>
  <c r="BS248" i="1" s="1"/>
  <c r="CO248" i="1" s="1"/>
  <c r="AW282" i="1"/>
  <c r="BS282" i="1" s="1"/>
  <c r="CO282" i="1" s="1"/>
  <c r="AW356" i="1"/>
  <c r="BS356" i="1" s="1"/>
  <c r="CO356" i="1" s="1"/>
  <c r="AR394" i="1"/>
  <c r="AS394" i="1" s="1"/>
  <c r="CE40" i="1"/>
  <c r="CE116" i="1"/>
  <c r="CE149" i="1"/>
  <c r="CE167" i="1"/>
  <c r="CE184" i="1"/>
  <c r="AR365" i="1"/>
  <c r="AS365" i="1" s="1"/>
  <c r="AR402" i="1"/>
  <c r="AS402" i="1" s="1"/>
  <c r="AR410" i="1"/>
  <c r="AS410" i="1" s="1"/>
  <c r="AR414" i="1"/>
  <c r="AS414" i="1" s="1"/>
  <c r="CE13" i="1"/>
  <c r="BI13" i="1"/>
  <c r="BJ13" i="1" s="1"/>
  <c r="CE21" i="1"/>
  <c r="BI21" i="1"/>
  <c r="BJ21" i="1" s="1"/>
  <c r="CE29" i="1"/>
  <c r="BI29" i="1"/>
  <c r="BJ29" i="1" s="1"/>
  <c r="CE45" i="1"/>
  <c r="BI45" i="1"/>
  <c r="BJ45" i="1" s="1"/>
  <c r="CE70" i="1"/>
  <c r="BI70" i="1"/>
  <c r="BJ70" i="1" s="1"/>
  <c r="CE86" i="1"/>
  <c r="BI86" i="1"/>
  <c r="BJ86" i="1" s="1"/>
  <c r="CE94" i="1"/>
  <c r="BI94" i="1"/>
  <c r="BJ94" i="1" s="1"/>
  <c r="CE105" i="1"/>
  <c r="BI105" i="1"/>
  <c r="BJ105" i="1" s="1"/>
  <c r="CE129" i="1"/>
  <c r="BI129" i="1"/>
  <c r="BJ129" i="1" s="1"/>
  <c r="CE163" i="1"/>
  <c r="BI163" i="1"/>
  <c r="BJ163" i="1" s="1"/>
  <c r="CE180" i="1"/>
  <c r="BI180" i="1"/>
  <c r="BJ180" i="1" s="1"/>
  <c r="CE190" i="1"/>
  <c r="BI190" i="1"/>
  <c r="BJ190" i="1" s="1"/>
  <c r="CE199" i="1"/>
  <c r="BI199" i="1"/>
  <c r="BJ199" i="1" s="1"/>
  <c r="CE224" i="1"/>
  <c r="BI224" i="1"/>
  <c r="BJ224" i="1" s="1"/>
  <c r="CE241" i="1"/>
  <c r="BI241" i="1"/>
  <c r="BJ241" i="1" s="1"/>
  <c r="CE250" i="1"/>
  <c r="BI250" i="1"/>
  <c r="BJ250" i="1" s="1"/>
  <c r="CE258" i="1"/>
  <c r="BI258" i="1"/>
  <c r="BJ258" i="1" s="1"/>
  <c r="CE266" i="1"/>
  <c r="BI266" i="1"/>
  <c r="BJ266" i="1" s="1"/>
  <c r="CE316" i="1"/>
  <c r="BI316" i="1"/>
  <c r="BJ316" i="1" s="1"/>
  <c r="CE332" i="1"/>
  <c r="BI332" i="1"/>
  <c r="BJ332" i="1" s="1"/>
  <c r="CE340" i="1"/>
  <c r="BI340" i="1"/>
  <c r="BJ340" i="1" s="1"/>
  <c r="CE362" i="1"/>
  <c r="AR85" i="1"/>
  <c r="AS85" i="1" s="1"/>
  <c r="BN104" i="1"/>
  <c r="AR179" i="1"/>
  <c r="AS179" i="1" s="1"/>
  <c r="AR399" i="1"/>
  <c r="AS399" i="1" s="1"/>
  <c r="CE38" i="1"/>
  <c r="CE63" i="1"/>
  <c r="AW28" i="1"/>
  <c r="AR403" i="1"/>
  <c r="AS403" i="1" s="1"/>
  <c r="AR411" i="1"/>
  <c r="AS411" i="1" s="1"/>
  <c r="CE27" i="1"/>
  <c r="BI27" i="1"/>
  <c r="BJ27" i="1" s="1"/>
  <c r="CE43" i="1"/>
  <c r="BI43" i="1"/>
  <c r="BJ43" i="1" s="1"/>
  <c r="CE68" i="1"/>
  <c r="BI68" i="1"/>
  <c r="BJ68" i="1" s="1"/>
  <c r="CE84" i="1"/>
  <c r="BI84" i="1"/>
  <c r="BJ84" i="1" s="1"/>
  <c r="CE92" i="1"/>
  <c r="BI92" i="1"/>
  <c r="BJ92" i="1" s="1"/>
  <c r="CE127" i="1"/>
  <c r="BI127" i="1"/>
  <c r="BJ127" i="1" s="1"/>
  <c r="CE143" i="1"/>
  <c r="BI143" i="1"/>
  <c r="BJ143" i="1" s="1"/>
  <c r="CE161" i="1"/>
  <c r="BI161" i="1"/>
  <c r="BJ161" i="1" s="1"/>
  <c r="CE170" i="1"/>
  <c r="BI170" i="1"/>
  <c r="BJ170" i="1" s="1"/>
  <c r="CE178" i="1"/>
  <c r="BI178" i="1"/>
  <c r="BJ178" i="1" s="1"/>
  <c r="CE187" i="1"/>
  <c r="BI187" i="1"/>
  <c r="BJ187" i="1" s="1"/>
  <c r="CE196" i="1"/>
  <c r="BI196" i="1"/>
  <c r="BJ196" i="1" s="1"/>
  <c r="CE222" i="1"/>
  <c r="BI222" i="1"/>
  <c r="BJ222" i="1" s="1"/>
  <c r="CE239" i="1"/>
  <c r="BI239" i="1"/>
  <c r="BJ239" i="1" s="1"/>
  <c r="CE248" i="1"/>
  <c r="BI248" i="1"/>
  <c r="BJ248" i="1" s="1"/>
  <c r="BI264" i="1"/>
  <c r="BJ264" i="1" s="1"/>
  <c r="CE264" i="1"/>
  <c r="BI282" i="1"/>
  <c r="BJ282" i="1" s="1"/>
  <c r="CE282" i="1"/>
  <c r="BI299" i="1"/>
  <c r="BJ299" i="1" s="1"/>
  <c r="CE299" i="1"/>
  <c r="BI314" i="1"/>
  <c r="BJ314" i="1" s="1"/>
  <c r="CE314" i="1"/>
  <c r="BI330" i="1"/>
  <c r="BJ330" i="1" s="1"/>
  <c r="CE330" i="1"/>
  <c r="BI338" i="1"/>
  <c r="BJ338" i="1" s="1"/>
  <c r="CE338" i="1"/>
  <c r="CE360" i="1"/>
  <c r="CE374" i="1"/>
  <c r="CE378" i="1"/>
  <c r="CE395" i="1"/>
  <c r="BN46" i="1"/>
  <c r="AR106" i="1"/>
  <c r="AS106" i="1" s="1"/>
  <c r="AR138" i="1"/>
  <c r="AS138" i="1" s="1"/>
  <c r="BN142" i="1"/>
  <c r="BN177" i="1"/>
  <c r="AR209" i="1"/>
  <c r="AS209" i="1" s="1"/>
  <c r="AR225" i="1"/>
  <c r="AS225" i="1" s="1"/>
  <c r="AR242" i="1"/>
  <c r="AS242" i="1" s="1"/>
  <c r="AR251" i="1"/>
  <c r="AS251" i="1" s="1"/>
  <c r="AR259" i="1"/>
  <c r="AS259" i="1" s="1"/>
  <c r="AR267" i="1"/>
  <c r="AS267" i="1" s="1"/>
  <c r="AR275" i="1"/>
  <c r="AS275" i="1" s="1"/>
  <c r="AR302" i="1"/>
  <c r="AS302" i="1" s="1"/>
  <c r="AR317" i="1"/>
  <c r="AS317" i="1" s="1"/>
  <c r="AR333" i="1"/>
  <c r="AS333" i="1" s="1"/>
  <c r="AR341" i="1"/>
  <c r="AS341" i="1" s="1"/>
  <c r="AR359" i="1"/>
  <c r="AS359" i="1" s="1"/>
  <c r="AR377" i="1"/>
  <c r="AS377" i="1" s="1"/>
  <c r="AR335" i="1"/>
  <c r="AS335" i="1" s="1"/>
  <c r="AR351" i="1"/>
  <c r="AS351" i="1" s="1"/>
  <c r="BI394" i="1"/>
  <c r="BJ394" i="1" s="1"/>
  <c r="CE20" i="1"/>
  <c r="CE61" i="1"/>
  <c r="BI202" i="1"/>
  <c r="BJ202" i="1" s="1"/>
  <c r="BI211" i="1"/>
  <c r="BJ211" i="1" s="1"/>
  <c r="CE219" i="1"/>
  <c r="BI219" i="1"/>
  <c r="BJ219" i="1" s="1"/>
  <c r="CE227" i="1"/>
  <c r="BI227" i="1"/>
  <c r="BJ227" i="1" s="1"/>
  <c r="CE236" i="1"/>
  <c r="BI236" i="1"/>
  <c r="BJ236" i="1" s="1"/>
  <c r="CE244" i="1"/>
  <c r="BI244" i="1"/>
  <c r="BJ244" i="1" s="1"/>
  <c r="CE253" i="1"/>
  <c r="BI253" i="1"/>
  <c r="BJ253" i="1" s="1"/>
  <c r="CE261" i="1"/>
  <c r="BI261" i="1"/>
  <c r="BJ261" i="1" s="1"/>
  <c r="CE269" i="1"/>
  <c r="BI269" i="1"/>
  <c r="BJ269" i="1" s="1"/>
  <c r="CE277" i="1"/>
  <c r="BI277" i="1"/>
  <c r="BJ277" i="1" s="1"/>
  <c r="CE296" i="1"/>
  <c r="BI296" i="1"/>
  <c r="BJ296" i="1" s="1"/>
  <c r="CE304" i="1"/>
  <c r="BI304" i="1"/>
  <c r="BJ304" i="1" s="1"/>
  <c r="CE327" i="1"/>
  <c r="BI327" i="1"/>
  <c r="BJ327" i="1" s="1"/>
  <c r="BI335" i="1"/>
  <c r="BJ335" i="1" s="1"/>
  <c r="BI351" i="1"/>
  <c r="BJ351" i="1" s="1"/>
  <c r="BI361" i="1"/>
  <c r="BJ361" i="1" s="1"/>
  <c r="AR27" i="1"/>
  <c r="AS27" i="1" s="1"/>
  <c r="AR43" i="1"/>
  <c r="AS43" i="1" s="1"/>
  <c r="AR68" i="1"/>
  <c r="AS68" i="1" s="1"/>
  <c r="AR84" i="1"/>
  <c r="AS84" i="1" s="1"/>
  <c r="AR92" i="1"/>
  <c r="AS92" i="1" s="1"/>
  <c r="AR127" i="1"/>
  <c r="AS127" i="1" s="1"/>
  <c r="AR143" i="1"/>
  <c r="AS143" i="1" s="1"/>
  <c r="AR161" i="1"/>
  <c r="AS161" i="1" s="1"/>
  <c r="AR170" i="1"/>
  <c r="AS170" i="1" s="1"/>
  <c r="AR178" i="1"/>
  <c r="AS178" i="1" s="1"/>
  <c r="AR187" i="1"/>
  <c r="AS187" i="1" s="1"/>
  <c r="AR196" i="1"/>
  <c r="AS196" i="1" s="1"/>
  <c r="AR222" i="1"/>
  <c r="AS222" i="1" s="1"/>
  <c r="AR239" i="1"/>
  <c r="AS239" i="1" s="1"/>
  <c r="AR248" i="1"/>
  <c r="AS248" i="1" s="1"/>
  <c r="AR264" i="1"/>
  <c r="AS264" i="1" s="1"/>
  <c r="AR282" i="1"/>
  <c r="AS282" i="1" s="1"/>
  <c r="AR299" i="1"/>
  <c r="AS299" i="1" s="1"/>
  <c r="AR314" i="1"/>
  <c r="AS314" i="1" s="1"/>
  <c r="AR330" i="1"/>
  <c r="AS330" i="1" s="1"/>
  <c r="AR338" i="1"/>
  <c r="AS338" i="1" s="1"/>
  <c r="AR356" i="1"/>
  <c r="AS356" i="1" s="1"/>
  <c r="AR364" i="1"/>
  <c r="AS364" i="1" s="1"/>
  <c r="AR374" i="1"/>
  <c r="AS374" i="1" s="1"/>
  <c r="AR395" i="1"/>
  <c r="AS395" i="1" s="1"/>
  <c r="AR240" i="1"/>
  <c r="AS240" i="1" s="1"/>
  <c r="AR249" i="1"/>
  <c r="AS249" i="1" s="1"/>
  <c r="AR257" i="1"/>
  <c r="AS257" i="1" s="1"/>
  <c r="AR265" i="1"/>
  <c r="AS265" i="1" s="1"/>
  <c r="AR273" i="1"/>
  <c r="AS273" i="1" s="1"/>
  <c r="AR304" i="1"/>
  <c r="AS304" i="1" s="1"/>
  <c r="AR327" i="1"/>
  <c r="AS327" i="1" s="1"/>
  <c r="AR339" i="1"/>
  <c r="AS339" i="1" s="1"/>
  <c r="BI402" i="1"/>
  <c r="BJ402" i="1" s="1"/>
  <c r="BI410" i="1"/>
  <c r="BJ410" i="1" s="1"/>
  <c r="BI414" i="1"/>
  <c r="BJ414" i="1" s="1"/>
  <c r="BN16" i="1"/>
  <c r="BN48" i="1"/>
  <c r="BN73" i="1"/>
  <c r="BN124" i="1"/>
  <c r="BN157" i="1"/>
  <c r="AR188" i="1"/>
  <c r="AS188" i="1" s="1"/>
  <c r="AR197" i="1"/>
  <c r="AS197" i="1" s="1"/>
  <c r="AR223" i="1"/>
  <c r="AS223" i="1" s="1"/>
  <c r="CE18" i="1"/>
  <c r="BI87" i="1"/>
  <c r="BJ87" i="1" s="1"/>
  <c r="CE106" i="1"/>
  <c r="BI106" i="1"/>
  <c r="BJ106" i="1" s="1"/>
  <c r="CE114" i="1"/>
  <c r="BI114" i="1"/>
  <c r="BJ114" i="1" s="1"/>
  <c r="CE130" i="1"/>
  <c r="BI130" i="1"/>
  <c r="BJ130" i="1" s="1"/>
  <c r="CE138" i="1"/>
  <c r="BI138" i="1"/>
  <c r="BJ138" i="1" s="1"/>
  <c r="CE147" i="1"/>
  <c r="BI147" i="1"/>
  <c r="BJ147" i="1" s="1"/>
  <c r="BI181" i="1"/>
  <c r="BI200" i="1"/>
  <c r="BJ200" i="1" s="1"/>
  <c r="BI209" i="1"/>
  <c r="BJ209" i="1" s="1"/>
  <c r="CE225" i="1"/>
  <c r="BI225" i="1"/>
  <c r="BJ225" i="1" s="1"/>
  <c r="CE242" i="1"/>
  <c r="BI242" i="1"/>
  <c r="BJ242" i="1" s="1"/>
  <c r="CE251" i="1"/>
  <c r="BI251" i="1"/>
  <c r="BJ251" i="1" s="1"/>
  <c r="CE259" i="1"/>
  <c r="BI259" i="1"/>
  <c r="BJ259" i="1" s="1"/>
  <c r="CE267" i="1"/>
  <c r="BI267" i="1"/>
  <c r="BJ267" i="1" s="1"/>
  <c r="CE275" i="1"/>
  <c r="BI275" i="1"/>
  <c r="BJ275" i="1" s="1"/>
  <c r="CE302" i="1"/>
  <c r="BI302" i="1"/>
  <c r="BJ302" i="1" s="1"/>
  <c r="CE317" i="1"/>
  <c r="BI317" i="1"/>
  <c r="BJ317" i="1" s="1"/>
  <c r="CE333" i="1"/>
  <c r="BI333" i="1"/>
  <c r="BJ333" i="1" s="1"/>
  <c r="CE341" i="1"/>
  <c r="BI341" i="1"/>
  <c r="BJ341" i="1" s="1"/>
  <c r="BI359" i="1"/>
  <c r="BJ359" i="1" s="1"/>
  <c r="BI377" i="1"/>
  <c r="BJ377" i="1" s="1"/>
  <c r="AR13" i="1"/>
  <c r="AS13" i="1" s="1"/>
  <c r="AR21" i="1"/>
  <c r="AS21" i="1" s="1"/>
  <c r="AR29" i="1"/>
  <c r="AS29" i="1" s="1"/>
  <c r="AR45" i="1"/>
  <c r="AS45" i="1" s="1"/>
  <c r="AR70" i="1"/>
  <c r="AS70" i="1" s="1"/>
  <c r="AR86" i="1"/>
  <c r="AS86" i="1" s="1"/>
  <c r="AR94" i="1"/>
  <c r="AS94" i="1" s="1"/>
  <c r="AR105" i="1"/>
  <c r="AS105" i="1" s="1"/>
  <c r="AR129" i="1"/>
  <c r="AS129" i="1" s="1"/>
  <c r="AR163" i="1"/>
  <c r="AS163" i="1" s="1"/>
  <c r="AR180" i="1"/>
  <c r="AS180" i="1" s="1"/>
  <c r="AR190" i="1"/>
  <c r="AS190" i="1" s="1"/>
  <c r="AR199" i="1"/>
  <c r="AS199" i="1" s="1"/>
  <c r="AR224" i="1"/>
  <c r="AS224" i="1" s="1"/>
  <c r="AR241" i="1"/>
  <c r="AS241" i="1" s="1"/>
  <c r="AR250" i="1"/>
  <c r="AS250" i="1" s="1"/>
  <c r="AR258" i="1"/>
  <c r="AS258" i="1" s="1"/>
  <c r="AR266" i="1"/>
  <c r="AS266" i="1" s="1"/>
  <c r="AR316" i="1"/>
  <c r="AS316" i="1" s="1"/>
  <c r="AR332" i="1"/>
  <c r="AS332" i="1" s="1"/>
  <c r="AR340" i="1"/>
  <c r="AS340" i="1" s="1"/>
  <c r="AR358" i="1"/>
  <c r="AS358" i="1" s="1"/>
  <c r="AR376" i="1"/>
  <c r="AS376" i="1" s="1"/>
  <c r="AR397" i="1"/>
  <c r="AS397" i="1" s="1"/>
  <c r="AW89" i="1"/>
  <c r="AR379" i="1"/>
  <c r="AS379" i="1" s="1"/>
  <c r="BN26" i="1"/>
  <c r="BN83" i="1"/>
  <c r="AR114" i="1"/>
  <c r="AS114" i="1" s="1"/>
  <c r="AR147" i="1"/>
  <c r="AS147" i="1" s="1"/>
  <c r="AR181" i="1"/>
  <c r="AS181" i="1" s="1"/>
  <c r="BN186" i="1"/>
  <c r="CE16" i="1"/>
  <c r="CE48" i="1"/>
  <c r="CE73" i="1"/>
  <c r="CE89" i="1"/>
  <c r="CE108" i="1"/>
  <c r="CE124" i="1"/>
  <c r="CE140" i="1"/>
  <c r="CE157" i="1"/>
  <c r="CE175" i="1"/>
  <c r="AR357" i="1"/>
  <c r="AS357" i="1" s="1"/>
  <c r="AR375" i="1"/>
  <c r="AS375" i="1" s="1"/>
  <c r="AR404" i="1"/>
  <c r="AS404" i="1" s="1"/>
  <c r="AR412" i="1"/>
  <c r="AS412" i="1" s="1"/>
  <c r="AR416" i="1"/>
  <c r="AS416" i="1" s="1"/>
  <c r="CE17" i="1"/>
  <c r="BI17" i="1"/>
  <c r="BJ17" i="1" s="1"/>
  <c r="CE25" i="1"/>
  <c r="BI25" i="1"/>
  <c r="BJ25" i="1" s="1"/>
  <c r="CE41" i="1"/>
  <c r="BI41" i="1"/>
  <c r="BJ41" i="1" s="1"/>
  <c r="CE66" i="1"/>
  <c r="BI66" i="1"/>
  <c r="BJ66" i="1" s="1"/>
  <c r="CE74" i="1"/>
  <c r="BI74" i="1"/>
  <c r="BJ74" i="1" s="1"/>
  <c r="CE82" i="1"/>
  <c r="BI82" i="1"/>
  <c r="BJ82" i="1" s="1"/>
  <c r="CE90" i="1"/>
  <c r="BI90" i="1"/>
  <c r="BJ90" i="1" s="1"/>
  <c r="CE109" i="1"/>
  <c r="BI109" i="1"/>
  <c r="BJ109" i="1" s="1"/>
  <c r="CE117" i="1"/>
  <c r="BI117" i="1"/>
  <c r="BJ117" i="1" s="1"/>
  <c r="CE125" i="1"/>
  <c r="BI125" i="1"/>
  <c r="BJ125" i="1" s="1"/>
  <c r="CE141" i="1"/>
  <c r="BI141" i="1"/>
  <c r="BJ141" i="1" s="1"/>
  <c r="CE158" i="1"/>
  <c r="BI158" i="1"/>
  <c r="BJ158" i="1" s="1"/>
  <c r="CE168" i="1"/>
  <c r="BI168" i="1"/>
  <c r="BJ168" i="1" s="1"/>
  <c r="CE176" i="1"/>
  <c r="BI176" i="1"/>
  <c r="BJ176" i="1" s="1"/>
  <c r="CE185" i="1"/>
  <c r="BI185" i="1"/>
  <c r="BJ185" i="1" s="1"/>
  <c r="CE203" i="1"/>
  <c r="BI203" i="1"/>
  <c r="BJ203" i="1" s="1"/>
  <c r="CE212" i="1"/>
  <c r="BI212" i="1"/>
  <c r="BJ212" i="1" s="1"/>
  <c r="CE245" i="1"/>
  <c r="BI245" i="1"/>
  <c r="BJ245" i="1" s="1"/>
  <c r="CE262" i="1"/>
  <c r="BI262" i="1"/>
  <c r="BJ262" i="1" s="1"/>
  <c r="CE270" i="1"/>
  <c r="BI270" i="1"/>
  <c r="BJ270" i="1" s="1"/>
  <c r="CE280" i="1"/>
  <c r="BI280" i="1"/>
  <c r="BJ280" i="1" s="1"/>
  <c r="CE297" i="1"/>
  <c r="BI297" i="1"/>
  <c r="BJ297" i="1" s="1"/>
  <c r="CE305" i="1"/>
  <c r="BI305" i="1"/>
  <c r="BJ305" i="1" s="1"/>
  <c r="CE328" i="1"/>
  <c r="BI328" i="1"/>
  <c r="BJ328" i="1" s="1"/>
  <c r="CE336" i="1"/>
  <c r="BI336" i="1"/>
  <c r="BJ336" i="1" s="1"/>
  <c r="CE358" i="1"/>
  <c r="CE376" i="1"/>
  <c r="BN28" i="1"/>
  <c r="BN44" i="1"/>
  <c r="AR128" i="1"/>
  <c r="AS128" i="1" s="1"/>
  <c r="AR162" i="1"/>
  <c r="AS162" i="1" s="1"/>
  <c r="AR396" i="1"/>
  <c r="AS396" i="1" s="1"/>
  <c r="CE14" i="1"/>
  <c r="CE30" i="1"/>
  <c r="CE46" i="1"/>
  <c r="CE71" i="1"/>
  <c r="AW14" i="1"/>
  <c r="AW38" i="1"/>
  <c r="AW114" i="1"/>
  <c r="BS114" i="1" s="1"/>
  <c r="CO114" i="1" s="1"/>
  <c r="AW225" i="1"/>
  <c r="BS225" i="1" s="1"/>
  <c r="CO225" i="1" s="1"/>
  <c r="AW259" i="1"/>
  <c r="BS259" i="1" s="1"/>
  <c r="CO259" i="1" s="1"/>
  <c r="AW333" i="1"/>
  <c r="BS333" i="1" s="1"/>
  <c r="CE397" i="1"/>
  <c r="H20" i="3"/>
  <c r="I20" i="3" s="1"/>
  <c r="Y20" i="3"/>
  <c r="Z20" i="3" s="1"/>
  <c r="H25" i="3"/>
  <c r="I25" i="3" s="1"/>
  <c r="Y25" i="3"/>
  <c r="Z25" i="3" s="1"/>
  <c r="H29" i="3"/>
  <c r="I29" i="3" s="1"/>
  <c r="Y29" i="3"/>
  <c r="Z29" i="3" s="1"/>
  <c r="H30" i="3"/>
  <c r="I30" i="3" s="1"/>
  <c r="Y30" i="3"/>
  <c r="Z30" i="3" s="1"/>
  <c r="H31" i="3"/>
  <c r="I31" i="3" s="1"/>
  <c r="Y31" i="3"/>
  <c r="Z31" i="3" s="1"/>
  <c r="H32" i="3"/>
  <c r="I32" i="3" s="1"/>
  <c r="Y32" i="3"/>
  <c r="Z32" i="3" s="1"/>
  <c r="H33" i="3"/>
  <c r="I33" i="3" s="1"/>
  <c r="Y33" i="3"/>
  <c r="Z33" i="3" s="1"/>
  <c r="H40" i="3"/>
  <c r="I40" i="3" s="1"/>
  <c r="Y40" i="3"/>
  <c r="Z40" i="3" s="1"/>
  <c r="H41" i="3"/>
  <c r="I41" i="3" s="1"/>
  <c r="Y41" i="3"/>
  <c r="Z41" i="3" s="1"/>
  <c r="H42" i="3"/>
  <c r="I42" i="3" s="1"/>
  <c r="Y42" i="3"/>
  <c r="Z42" i="3" s="1"/>
  <c r="AR93" i="1" l="1"/>
  <c r="AS93" i="1" s="1"/>
  <c r="AVL353" i="1"/>
  <c r="CY353" i="1"/>
  <c r="CX353" i="1"/>
  <c r="AVK353" i="1"/>
  <c r="AQ353" i="1"/>
  <c r="V353" i="1"/>
  <c r="W353" i="1" s="1"/>
  <c r="AVA353" i="1"/>
  <c r="Y57" i="1"/>
  <c r="AU57" i="1" s="1"/>
  <c r="BQ57" i="1" s="1"/>
  <c r="AUZ57" i="1" s="1"/>
  <c r="Y286" i="1"/>
  <c r="AU286" i="1" s="1"/>
  <c r="BQ286" i="1" s="1"/>
  <c r="AUZ286" i="1" s="1"/>
  <c r="Y233" i="1"/>
  <c r="AU233" i="1" s="1"/>
  <c r="BQ233" i="1" s="1"/>
  <c r="AUZ233" i="1" s="1"/>
  <c r="Y198" i="1"/>
  <c r="AU198" i="1" s="1"/>
  <c r="BQ198" i="1" s="1"/>
  <c r="AUZ198" i="1" s="1"/>
  <c r="AW367" i="1"/>
  <c r="AP367" i="1"/>
  <c r="V383" i="1"/>
  <c r="W383" i="1" s="1"/>
  <c r="AQ383" i="1"/>
  <c r="AVA383" i="1"/>
  <c r="BI367" i="1"/>
  <c r="BJ367" i="1" s="1"/>
  <c r="CD367" i="1"/>
  <c r="BH353" i="1"/>
  <c r="AM353" i="1"/>
  <c r="AN353" i="1" s="1"/>
  <c r="AM383" i="1"/>
  <c r="AN383" i="1" s="1"/>
  <c r="BH383" i="1"/>
  <c r="AVD353" i="1"/>
  <c r="CQ353" i="1"/>
  <c r="AVH353" i="1"/>
  <c r="CU353" i="1"/>
  <c r="CV353" i="1"/>
  <c r="AVI353" i="1"/>
  <c r="AA6" i="1"/>
  <c r="AX6" i="1"/>
  <c r="BT6" i="1" s="1"/>
  <c r="AVC6" i="1" s="1"/>
  <c r="AVB6" i="1" s="1"/>
  <c r="AM384" i="1"/>
  <c r="AN384" i="1" s="1"/>
  <c r="BH384" i="1"/>
  <c r="AA384" i="1"/>
  <c r="AW384" i="1" s="1"/>
  <c r="BS384" i="1" s="1"/>
  <c r="AX384" i="1"/>
  <c r="BT384" i="1" s="1"/>
  <c r="AVC384" i="1" s="1"/>
  <c r="AVB384" i="1" s="1"/>
  <c r="V96" i="1"/>
  <c r="W96" i="1" s="1"/>
  <c r="AP96" i="1"/>
  <c r="AQ96" i="1"/>
  <c r="AVA96" i="1"/>
  <c r="AVA458" i="1" s="1"/>
  <c r="CH96" i="1"/>
  <c r="Y96" i="1"/>
  <c r="AU96" i="1" s="1"/>
  <c r="BQ96" i="1" s="1"/>
  <c r="AUZ96" i="1" s="1"/>
  <c r="Y5" i="1"/>
  <c r="AU5" i="1" s="1"/>
  <c r="BQ5" i="1" s="1"/>
  <c r="AUZ5" i="1" s="1"/>
  <c r="Y308" i="1"/>
  <c r="AU308" i="1" s="1"/>
  <c r="BQ308" i="1" s="1"/>
  <c r="AUZ308" i="1" s="1"/>
  <c r="Y307" i="1"/>
  <c r="AU307" i="1" s="1"/>
  <c r="BQ307" i="1" s="1"/>
  <c r="AUZ307" i="1" s="1"/>
  <c r="Y306" i="1"/>
  <c r="AU306" i="1" s="1"/>
  <c r="BQ306" i="1" s="1"/>
  <c r="AUZ306" i="1" s="1"/>
  <c r="Y246" i="1"/>
  <c r="AU246" i="1" s="1"/>
  <c r="BQ246" i="1" s="1"/>
  <c r="AUZ246" i="1" s="1"/>
  <c r="Y208" i="1"/>
  <c r="AU208" i="1" s="1"/>
  <c r="BQ208" i="1" s="1"/>
  <c r="AUZ208" i="1" s="1"/>
  <c r="Y190" i="1"/>
  <c r="AU190" i="1" s="1"/>
  <c r="BQ190" i="1" s="1"/>
  <c r="Y189" i="1"/>
  <c r="AU189" i="1" s="1"/>
  <c r="BQ189" i="1" s="1"/>
  <c r="AUZ189" i="1" s="1"/>
  <c r="Y10" i="1"/>
  <c r="AU10" i="1" s="1"/>
  <c r="BQ10" i="1" s="1"/>
  <c r="Y55" i="1"/>
  <c r="AU55" i="1" s="1"/>
  <c r="BQ55" i="1" s="1"/>
  <c r="AUZ55" i="1" s="1"/>
  <c r="Y54" i="1"/>
  <c r="AU54" i="1" s="1"/>
  <c r="BQ54" i="1" s="1"/>
  <c r="AUZ54" i="1" s="1"/>
  <c r="Y99" i="1"/>
  <c r="AU99" i="1" s="1"/>
  <c r="BQ99" i="1" s="1"/>
  <c r="AUZ99" i="1" s="1"/>
  <c r="Y100" i="1"/>
  <c r="AU100" i="1" s="1"/>
  <c r="BQ100" i="1" s="1"/>
  <c r="AUZ100" i="1" s="1"/>
  <c r="Y56" i="1"/>
  <c r="AU56" i="1" s="1"/>
  <c r="BQ56" i="1" s="1"/>
  <c r="AUZ56" i="1" s="1"/>
  <c r="Y53" i="1"/>
  <c r="AU53" i="1" s="1"/>
  <c r="BQ53" i="1" s="1"/>
  <c r="AUZ53" i="1" s="1"/>
  <c r="Y52" i="1"/>
  <c r="AU52" i="1" s="1"/>
  <c r="BQ52" i="1" s="1"/>
  <c r="AUZ52" i="1" s="1"/>
  <c r="V384" i="1"/>
  <c r="W384" i="1" s="1"/>
  <c r="AQ384" i="1"/>
  <c r="AVA384" i="1"/>
  <c r="CT353" i="1"/>
  <c r="AVG353" i="1"/>
  <c r="AM6" i="1"/>
  <c r="AN6" i="1" s="1"/>
  <c r="BH6" i="1"/>
  <c r="AX353" i="1"/>
  <c r="BT353" i="1" s="1"/>
  <c r="AA353" i="1"/>
  <c r="AW353" i="1" s="1"/>
  <c r="BS353" i="1" s="1"/>
  <c r="CO353" i="1" s="1"/>
  <c r="Y187" i="1"/>
  <c r="AU187" i="1" s="1"/>
  <c r="BQ187" i="1" s="1"/>
  <c r="Y60" i="1"/>
  <c r="AU60" i="1" s="1"/>
  <c r="BQ60" i="1" s="1"/>
  <c r="AUZ60" i="1" s="1"/>
  <c r="Y380" i="1"/>
  <c r="AU380" i="1" s="1"/>
  <c r="BQ380" i="1" s="1"/>
  <c r="AUZ380" i="1" s="1"/>
  <c r="Y278" i="1"/>
  <c r="AU278" i="1" s="1"/>
  <c r="BQ278" i="1" s="1"/>
  <c r="AUZ278" i="1" s="1"/>
  <c r="Y165" i="1"/>
  <c r="AU165" i="1" s="1"/>
  <c r="BQ165" i="1" s="1"/>
  <c r="AUZ165" i="1" s="1"/>
  <c r="AVE353" i="1"/>
  <c r="CR353" i="1"/>
  <c r="CW353" i="1"/>
  <c r="AVJ353" i="1"/>
  <c r="Y441" i="1"/>
  <c r="AU441" i="1" s="1"/>
  <c r="BQ441" i="1" s="1"/>
  <c r="Y144" i="1"/>
  <c r="AU144" i="1" s="1"/>
  <c r="BQ144" i="1" s="1"/>
  <c r="AUZ144" i="1" s="1"/>
  <c r="AVF353" i="1"/>
  <c r="CS353" i="1"/>
  <c r="AA383" i="1"/>
  <c r="AW383" i="1" s="1"/>
  <c r="BS383" i="1" s="1"/>
  <c r="AX383" i="1"/>
  <c r="BT383" i="1" s="1"/>
  <c r="AVC383" i="1" s="1"/>
  <c r="AVB383" i="1" s="1"/>
  <c r="V6" i="1"/>
  <c r="W6" i="1" s="1"/>
  <c r="AQ6" i="1"/>
  <c r="AVA6" i="1"/>
  <c r="AUW187" i="1"/>
  <c r="AUX187" i="1" s="1"/>
  <c r="AVN187" i="1"/>
  <c r="AVO187" i="1" s="1"/>
  <c r="Y129" i="12"/>
  <c r="AVL423" i="1"/>
  <c r="U129" i="12"/>
  <c r="AVH423" i="1"/>
  <c r="Q129" i="12"/>
  <c r="AVD423" i="1"/>
  <c r="CX324" i="1"/>
  <c r="AVK324" i="1"/>
  <c r="CX230" i="1"/>
  <c r="AVK230" i="1"/>
  <c r="CX146" i="1"/>
  <c r="AVK146" i="1"/>
  <c r="CX23" i="1"/>
  <c r="AVK23" i="1"/>
  <c r="CX321" i="1"/>
  <c r="AVK321" i="1"/>
  <c r="CX22" i="1"/>
  <c r="AVK22" i="1"/>
  <c r="CV413" i="1"/>
  <c r="AVI413" i="1"/>
  <c r="CV322" i="1"/>
  <c r="AVI322" i="1"/>
  <c r="CV207" i="1"/>
  <c r="AVI207" i="1"/>
  <c r="CV49" i="1"/>
  <c r="AVI49" i="1"/>
  <c r="CV234" i="1"/>
  <c r="AVI234" i="1"/>
  <c r="CV24" i="1"/>
  <c r="AVI24" i="1"/>
  <c r="CT401" i="1"/>
  <c r="AVG401" i="1"/>
  <c r="CT205" i="1"/>
  <c r="AVG205" i="1"/>
  <c r="CT49" i="1"/>
  <c r="AVG49" i="1"/>
  <c r="CT321" i="1"/>
  <c r="AVG321" i="1"/>
  <c r="CT24" i="1"/>
  <c r="AVG24" i="1"/>
  <c r="CR372" i="1"/>
  <c r="AVE372" i="1"/>
  <c r="CR232" i="1"/>
  <c r="AVE232" i="1"/>
  <c r="CR172" i="1"/>
  <c r="AVE172" i="1"/>
  <c r="CR23" i="1"/>
  <c r="AVE23" i="1"/>
  <c r="CR321" i="1"/>
  <c r="AVE321" i="1"/>
  <c r="CR173" i="1"/>
  <c r="AVE173" i="1"/>
  <c r="CR50" i="1"/>
  <c r="AVE50" i="1"/>
  <c r="CX370" i="1"/>
  <c r="AVK370" i="1"/>
  <c r="CX229" i="1"/>
  <c r="AVK229" i="1"/>
  <c r="CV320" i="1"/>
  <c r="AVI320" i="1"/>
  <c r="CT370" i="1"/>
  <c r="AVG370" i="1"/>
  <c r="CT229" i="1"/>
  <c r="AVG229" i="1"/>
  <c r="CR235" i="1"/>
  <c r="AVE235" i="1"/>
  <c r="CX349" i="1"/>
  <c r="AVK349" i="1"/>
  <c r="CX389" i="1"/>
  <c r="AVK389" i="1"/>
  <c r="CX295" i="1"/>
  <c r="AVK295" i="1"/>
  <c r="CX256" i="1"/>
  <c r="AVK256" i="1"/>
  <c r="CX154" i="1"/>
  <c r="AVK154" i="1"/>
  <c r="CX133" i="1"/>
  <c r="AVK133" i="1"/>
  <c r="CX8" i="1"/>
  <c r="AVK8" i="1"/>
  <c r="CX347" i="1"/>
  <c r="AVK347" i="1"/>
  <c r="CX285" i="1"/>
  <c r="AVK285" i="1"/>
  <c r="CX195" i="1"/>
  <c r="AVK195" i="1"/>
  <c r="CX153" i="1"/>
  <c r="AVK153" i="1"/>
  <c r="CX122" i="1"/>
  <c r="AVK122" i="1"/>
  <c r="CX77" i="1"/>
  <c r="AVK77" i="1"/>
  <c r="CX9" i="1"/>
  <c r="AVK9" i="1"/>
  <c r="CV347" i="1"/>
  <c r="AVI347" i="1"/>
  <c r="CV389" i="1"/>
  <c r="AVI389" i="1"/>
  <c r="CV295" i="1"/>
  <c r="AVI295" i="1"/>
  <c r="CV256" i="1"/>
  <c r="AVI256" i="1"/>
  <c r="CV154" i="1"/>
  <c r="AVI154" i="1"/>
  <c r="CV133" i="1"/>
  <c r="AVI133" i="1"/>
  <c r="CV11" i="1"/>
  <c r="AVI11" i="1"/>
  <c r="CV349" i="1"/>
  <c r="AVI349" i="1"/>
  <c r="CV285" i="1"/>
  <c r="AVI285" i="1"/>
  <c r="CV195" i="1"/>
  <c r="AVI195" i="1"/>
  <c r="CV153" i="1"/>
  <c r="AVI153" i="1"/>
  <c r="CV122" i="1"/>
  <c r="AVI122" i="1"/>
  <c r="CV79" i="1"/>
  <c r="AVI79" i="1"/>
  <c r="CV12" i="1"/>
  <c r="AVI12" i="1"/>
  <c r="CT388" i="1"/>
  <c r="AVG388" i="1"/>
  <c r="CT391" i="1"/>
  <c r="AVG391" i="1"/>
  <c r="CT344" i="1"/>
  <c r="AVG344" i="1"/>
  <c r="CT287" i="1"/>
  <c r="AVG287" i="1"/>
  <c r="CT216" i="1"/>
  <c r="AVG216" i="1"/>
  <c r="CT156" i="1"/>
  <c r="AVG156" i="1"/>
  <c r="CT135" i="1"/>
  <c r="AVG135" i="1"/>
  <c r="CT121" i="1"/>
  <c r="AVG121" i="1"/>
  <c r="CT97" i="1"/>
  <c r="AVG97" i="1"/>
  <c r="CT33" i="1"/>
  <c r="AVG33" i="1"/>
  <c r="CT390" i="1"/>
  <c r="AVG390" i="1"/>
  <c r="CT288" i="1"/>
  <c r="AVG288" i="1"/>
  <c r="CT215" i="1"/>
  <c r="AVG215" i="1"/>
  <c r="CT155" i="1"/>
  <c r="AVG155" i="1"/>
  <c r="CT98" i="1"/>
  <c r="AVG98" i="1"/>
  <c r="CT34" i="1"/>
  <c r="AVG34" i="1"/>
  <c r="CR389" i="1"/>
  <c r="AVE389" i="1"/>
  <c r="CR295" i="1"/>
  <c r="AVE295" i="1"/>
  <c r="CR256" i="1"/>
  <c r="AVE256" i="1"/>
  <c r="CR154" i="1"/>
  <c r="AVE154" i="1"/>
  <c r="CR133" i="1"/>
  <c r="AVE133" i="1"/>
  <c r="CR408" i="1"/>
  <c r="AVE408" i="1"/>
  <c r="CR388" i="1"/>
  <c r="AVE388" i="1"/>
  <c r="CR292" i="1"/>
  <c r="AVE292" i="1"/>
  <c r="CR217" i="1"/>
  <c r="AVE217" i="1"/>
  <c r="CR134" i="1"/>
  <c r="AVE134" i="1"/>
  <c r="CR102" i="1"/>
  <c r="AVE102" i="1"/>
  <c r="CR34" i="1"/>
  <c r="AVE34" i="1"/>
  <c r="CT346" i="1"/>
  <c r="AVG346" i="1"/>
  <c r="CX289" i="1"/>
  <c r="AVK289" i="1"/>
  <c r="CT152" i="1"/>
  <c r="AVG152" i="1"/>
  <c r="CT151" i="1"/>
  <c r="AVG151" i="1"/>
  <c r="CR345" i="1"/>
  <c r="AVE345" i="1"/>
  <c r="CY322" i="1"/>
  <c r="AVL322" i="1"/>
  <c r="CY321" i="1"/>
  <c r="AVL321" i="1"/>
  <c r="CY22" i="1"/>
  <c r="AVL22" i="1"/>
  <c r="CY232" i="1"/>
  <c r="AVL232" i="1"/>
  <c r="CY146" i="1"/>
  <c r="AVL146" i="1"/>
  <c r="CU324" i="1"/>
  <c r="AVH324" i="1"/>
  <c r="CU231" i="1"/>
  <c r="AVH231" i="1"/>
  <c r="CU110" i="1"/>
  <c r="AVH110" i="1"/>
  <c r="CU372" i="1"/>
  <c r="AVH372" i="1"/>
  <c r="CU174" i="1"/>
  <c r="AVH174" i="1"/>
  <c r="CU49" i="1"/>
  <c r="AVH49" i="1"/>
  <c r="CQ413" i="1"/>
  <c r="AVD413" i="1"/>
  <c r="CQ322" i="1"/>
  <c r="AVD322" i="1"/>
  <c r="CQ174" i="1"/>
  <c r="AVD174" i="1"/>
  <c r="CQ51" i="1"/>
  <c r="AVD51" i="1"/>
  <c r="CQ321" i="1"/>
  <c r="AVD321" i="1"/>
  <c r="CQ173" i="1"/>
  <c r="AVD173" i="1"/>
  <c r="CQ24" i="1"/>
  <c r="AVD24" i="1"/>
  <c r="CX371" i="1"/>
  <c r="AVK371" i="1"/>
  <c r="CX372" i="1"/>
  <c r="AVK372" i="1"/>
  <c r="CX232" i="1"/>
  <c r="AVK232" i="1"/>
  <c r="CX172" i="1"/>
  <c r="AVK172" i="1"/>
  <c r="CX49" i="1"/>
  <c r="AVK49" i="1"/>
  <c r="CX323" i="1"/>
  <c r="AVK323" i="1"/>
  <c r="CX173" i="1"/>
  <c r="AVK173" i="1"/>
  <c r="CX24" i="1"/>
  <c r="AVK24" i="1"/>
  <c r="CV321" i="1"/>
  <c r="AVI321" i="1"/>
  <c r="CV324" i="1"/>
  <c r="AVI324" i="1"/>
  <c r="CV230" i="1"/>
  <c r="AVI230" i="1"/>
  <c r="CV146" i="1"/>
  <c r="AVI146" i="1"/>
  <c r="CV173" i="1"/>
  <c r="AVI173" i="1"/>
  <c r="CV50" i="1"/>
  <c r="AVI50" i="1"/>
  <c r="CT413" i="1"/>
  <c r="AVG413" i="1"/>
  <c r="CT322" i="1"/>
  <c r="AVG322" i="1"/>
  <c r="CT323" i="1"/>
  <c r="AVG323" i="1"/>
  <c r="CT173" i="1"/>
  <c r="AVG173" i="1"/>
  <c r="CT50" i="1"/>
  <c r="AVG50" i="1"/>
  <c r="CR401" i="1"/>
  <c r="AVE401" i="1"/>
  <c r="CR272" i="1"/>
  <c r="AVE272" i="1"/>
  <c r="CR174" i="1"/>
  <c r="AVE174" i="1"/>
  <c r="CR49" i="1"/>
  <c r="AVE49" i="1"/>
  <c r="CR323" i="1"/>
  <c r="AVE323" i="1"/>
  <c r="CR206" i="1"/>
  <c r="AVE206" i="1"/>
  <c r="CR110" i="1"/>
  <c r="AVE110" i="1"/>
  <c r="CX325" i="1"/>
  <c r="AVK325" i="1"/>
  <c r="CX319" i="1"/>
  <c r="AVK319" i="1"/>
  <c r="CV368" i="1"/>
  <c r="AVI368" i="1"/>
  <c r="CT325" i="1"/>
  <c r="AVG325" i="1"/>
  <c r="CR320" i="1"/>
  <c r="AVE320" i="1"/>
  <c r="CR229" i="1"/>
  <c r="AVE229" i="1"/>
  <c r="CX388" i="1"/>
  <c r="AVK388" i="1"/>
  <c r="CX391" i="1"/>
  <c r="AVK391" i="1"/>
  <c r="CX344" i="1"/>
  <c r="AVK344" i="1"/>
  <c r="CX287" i="1"/>
  <c r="AVK287" i="1"/>
  <c r="CX216" i="1"/>
  <c r="AVK216" i="1"/>
  <c r="CX156" i="1"/>
  <c r="AVK156" i="1"/>
  <c r="CX135" i="1"/>
  <c r="AVK135" i="1"/>
  <c r="CX121" i="1"/>
  <c r="AVK121" i="1"/>
  <c r="CX97" i="1"/>
  <c r="AVK97" i="1"/>
  <c r="CX11" i="1"/>
  <c r="AVK11" i="1"/>
  <c r="CX390" i="1"/>
  <c r="AVK390" i="1"/>
  <c r="CX288" i="1"/>
  <c r="AVK288" i="1"/>
  <c r="CX215" i="1"/>
  <c r="AVK215" i="1"/>
  <c r="CX155" i="1"/>
  <c r="AVK155" i="1"/>
  <c r="CX79" i="1"/>
  <c r="AVK79" i="1"/>
  <c r="CX12" i="1"/>
  <c r="AVK12" i="1"/>
  <c r="CV390" i="1"/>
  <c r="AVI390" i="1"/>
  <c r="CV391" i="1"/>
  <c r="AVI391" i="1"/>
  <c r="CV344" i="1"/>
  <c r="AVI344" i="1"/>
  <c r="CV287" i="1"/>
  <c r="AVI287" i="1"/>
  <c r="CV216" i="1"/>
  <c r="AVI216" i="1"/>
  <c r="CV156" i="1"/>
  <c r="AVI156" i="1"/>
  <c r="CV135" i="1"/>
  <c r="AVI135" i="1"/>
  <c r="CV121" i="1"/>
  <c r="AVI121" i="1"/>
  <c r="CV97" i="1"/>
  <c r="AVI97" i="1"/>
  <c r="CV35" i="1"/>
  <c r="AVI35" i="1"/>
  <c r="CV388" i="1"/>
  <c r="AVI388" i="1"/>
  <c r="CV288" i="1"/>
  <c r="AVI288" i="1"/>
  <c r="CV215" i="1"/>
  <c r="AVI215" i="1"/>
  <c r="CV155" i="1"/>
  <c r="AVI155" i="1"/>
  <c r="CV98" i="1"/>
  <c r="AVI98" i="1"/>
  <c r="CV34" i="1"/>
  <c r="AVI34" i="1"/>
  <c r="CT392" i="1"/>
  <c r="AVG392" i="1"/>
  <c r="CT393" i="1"/>
  <c r="AVG393" i="1"/>
  <c r="CT348" i="1"/>
  <c r="AVG348" i="1"/>
  <c r="CT291" i="1"/>
  <c r="AVG291" i="1"/>
  <c r="CT218" i="1"/>
  <c r="AVG218" i="1"/>
  <c r="CT192" i="1"/>
  <c r="AVG192" i="1"/>
  <c r="CT137" i="1"/>
  <c r="AVG137" i="1"/>
  <c r="CT101" i="1"/>
  <c r="AVG101" i="1"/>
  <c r="CT37" i="1"/>
  <c r="AVG37" i="1"/>
  <c r="CT406" i="1"/>
  <c r="AVG406" i="1"/>
  <c r="CT292" i="1"/>
  <c r="AVG292" i="1"/>
  <c r="CT217" i="1"/>
  <c r="AVG217" i="1"/>
  <c r="CT134" i="1"/>
  <c r="AVG134" i="1"/>
  <c r="CT102" i="1"/>
  <c r="AVG102" i="1"/>
  <c r="CT36" i="1"/>
  <c r="AVG36" i="1"/>
  <c r="CT9" i="1"/>
  <c r="AVG9" i="1"/>
  <c r="CR391" i="1"/>
  <c r="AVE391" i="1"/>
  <c r="CR344" i="1"/>
  <c r="AVE344" i="1"/>
  <c r="CR287" i="1"/>
  <c r="AVE287" i="1"/>
  <c r="CR216" i="1"/>
  <c r="AVE216" i="1"/>
  <c r="CR156" i="1"/>
  <c r="AVE156" i="1"/>
  <c r="CR135" i="1"/>
  <c r="AVE135" i="1"/>
  <c r="CR121" i="1"/>
  <c r="AVE121" i="1"/>
  <c r="CR97" i="1"/>
  <c r="AVE97" i="1"/>
  <c r="CR11" i="1"/>
  <c r="AVE11" i="1"/>
  <c r="CR390" i="1"/>
  <c r="AVE390" i="1"/>
  <c r="CR294" i="1"/>
  <c r="AVE294" i="1"/>
  <c r="CR255" i="1"/>
  <c r="AVE255" i="1"/>
  <c r="CR193" i="1"/>
  <c r="AVE193" i="1"/>
  <c r="CR136" i="1"/>
  <c r="AVE136" i="1"/>
  <c r="CR120" i="1"/>
  <c r="AVE120" i="1"/>
  <c r="CR36" i="1"/>
  <c r="AVE36" i="1"/>
  <c r="CR9" i="1"/>
  <c r="AVE9" i="1"/>
  <c r="CV346" i="1"/>
  <c r="AVI346" i="1"/>
  <c r="CX345" i="1"/>
  <c r="AVK345" i="1"/>
  <c r="CV152" i="1"/>
  <c r="AVI152" i="1"/>
  <c r="CT284" i="1"/>
  <c r="AVG284" i="1"/>
  <c r="CR152" i="1"/>
  <c r="AVE152" i="1"/>
  <c r="CR151" i="1"/>
  <c r="AVE151" i="1"/>
  <c r="CY324" i="1"/>
  <c r="AVL324" i="1"/>
  <c r="CY323" i="1"/>
  <c r="AVL323" i="1"/>
  <c r="CY173" i="1"/>
  <c r="AVL173" i="1"/>
  <c r="CY24" i="1"/>
  <c r="AVL24" i="1"/>
  <c r="CY272" i="1"/>
  <c r="AVL272" i="1"/>
  <c r="CY172" i="1"/>
  <c r="AVL172" i="1"/>
  <c r="CU401" i="1"/>
  <c r="AVH401" i="1"/>
  <c r="CU373" i="1"/>
  <c r="AVH373" i="1"/>
  <c r="CU234" i="1"/>
  <c r="AVH234" i="1"/>
  <c r="CU112" i="1"/>
  <c r="AVH112" i="1"/>
  <c r="CU413" i="1"/>
  <c r="AVH413" i="1"/>
  <c r="W129" i="12"/>
  <c r="AVJ423" i="1"/>
  <c r="S129" i="12"/>
  <c r="AVF423" i="1"/>
  <c r="CX401" i="1"/>
  <c r="AVK401" i="1"/>
  <c r="CX272" i="1"/>
  <c r="AVK272" i="1"/>
  <c r="CX174" i="1"/>
  <c r="AVK174" i="1"/>
  <c r="CX51" i="1"/>
  <c r="AVK51" i="1"/>
  <c r="CX373" i="1"/>
  <c r="AVK373" i="1"/>
  <c r="CX231" i="1"/>
  <c r="AVK231" i="1"/>
  <c r="CX110" i="1"/>
  <c r="AVK110" i="1"/>
  <c r="CV323" i="1"/>
  <c r="AVI323" i="1"/>
  <c r="CV372" i="1"/>
  <c r="AVI372" i="1"/>
  <c r="CV232" i="1"/>
  <c r="AVI232" i="1"/>
  <c r="CV172" i="1"/>
  <c r="AVI172" i="1"/>
  <c r="CV371" i="1"/>
  <c r="AVI371" i="1"/>
  <c r="CV206" i="1"/>
  <c r="AVI206" i="1"/>
  <c r="CV110" i="1"/>
  <c r="AVI110" i="1"/>
  <c r="CT324" i="1"/>
  <c r="AVG324" i="1"/>
  <c r="CT230" i="1"/>
  <c r="AVG230" i="1"/>
  <c r="CT373" i="1"/>
  <c r="AVG373" i="1"/>
  <c r="CT231" i="1"/>
  <c r="AVG231" i="1"/>
  <c r="CT110" i="1"/>
  <c r="AVG110" i="1"/>
  <c r="CR413" i="1"/>
  <c r="AVE413" i="1"/>
  <c r="CR322" i="1"/>
  <c r="AVE322" i="1"/>
  <c r="CR207" i="1"/>
  <c r="AVE207" i="1"/>
  <c r="CR51" i="1"/>
  <c r="AVE51" i="1"/>
  <c r="CR231" i="1"/>
  <c r="AVE231" i="1"/>
  <c r="CR112" i="1"/>
  <c r="AVE112" i="1"/>
  <c r="CR22" i="1"/>
  <c r="AVE22" i="1"/>
  <c r="CX320" i="1"/>
  <c r="AVK320" i="1"/>
  <c r="CV370" i="1"/>
  <c r="AVI370" i="1"/>
  <c r="CV229" i="1"/>
  <c r="AVI229" i="1"/>
  <c r="CT320" i="1"/>
  <c r="AVG320" i="1"/>
  <c r="CR368" i="1"/>
  <c r="AVE368" i="1"/>
  <c r="CR319" i="1"/>
  <c r="AVE319" i="1"/>
  <c r="CX392" i="1"/>
  <c r="AVK392" i="1"/>
  <c r="CX393" i="1"/>
  <c r="AVK393" i="1"/>
  <c r="CX348" i="1"/>
  <c r="AVK348" i="1"/>
  <c r="CX291" i="1"/>
  <c r="AVK291" i="1"/>
  <c r="CX218" i="1"/>
  <c r="AVK218" i="1"/>
  <c r="CX192" i="1"/>
  <c r="AVK192" i="1"/>
  <c r="CX137" i="1"/>
  <c r="AVK137" i="1"/>
  <c r="CX101" i="1"/>
  <c r="AVK101" i="1"/>
  <c r="CX37" i="1"/>
  <c r="AVK37" i="1"/>
  <c r="CX406" i="1"/>
  <c r="AVK406" i="1"/>
  <c r="CX292" i="1"/>
  <c r="AVK292" i="1"/>
  <c r="CX217" i="1"/>
  <c r="AVK217" i="1"/>
  <c r="CX134" i="1"/>
  <c r="AVK134" i="1"/>
  <c r="CX102" i="1"/>
  <c r="AVK102" i="1"/>
  <c r="CX34" i="1"/>
  <c r="AVK34" i="1"/>
  <c r="CV406" i="1"/>
  <c r="AVI406" i="1"/>
  <c r="CV393" i="1"/>
  <c r="AVI393" i="1"/>
  <c r="CV348" i="1"/>
  <c r="AVI348" i="1"/>
  <c r="CV291" i="1"/>
  <c r="AVI291" i="1"/>
  <c r="CV218" i="1"/>
  <c r="AVI218" i="1"/>
  <c r="CV192" i="1"/>
  <c r="AVI192" i="1"/>
  <c r="CV137" i="1"/>
  <c r="AVI137" i="1"/>
  <c r="CV101" i="1"/>
  <c r="AVI101" i="1"/>
  <c r="CV37" i="1"/>
  <c r="AVI37" i="1"/>
  <c r="CV392" i="1"/>
  <c r="AVI392" i="1"/>
  <c r="CV292" i="1"/>
  <c r="AVI292" i="1"/>
  <c r="CV217" i="1"/>
  <c r="AVI217" i="1"/>
  <c r="CV134" i="1"/>
  <c r="AVI134" i="1"/>
  <c r="CV102" i="1"/>
  <c r="AVI102" i="1"/>
  <c r="CV36" i="1"/>
  <c r="AVI36" i="1"/>
  <c r="CT407" i="1"/>
  <c r="AVG407" i="1"/>
  <c r="CT350" i="1"/>
  <c r="AVG350" i="1"/>
  <c r="CT293" i="1"/>
  <c r="AVG293" i="1"/>
  <c r="CT194" i="1"/>
  <c r="AVG194" i="1"/>
  <c r="CT103" i="1"/>
  <c r="AVG103" i="1"/>
  <c r="CT408" i="1"/>
  <c r="AVG408" i="1"/>
  <c r="CT294" i="1"/>
  <c r="AVG294" i="1"/>
  <c r="CT255" i="1"/>
  <c r="AVG255" i="1"/>
  <c r="CT193" i="1"/>
  <c r="AVG193" i="1"/>
  <c r="CT136" i="1"/>
  <c r="AVG136" i="1"/>
  <c r="CT120" i="1"/>
  <c r="AVG120" i="1"/>
  <c r="CT77" i="1"/>
  <c r="AVG77" i="1"/>
  <c r="CT12" i="1"/>
  <c r="AVG12" i="1"/>
  <c r="CR393" i="1"/>
  <c r="AVE393" i="1"/>
  <c r="CR348" i="1"/>
  <c r="AVE348" i="1"/>
  <c r="CR291" i="1"/>
  <c r="AVE291" i="1"/>
  <c r="CR218" i="1"/>
  <c r="AVE218" i="1"/>
  <c r="CR192" i="1"/>
  <c r="AVE192" i="1"/>
  <c r="CR137" i="1"/>
  <c r="AVE137" i="1"/>
  <c r="CR101" i="1"/>
  <c r="AVE101" i="1"/>
  <c r="CR37" i="1"/>
  <c r="AVE37" i="1"/>
  <c r="CR392" i="1"/>
  <c r="AVE392" i="1"/>
  <c r="CR347" i="1"/>
  <c r="AVE347" i="1"/>
  <c r="CR285" i="1"/>
  <c r="AVE285" i="1"/>
  <c r="CR195" i="1"/>
  <c r="AVE195" i="1"/>
  <c r="CR153" i="1"/>
  <c r="AVE153" i="1"/>
  <c r="CR122" i="1"/>
  <c r="AVE122" i="1"/>
  <c r="CR77" i="1"/>
  <c r="AVE77" i="1"/>
  <c r="CR12" i="1"/>
  <c r="AVE12" i="1"/>
  <c r="CX290" i="1"/>
  <c r="AVK290" i="1"/>
  <c r="CX152" i="1"/>
  <c r="AVK152" i="1"/>
  <c r="CX151" i="1"/>
  <c r="AVK151" i="1"/>
  <c r="CV284" i="1"/>
  <c r="AVI284" i="1"/>
  <c r="CT289" i="1"/>
  <c r="AVG289" i="1"/>
  <c r="CR284" i="1"/>
  <c r="AVE284" i="1"/>
  <c r="V129" i="12"/>
  <c r="AVI423" i="1"/>
  <c r="CY401" i="1"/>
  <c r="AVL401" i="1"/>
  <c r="CY231" i="1"/>
  <c r="AVL231" i="1"/>
  <c r="CY110" i="1"/>
  <c r="AVL110" i="1"/>
  <c r="CY372" i="1"/>
  <c r="AVL372" i="1"/>
  <c r="CY174" i="1"/>
  <c r="AVL174" i="1"/>
  <c r="CY23" i="1"/>
  <c r="AVL23" i="1"/>
  <c r="CU400" i="1"/>
  <c r="AVH400" i="1"/>
  <c r="CU321" i="1"/>
  <c r="AVH321" i="1"/>
  <c r="CU22" i="1"/>
  <c r="AVH22" i="1"/>
  <c r="CU232" i="1"/>
  <c r="AVH232" i="1"/>
  <c r="CU146" i="1"/>
  <c r="AVH146" i="1"/>
  <c r="CQ373" i="1"/>
  <c r="AVD373" i="1"/>
  <c r="CQ372" i="1"/>
  <c r="AVD372" i="1"/>
  <c r="CQ232" i="1"/>
  <c r="AVD232" i="1"/>
  <c r="CQ146" i="1"/>
  <c r="AVD146" i="1"/>
  <c r="CQ23" i="1"/>
  <c r="AVD23" i="1"/>
  <c r="CQ231" i="1"/>
  <c r="AVD231" i="1"/>
  <c r="CQ112" i="1"/>
  <c r="AVD112" i="1"/>
  <c r="CW319" i="1"/>
  <c r="AVJ319" i="1"/>
  <c r="CS368" i="1"/>
  <c r="AVF368" i="1"/>
  <c r="CS320" i="1"/>
  <c r="AVF320" i="1"/>
  <c r="CY344" i="1"/>
  <c r="AVL344" i="1"/>
  <c r="CY392" i="1"/>
  <c r="AVL392" i="1"/>
  <c r="CY347" i="1"/>
  <c r="AVL347" i="1"/>
  <c r="CY285" i="1"/>
  <c r="AVL285" i="1"/>
  <c r="CY195" i="1"/>
  <c r="AVL195" i="1"/>
  <c r="CY153" i="1"/>
  <c r="AVL153" i="1"/>
  <c r="CY122" i="1"/>
  <c r="AVL122" i="1"/>
  <c r="CY77" i="1"/>
  <c r="AVL77" i="1"/>
  <c r="CY12" i="1"/>
  <c r="AVL12" i="1"/>
  <c r="CY350" i="1"/>
  <c r="AVL350" i="1"/>
  <c r="CY287" i="1"/>
  <c r="AVL287" i="1"/>
  <c r="CY216" i="1"/>
  <c r="AVL216" i="1"/>
  <c r="CY156" i="1"/>
  <c r="AVL156" i="1"/>
  <c r="CY135" i="1"/>
  <c r="AVL135" i="1"/>
  <c r="CY121" i="1"/>
  <c r="AVL121" i="1"/>
  <c r="CY97" i="1"/>
  <c r="AVL97" i="1"/>
  <c r="CY11" i="1"/>
  <c r="AVL11" i="1"/>
  <c r="CU344" i="1"/>
  <c r="AVH344" i="1"/>
  <c r="CU392" i="1"/>
  <c r="AVH392" i="1"/>
  <c r="CU347" i="1"/>
  <c r="AVH347" i="1"/>
  <c r="CU285" i="1"/>
  <c r="AVH285" i="1"/>
  <c r="CU195" i="1"/>
  <c r="AVH195" i="1"/>
  <c r="CU153" i="1"/>
  <c r="AVH153" i="1"/>
  <c r="CU122" i="1"/>
  <c r="AVH122" i="1"/>
  <c r="CU77" i="1"/>
  <c r="AVH77" i="1"/>
  <c r="CU9" i="1"/>
  <c r="AVH9" i="1"/>
  <c r="CU295" i="1"/>
  <c r="AVH295" i="1"/>
  <c r="CU256" i="1"/>
  <c r="AVH256" i="1"/>
  <c r="CU154" i="1"/>
  <c r="AVH154" i="1"/>
  <c r="CU133" i="1"/>
  <c r="AVH133" i="1"/>
  <c r="CU8" i="1"/>
  <c r="AVH8" i="1"/>
  <c r="CQ393" i="1"/>
  <c r="AVD393" i="1"/>
  <c r="CQ348" i="1"/>
  <c r="AVD348" i="1"/>
  <c r="CQ291" i="1"/>
  <c r="AVD291" i="1"/>
  <c r="CQ218" i="1"/>
  <c r="AVD218" i="1"/>
  <c r="CQ192" i="1"/>
  <c r="AVD192" i="1"/>
  <c r="CQ137" i="1"/>
  <c r="AVD137" i="1"/>
  <c r="CQ101" i="1"/>
  <c r="AVD101" i="1"/>
  <c r="CQ37" i="1"/>
  <c r="AVD37" i="1"/>
  <c r="CQ408" i="1"/>
  <c r="AVD408" i="1"/>
  <c r="CQ347" i="1"/>
  <c r="AVD347" i="1"/>
  <c r="CQ285" i="1"/>
  <c r="AVD285" i="1"/>
  <c r="CQ195" i="1"/>
  <c r="AVD195" i="1"/>
  <c r="CQ153" i="1"/>
  <c r="AVD153" i="1"/>
  <c r="CQ122" i="1"/>
  <c r="AVD122" i="1"/>
  <c r="CQ77" i="1"/>
  <c r="AVD77" i="1"/>
  <c r="CQ9" i="1"/>
  <c r="AVD9" i="1"/>
  <c r="CX413" i="1"/>
  <c r="AVK413" i="1"/>
  <c r="CX322" i="1"/>
  <c r="AVK322" i="1"/>
  <c r="CX207" i="1"/>
  <c r="AVK207" i="1"/>
  <c r="CX111" i="1"/>
  <c r="AVK111" i="1"/>
  <c r="CX400" i="1"/>
  <c r="AVK400" i="1"/>
  <c r="CX234" i="1"/>
  <c r="AVK234" i="1"/>
  <c r="CX112" i="1"/>
  <c r="AVK112" i="1"/>
  <c r="CV373" i="1"/>
  <c r="AVI373" i="1"/>
  <c r="CV401" i="1"/>
  <c r="AVI401" i="1"/>
  <c r="CV272" i="1"/>
  <c r="AVI272" i="1"/>
  <c r="CV174" i="1"/>
  <c r="AVI174" i="1"/>
  <c r="CV23" i="1"/>
  <c r="AVI23" i="1"/>
  <c r="CV231" i="1"/>
  <c r="AVI231" i="1"/>
  <c r="CV112" i="1"/>
  <c r="AVI112" i="1"/>
  <c r="CV22" i="1"/>
  <c r="AVI22" i="1"/>
  <c r="CT372" i="1"/>
  <c r="AVG372" i="1"/>
  <c r="CT232" i="1"/>
  <c r="AVG232" i="1"/>
  <c r="CT174" i="1"/>
  <c r="AVG174" i="1"/>
  <c r="CT23" i="1"/>
  <c r="AVG23" i="1"/>
  <c r="CT234" i="1"/>
  <c r="AVG234" i="1"/>
  <c r="CT112" i="1"/>
  <c r="AVG112" i="1"/>
  <c r="CT22" i="1"/>
  <c r="AVG22" i="1"/>
  <c r="CR324" i="1"/>
  <c r="AVE324" i="1"/>
  <c r="CR230" i="1"/>
  <c r="AVE230" i="1"/>
  <c r="CR146" i="1"/>
  <c r="AVE146" i="1"/>
  <c r="CR373" i="1"/>
  <c r="AVE373" i="1"/>
  <c r="CR234" i="1"/>
  <c r="AVE234" i="1"/>
  <c r="CR24" i="1"/>
  <c r="AVE24" i="1"/>
  <c r="CX368" i="1"/>
  <c r="AVK368" i="1"/>
  <c r="CV319" i="1"/>
  <c r="AVI319" i="1"/>
  <c r="CV325" i="1"/>
  <c r="AVI325" i="1"/>
  <c r="CT368" i="1"/>
  <c r="AVG368" i="1"/>
  <c r="CR370" i="1"/>
  <c r="AVE370" i="1"/>
  <c r="CR325" i="1"/>
  <c r="AVE325" i="1"/>
  <c r="CX407" i="1"/>
  <c r="AVK407" i="1"/>
  <c r="CX350" i="1"/>
  <c r="AVK350" i="1"/>
  <c r="CX293" i="1"/>
  <c r="AVK293" i="1"/>
  <c r="CX194" i="1"/>
  <c r="AVK194" i="1"/>
  <c r="CX103" i="1"/>
  <c r="AVK103" i="1"/>
  <c r="CX408" i="1"/>
  <c r="AVK408" i="1"/>
  <c r="CX294" i="1"/>
  <c r="AVK294" i="1"/>
  <c r="CX255" i="1"/>
  <c r="AVK255" i="1"/>
  <c r="CX193" i="1"/>
  <c r="AVK193" i="1"/>
  <c r="CX136" i="1"/>
  <c r="AVK136" i="1"/>
  <c r="CX120" i="1"/>
  <c r="AVK120" i="1"/>
  <c r="CX36" i="1"/>
  <c r="AVK36" i="1"/>
  <c r="CV408" i="1"/>
  <c r="AVI408" i="1"/>
  <c r="CV407" i="1"/>
  <c r="AVI407" i="1"/>
  <c r="CV350" i="1"/>
  <c r="AVI350" i="1"/>
  <c r="CV293" i="1"/>
  <c r="AVI293" i="1"/>
  <c r="CV194" i="1"/>
  <c r="AVI194" i="1"/>
  <c r="CV103" i="1"/>
  <c r="AVI103" i="1"/>
  <c r="CV294" i="1"/>
  <c r="AVI294" i="1"/>
  <c r="CV255" i="1"/>
  <c r="AVI255" i="1"/>
  <c r="CV193" i="1"/>
  <c r="AVI193" i="1"/>
  <c r="CV136" i="1"/>
  <c r="AVI136" i="1"/>
  <c r="CV120" i="1"/>
  <c r="AVI120" i="1"/>
  <c r="CV77" i="1"/>
  <c r="AVI77" i="1"/>
  <c r="CV9" i="1"/>
  <c r="AVI9" i="1"/>
  <c r="CT349" i="1"/>
  <c r="AVG349" i="1"/>
  <c r="CT389" i="1"/>
  <c r="AVG389" i="1"/>
  <c r="CT295" i="1"/>
  <c r="AVG295" i="1"/>
  <c r="CT256" i="1"/>
  <c r="AVG256" i="1"/>
  <c r="CT154" i="1"/>
  <c r="AVG154" i="1"/>
  <c r="CT11" i="1"/>
  <c r="AVG11" i="1"/>
  <c r="CT347" i="1"/>
  <c r="AVG347" i="1"/>
  <c r="CT285" i="1"/>
  <c r="AVG285" i="1"/>
  <c r="CT195" i="1"/>
  <c r="AVG195" i="1"/>
  <c r="CT153" i="1"/>
  <c r="AVG153" i="1"/>
  <c r="CT122" i="1"/>
  <c r="AVG122" i="1"/>
  <c r="CT79" i="1"/>
  <c r="AVG79" i="1"/>
  <c r="CR407" i="1"/>
  <c r="AVE407" i="1"/>
  <c r="CR350" i="1"/>
  <c r="AVE350" i="1"/>
  <c r="CR293" i="1"/>
  <c r="AVE293" i="1"/>
  <c r="CR194" i="1"/>
  <c r="AVE194" i="1"/>
  <c r="CR103" i="1"/>
  <c r="AVE103" i="1"/>
  <c r="CR406" i="1"/>
  <c r="AVE406" i="1"/>
  <c r="CR349" i="1"/>
  <c r="AVE349" i="1"/>
  <c r="CR288" i="1"/>
  <c r="AVE288" i="1"/>
  <c r="CR215" i="1"/>
  <c r="AVE215" i="1"/>
  <c r="CR155" i="1"/>
  <c r="AVE155" i="1"/>
  <c r="CR79" i="1"/>
  <c r="AVE79" i="1"/>
  <c r="CX346" i="1"/>
  <c r="AVK346" i="1"/>
  <c r="CR346" i="1"/>
  <c r="AVE346" i="1"/>
  <c r="CX284" i="1"/>
  <c r="AVK284" i="1"/>
  <c r="CV345" i="1"/>
  <c r="AVI345" i="1"/>
  <c r="CV289" i="1"/>
  <c r="AVI289" i="1"/>
  <c r="CV151" i="1"/>
  <c r="AVI151" i="1"/>
  <c r="CT345" i="1"/>
  <c r="AVG345" i="1"/>
  <c r="CR289" i="1"/>
  <c r="AVE289" i="1"/>
  <c r="CY373" i="1"/>
  <c r="AVL373" i="1"/>
  <c r="CY234" i="1"/>
  <c r="AVL234" i="1"/>
  <c r="CY112" i="1"/>
  <c r="AVL112" i="1"/>
  <c r="CY413" i="1"/>
  <c r="AVL413" i="1"/>
  <c r="CY230" i="1"/>
  <c r="AVL230" i="1"/>
  <c r="CY49" i="1"/>
  <c r="AVL49" i="1"/>
  <c r="CU322" i="1"/>
  <c r="AVH322" i="1"/>
  <c r="CU323" i="1"/>
  <c r="AVH323" i="1"/>
  <c r="CU173" i="1"/>
  <c r="AVH173" i="1"/>
  <c r="CU24" i="1"/>
  <c r="AVH24" i="1"/>
  <c r="CU272" i="1"/>
  <c r="AVH272" i="1"/>
  <c r="CU172" i="1"/>
  <c r="AVH172" i="1"/>
  <c r="CU23" i="1"/>
  <c r="AVH23" i="1"/>
  <c r="CQ401" i="1"/>
  <c r="AVD401" i="1"/>
  <c r="CQ272" i="1"/>
  <c r="AVD272" i="1"/>
  <c r="CQ172" i="1"/>
  <c r="AVD172" i="1"/>
  <c r="CQ49" i="1"/>
  <c r="AVD49" i="1"/>
  <c r="CQ234" i="1"/>
  <c r="AVD234" i="1"/>
  <c r="CQ145" i="1"/>
  <c r="AVD145" i="1"/>
  <c r="CQ22" i="1"/>
  <c r="AVD22" i="1"/>
  <c r="CW325" i="1"/>
  <c r="AVJ325" i="1"/>
  <c r="CS370" i="1"/>
  <c r="AVF370" i="1"/>
  <c r="CS229" i="1"/>
  <c r="AVF229" i="1"/>
  <c r="CY348" i="1"/>
  <c r="AVL348" i="1"/>
  <c r="CY406" i="1"/>
  <c r="AVL406" i="1"/>
  <c r="CY349" i="1"/>
  <c r="AVL349" i="1"/>
  <c r="CY288" i="1"/>
  <c r="AVL288" i="1"/>
  <c r="CY215" i="1"/>
  <c r="AVL215" i="1"/>
  <c r="CY155" i="1"/>
  <c r="AVL155" i="1"/>
  <c r="CY79" i="1"/>
  <c r="AVL79" i="1"/>
  <c r="CY389" i="1"/>
  <c r="AVL389" i="1"/>
  <c r="CY291" i="1"/>
  <c r="AVL291" i="1"/>
  <c r="CY218" i="1"/>
  <c r="AVL218" i="1"/>
  <c r="CY192" i="1"/>
  <c r="AVL192" i="1"/>
  <c r="CY137" i="1"/>
  <c r="AVL137" i="1"/>
  <c r="CY101" i="1"/>
  <c r="AVL101" i="1"/>
  <c r="CY37" i="1"/>
  <c r="AVL37" i="1"/>
  <c r="CU348" i="1"/>
  <c r="AVH348" i="1"/>
  <c r="CU406" i="1"/>
  <c r="AVH406" i="1"/>
  <c r="CU349" i="1"/>
  <c r="AVH349" i="1"/>
  <c r="CU288" i="1"/>
  <c r="AVH288" i="1"/>
  <c r="CU215" i="1"/>
  <c r="AVH215" i="1"/>
  <c r="CU155" i="1"/>
  <c r="AVH155" i="1"/>
  <c r="CU79" i="1"/>
  <c r="AVH79" i="1"/>
  <c r="CU12" i="1"/>
  <c r="AVH12" i="1"/>
  <c r="CU350" i="1"/>
  <c r="AVH350" i="1"/>
  <c r="CU287" i="1"/>
  <c r="AVH287" i="1"/>
  <c r="CU216" i="1"/>
  <c r="AVH216" i="1"/>
  <c r="CU156" i="1"/>
  <c r="AVH156" i="1"/>
  <c r="CU135" i="1"/>
  <c r="AVH135" i="1"/>
  <c r="CU121" i="1"/>
  <c r="AVH121" i="1"/>
  <c r="CU97" i="1"/>
  <c r="AVH97" i="1"/>
  <c r="CU11" i="1"/>
  <c r="AVH11" i="1"/>
  <c r="CQ407" i="1"/>
  <c r="AVD407" i="1"/>
  <c r="CQ350" i="1"/>
  <c r="AVD350" i="1"/>
  <c r="CQ293" i="1"/>
  <c r="AVD293" i="1"/>
  <c r="CW368" i="1"/>
  <c r="AVJ368" i="1"/>
  <c r="CW320" i="1"/>
  <c r="AVJ320" i="1"/>
  <c r="CS319" i="1"/>
  <c r="AVF319" i="1"/>
  <c r="CY391" i="1"/>
  <c r="AVL391" i="1"/>
  <c r="CY408" i="1"/>
  <c r="AVL408" i="1"/>
  <c r="CY388" i="1"/>
  <c r="AVL388" i="1"/>
  <c r="CY292" i="1"/>
  <c r="AVL292" i="1"/>
  <c r="CY217" i="1"/>
  <c r="AVL217" i="1"/>
  <c r="CY134" i="1"/>
  <c r="AVL134" i="1"/>
  <c r="CY102" i="1"/>
  <c r="AVL102" i="1"/>
  <c r="CY34" i="1"/>
  <c r="AVL34" i="1"/>
  <c r="CY393" i="1"/>
  <c r="AVL393" i="1"/>
  <c r="CY293" i="1"/>
  <c r="AVL293" i="1"/>
  <c r="CY194" i="1"/>
  <c r="AVL194" i="1"/>
  <c r="CY103" i="1"/>
  <c r="AVL103" i="1"/>
  <c r="CU391" i="1"/>
  <c r="AVH391" i="1"/>
  <c r="CU408" i="1"/>
  <c r="AVH408" i="1"/>
  <c r="CU388" i="1"/>
  <c r="AVH388" i="1"/>
  <c r="CU292" i="1"/>
  <c r="AVH292" i="1"/>
  <c r="CU217" i="1"/>
  <c r="AVH217" i="1"/>
  <c r="CU134" i="1"/>
  <c r="AVH134" i="1"/>
  <c r="CU102" i="1"/>
  <c r="AVH102" i="1"/>
  <c r="CU34" i="1"/>
  <c r="AVH34" i="1"/>
  <c r="CU389" i="1"/>
  <c r="AVH389" i="1"/>
  <c r="CU291" i="1"/>
  <c r="AVH291" i="1"/>
  <c r="CU218" i="1"/>
  <c r="AVH218" i="1"/>
  <c r="CU192" i="1"/>
  <c r="AVH192" i="1"/>
  <c r="CU137" i="1"/>
  <c r="AVH137" i="1"/>
  <c r="CU101" i="1"/>
  <c r="AVH101" i="1"/>
  <c r="CU37" i="1"/>
  <c r="AVH37" i="1"/>
  <c r="CQ388" i="1"/>
  <c r="AVD388" i="1"/>
  <c r="CQ389" i="1"/>
  <c r="AVD389" i="1"/>
  <c r="CQ295" i="1"/>
  <c r="AVD295" i="1"/>
  <c r="CQ256" i="1"/>
  <c r="AVD256" i="1"/>
  <c r="CQ154" i="1"/>
  <c r="AVD154" i="1"/>
  <c r="CQ133" i="1"/>
  <c r="AVD133" i="1"/>
  <c r="CQ11" i="1"/>
  <c r="AVD11" i="1"/>
  <c r="CQ392" i="1"/>
  <c r="AVD392" i="1"/>
  <c r="CQ292" i="1"/>
  <c r="AVD292" i="1"/>
  <c r="CQ217" i="1"/>
  <c r="AVD217" i="1"/>
  <c r="CQ134" i="1"/>
  <c r="AVD134" i="1"/>
  <c r="CQ102" i="1"/>
  <c r="AVD102" i="1"/>
  <c r="CQ34" i="1"/>
  <c r="AVD34" i="1"/>
  <c r="CQ346" i="1"/>
  <c r="AVD346" i="1"/>
  <c r="CW151" i="1"/>
  <c r="AVJ151" i="1"/>
  <c r="CW289" i="1"/>
  <c r="AVJ289" i="1"/>
  <c r="CS345" i="1"/>
  <c r="AVF345" i="1"/>
  <c r="CS284" i="1"/>
  <c r="AVF284" i="1"/>
  <c r="X129" i="12"/>
  <c r="AVK423" i="1"/>
  <c r="CW373" i="1"/>
  <c r="AVJ373" i="1"/>
  <c r="CW234" i="1"/>
  <c r="AVJ234" i="1"/>
  <c r="CW112" i="1"/>
  <c r="AVJ112" i="1"/>
  <c r="CW401" i="1"/>
  <c r="AVJ401" i="1"/>
  <c r="CW232" i="1"/>
  <c r="AVJ232" i="1"/>
  <c r="CW172" i="1"/>
  <c r="AVJ172" i="1"/>
  <c r="CS413" i="1"/>
  <c r="AVF413" i="1"/>
  <c r="CS323" i="1"/>
  <c r="AVF323" i="1"/>
  <c r="CS173" i="1"/>
  <c r="AVF173" i="1"/>
  <c r="CS24" i="1"/>
  <c r="AVF24" i="1"/>
  <c r="CS322" i="1"/>
  <c r="AVF322" i="1"/>
  <c r="CS174" i="1"/>
  <c r="AVF174" i="1"/>
  <c r="CS23" i="1"/>
  <c r="AVF23" i="1"/>
  <c r="CY229" i="1"/>
  <c r="AVL229" i="1"/>
  <c r="CU325" i="1"/>
  <c r="AVH325" i="1"/>
  <c r="CU368" i="1"/>
  <c r="AVH368" i="1"/>
  <c r="CQ325" i="1"/>
  <c r="AVD325" i="1"/>
  <c r="CW389" i="1"/>
  <c r="AVJ389" i="1"/>
  <c r="CW406" i="1"/>
  <c r="AVJ406" i="1"/>
  <c r="CW349" i="1"/>
  <c r="AVJ349" i="1"/>
  <c r="CW288" i="1"/>
  <c r="AVJ288" i="1"/>
  <c r="CW215" i="1"/>
  <c r="AVJ215" i="1"/>
  <c r="CW155" i="1"/>
  <c r="AVJ155" i="1"/>
  <c r="CW79" i="1"/>
  <c r="AVJ79" i="1"/>
  <c r="CW12" i="1"/>
  <c r="AVJ12" i="1"/>
  <c r="CW348" i="1"/>
  <c r="AVJ348" i="1"/>
  <c r="CW291" i="1"/>
  <c r="AVJ291" i="1"/>
  <c r="CW218" i="1"/>
  <c r="AVJ218" i="1"/>
  <c r="CW192" i="1"/>
  <c r="AVJ192" i="1"/>
  <c r="CW137" i="1"/>
  <c r="AVJ137" i="1"/>
  <c r="CW101" i="1"/>
  <c r="AVJ101" i="1"/>
  <c r="CW37" i="1"/>
  <c r="AVJ37" i="1"/>
  <c r="CS350" i="1"/>
  <c r="AVF350" i="1"/>
  <c r="CS392" i="1"/>
  <c r="AVF392" i="1"/>
  <c r="CS347" i="1"/>
  <c r="AVF347" i="1"/>
  <c r="CS285" i="1"/>
  <c r="AVF285" i="1"/>
  <c r="CS195" i="1"/>
  <c r="AVF195" i="1"/>
  <c r="CS153" i="1"/>
  <c r="AVF153" i="1"/>
  <c r="CS122" i="1"/>
  <c r="AVF122" i="1"/>
  <c r="CS77" i="1"/>
  <c r="AVF77" i="1"/>
  <c r="CS9" i="1"/>
  <c r="AVF9" i="1"/>
  <c r="CS344" i="1"/>
  <c r="AVF344" i="1"/>
  <c r="CS287" i="1"/>
  <c r="AVF287" i="1"/>
  <c r="CS216" i="1"/>
  <c r="AVF216" i="1"/>
  <c r="CS156" i="1"/>
  <c r="AVF156" i="1"/>
  <c r="CS135" i="1"/>
  <c r="AVF135" i="1"/>
  <c r="CS121" i="1"/>
  <c r="AVF121" i="1"/>
  <c r="CS97" i="1"/>
  <c r="AVF97" i="1"/>
  <c r="CS11" i="1"/>
  <c r="AVF11" i="1"/>
  <c r="CY345" i="1"/>
  <c r="AVL345" i="1"/>
  <c r="CY284" i="1"/>
  <c r="AVL284" i="1"/>
  <c r="CU152" i="1"/>
  <c r="AVH152" i="1"/>
  <c r="CQ284" i="1"/>
  <c r="AVD284" i="1"/>
  <c r="BN126" i="1"/>
  <c r="BO126" i="1" s="1"/>
  <c r="CK126" i="1" s="1"/>
  <c r="AUV126" i="1"/>
  <c r="AUW126" i="1" s="1"/>
  <c r="AUX126" i="1" s="1"/>
  <c r="CI204" i="1"/>
  <c r="AUV204" i="1"/>
  <c r="AUW204" i="1" s="1"/>
  <c r="AUX204" i="1" s="1"/>
  <c r="CM117" i="1"/>
  <c r="AUZ117" i="1"/>
  <c r="CM241" i="1"/>
  <c r="AUZ241" i="1"/>
  <c r="CM403" i="1"/>
  <c r="AUZ403" i="1"/>
  <c r="CM148" i="1"/>
  <c r="AUZ148" i="1"/>
  <c r="CM242" i="1"/>
  <c r="AUZ242" i="1"/>
  <c r="CI169" i="1"/>
  <c r="AUV169" i="1"/>
  <c r="AUW169" i="1" s="1"/>
  <c r="AUX169" i="1" s="1"/>
  <c r="CI61" i="1"/>
  <c r="AUV61" i="1"/>
  <c r="AUW61" i="1" s="1"/>
  <c r="AUX61" i="1" s="1"/>
  <c r="CX81" i="1"/>
  <c r="AVK81" i="1"/>
  <c r="CT371" i="1"/>
  <c r="AVG371" i="1"/>
  <c r="CT67" i="1"/>
  <c r="AVG67" i="1"/>
  <c r="CW237" i="1"/>
  <c r="AVJ237" i="1"/>
  <c r="CW205" i="1"/>
  <c r="AVJ205" i="1"/>
  <c r="CW33" i="1"/>
  <c r="AVJ33" i="1"/>
  <c r="CW47" i="1"/>
  <c r="AVJ47" i="1"/>
  <c r="CS386" i="1"/>
  <c r="AVF386" i="1"/>
  <c r="CS235" i="1"/>
  <c r="AVF235" i="1"/>
  <c r="CS98" i="1"/>
  <c r="AVF98" i="1"/>
  <c r="CS8" i="1"/>
  <c r="AVF8" i="1"/>
  <c r="CS35" i="1"/>
  <c r="AVF35" i="1"/>
  <c r="CV83" i="1"/>
  <c r="AVI83" i="1"/>
  <c r="CY418" i="1"/>
  <c r="AVL418" i="1"/>
  <c r="CY237" i="1"/>
  <c r="AVL237" i="1"/>
  <c r="CY235" i="1"/>
  <c r="AVL235" i="1"/>
  <c r="CY98" i="1"/>
  <c r="AVL98" i="1"/>
  <c r="CY111" i="1"/>
  <c r="AVL111" i="1"/>
  <c r="CY50" i="1"/>
  <c r="AVL50" i="1"/>
  <c r="CU206" i="1"/>
  <c r="AVH206" i="1"/>
  <c r="CU113" i="1"/>
  <c r="AVH113" i="1"/>
  <c r="CU62" i="1"/>
  <c r="AVH62" i="1"/>
  <c r="CQ400" i="1"/>
  <c r="AVD400" i="1"/>
  <c r="CQ386" i="1"/>
  <c r="AVD386" i="1"/>
  <c r="CQ113" i="1"/>
  <c r="AVD113" i="1"/>
  <c r="CY365" i="1"/>
  <c r="AVL365" i="1"/>
  <c r="CY81" i="1"/>
  <c r="AVL81" i="1"/>
  <c r="CU365" i="1"/>
  <c r="AVH365" i="1"/>
  <c r="CU67" i="1"/>
  <c r="AVH67" i="1"/>
  <c r="CQ365" i="1"/>
  <c r="AVD365" i="1"/>
  <c r="CQ81" i="1"/>
  <c r="AVD81" i="1"/>
  <c r="CX386" i="1"/>
  <c r="AVK386" i="1"/>
  <c r="CX19" i="1"/>
  <c r="AVK19" i="1"/>
  <c r="CT400" i="1"/>
  <c r="AVG400" i="1"/>
  <c r="CT237" i="1"/>
  <c r="AVG237" i="1"/>
  <c r="CT113" i="1"/>
  <c r="AVG113" i="1"/>
  <c r="CT47" i="1"/>
  <c r="AVG47" i="1"/>
  <c r="CM336" i="1"/>
  <c r="AUZ336" i="1"/>
  <c r="CM26" i="1"/>
  <c r="AUZ26" i="1"/>
  <c r="CW365" i="1"/>
  <c r="AVJ365" i="1"/>
  <c r="CS365" i="1"/>
  <c r="AVF365" i="1"/>
  <c r="CV400" i="1"/>
  <c r="AVI400" i="1"/>
  <c r="CV386" i="1"/>
  <c r="AVI386" i="1"/>
  <c r="CV290" i="1"/>
  <c r="AVI290" i="1"/>
  <c r="CV205" i="1"/>
  <c r="AVI205" i="1"/>
  <c r="CV8" i="1"/>
  <c r="AVI8" i="1"/>
  <c r="CR385" i="1"/>
  <c r="AVE385" i="1"/>
  <c r="CR301" i="1"/>
  <c r="AVE301" i="1"/>
  <c r="CR31" i="1"/>
  <c r="AVE31" i="1"/>
  <c r="AVN30" i="1"/>
  <c r="AVO30" i="1" s="1"/>
  <c r="AVN63" i="1"/>
  <c r="AVO63" i="1" s="1"/>
  <c r="AVN149" i="1"/>
  <c r="AVO149" i="1" s="1"/>
  <c r="AVN85" i="1"/>
  <c r="AVO85" i="1" s="1"/>
  <c r="AVN364" i="1"/>
  <c r="AVO364" i="1" s="1"/>
  <c r="AVN337" i="1"/>
  <c r="AVO337" i="1" s="1"/>
  <c r="AVN275" i="1"/>
  <c r="AVO275" i="1" s="1"/>
  <c r="AVN238" i="1"/>
  <c r="AVO238" i="1" s="1"/>
  <c r="AVN159" i="1"/>
  <c r="AVO159" i="1" s="1"/>
  <c r="AVN106" i="1"/>
  <c r="AVO106" i="1" s="1"/>
  <c r="AVN328" i="1"/>
  <c r="AVO328" i="1" s="1"/>
  <c r="AVN258" i="1"/>
  <c r="AVO258" i="1" s="1"/>
  <c r="AVN190" i="1"/>
  <c r="AVO190" i="1" s="1"/>
  <c r="AVN105" i="1"/>
  <c r="AVO105" i="1" s="1"/>
  <c r="AVN45" i="1"/>
  <c r="AVO45" i="1" s="1"/>
  <c r="AVN361" i="1"/>
  <c r="AVO361" i="1" s="1"/>
  <c r="AVN240" i="1"/>
  <c r="AVO240" i="1" s="1"/>
  <c r="AVN252" i="1"/>
  <c r="AVO252" i="1" s="1"/>
  <c r="AVN80" i="1"/>
  <c r="AVO80" i="1" s="1"/>
  <c r="CU230" i="1"/>
  <c r="AVH230" i="1"/>
  <c r="CU111" i="1"/>
  <c r="AVH111" i="1"/>
  <c r="CQ324" i="1"/>
  <c r="AVD324" i="1"/>
  <c r="CQ230" i="1"/>
  <c r="AVD230" i="1"/>
  <c r="CQ111" i="1"/>
  <c r="AVD111" i="1"/>
  <c r="CQ323" i="1"/>
  <c r="AVD323" i="1"/>
  <c r="CQ206" i="1"/>
  <c r="AVD206" i="1"/>
  <c r="CQ110" i="1"/>
  <c r="AVD110" i="1"/>
  <c r="CW370" i="1"/>
  <c r="AVJ370" i="1"/>
  <c r="CW229" i="1"/>
  <c r="AVJ229" i="1"/>
  <c r="CS325" i="1"/>
  <c r="AVF325" i="1"/>
  <c r="CY407" i="1"/>
  <c r="AVL407" i="1"/>
  <c r="CY390" i="1"/>
  <c r="AVL390" i="1"/>
  <c r="CY294" i="1"/>
  <c r="AVL294" i="1"/>
  <c r="CY255" i="1"/>
  <c r="AVL255" i="1"/>
  <c r="CY193" i="1"/>
  <c r="AVL193" i="1"/>
  <c r="CY136" i="1"/>
  <c r="AVL136" i="1"/>
  <c r="CY120" i="1"/>
  <c r="AVL120" i="1"/>
  <c r="CY36" i="1"/>
  <c r="AVL36" i="1"/>
  <c r="CY9" i="1"/>
  <c r="AVL9" i="1"/>
  <c r="CY295" i="1"/>
  <c r="AVL295" i="1"/>
  <c r="CY256" i="1"/>
  <c r="AVL256" i="1"/>
  <c r="CY154" i="1"/>
  <c r="AVL154" i="1"/>
  <c r="CY133" i="1"/>
  <c r="AVL133" i="1"/>
  <c r="CU407" i="1"/>
  <c r="AVH407" i="1"/>
  <c r="CU390" i="1"/>
  <c r="AVH390" i="1"/>
  <c r="CU294" i="1"/>
  <c r="AVH294" i="1"/>
  <c r="CU255" i="1"/>
  <c r="AVH255" i="1"/>
  <c r="CU193" i="1"/>
  <c r="AVH193" i="1"/>
  <c r="CU136" i="1"/>
  <c r="AVH136" i="1"/>
  <c r="CU120" i="1"/>
  <c r="AVH120" i="1"/>
  <c r="CU36" i="1"/>
  <c r="AVH36" i="1"/>
  <c r="CU393" i="1"/>
  <c r="AVH393" i="1"/>
  <c r="CU293" i="1"/>
  <c r="AVH293" i="1"/>
  <c r="CU194" i="1"/>
  <c r="AVH194" i="1"/>
  <c r="CU103" i="1"/>
  <c r="AVH103" i="1"/>
  <c r="CQ390" i="1"/>
  <c r="AVD390" i="1"/>
  <c r="CQ391" i="1"/>
  <c r="AVD391" i="1"/>
  <c r="CQ344" i="1"/>
  <c r="AVD344" i="1"/>
  <c r="CQ287" i="1"/>
  <c r="AVD287" i="1"/>
  <c r="CQ216" i="1"/>
  <c r="AVD216" i="1"/>
  <c r="CQ156" i="1"/>
  <c r="AVD156" i="1"/>
  <c r="CQ135" i="1"/>
  <c r="AVD135" i="1"/>
  <c r="CQ121" i="1"/>
  <c r="AVD121" i="1"/>
  <c r="CQ97" i="1"/>
  <c r="AVD97" i="1"/>
  <c r="CQ33" i="1"/>
  <c r="AVD33" i="1"/>
  <c r="CQ406" i="1"/>
  <c r="AVD406" i="1"/>
  <c r="CQ294" i="1"/>
  <c r="AVD294" i="1"/>
  <c r="CQ255" i="1"/>
  <c r="AVD255" i="1"/>
  <c r="CQ193" i="1"/>
  <c r="AVD193" i="1"/>
  <c r="CQ136" i="1"/>
  <c r="AVD136" i="1"/>
  <c r="CQ120" i="1"/>
  <c r="AVD120" i="1"/>
  <c r="CQ36" i="1"/>
  <c r="AVD36" i="1"/>
  <c r="CU346" i="1"/>
  <c r="AVH346" i="1"/>
  <c r="CS151" i="1"/>
  <c r="AVF151" i="1"/>
  <c r="CS289" i="1"/>
  <c r="AVF289" i="1"/>
  <c r="CW372" i="1"/>
  <c r="AVJ372" i="1"/>
  <c r="CW321" i="1"/>
  <c r="AVJ321" i="1"/>
  <c r="CW22" i="1"/>
  <c r="AVJ22" i="1"/>
  <c r="CW272" i="1"/>
  <c r="AVJ272" i="1"/>
  <c r="CW174" i="1"/>
  <c r="AVJ174" i="1"/>
  <c r="CW23" i="1"/>
  <c r="AVJ23" i="1"/>
  <c r="CS231" i="1"/>
  <c r="AVF231" i="1"/>
  <c r="CS110" i="1"/>
  <c r="AVF110" i="1"/>
  <c r="CS324" i="1"/>
  <c r="AVF324" i="1"/>
  <c r="CS230" i="1"/>
  <c r="AVF230" i="1"/>
  <c r="CS49" i="1"/>
  <c r="AVF49" i="1"/>
  <c r="CY319" i="1"/>
  <c r="AVL319" i="1"/>
  <c r="CU320" i="1"/>
  <c r="AVH320" i="1"/>
  <c r="CU370" i="1"/>
  <c r="AVH370" i="1"/>
  <c r="CQ320" i="1"/>
  <c r="AVD320" i="1"/>
  <c r="CW393" i="1"/>
  <c r="AVJ393" i="1"/>
  <c r="CW408" i="1"/>
  <c r="AVJ408" i="1"/>
  <c r="CW388" i="1"/>
  <c r="AVJ388" i="1"/>
  <c r="CW292" i="1"/>
  <c r="AVJ292" i="1"/>
  <c r="CW217" i="1"/>
  <c r="AVJ217" i="1"/>
  <c r="CW134" i="1"/>
  <c r="AVJ134" i="1"/>
  <c r="CW102" i="1"/>
  <c r="AVJ102" i="1"/>
  <c r="CW34" i="1"/>
  <c r="AVJ34" i="1"/>
  <c r="CW391" i="1"/>
  <c r="AVJ391" i="1"/>
  <c r="CW293" i="1"/>
  <c r="AVJ293" i="1"/>
  <c r="CW194" i="1"/>
  <c r="AVJ194" i="1"/>
  <c r="CW103" i="1"/>
  <c r="AVJ103" i="1"/>
  <c r="CS389" i="1"/>
  <c r="AVF389" i="1"/>
  <c r="CS406" i="1"/>
  <c r="AVF406" i="1"/>
  <c r="CS349" i="1"/>
  <c r="AVF349" i="1"/>
  <c r="CS288" i="1"/>
  <c r="AVF288" i="1"/>
  <c r="CS215" i="1"/>
  <c r="AVF215" i="1"/>
  <c r="CS155" i="1"/>
  <c r="AVF155" i="1"/>
  <c r="CS79" i="1"/>
  <c r="AVF79" i="1"/>
  <c r="CS12" i="1"/>
  <c r="AVF12" i="1"/>
  <c r="CS348" i="1"/>
  <c r="AVF348" i="1"/>
  <c r="CS291" i="1"/>
  <c r="AVF291" i="1"/>
  <c r="CS218" i="1"/>
  <c r="AVF218" i="1"/>
  <c r="CS192" i="1"/>
  <c r="AVF192" i="1"/>
  <c r="CS137" i="1"/>
  <c r="AVF137" i="1"/>
  <c r="CS101" i="1"/>
  <c r="AVF101" i="1"/>
  <c r="CS37" i="1"/>
  <c r="AVF37" i="1"/>
  <c r="CY151" i="1"/>
  <c r="AVL151" i="1"/>
  <c r="CY289" i="1"/>
  <c r="AVL289" i="1"/>
  <c r="CU345" i="1"/>
  <c r="AVH345" i="1"/>
  <c r="CU284" i="1"/>
  <c r="AVH284" i="1"/>
  <c r="CQ289" i="1"/>
  <c r="AVD289" i="1"/>
  <c r="AUW39" i="1"/>
  <c r="AUX39" i="1" s="1"/>
  <c r="BN184" i="1"/>
  <c r="CJ184" i="1" s="1"/>
  <c r="AUV184" i="1"/>
  <c r="AUW184" i="1" s="1"/>
  <c r="AUX184" i="1" s="1"/>
  <c r="CM179" i="1"/>
  <c r="AUZ179" i="1"/>
  <c r="CM327" i="1"/>
  <c r="AUZ327" i="1"/>
  <c r="CM178" i="1"/>
  <c r="AUZ178" i="1"/>
  <c r="CM331" i="1"/>
  <c r="AUZ331" i="1"/>
  <c r="CM116" i="1"/>
  <c r="AUZ116" i="1"/>
  <c r="CI116" i="1"/>
  <c r="AUV116" i="1"/>
  <c r="AUW116" i="1" s="1"/>
  <c r="AUX116" i="1" s="1"/>
  <c r="BN149" i="1"/>
  <c r="CJ149" i="1" s="1"/>
  <c r="AUV149" i="1"/>
  <c r="AUW149" i="1" s="1"/>
  <c r="AUX149" i="1" s="1"/>
  <c r="CI81" i="1"/>
  <c r="AUV81" i="1"/>
  <c r="AUW81" i="1" s="1"/>
  <c r="AUX81" i="1" s="1"/>
  <c r="CX411" i="1"/>
  <c r="AVK411" i="1"/>
  <c r="CX67" i="1"/>
  <c r="AVK67" i="1"/>
  <c r="CT411" i="1"/>
  <c r="AVG411" i="1"/>
  <c r="CT81" i="1"/>
  <c r="AVG81" i="1"/>
  <c r="CW418" i="1"/>
  <c r="AVJ418" i="1"/>
  <c r="CW290" i="1"/>
  <c r="AVJ290" i="1"/>
  <c r="CW301" i="1"/>
  <c r="AVJ301" i="1"/>
  <c r="CW113" i="1"/>
  <c r="AVJ113" i="1"/>
  <c r="CW111" i="1"/>
  <c r="AVJ111" i="1"/>
  <c r="CW51" i="1"/>
  <c r="AVJ51" i="1"/>
  <c r="CW19" i="1"/>
  <c r="AVJ19" i="1"/>
  <c r="CS237" i="1"/>
  <c r="AVF237" i="1"/>
  <c r="CS113" i="1"/>
  <c r="AVF113" i="1"/>
  <c r="CS111" i="1"/>
  <c r="AVF111" i="1"/>
  <c r="CS47" i="1"/>
  <c r="AVF47" i="1"/>
  <c r="CV365" i="1"/>
  <c r="AVI365" i="1"/>
  <c r="CR365" i="1"/>
  <c r="AVE365" i="1"/>
  <c r="CR83" i="1"/>
  <c r="AVE83" i="1"/>
  <c r="CY385" i="1"/>
  <c r="AVL385" i="1"/>
  <c r="CY301" i="1"/>
  <c r="AVL301" i="1"/>
  <c r="CY290" i="1"/>
  <c r="AVL290" i="1"/>
  <c r="CY207" i="1"/>
  <c r="AVL207" i="1"/>
  <c r="CY31" i="1"/>
  <c r="AVL31" i="1"/>
  <c r="CY19" i="1"/>
  <c r="AVL19" i="1"/>
  <c r="CY8" i="1"/>
  <c r="AVL8" i="1"/>
  <c r="CU418" i="1"/>
  <c r="AVH418" i="1"/>
  <c r="CU237" i="1"/>
  <c r="AVH237" i="1"/>
  <c r="CU235" i="1"/>
  <c r="AVH235" i="1"/>
  <c r="CU98" i="1"/>
  <c r="AVH98" i="1"/>
  <c r="CU31" i="1"/>
  <c r="AVH31" i="1"/>
  <c r="CU50" i="1"/>
  <c r="AVH50" i="1"/>
  <c r="CQ98" i="1"/>
  <c r="AVD98" i="1"/>
  <c r="CQ47" i="1"/>
  <c r="AVD47" i="1"/>
  <c r="CQ31" i="1"/>
  <c r="AVD31" i="1"/>
  <c r="CQ62" i="1"/>
  <c r="AVD62" i="1"/>
  <c r="CY371" i="1"/>
  <c r="AVL371" i="1"/>
  <c r="CY67" i="1"/>
  <c r="AVL67" i="1"/>
  <c r="CU371" i="1"/>
  <c r="AVH371" i="1"/>
  <c r="CU81" i="1"/>
  <c r="AVH81" i="1"/>
  <c r="CQ371" i="1"/>
  <c r="AVD371" i="1"/>
  <c r="CQ67" i="1"/>
  <c r="AVD67" i="1"/>
  <c r="CX235" i="1"/>
  <c r="AVK235" i="1"/>
  <c r="CX206" i="1"/>
  <c r="AVK206" i="1"/>
  <c r="CX98" i="1"/>
  <c r="AVK98" i="1"/>
  <c r="CX31" i="1"/>
  <c r="AVK31" i="1"/>
  <c r="CX33" i="1"/>
  <c r="AVK33" i="1"/>
  <c r="CT386" i="1"/>
  <c r="AVG386" i="1"/>
  <c r="CT301" i="1"/>
  <c r="AVG301" i="1"/>
  <c r="CT111" i="1"/>
  <c r="AVG111" i="1"/>
  <c r="CT51" i="1"/>
  <c r="AVG51" i="1"/>
  <c r="CT19" i="1"/>
  <c r="AVG19" i="1"/>
  <c r="CT8" i="1"/>
  <c r="AVG8" i="1"/>
  <c r="CM377" i="1"/>
  <c r="AUZ377" i="1"/>
  <c r="CM29" i="1"/>
  <c r="AUZ29" i="1"/>
  <c r="CW371" i="1"/>
  <c r="AVJ371" i="1"/>
  <c r="CW67" i="1"/>
  <c r="AVJ67" i="1"/>
  <c r="CS371" i="1"/>
  <c r="AVF371" i="1"/>
  <c r="CS67" i="1"/>
  <c r="AVF67" i="1"/>
  <c r="CV111" i="1"/>
  <c r="AVI111" i="1"/>
  <c r="CV33" i="1"/>
  <c r="AVI33" i="1"/>
  <c r="CV47" i="1"/>
  <c r="AVI47" i="1"/>
  <c r="CR400" i="1"/>
  <c r="AVE400" i="1"/>
  <c r="CR386" i="1"/>
  <c r="AVE386" i="1"/>
  <c r="CR290" i="1"/>
  <c r="AVE290" i="1"/>
  <c r="CR205" i="1"/>
  <c r="AVE205" i="1"/>
  <c r="CR98" i="1"/>
  <c r="AVE98" i="1"/>
  <c r="CR8" i="1"/>
  <c r="AVE8" i="1"/>
  <c r="CR35" i="1"/>
  <c r="AVE35" i="1"/>
  <c r="AUW167" i="1"/>
  <c r="AUX167" i="1" s="1"/>
  <c r="AVN38" i="1"/>
  <c r="AVO38" i="1" s="1"/>
  <c r="AVN14" i="1"/>
  <c r="AVO14" i="1" s="1"/>
  <c r="AVN362" i="1"/>
  <c r="AVO362" i="1" s="1"/>
  <c r="AVN104" i="1"/>
  <c r="AVO104" i="1" s="1"/>
  <c r="AVN20" i="1"/>
  <c r="AVO20" i="1" s="1"/>
  <c r="AVN359" i="1"/>
  <c r="AVO359" i="1" s="1"/>
  <c r="AVN298" i="1"/>
  <c r="AVO298" i="1" s="1"/>
  <c r="AVN221" i="1"/>
  <c r="AVO221" i="1" s="1"/>
  <c r="AVN169" i="1"/>
  <c r="AVO169" i="1" s="1"/>
  <c r="AVN87" i="1"/>
  <c r="AVO87" i="1" s="1"/>
  <c r="AVN336" i="1"/>
  <c r="AVO336" i="1" s="1"/>
  <c r="AVN266" i="1"/>
  <c r="AVO266" i="1" s="1"/>
  <c r="AVN180" i="1"/>
  <c r="AVO180" i="1" s="1"/>
  <c r="AVN117" i="1"/>
  <c r="AVO117" i="1" s="1"/>
  <c r="AVN70" i="1"/>
  <c r="AVO70" i="1" s="1"/>
  <c r="AVN13" i="1"/>
  <c r="AVO13" i="1" s="1"/>
  <c r="AVN327" i="1"/>
  <c r="AVO327" i="1" s="1"/>
  <c r="AVN265" i="1"/>
  <c r="AVO265" i="1" s="1"/>
  <c r="AVN227" i="1"/>
  <c r="AVO227" i="1" s="1"/>
  <c r="AVN326" i="1"/>
  <c r="AVO326" i="1" s="1"/>
  <c r="AVN264" i="1"/>
  <c r="AVO264" i="1" s="1"/>
  <c r="AVN210" i="1"/>
  <c r="AVO210" i="1" s="1"/>
  <c r="AVN161" i="1"/>
  <c r="AVO161" i="1" s="1"/>
  <c r="AVN68" i="1"/>
  <c r="AVO68" i="1" s="1"/>
  <c r="AVN379" i="1"/>
  <c r="AVO379" i="1" s="1"/>
  <c r="AVN71" i="1"/>
  <c r="AVO71" i="1" s="1"/>
  <c r="AVN184" i="1"/>
  <c r="AVO184" i="1" s="1"/>
  <c r="AVN140" i="1"/>
  <c r="AVO140" i="1" s="1"/>
  <c r="AVN61" i="1"/>
  <c r="AVO61" i="1" s="1"/>
  <c r="AVN360" i="1"/>
  <c r="AVO360" i="1" s="1"/>
  <c r="AVN302" i="1"/>
  <c r="AVO302" i="1" s="1"/>
  <c r="AVN251" i="1"/>
  <c r="AVO251" i="1" s="1"/>
  <c r="AVN204" i="1"/>
  <c r="AVO204" i="1" s="1"/>
  <c r="AVN147" i="1"/>
  <c r="AVO147" i="1" s="1"/>
  <c r="AVN316" i="1"/>
  <c r="AVO316" i="1" s="1"/>
  <c r="AVN250" i="1"/>
  <c r="AVO250" i="1" s="1"/>
  <c r="AVN125" i="1"/>
  <c r="AVO125" i="1" s="1"/>
  <c r="AVN41" i="1"/>
  <c r="AVO41" i="1" s="1"/>
  <c r="AVN414" i="1"/>
  <c r="AVO414" i="1" s="1"/>
  <c r="AVN402" i="1"/>
  <c r="AVO402" i="1" s="1"/>
  <c r="AVN331" i="1"/>
  <c r="AVO331" i="1" s="1"/>
  <c r="AVN269" i="1"/>
  <c r="AVO269" i="1" s="1"/>
  <c r="AVN236" i="1"/>
  <c r="AVO236" i="1" s="1"/>
  <c r="AVN268" i="1"/>
  <c r="AVO268" i="1" s="1"/>
  <c r="AVN222" i="1"/>
  <c r="AVO222" i="1" s="1"/>
  <c r="AVN139" i="1"/>
  <c r="AVO139" i="1" s="1"/>
  <c r="AVN39" i="1"/>
  <c r="AVO39" i="1" s="1"/>
  <c r="AVN304" i="1"/>
  <c r="AVO304" i="1" s="1"/>
  <c r="AVN226" i="1"/>
  <c r="AVO226" i="1" s="1"/>
  <c r="AVN107" i="1"/>
  <c r="AVO107" i="1" s="1"/>
  <c r="AVN73" i="1"/>
  <c r="AVO73" i="1" s="1"/>
  <c r="AVN175" i="1"/>
  <c r="AVO175" i="1" s="1"/>
  <c r="AVN124" i="1"/>
  <c r="AVO124" i="1" s="1"/>
  <c r="AVN16" i="1"/>
  <c r="AVO16" i="1" s="1"/>
  <c r="AVN374" i="1"/>
  <c r="AVO374" i="1" s="1"/>
  <c r="AVN242" i="1"/>
  <c r="AVO242" i="1" s="1"/>
  <c r="AVN186" i="1"/>
  <c r="AVO186" i="1" s="1"/>
  <c r="AVN114" i="1"/>
  <c r="AVO114" i="1" s="1"/>
  <c r="AVN297" i="1"/>
  <c r="AVO297" i="1" s="1"/>
  <c r="AVN241" i="1"/>
  <c r="AVO241" i="1" s="1"/>
  <c r="AVN176" i="1"/>
  <c r="AVO176" i="1" s="1"/>
  <c r="AVN109" i="1"/>
  <c r="AVO109" i="1" s="1"/>
  <c r="AVN66" i="1"/>
  <c r="AVO66" i="1" s="1"/>
  <c r="AVN404" i="1"/>
  <c r="AVO404" i="1" s="1"/>
  <c r="AVN339" i="1"/>
  <c r="AVO339" i="1" s="1"/>
  <c r="AVN277" i="1"/>
  <c r="AVO277" i="1" s="1"/>
  <c r="AVN244" i="1"/>
  <c r="AVO244" i="1" s="1"/>
  <c r="AVN197" i="1"/>
  <c r="AVO197" i="1" s="1"/>
  <c r="AVN338" i="1"/>
  <c r="AVO338" i="1" s="1"/>
  <c r="AVN282" i="1"/>
  <c r="AVO282" i="1" s="1"/>
  <c r="AVN239" i="1"/>
  <c r="AVO239" i="1" s="1"/>
  <c r="AVN148" i="1"/>
  <c r="AVO148" i="1" s="1"/>
  <c r="AVN84" i="1"/>
  <c r="AVO84" i="1" s="1"/>
  <c r="AVN15" i="1"/>
  <c r="AVO15" i="1" s="1"/>
  <c r="CY346" i="1"/>
  <c r="AVL346" i="1"/>
  <c r="CW152" i="1"/>
  <c r="AVJ152" i="1"/>
  <c r="R129" i="12"/>
  <c r="AVE423" i="1"/>
  <c r="CW413" i="1"/>
  <c r="AVJ413" i="1"/>
  <c r="CW323" i="1"/>
  <c r="AVJ323" i="1"/>
  <c r="CW173" i="1"/>
  <c r="AVJ173" i="1"/>
  <c r="CW24" i="1"/>
  <c r="AVJ24" i="1"/>
  <c r="CW322" i="1"/>
  <c r="AVJ322" i="1"/>
  <c r="CW207" i="1"/>
  <c r="AVJ207" i="1"/>
  <c r="CW49" i="1"/>
  <c r="AVJ49" i="1"/>
  <c r="CS373" i="1"/>
  <c r="AVF373" i="1"/>
  <c r="CS234" i="1"/>
  <c r="AVF234" i="1"/>
  <c r="CS112" i="1"/>
  <c r="AVF112" i="1"/>
  <c r="CS401" i="1"/>
  <c r="AVF401" i="1"/>
  <c r="CS232" i="1"/>
  <c r="AVF232" i="1"/>
  <c r="CS146" i="1"/>
  <c r="AVF146" i="1"/>
  <c r="CY325" i="1"/>
  <c r="AVL325" i="1"/>
  <c r="CY368" i="1"/>
  <c r="AVL368" i="1"/>
  <c r="CU229" i="1"/>
  <c r="AVH229" i="1"/>
  <c r="CQ368" i="1"/>
  <c r="AVD368" i="1"/>
  <c r="CQ229" i="1"/>
  <c r="AVD229" i="1"/>
  <c r="CW390" i="1"/>
  <c r="AVJ390" i="1"/>
  <c r="CW294" i="1"/>
  <c r="AVJ294" i="1"/>
  <c r="CW255" i="1"/>
  <c r="AVJ255" i="1"/>
  <c r="CW193" i="1"/>
  <c r="AVJ193" i="1"/>
  <c r="CW136" i="1"/>
  <c r="AVJ136" i="1"/>
  <c r="CW120" i="1"/>
  <c r="AVJ120" i="1"/>
  <c r="CW36" i="1"/>
  <c r="AVJ36" i="1"/>
  <c r="CW407" i="1"/>
  <c r="AVJ407" i="1"/>
  <c r="CW295" i="1"/>
  <c r="AVJ295" i="1"/>
  <c r="CW256" i="1"/>
  <c r="AVJ256" i="1"/>
  <c r="CW154" i="1"/>
  <c r="AVJ154" i="1"/>
  <c r="CW133" i="1"/>
  <c r="AVJ133" i="1"/>
  <c r="CS393" i="1"/>
  <c r="AVF393" i="1"/>
  <c r="CS408" i="1"/>
  <c r="AVF408" i="1"/>
  <c r="CS388" i="1"/>
  <c r="AVF388" i="1"/>
  <c r="CS292" i="1"/>
  <c r="AVF292" i="1"/>
  <c r="CS217" i="1"/>
  <c r="AVF217" i="1"/>
  <c r="CS134" i="1"/>
  <c r="AVF134" i="1"/>
  <c r="CS102" i="1"/>
  <c r="AVF102" i="1"/>
  <c r="CS34" i="1"/>
  <c r="AVF34" i="1"/>
  <c r="CS391" i="1"/>
  <c r="AVF391" i="1"/>
  <c r="CS293" i="1"/>
  <c r="AVF293" i="1"/>
  <c r="CS194" i="1"/>
  <c r="AVF194" i="1"/>
  <c r="CS103" i="1"/>
  <c r="AVF103" i="1"/>
  <c r="CS346" i="1"/>
  <c r="AVF346" i="1"/>
  <c r="CU151" i="1"/>
  <c r="AVH151" i="1"/>
  <c r="CU289" i="1"/>
  <c r="AVH289" i="1"/>
  <c r="CQ345" i="1"/>
  <c r="AVD345" i="1"/>
  <c r="AUW43" i="1"/>
  <c r="AUX43" i="1" s="1"/>
  <c r="AUW71" i="1"/>
  <c r="AUX71" i="1" s="1"/>
  <c r="AZ7" i="15"/>
  <c r="AUV141" i="1"/>
  <c r="AUW141" i="1" s="1"/>
  <c r="AUX141" i="1" s="1"/>
  <c r="AUW27" i="1"/>
  <c r="AUX27" i="1" s="1"/>
  <c r="CI140" i="1"/>
  <c r="AUV140" i="1"/>
  <c r="AUW140" i="1" s="1"/>
  <c r="AUX140" i="1" s="1"/>
  <c r="CM181" i="1"/>
  <c r="AUZ181" i="1"/>
  <c r="CM329" i="1"/>
  <c r="AUZ329" i="1"/>
  <c r="CM239" i="1"/>
  <c r="AUZ239" i="1"/>
  <c r="CM64" i="1"/>
  <c r="AUZ64" i="1"/>
  <c r="CM175" i="1"/>
  <c r="AUZ175" i="1"/>
  <c r="CI175" i="1"/>
  <c r="AUV175" i="1"/>
  <c r="AUW175" i="1" s="1"/>
  <c r="AUX175" i="1" s="1"/>
  <c r="CI67" i="1"/>
  <c r="AUV67" i="1"/>
  <c r="CX83" i="1"/>
  <c r="AVK83" i="1"/>
  <c r="CT83" i="1"/>
  <c r="AVG83" i="1"/>
  <c r="CW385" i="1"/>
  <c r="AVJ385" i="1"/>
  <c r="CW400" i="1"/>
  <c r="AVJ400" i="1"/>
  <c r="CW206" i="1"/>
  <c r="AVJ206" i="1"/>
  <c r="CW62" i="1"/>
  <c r="AVJ62" i="1"/>
  <c r="CW50" i="1"/>
  <c r="AVJ50" i="1"/>
  <c r="CW31" i="1"/>
  <c r="AVJ31" i="1"/>
  <c r="CS418" i="1"/>
  <c r="AVF418" i="1"/>
  <c r="CS290" i="1"/>
  <c r="AVF290" i="1"/>
  <c r="CS301" i="1"/>
  <c r="AVF301" i="1"/>
  <c r="CS205" i="1"/>
  <c r="AVF205" i="1"/>
  <c r="CS62" i="1"/>
  <c r="AVF62" i="1"/>
  <c r="CS51" i="1"/>
  <c r="AVF51" i="1"/>
  <c r="CS19" i="1"/>
  <c r="AVF19" i="1"/>
  <c r="CV81" i="1"/>
  <c r="AVI81" i="1"/>
  <c r="CR371" i="1"/>
  <c r="AVE371" i="1"/>
  <c r="CR81" i="1"/>
  <c r="AVE81" i="1"/>
  <c r="CY400" i="1"/>
  <c r="AVL400" i="1"/>
  <c r="CY386" i="1"/>
  <c r="AVL386" i="1"/>
  <c r="CY205" i="1"/>
  <c r="AVL205" i="1"/>
  <c r="CY35" i="1"/>
  <c r="AVL35" i="1"/>
  <c r="CY113" i="1"/>
  <c r="AVL113" i="1"/>
  <c r="CY33" i="1"/>
  <c r="AVL33" i="1"/>
  <c r="CU385" i="1"/>
  <c r="AVH385" i="1"/>
  <c r="CU301" i="1"/>
  <c r="AVH301" i="1"/>
  <c r="CU205" i="1"/>
  <c r="AVH205" i="1"/>
  <c r="CU207" i="1"/>
  <c r="AVH207" i="1"/>
  <c r="CU35" i="1"/>
  <c r="AVH35" i="1"/>
  <c r="CU19" i="1"/>
  <c r="AVH19" i="1"/>
  <c r="CQ418" i="1"/>
  <c r="AVD418" i="1"/>
  <c r="CQ237" i="1"/>
  <c r="AVD237" i="1"/>
  <c r="CQ205" i="1"/>
  <c r="AVD205" i="1"/>
  <c r="CQ207" i="1"/>
  <c r="AVD207" i="1"/>
  <c r="CQ35" i="1"/>
  <c r="AVD35" i="1"/>
  <c r="CQ50" i="1"/>
  <c r="AVD50" i="1"/>
  <c r="CM330" i="1"/>
  <c r="AUZ330" i="1"/>
  <c r="CY411" i="1"/>
  <c r="AVL411" i="1"/>
  <c r="CY83" i="1"/>
  <c r="AVL83" i="1"/>
  <c r="CU411" i="1"/>
  <c r="AVH411" i="1"/>
  <c r="CU83" i="1"/>
  <c r="AVH83" i="1"/>
  <c r="CQ411" i="1"/>
  <c r="AVD411" i="1"/>
  <c r="CQ83" i="1"/>
  <c r="AVD83" i="1"/>
  <c r="CX418" i="1"/>
  <c r="AVK418" i="1"/>
  <c r="CX385" i="1"/>
  <c r="AVK385" i="1"/>
  <c r="CX237" i="1"/>
  <c r="AVK237" i="1"/>
  <c r="CX205" i="1"/>
  <c r="AVK205" i="1"/>
  <c r="CX50" i="1"/>
  <c r="AVK50" i="1"/>
  <c r="CX35" i="1"/>
  <c r="AVK35" i="1"/>
  <c r="CX62" i="1"/>
  <c r="AVK62" i="1"/>
  <c r="CT235" i="1"/>
  <c r="AVG235" i="1"/>
  <c r="CT290" i="1"/>
  <c r="AVG290" i="1"/>
  <c r="CT206" i="1"/>
  <c r="AVG206" i="1"/>
  <c r="CM414" i="1"/>
  <c r="AUZ414" i="1"/>
  <c r="CW411" i="1"/>
  <c r="AVJ411" i="1"/>
  <c r="CW83" i="1"/>
  <c r="AVJ83" i="1"/>
  <c r="CS411" i="1"/>
  <c r="AVF411" i="1"/>
  <c r="CS83" i="1"/>
  <c r="AVF83" i="1"/>
  <c r="CV418" i="1"/>
  <c r="AVI418" i="1"/>
  <c r="CV237" i="1"/>
  <c r="AVI237" i="1"/>
  <c r="CV235" i="1"/>
  <c r="AVI235" i="1"/>
  <c r="CV113" i="1"/>
  <c r="AVI113" i="1"/>
  <c r="CV62" i="1"/>
  <c r="AVI62" i="1"/>
  <c r="CV51" i="1"/>
  <c r="AVI51" i="1"/>
  <c r="CV19" i="1"/>
  <c r="AVI19" i="1"/>
  <c r="CR111" i="1"/>
  <c r="AVE111" i="1"/>
  <c r="CR33" i="1"/>
  <c r="AVE33" i="1"/>
  <c r="CR47" i="1"/>
  <c r="AVE47" i="1"/>
  <c r="CI30" i="1"/>
  <c r="AUV30" i="1"/>
  <c r="AUW30" i="1" s="1"/>
  <c r="AUX30" i="1" s="1"/>
  <c r="AVN42" i="1"/>
  <c r="AVO42" i="1" s="1"/>
  <c r="AVN397" i="1"/>
  <c r="AVO397" i="1" s="1"/>
  <c r="AVN116" i="1"/>
  <c r="AVO116" i="1" s="1"/>
  <c r="AVN40" i="1"/>
  <c r="AVO40" i="1" s="1"/>
  <c r="AVN399" i="1"/>
  <c r="AVO399" i="1" s="1"/>
  <c r="AVN377" i="1"/>
  <c r="AVO377" i="1" s="1"/>
  <c r="AVN313" i="1"/>
  <c r="AVO313" i="1" s="1"/>
  <c r="AVN259" i="1"/>
  <c r="AVO259" i="1" s="1"/>
  <c r="AVN209" i="1"/>
  <c r="AVO209" i="1" s="1"/>
  <c r="AVN130" i="1"/>
  <c r="AVO130" i="1" s="1"/>
  <c r="AVN396" i="1"/>
  <c r="AVO396" i="1" s="1"/>
  <c r="AVN280" i="1"/>
  <c r="AVO280" i="1" s="1"/>
  <c r="AVN224" i="1"/>
  <c r="AVO224" i="1" s="1"/>
  <c r="AVN168" i="1"/>
  <c r="AVO168" i="1" s="1"/>
  <c r="AVN82" i="1"/>
  <c r="AVO82" i="1" s="1"/>
  <c r="AVN21" i="1"/>
  <c r="AVO21" i="1" s="1"/>
  <c r="AVN273" i="1"/>
  <c r="AVO273" i="1" s="1"/>
  <c r="AVN314" i="1"/>
  <c r="AVO314" i="1" s="1"/>
  <c r="AVN143" i="1"/>
  <c r="AVO143" i="1" s="1"/>
  <c r="CQ194" i="1"/>
  <c r="AVD194" i="1"/>
  <c r="CQ103" i="1"/>
  <c r="AVD103" i="1"/>
  <c r="CQ349" i="1"/>
  <c r="AVD349" i="1"/>
  <c r="CQ288" i="1"/>
  <c r="AVD288" i="1"/>
  <c r="CQ215" i="1"/>
  <c r="AVD215" i="1"/>
  <c r="CQ155" i="1"/>
  <c r="AVD155" i="1"/>
  <c r="CQ79" i="1"/>
  <c r="AVD79" i="1"/>
  <c r="CQ12" i="1"/>
  <c r="AVD12" i="1"/>
  <c r="CQ290" i="1"/>
  <c r="AVD290" i="1"/>
  <c r="CW345" i="1"/>
  <c r="AVJ345" i="1"/>
  <c r="CW284" i="1"/>
  <c r="AVJ284" i="1"/>
  <c r="CS152" i="1"/>
  <c r="AVF152" i="1"/>
  <c r="CW231" i="1"/>
  <c r="AVJ231" i="1"/>
  <c r="CW110" i="1"/>
  <c r="AVJ110" i="1"/>
  <c r="CW324" i="1"/>
  <c r="AVJ324" i="1"/>
  <c r="CW230" i="1"/>
  <c r="AVJ230" i="1"/>
  <c r="CW146" i="1"/>
  <c r="AVJ146" i="1"/>
  <c r="CS372" i="1"/>
  <c r="AVF372" i="1"/>
  <c r="CS321" i="1"/>
  <c r="AVF321" i="1"/>
  <c r="CS22" i="1"/>
  <c r="AVF22" i="1"/>
  <c r="CS272" i="1"/>
  <c r="AVF272" i="1"/>
  <c r="CS172" i="1"/>
  <c r="AVF172" i="1"/>
  <c r="CY320" i="1"/>
  <c r="AVL320" i="1"/>
  <c r="CY370" i="1"/>
  <c r="AVL370" i="1"/>
  <c r="CU319" i="1"/>
  <c r="AVH319" i="1"/>
  <c r="CQ370" i="1"/>
  <c r="AVD370" i="1"/>
  <c r="CQ319" i="1"/>
  <c r="AVD319" i="1"/>
  <c r="CW350" i="1"/>
  <c r="AVJ350" i="1"/>
  <c r="CW392" i="1"/>
  <c r="AVJ392" i="1"/>
  <c r="CW347" i="1"/>
  <c r="AVJ347" i="1"/>
  <c r="CW285" i="1"/>
  <c r="AVJ285" i="1"/>
  <c r="CW195" i="1"/>
  <c r="AVJ195" i="1"/>
  <c r="CW153" i="1"/>
  <c r="AVJ153" i="1"/>
  <c r="CW122" i="1"/>
  <c r="AVJ122" i="1"/>
  <c r="CW77" i="1"/>
  <c r="AVJ77" i="1"/>
  <c r="CW9" i="1"/>
  <c r="AVJ9" i="1"/>
  <c r="CW344" i="1"/>
  <c r="AVJ344" i="1"/>
  <c r="CW287" i="1"/>
  <c r="AVJ287" i="1"/>
  <c r="CW216" i="1"/>
  <c r="AVJ216" i="1"/>
  <c r="CW156" i="1"/>
  <c r="AVJ156" i="1"/>
  <c r="CW135" i="1"/>
  <c r="AVJ135" i="1"/>
  <c r="CW121" i="1"/>
  <c r="AVJ121" i="1"/>
  <c r="CW97" i="1"/>
  <c r="AVJ97" i="1"/>
  <c r="CW11" i="1"/>
  <c r="AVJ11" i="1"/>
  <c r="CS390" i="1"/>
  <c r="AVF390" i="1"/>
  <c r="CS294" i="1"/>
  <c r="AVF294" i="1"/>
  <c r="CS255" i="1"/>
  <c r="AVF255" i="1"/>
  <c r="CS193" i="1"/>
  <c r="AVF193" i="1"/>
  <c r="CS136" i="1"/>
  <c r="AVF136" i="1"/>
  <c r="CS120" i="1"/>
  <c r="AVF120" i="1"/>
  <c r="CS36" i="1"/>
  <c r="AVF36" i="1"/>
  <c r="CS407" i="1"/>
  <c r="AVF407" i="1"/>
  <c r="CS295" i="1"/>
  <c r="AVF295" i="1"/>
  <c r="CS256" i="1"/>
  <c r="AVF256" i="1"/>
  <c r="CS154" i="1"/>
  <c r="AVF154" i="1"/>
  <c r="CS133" i="1"/>
  <c r="AVF133" i="1"/>
  <c r="CW346" i="1"/>
  <c r="AVJ346" i="1"/>
  <c r="CY152" i="1"/>
  <c r="AVL152" i="1"/>
  <c r="CQ152" i="1"/>
  <c r="AVD152" i="1"/>
  <c r="CQ151" i="1"/>
  <c r="AVD151" i="1"/>
  <c r="BN20" i="1"/>
  <c r="BO20" i="1" s="1"/>
  <c r="CK20" i="1" s="1"/>
  <c r="AUV20" i="1"/>
  <c r="AUW20" i="1" s="1"/>
  <c r="AUX20" i="1" s="1"/>
  <c r="BA17" i="15"/>
  <c r="AUV404" i="1"/>
  <c r="AUW404" i="1" s="1"/>
  <c r="AUX404" i="1" s="1"/>
  <c r="AUW15" i="1"/>
  <c r="AUX15" i="1" s="1"/>
  <c r="AUW127" i="1"/>
  <c r="AUX127" i="1" s="1"/>
  <c r="BN14" i="1"/>
  <c r="BO14" i="1" s="1"/>
  <c r="CK14" i="1" s="1"/>
  <c r="AUV14" i="1"/>
  <c r="AUW14" i="1" s="1"/>
  <c r="AUX14" i="1" s="1"/>
  <c r="CI42" i="1"/>
  <c r="AUV42" i="1"/>
  <c r="AUW42" i="1" s="1"/>
  <c r="AUX42" i="1" s="1"/>
  <c r="CM326" i="1"/>
  <c r="AUZ326" i="1"/>
  <c r="CM243" i="1"/>
  <c r="AUZ243" i="1"/>
  <c r="CM92" i="1"/>
  <c r="AUZ92" i="1"/>
  <c r="CM211" i="1"/>
  <c r="AUZ211" i="1"/>
  <c r="BN38" i="1"/>
  <c r="BO38" i="1" s="1"/>
  <c r="CK38" i="1" s="1"/>
  <c r="AUV38" i="1"/>
  <c r="AUW38" i="1" s="1"/>
  <c r="AUX38" i="1" s="1"/>
  <c r="CI18" i="1"/>
  <c r="AUV18" i="1"/>
  <c r="AUW18" i="1" s="1"/>
  <c r="AUX18" i="1" s="1"/>
  <c r="CX365" i="1"/>
  <c r="AVK365" i="1"/>
  <c r="CT365" i="1"/>
  <c r="AVG365" i="1"/>
  <c r="CW386" i="1"/>
  <c r="AVJ386" i="1"/>
  <c r="CW235" i="1"/>
  <c r="AVJ235" i="1"/>
  <c r="CW98" i="1"/>
  <c r="AVJ98" i="1"/>
  <c r="CW8" i="1"/>
  <c r="AVJ8" i="1"/>
  <c r="CW35" i="1"/>
  <c r="AVJ35" i="1"/>
  <c r="CS385" i="1"/>
  <c r="AVF385" i="1"/>
  <c r="CS400" i="1"/>
  <c r="AVF400" i="1"/>
  <c r="CS207" i="1"/>
  <c r="AVF207" i="1"/>
  <c r="CS206" i="1"/>
  <c r="AVF206" i="1"/>
  <c r="CS33" i="1"/>
  <c r="AVF33" i="1"/>
  <c r="CS50" i="1"/>
  <c r="AVF50" i="1"/>
  <c r="CS31" i="1"/>
  <c r="AVF31" i="1"/>
  <c r="CV411" i="1"/>
  <c r="AVI411" i="1"/>
  <c r="CV67" i="1"/>
  <c r="AVI67" i="1"/>
  <c r="CR411" i="1"/>
  <c r="AVE411" i="1"/>
  <c r="CR67" i="1"/>
  <c r="AVE67" i="1"/>
  <c r="CY206" i="1"/>
  <c r="AVL206" i="1"/>
  <c r="CY51" i="1"/>
  <c r="AVL51" i="1"/>
  <c r="CY47" i="1"/>
  <c r="AVL47" i="1"/>
  <c r="CY62" i="1"/>
  <c r="AVL62" i="1"/>
  <c r="CU386" i="1"/>
  <c r="AVH386" i="1"/>
  <c r="CU290" i="1"/>
  <c r="AVH290" i="1"/>
  <c r="CU51" i="1"/>
  <c r="AVH51" i="1"/>
  <c r="CU47" i="1"/>
  <c r="AVH47" i="1"/>
  <c r="CU33" i="1"/>
  <c r="AVH33" i="1"/>
  <c r="CQ385" i="1"/>
  <c r="AVD385" i="1"/>
  <c r="CQ301" i="1"/>
  <c r="AVD301" i="1"/>
  <c r="CQ235" i="1"/>
  <c r="AVD235" i="1"/>
  <c r="CQ19" i="1"/>
  <c r="AVD19" i="1"/>
  <c r="CQ8" i="1"/>
  <c r="AVD8" i="1"/>
  <c r="CM340" i="1"/>
  <c r="AUZ340" i="1"/>
  <c r="CX301" i="1"/>
  <c r="AVK301" i="1"/>
  <c r="CX113" i="1"/>
  <c r="AVK113" i="1"/>
  <c r="CX47" i="1"/>
  <c r="AVK47" i="1"/>
  <c r="CT418" i="1"/>
  <c r="AVG418" i="1"/>
  <c r="CT35" i="1"/>
  <c r="AVG35" i="1"/>
  <c r="CT62" i="1"/>
  <c r="AVG62" i="1"/>
  <c r="CM374" i="1"/>
  <c r="AUZ374" i="1"/>
  <c r="CW81" i="1"/>
  <c r="AVJ81" i="1"/>
  <c r="CS81" i="1"/>
  <c r="AVF81" i="1"/>
  <c r="CV385" i="1"/>
  <c r="AVI385" i="1"/>
  <c r="CV301" i="1"/>
  <c r="AVI301" i="1"/>
  <c r="CV31" i="1"/>
  <c r="AVI31" i="1"/>
  <c r="CR418" i="1"/>
  <c r="AVE418" i="1"/>
  <c r="CR237" i="1"/>
  <c r="AVE237" i="1"/>
  <c r="CR113" i="1"/>
  <c r="AVE113" i="1"/>
  <c r="CR62" i="1"/>
  <c r="AVE62" i="1"/>
  <c r="CR19" i="1"/>
  <c r="AVE19" i="1"/>
  <c r="CZ181" i="1"/>
  <c r="AVM181" i="1"/>
  <c r="AVN48" i="1"/>
  <c r="AVO48" i="1" s="1"/>
  <c r="AVN329" i="1"/>
  <c r="AVO329" i="1" s="1"/>
  <c r="AVN247" i="1"/>
  <c r="AVO247" i="1" s="1"/>
  <c r="AVN200" i="1"/>
  <c r="AVO200" i="1" s="1"/>
  <c r="AVN142" i="1"/>
  <c r="AVO142" i="1" s="1"/>
  <c r="AVN305" i="1"/>
  <c r="AVO305" i="1" s="1"/>
  <c r="AVN203" i="1"/>
  <c r="AVO203" i="1" s="1"/>
  <c r="AVN158" i="1"/>
  <c r="AVO158" i="1" s="1"/>
  <c r="AVN90" i="1"/>
  <c r="AVO90" i="1" s="1"/>
  <c r="AVN29" i="1"/>
  <c r="AVO29" i="1" s="1"/>
  <c r="AVN351" i="1"/>
  <c r="AVO351" i="1" s="1"/>
  <c r="AVN296" i="1"/>
  <c r="AVO296" i="1" s="1"/>
  <c r="AVN249" i="1"/>
  <c r="AVO249" i="1" s="1"/>
  <c r="AVN202" i="1"/>
  <c r="AVO202" i="1" s="1"/>
  <c r="AVN299" i="1"/>
  <c r="AVO299" i="1" s="1"/>
  <c r="AVN243" i="1"/>
  <c r="AVO243" i="1" s="1"/>
  <c r="AVN183" i="1"/>
  <c r="AVO183" i="1" s="1"/>
  <c r="AVN127" i="1"/>
  <c r="AVO127" i="1" s="1"/>
  <c r="AVN27" i="1"/>
  <c r="AVO27" i="1" s="1"/>
  <c r="AVN26" i="1"/>
  <c r="AVO26" i="1" s="1"/>
  <c r="AVN18" i="1"/>
  <c r="AVO18" i="1" s="1"/>
  <c r="AVN376" i="1"/>
  <c r="AVO376" i="1" s="1"/>
  <c r="AVN167" i="1"/>
  <c r="AVO167" i="1" s="1"/>
  <c r="AVN108" i="1"/>
  <c r="AVO108" i="1" s="1"/>
  <c r="AVN28" i="1"/>
  <c r="AVO28" i="1" s="1"/>
  <c r="AVN395" i="1"/>
  <c r="AVO395" i="1" s="1"/>
  <c r="AVN363" i="1"/>
  <c r="AVO363" i="1" s="1"/>
  <c r="AVN271" i="1"/>
  <c r="AVO271" i="1" s="1"/>
  <c r="AVN225" i="1"/>
  <c r="AVO225" i="1" s="1"/>
  <c r="AVN177" i="1"/>
  <c r="AVO177" i="1" s="1"/>
  <c r="AVN126" i="1"/>
  <c r="AVO126" i="1" s="1"/>
  <c r="AVN340" i="1"/>
  <c r="AVO340" i="1" s="1"/>
  <c r="AVN270" i="1"/>
  <c r="AVO270" i="1" s="1"/>
  <c r="AVN212" i="1"/>
  <c r="AVO212" i="1" s="1"/>
  <c r="AVN163" i="1"/>
  <c r="AVO163" i="1" s="1"/>
  <c r="AVN74" i="1"/>
  <c r="AVO74" i="1" s="1"/>
  <c r="AVN17" i="1"/>
  <c r="AVO17" i="1" s="1"/>
  <c r="AVN410" i="1"/>
  <c r="AVO410" i="1" s="1"/>
  <c r="AVN357" i="1"/>
  <c r="AVO357" i="1" s="1"/>
  <c r="AVN300" i="1"/>
  <c r="AVO300" i="1" s="1"/>
  <c r="AVN253" i="1"/>
  <c r="AVO253" i="1" s="1"/>
  <c r="AVN211" i="1"/>
  <c r="AVO211" i="1" s="1"/>
  <c r="AVN394" i="1"/>
  <c r="AVO394" i="1" s="1"/>
  <c r="AVN330" i="1"/>
  <c r="AVO330" i="1" s="1"/>
  <c r="AVN248" i="1"/>
  <c r="AVO248" i="1" s="1"/>
  <c r="AVN166" i="1"/>
  <c r="AVO166" i="1" s="1"/>
  <c r="AVN92" i="1"/>
  <c r="AVO92" i="1" s="1"/>
  <c r="AVN257" i="1"/>
  <c r="AVO257" i="1" s="1"/>
  <c r="AVN276" i="1"/>
  <c r="AVO276" i="1" s="1"/>
  <c r="AVN196" i="1"/>
  <c r="AVO196" i="1" s="1"/>
  <c r="AVN43" i="1"/>
  <c r="AVO43" i="1" s="1"/>
  <c r="AVN46" i="1"/>
  <c r="AVO46" i="1" s="1"/>
  <c r="AVN358" i="1"/>
  <c r="AVO358" i="1" s="1"/>
  <c r="AVN157" i="1"/>
  <c r="AVO157" i="1" s="1"/>
  <c r="AVN44" i="1"/>
  <c r="AVO44" i="1" s="1"/>
  <c r="AVN317" i="1"/>
  <c r="AVO317" i="1" s="1"/>
  <c r="AVN263" i="1"/>
  <c r="AVO263" i="1" s="1"/>
  <c r="AVN213" i="1"/>
  <c r="AVO213" i="1" s="1"/>
  <c r="AVN138" i="1"/>
  <c r="AVO138" i="1" s="1"/>
  <c r="AVN332" i="1"/>
  <c r="AVO332" i="1" s="1"/>
  <c r="AVN262" i="1"/>
  <c r="AVO262" i="1" s="1"/>
  <c r="AVN199" i="1"/>
  <c r="AVO199" i="1" s="1"/>
  <c r="AVN141" i="1"/>
  <c r="AVO141" i="1" s="1"/>
  <c r="AVN86" i="1"/>
  <c r="AVO86" i="1" s="1"/>
  <c r="AVN25" i="1"/>
  <c r="AVO25" i="1" s="1"/>
  <c r="AVN412" i="1"/>
  <c r="AVO412" i="1" s="1"/>
  <c r="AVN315" i="1"/>
  <c r="AVO315" i="1" s="1"/>
  <c r="AVN261" i="1"/>
  <c r="AVO261" i="1" s="1"/>
  <c r="AVN223" i="1"/>
  <c r="AVO223" i="1" s="1"/>
  <c r="AVN318" i="1"/>
  <c r="AVO318" i="1" s="1"/>
  <c r="AVN260" i="1"/>
  <c r="AVO260" i="1" s="1"/>
  <c r="AVN178" i="1"/>
  <c r="AVO178" i="1" s="1"/>
  <c r="AVN115" i="1"/>
  <c r="AVO115" i="1" s="1"/>
  <c r="AVN64" i="1"/>
  <c r="AVO64" i="1" s="1"/>
  <c r="CM378" i="1"/>
  <c r="AUZ378" i="1"/>
  <c r="CO333" i="1"/>
  <c r="AVB333" i="1"/>
  <c r="CO93" i="1"/>
  <c r="AVB93" i="1"/>
  <c r="CM93" i="1"/>
  <c r="AUZ93" i="1"/>
  <c r="CH311" i="1"/>
  <c r="AVQ311" i="1" s="1"/>
  <c r="BN311" i="1"/>
  <c r="BO311" i="1" s="1"/>
  <c r="CH312" i="1"/>
  <c r="AVQ312" i="1" s="1"/>
  <c r="BN312" i="1"/>
  <c r="BO312" i="1" s="1"/>
  <c r="BJ181" i="1"/>
  <c r="CF181" i="1" s="1"/>
  <c r="DB181" i="1" s="1"/>
  <c r="CE181" i="1"/>
  <c r="DA181" i="1" s="1"/>
  <c r="CH182" i="1"/>
  <c r="AVQ182" i="1" s="1"/>
  <c r="BN182" i="1"/>
  <c r="BO182" i="1" s="1"/>
  <c r="CH164" i="1"/>
  <c r="BN164" i="1"/>
  <c r="BO164" i="1" s="1"/>
  <c r="BN67" i="1"/>
  <c r="BO67" i="1" s="1"/>
  <c r="CK67" i="1" s="1"/>
  <c r="AL456" i="1"/>
  <c r="AL458" i="1" s="1"/>
  <c r="AL459" i="1" s="1"/>
  <c r="BR458" i="1"/>
  <c r="BR459" i="1" s="1"/>
  <c r="CI167" i="1"/>
  <c r="N44" i="18"/>
  <c r="N44" i="19"/>
  <c r="N15" i="19"/>
  <c r="N15" i="18"/>
  <c r="N45" i="19"/>
  <c r="N45" i="18"/>
  <c r="N23" i="19"/>
  <c r="N23" i="18"/>
  <c r="N10" i="19"/>
  <c r="N10" i="18"/>
  <c r="N21" i="19"/>
  <c r="N21" i="18"/>
  <c r="N12" i="19"/>
  <c r="N12" i="18"/>
  <c r="N19" i="19"/>
  <c r="N19" i="18"/>
  <c r="N13" i="19"/>
  <c r="N13" i="18"/>
  <c r="N18" i="19"/>
  <c r="N18" i="18"/>
  <c r="N22" i="19"/>
  <c r="N22" i="18"/>
  <c r="N49" i="18"/>
  <c r="N59" i="18" s="1"/>
  <c r="N49" i="19"/>
  <c r="N59" i="19" s="1"/>
  <c r="N16" i="19"/>
  <c r="N16" i="18"/>
  <c r="N11" i="19"/>
  <c r="N11" i="18"/>
  <c r="N14" i="19"/>
  <c r="N14" i="18"/>
  <c r="L46" i="19"/>
  <c r="L46" i="18"/>
  <c r="J46" i="18" s="1"/>
  <c r="N17" i="19"/>
  <c r="N17" i="18"/>
  <c r="CA123" i="1"/>
  <c r="W39" i="12" s="1"/>
  <c r="BG274" i="1"/>
  <c r="CC274" i="1" s="1"/>
  <c r="Y174" i="12" s="1"/>
  <c r="AK457" i="1"/>
  <c r="U457" i="1"/>
  <c r="BD274" i="1"/>
  <c r="BZ274" i="1" s="1"/>
  <c r="V102" i="12" s="1"/>
  <c r="AH457" i="1"/>
  <c r="BC274" i="1"/>
  <c r="BY274" i="1" s="1"/>
  <c r="U174" i="12" s="1"/>
  <c r="AG457" i="1"/>
  <c r="BE274" i="1"/>
  <c r="CA274" i="1" s="1"/>
  <c r="W174" i="12" s="1"/>
  <c r="AI457" i="1"/>
  <c r="BF274" i="1"/>
  <c r="CB274" i="1" s="1"/>
  <c r="X174" i="12" s="1"/>
  <c r="AJ457" i="1"/>
  <c r="BZ123" i="1"/>
  <c r="V39" i="12" s="1"/>
  <c r="CC123" i="1"/>
  <c r="Y156" i="12" s="1"/>
  <c r="AY274" i="1"/>
  <c r="BU274" i="1" s="1"/>
  <c r="Q174" i="12" s="1"/>
  <c r="AC457" i="1"/>
  <c r="CB123" i="1"/>
  <c r="X39" i="12" s="1"/>
  <c r="BN18" i="1"/>
  <c r="BO18" i="1" s="1"/>
  <c r="CK18" i="1" s="1"/>
  <c r="BV123" i="1"/>
  <c r="R39" i="12" s="1"/>
  <c r="BY123" i="1"/>
  <c r="BU123" i="1"/>
  <c r="Q39" i="12" s="1"/>
  <c r="BW123" i="1"/>
  <c r="AZ274" i="1"/>
  <c r="BV274" i="1" s="1"/>
  <c r="R102" i="12" s="1"/>
  <c r="AD457" i="1"/>
  <c r="BB274" i="1"/>
  <c r="BX274" i="1" s="1"/>
  <c r="AF457" i="1"/>
  <c r="BA274" i="1"/>
  <c r="BW274" i="1" s="1"/>
  <c r="S174" i="12" s="1"/>
  <c r="AE457" i="1"/>
  <c r="AC456" i="1"/>
  <c r="AF456" i="1"/>
  <c r="BC4" i="1"/>
  <c r="AG456" i="1"/>
  <c r="BE4" i="1"/>
  <c r="AI456" i="1"/>
  <c r="BF4" i="1"/>
  <c r="AJ456" i="1"/>
  <c r="BG4" i="1"/>
  <c r="AK456" i="1"/>
  <c r="BD4" i="1"/>
  <c r="AH456" i="1"/>
  <c r="AZ4" i="1"/>
  <c r="AD456" i="1"/>
  <c r="Y455" i="1"/>
  <c r="AU455" i="1" s="1"/>
  <c r="BQ455" i="1" s="1"/>
  <c r="AUZ455" i="1" s="1"/>
  <c r="Y454" i="1"/>
  <c r="AU454" i="1" s="1"/>
  <c r="BQ454" i="1" s="1"/>
  <c r="AUZ454" i="1" s="1"/>
  <c r="U456" i="1"/>
  <c r="BA4" i="1"/>
  <c r="AE456" i="1"/>
  <c r="AB456" i="1"/>
  <c r="AB458" i="1" s="1"/>
  <c r="AB459" i="1" s="1"/>
  <c r="CG456" i="1"/>
  <c r="CG458" i="1" s="1"/>
  <c r="CG459" i="1" s="1"/>
  <c r="AC3" i="12"/>
  <c r="DC4" i="1"/>
  <c r="BN167" i="1"/>
  <c r="BO167" i="1" s="1"/>
  <c r="CK167" i="1" s="1"/>
  <c r="BX272" i="1"/>
  <c r="AVG272" i="1" s="1"/>
  <c r="AA371" i="1"/>
  <c r="AP371" i="1" s="1"/>
  <c r="BX172" i="1"/>
  <c r="AVG172" i="1" s="1"/>
  <c r="BX319" i="1"/>
  <c r="AVG319" i="1" s="1"/>
  <c r="BX385" i="1"/>
  <c r="AVG385" i="1" s="1"/>
  <c r="BX228" i="1"/>
  <c r="BX431" i="1"/>
  <c r="AVG431" i="1" s="1"/>
  <c r="BX207" i="1"/>
  <c r="AVG207" i="1" s="1"/>
  <c r="BX146" i="1"/>
  <c r="AVG146" i="1" s="1"/>
  <c r="BX133" i="1"/>
  <c r="AVG133" i="1" s="1"/>
  <c r="BX31" i="1"/>
  <c r="AVG31" i="1" s="1"/>
  <c r="Y123" i="1"/>
  <c r="Y269" i="1"/>
  <c r="AU269" i="1" s="1"/>
  <c r="BQ269" i="1" s="1"/>
  <c r="Y268" i="1"/>
  <c r="AU268" i="1" s="1"/>
  <c r="BQ268" i="1" s="1"/>
  <c r="AM274" i="1"/>
  <c r="BH274" i="1"/>
  <c r="AA81" i="1"/>
  <c r="AX81" i="1"/>
  <c r="BT81" i="1" s="1"/>
  <c r="V386" i="1"/>
  <c r="W386" i="1" s="1"/>
  <c r="AQ386" i="1"/>
  <c r="AQ385" i="1"/>
  <c r="V385" i="1"/>
  <c r="W385" i="1" s="1"/>
  <c r="AQ220" i="1"/>
  <c r="V220" i="1"/>
  <c r="W220" i="1" s="1"/>
  <c r="V418" i="1"/>
  <c r="W418" i="1" s="1"/>
  <c r="AM355" i="1"/>
  <c r="AN355" i="1" s="1"/>
  <c r="BH355" i="1"/>
  <c r="AM83" i="1"/>
  <c r="AN83" i="1" s="1"/>
  <c r="BH83" i="1"/>
  <c r="AQ274" i="1"/>
  <c r="V274" i="1"/>
  <c r="W274" i="1" s="1"/>
  <c r="AA418" i="1"/>
  <c r="AX418" i="1"/>
  <c r="BT418" i="1" s="1"/>
  <c r="AA385" i="1"/>
  <c r="AW385" i="1" s="1"/>
  <c r="BS385" i="1" s="1"/>
  <c r="CO385" i="1" s="1"/>
  <c r="AX385" i="1"/>
  <c r="BT385" i="1" s="1"/>
  <c r="AA228" i="1"/>
  <c r="AW228" i="1" s="1"/>
  <c r="BS228" i="1" s="1"/>
  <c r="AX228" i="1"/>
  <c r="BT228" i="1" s="1"/>
  <c r="CP228" i="1" s="1"/>
  <c r="AA205" i="1"/>
  <c r="AP205" i="1" s="1"/>
  <c r="AA98" i="1"/>
  <c r="AP98" i="1" s="1"/>
  <c r="AA35" i="1"/>
  <c r="AP35" i="1" s="1"/>
  <c r="AA62" i="1"/>
  <c r="AW62" i="1" s="1"/>
  <c r="BS62" i="1" s="1"/>
  <c r="CO62" i="1" s="1"/>
  <c r="AX62" i="1"/>
  <c r="BT62" i="1" s="1"/>
  <c r="AM301" i="1"/>
  <c r="AN301" i="1" s="1"/>
  <c r="BH301" i="1"/>
  <c r="AM237" i="1"/>
  <c r="AN237" i="1" s="1"/>
  <c r="BH237" i="1"/>
  <c r="AM235" i="1"/>
  <c r="AN235" i="1" s="1"/>
  <c r="AM113" i="1"/>
  <c r="AN113" i="1" s="1"/>
  <c r="BH113" i="1"/>
  <c r="AM62" i="1"/>
  <c r="AN62" i="1" s="1"/>
  <c r="BH62" i="1"/>
  <c r="AM51" i="1"/>
  <c r="AN51" i="1" s="1"/>
  <c r="AM19" i="1"/>
  <c r="AN19" i="1" s="1"/>
  <c r="BH19" i="1"/>
  <c r="AA431" i="1"/>
  <c r="AW431" i="1" s="1"/>
  <c r="BS431" i="1" s="1"/>
  <c r="AX431" i="1"/>
  <c r="AM431" i="1"/>
  <c r="AN431" i="1" s="1"/>
  <c r="BH431" i="1"/>
  <c r="AA365" i="1"/>
  <c r="AX365" i="1"/>
  <c r="BT365" i="1" s="1"/>
  <c r="AA65" i="1"/>
  <c r="AX65" i="1"/>
  <c r="BT65" i="1" s="1"/>
  <c r="CP65" i="1" s="1"/>
  <c r="V301" i="1"/>
  <c r="W301" i="1" s="1"/>
  <c r="AQ301" i="1"/>
  <c r="V113" i="1"/>
  <c r="W113" i="1" s="1"/>
  <c r="AQ113" i="1"/>
  <c r="AQ62" i="1"/>
  <c r="V62" i="1"/>
  <c r="W62" i="1" s="1"/>
  <c r="AM411" i="1"/>
  <c r="AN411" i="1" s="1"/>
  <c r="BH411" i="1"/>
  <c r="AM67" i="1"/>
  <c r="AN67" i="1" s="1"/>
  <c r="BH67" i="1"/>
  <c r="V431" i="1"/>
  <c r="W431" i="1" s="1"/>
  <c r="AQ431" i="1"/>
  <c r="AA398" i="1"/>
  <c r="AW398" i="1" s="1"/>
  <c r="BS398" i="1" s="1"/>
  <c r="AX398" i="1"/>
  <c r="BT398" i="1" s="1"/>
  <c r="CP398" i="1" s="1"/>
  <c r="AA235" i="1"/>
  <c r="AP235" i="1" s="1"/>
  <c r="AA220" i="1"/>
  <c r="AW220" i="1" s="1"/>
  <c r="BS220" i="1" s="1"/>
  <c r="AX220" i="1"/>
  <c r="BT220" i="1" s="1"/>
  <c r="CP220" i="1" s="1"/>
  <c r="AA206" i="1"/>
  <c r="AP206" i="1" s="1"/>
  <c r="AA50" i="1"/>
  <c r="AP50" i="1" s="1"/>
  <c r="AA31" i="1"/>
  <c r="AW31" i="1" s="1"/>
  <c r="BS31" i="1" s="1"/>
  <c r="CO31" i="1" s="1"/>
  <c r="AX31" i="1"/>
  <c r="BT31" i="1" s="1"/>
  <c r="AA33" i="1"/>
  <c r="AW33" i="1" s="1"/>
  <c r="BS33" i="1" s="1"/>
  <c r="CO33" i="1" s="1"/>
  <c r="AP93" i="1"/>
  <c r="AM418" i="1"/>
  <c r="AN418" i="1" s="1"/>
  <c r="BH418" i="1"/>
  <c r="AM228" i="1"/>
  <c r="AN228" i="1" s="1"/>
  <c r="BH228" i="1"/>
  <c r="AM220" i="1"/>
  <c r="AN220" i="1" s="1"/>
  <c r="BH220" i="1"/>
  <c r="AM47" i="1"/>
  <c r="AN47" i="1" s="1"/>
  <c r="BH47" i="1"/>
  <c r="Y11" i="1"/>
  <c r="Y9" i="1"/>
  <c r="Y14" i="1"/>
  <c r="AU14" i="1" s="1"/>
  <c r="BQ14" i="1" s="1"/>
  <c r="Y63" i="1"/>
  <c r="AU63" i="1" s="1"/>
  <c r="BQ63" i="1" s="1"/>
  <c r="Y13" i="1"/>
  <c r="AU13" i="1" s="1"/>
  <c r="BQ13" i="1" s="1"/>
  <c r="Y37" i="1"/>
  <c r="Y41" i="1"/>
  <c r="AU41" i="1" s="1"/>
  <c r="BQ41" i="1" s="1"/>
  <c r="Y40" i="1"/>
  <c r="AU40" i="1" s="1"/>
  <c r="BQ40" i="1" s="1"/>
  <c r="Y102" i="1"/>
  <c r="Y106" i="1"/>
  <c r="AU106" i="1" s="1"/>
  <c r="BQ106" i="1" s="1"/>
  <c r="Y36" i="1"/>
  <c r="Y44" i="1"/>
  <c r="AU44" i="1" s="1"/>
  <c r="BQ44" i="1" s="1"/>
  <c r="Y20" i="1"/>
  <c r="AU20" i="1" s="1"/>
  <c r="BQ20" i="1" s="1"/>
  <c r="Y103" i="1"/>
  <c r="Y107" i="1"/>
  <c r="AU107" i="1" s="1"/>
  <c r="BQ107" i="1" s="1"/>
  <c r="Y115" i="1"/>
  <c r="AU115" i="1" s="1"/>
  <c r="BQ115" i="1" s="1"/>
  <c r="Y136" i="1"/>
  <c r="Y157" i="1"/>
  <c r="AU157" i="1" s="1"/>
  <c r="BQ157" i="1" s="1"/>
  <c r="Y139" i="1"/>
  <c r="AU139" i="1" s="1"/>
  <c r="BQ139" i="1" s="1"/>
  <c r="Y147" i="1"/>
  <c r="AU147" i="1" s="1"/>
  <c r="BQ147" i="1" s="1"/>
  <c r="Y151" i="1"/>
  <c r="Y169" i="1"/>
  <c r="AU169" i="1" s="1"/>
  <c r="BQ169" i="1" s="1"/>
  <c r="Y173" i="1"/>
  <c r="Y177" i="1"/>
  <c r="AU177" i="1" s="1"/>
  <c r="BQ177" i="1" s="1"/>
  <c r="Y191" i="1"/>
  <c r="Y195" i="1"/>
  <c r="Y209" i="1"/>
  <c r="AU209" i="1" s="1"/>
  <c r="BQ209" i="1" s="1"/>
  <c r="Y213" i="1"/>
  <c r="AU213" i="1" s="1"/>
  <c r="BQ213" i="1" s="1"/>
  <c r="Y217" i="1"/>
  <c r="Y221" i="1"/>
  <c r="AU221" i="1" s="1"/>
  <c r="BQ221" i="1" s="1"/>
  <c r="Y133" i="1"/>
  <c r="Y146" i="1"/>
  <c r="Y172" i="1"/>
  <c r="Y194" i="1"/>
  <c r="Y199" i="1"/>
  <c r="AU199" i="1" s="1"/>
  <c r="BQ199" i="1" s="1"/>
  <c r="Y203" i="1"/>
  <c r="AU203" i="1" s="1"/>
  <c r="BQ203" i="1" s="1"/>
  <c r="Y150" i="1"/>
  <c r="Y154" i="1"/>
  <c r="Y170" i="1"/>
  <c r="AU170" i="1" s="1"/>
  <c r="BQ170" i="1" s="1"/>
  <c r="Y192" i="1"/>
  <c r="Y210" i="1"/>
  <c r="AU210" i="1" s="1"/>
  <c r="BQ210" i="1" s="1"/>
  <c r="Y249" i="1"/>
  <c r="AU249" i="1" s="1"/>
  <c r="BQ249" i="1" s="1"/>
  <c r="Y253" i="1"/>
  <c r="AU253" i="1" s="1"/>
  <c r="BQ253" i="1" s="1"/>
  <c r="Y283" i="1"/>
  <c r="Y315" i="1"/>
  <c r="AU315" i="1" s="1"/>
  <c r="BQ315" i="1" s="1"/>
  <c r="Y319" i="1"/>
  <c r="Y214" i="1"/>
  <c r="Y230" i="1"/>
  <c r="Y248" i="1"/>
  <c r="AU248" i="1" s="1"/>
  <c r="BQ248" i="1" s="1"/>
  <c r="Y252" i="1"/>
  <c r="AU252" i="1" s="1"/>
  <c r="BQ252" i="1" s="1"/>
  <c r="Y256" i="1"/>
  <c r="Y282" i="1"/>
  <c r="AU282" i="1" s="1"/>
  <c r="BQ282" i="1" s="1"/>
  <c r="Y287" i="1"/>
  <c r="Y291" i="1"/>
  <c r="Y318" i="1"/>
  <c r="AU318" i="1" s="1"/>
  <c r="BQ318" i="1" s="1"/>
  <c r="Y322" i="1"/>
  <c r="Y229" i="1"/>
  <c r="Y238" i="1"/>
  <c r="AU238" i="1" s="1"/>
  <c r="BQ238" i="1" s="1"/>
  <c r="Y281" i="1"/>
  <c r="AU281" i="1" s="1"/>
  <c r="BQ281" i="1" s="1"/>
  <c r="AUZ281" i="1" s="1"/>
  <c r="Y232" i="1"/>
  <c r="Y391" i="1"/>
  <c r="Y395" i="1"/>
  <c r="AU395" i="1" s="1"/>
  <c r="BQ395" i="1" s="1"/>
  <c r="Y325" i="1"/>
  <c r="Y345" i="1"/>
  <c r="Y402" i="1"/>
  <c r="AU402" i="1" s="1"/>
  <c r="BQ402" i="1" s="1"/>
  <c r="Y316" i="1"/>
  <c r="AU316" i="1" s="1"/>
  <c r="BQ316" i="1" s="1"/>
  <c r="Y344" i="1"/>
  <c r="Y348" i="1"/>
  <c r="Y389" i="1"/>
  <c r="Y347" i="1"/>
  <c r="Y351" i="1"/>
  <c r="AU351" i="1" s="1"/>
  <c r="BQ351" i="1" s="1"/>
  <c r="Y388" i="1"/>
  <c r="Y392" i="1"/>
  <c r="Y442" i="1"/>
  <c r="AU442" i="1" s="1"/>
  <c r="BQ442" i="1" s="1"/>
  <c r="AUZ442" i="1" s="1"/>
  <c r="Y440" i="1"/>
  <c r="AU440" i="1" s="1"/>
  <c r="BQ440" i="1" s="1"/>
  <c r="AUZ440" i="1" s="1"/>
  <c r="Y438" i="1"/>
  <c r="AU438" i="1" s="1"/>
  <c r="BQ438" i="1" s="1"/>
  <c r="AUZ438" i="1" s="1"/>
  <c r="Y437" i="1"/>
  <c r="AU437" i="1" s="1"/>
  <c r="BQ437" i="1" s="1"/>
  <c r="AUZ437" i="1" s="1"/>
  <c r="Y436" i="1"/>
  <c r="AU436" i="1" s="1"/>
  <c r="BQ436" i="1" s="1"/>
  <c r="AUZ436" i="1" s="1"/>
  <c r="Y435" i="1"/>
  <c r="AU435" i="1" s="1"/>
  <c r="BQ435" i="1" s="1"/>
  <c r="AUZ435" i="1" s="1"/>
  <c r="Y434" i="1"/>
  <c r="AU434" i="1" s="1"/>
  <c r="BQ434" i="1" s="1"/>
  <c r="AUZ434" i="1" s="1"/>
  <c r="Y433" i="1"/>
  <c r="AU433" i="1" s="1"/>
  <c r="BQ433" i="1" s="1"/>
  <c r="AUZ433" i="1" s="1"/>
  <c r="Y432" i="1"/>
  <c r="AU432" i="1" s="1"/>
  <c r="BQ432" i="1" s="1"/>
  <c r="AUZ432" i="1" s="1"/>
  <c r="Y430" i="1"/>
  <c r="AU430" i="1" s="1"/>
  <c r="BQ430" i="1" s="1"/>
  <c r="AUZ430" i="1" s="1"/>
  <c r="Y429" i="1"/>
  <c r="AU429" i="1" s="1"/>
  <c r="BQ429" i="1" s="1"/>
  <c r="AUZ429" i="1" s="1"/>
  <c r="Y428" i="1"/>
  <c r="AU428" i="1" s="1"/>
  <c r="BQ428" i="1" s="1"/>
  <c r="AUZ428" i="1" s="1"/>
  <c r="Y427" i="1"/>
  <c r="AU427" i="1" s="1"/>
  <c r="BQ427" i="1" s="1"/>
  <c r="AUZ427" i="1" s="1"/>
  <c r="Y426" i="1"/>
  <c r="AU426" i="1" s="1"/>
  <c r="BQ426" i="1" s="1"/>
  <c r="AUZ426" i="1" s="1"/>
  <c r="Y425" i="1"/>
  <c r="AU425" i="1" s="1"/>
  <c r="BQ425" i="1" s="1"/>
  <c r="AUZ425" i="1" s="1"/>
  <c r="K44" i="3"/>
  <c r="Y443" i="1" s="1"/>
  <c r="AU443" i="1" s="1"/>
  <c r="BQ443" i="1" s="1"/>
  <c r="AUZ443" i="1" s="1"/>
  <c r="Y439" i="1"/>
  <c r="AU439" i="1" s="1"/>
  <c r="BQ439" i="1" s="1"/>
  <c r="AUZ439" i="1" s="1"/>
  <c r="Y124" i="1"/>
  <c r="AU124" i="1" s="1"/>
  <c r="BQ124" i="1" s="1"/>
  <c r="Y145" i="1"/>
  <c r="Y127" i="1"/>
  <c r="AU127" i="1" s="1"/>
  <c r="BQ127" i="1" s="1"/>
  <c r="Y143" i="1"/>
  <c r="AU143" i="1" s="1"/>
  <c r="BQ143" i="1" s="1"/>
  <c r="Y126" i="1"/>
  <c r="AU126" i="1" s="1"/>
  <c r="BQ126" i="1" s="1"/>
  <c r="Y125" i="1"/>
  <c r="AU125" i="1" s="1"/>
  <c r="BQ125" i="1" s="1"/>
  <c r="Y244" i="1"/>
  <c r="AU244" i="1" s="1"/>
  <c r="BQ244" i="1" s="1"/>
  <c r="Y273" i="1"/>
  <c r="AU273" i="1" s="1"/>
  <c r="BQ273" i="1" s="1"/>
  <c r="Y272" i="1"/>
  <c r="Y271" i="1"/>
  <c r="AU271" i="1" s="1"/>
  <c r="BQ271" i="1" s="1"/>
  <c r="Y275" i="1"/>
  <c r="AU275" i="1" s="1"/>
  <c r="BQ275" i="1" s="1"/>
  <c r="Y270" i="1"/>
  <c r="AU270" i="1" s="1"/>
  <c r="BQ270" i="1" s="1"/>
  <c r="Y334" i="1"/>
  <c r="AU334" i="1" s="1"/>
  <c r="BQ334" i="1" s="1"/>
  <c r="Y333" i="1"/>
  <c r="AU333" i="1" s="1"/>
  <c r="BQ333" i="1" s="1"/>
  <c r="Y335" i="1"/>
  <c r="AU335" i="1" s="1"/>
  <c r="BQ335" i="1" s="1"/>
  <c r="AA355" i="1"/>
  <c r="AX355" i="1"/>
  <c r="BT355" i="1" s="1"/>
  <c r="CP355" i="1" s="1"/>
  <c r="AA83" i="1"/>
  <c r="AX83" i="1"/>
  <c r="BT83" i="1" s="1"/>
  <c r="AQ237" i="1"/>
  <c r="V237" i="1"/>
  <c r="W237" i="1" s="1"/>
  <c r="AQ47" i="1"/>
  <c r="V47" i="1"/>
  <c r="W47" i="1" s="1"/>
  <c r="V398" i="1"/>
  <c r="W398" i="1" s="1"/>
  <c r="AQ398" i="1"/>
  <c r="AM81" i="1"/>
  <c r="AN81" i="1" s="1"/>
  <c r="BH81" i="1"/>
  <c r="AA386" i="1"/>
  <c r="AW386" i="1" s="1"/>
  <c r="BS386" i="1" s="1"/>
  <c r="CO386" i="1" s="1"/>
  <c r="AX386" i="1"/>
  <c r="BT386" i="1" s="1"/>
  <c r="AA301" i="1"/>
  <c r="AW301" i="1" s="1"/>
  <c r="BS301" i="1" s="1"/>
  <c r="CO301" i="1" s="1"/>
  <c r="AX301" i="1"/>
  <c r="BT301" i="1" s="1"/>
  <c r="AA290" i="1"/>
  <c r="AP290" i="1" s="1"/>
  <c r="AA111" i="1"/>
  <c r="AP111" i="1" s="1"/>
  <c r="AA51" i="1"/>
  <c r="AP51" i="1" s="1"/>
  <c r="AA19" i="1"/>
  <c r="AW19" i="1" s="1"/>
  <c r="BS19" i="1" s="1"/>
  <c r="CO19" i="1" s="1"/>
  <c r="AX19" i="1"/>
  <c r="BT19" i="1" s="1"/>
  <c r="AA8" i="1"/>
  <c r="AP8" i="1" s="1"/>
  <c r="AM398" i="1"/>
  <c r="AN398" i="1" s="1"/>
  <c r="BH398" i="1"/>
  <c r="AM205" i="1"/>
  <c r="AN205" i="1" s="1"/>
  <c r="AM98" i="1"/>
  <c r="AN98" i="1" s="1"/>
  <c r="AM35" i="1"/>
  <c r="AN35" i="1" s="1"/>
  <c r="Y431" i="1"/>
  <c r="AU431" i="1" s="1"/>
  <c r="BQ431" i="1" s="1"/>
  <c r="AUZ431" i="1" s="1"/>
  <c r="Y274" i="1"/>
  <c r="AU274" i="1" s="1"/>
  <c r="BQ274" i="1" s="1"/>
  <c r="Y27" i="1"/>
  <c r="AU27" i="1" s="1"/>
  <c r="BQ27" i="1" s="1"/>
  <c r="Y91" i="1"/>
  <c r="AU91" i="1" s="1"/>
  <c r="BQ91" i="1" s="1"/>
  <c r="Y28" i="1"/>
  <c r="AU28" i="1" s="1"/>
  <c r="BQ28" i="1" s="1"/>
  <c r="Y89" i="1"/>
  <c r="AU89" i="1" s="1"/>
  <c r="BQ89" i="1" s="1"/>
  <c r="Y90" i="1"/>
  <c r="AU90" i="1" s="1"/>
  <c r="BQ90" i="1" s="1"/>
  <c r="Y131" i="1"/>
  <c r="Y130" i="1"/>
  <c r="AU130" i="1" s="1"/>
  <c r="BQ130" i="1" s="1"/>
  <c r="Y164" i="1"/>
  <c r="AU164" i="1" s="1"/>
  <c r="BQ164" i="1" s="1"/>
  <c r="AUZ164" i="1" s="1"/>
  <c r="Y129" i="1"/>
  <c r="AU129" i="1" s="1"/>
  <c r="BQ129" i="1" s="1"/>
  <c r="AUZ129" i="1" s="1"/>
  <c r="Y166" i="1"/>
  <c r="AU166" i="1" s="1"/>
  <c r="BQ166" i="1" s="1"/>
  <c r="Y186" i="1"/>
  <c r="AU186" i="1" s="1"/>
  <c r="BQ186" i="1" s="1"/>
  <c r="Y227" i="1"/>
  <c r="AU227" i="1" s="1"/>
  <c r="BQ227" i="1" s="1"/>
  <c r="Y277" i="1"/>
  <c r="AU277" i="1" s="1"/>
  <c r="BQ277" i="1" s="1"/>
  <c r="Y300" i="1"/>
  <c r="AU300" i="1" s="1"/>
  <c r="BQ300" i="1" s="1"/>
  <c r="Y276" i="1"/>
  <c r="AU276" i="1" s="1"/>
  <c r="BQ276" i="1" s="1"/>
  <c r="Y338" i="1"/>
  <c r="AU338" i="1" s="1"/>
  <c r="BQ338" i="1" s="1"/>
  <c r="Y415" i="1"/>
  <c r="AU415" i="1" s="1"/>
  <c r="BQ415" i="1" s="1"/>
  <c r="Y337" i="1"/>
  <c r="AU337" i="1" s="1"/>
  <c r="BQ337" i="1" s="1"/>
  <c r="Y376" i="1"/>
  <c r="AU376" i="1" s="1"/>
  <c r="BQ376" i="1" s="1"/>
  <c r="Y421" i="1"/>
  <c r="AU421" i="1" s="1"/>
  <c r="BQ421" i="1" s="1"/>
  <c r="Y375" i="1"/>
  <c r="AU375" i="1" s="1"/>
  <c r="BQ375" i="1" s="1"/>
  <c r="Y416" i="1"/>
  <c r="AU416" i="1" s="1"/>
  <c r="BQ416" i="1" s="1"/>
  <c r="AUZ416" i="1" s="1"/>
  <c r="Y420" i="1"/>
  <c r="AU420" i="1" s="1"/>
  <c r="BQ420" i="1" s="1"/>
  <c r="AUZ420" i="1" s="1"/>
  <c r="Y424" i="1"/>
  <c r="AU424" i="1" s="1"/>
  <c r="BQ424" i="1" s="1"/>
  <c r="Y18" i="1"/>
  <c r="AU18" i="1" s="1"/>
  <c r="BQ18" i="1" s="1"/>
  <c r="Y30" i="1"/>
  <c r="AU30" i="1" s="1"/>
  <c r="BQ30" i="1" s="1"/>
  <c r="Y34" i="1"/>
  <c r="Y46" i="1"/>
  <c r="AU46" i="1" s="1"/>
  <c r="BQ46" i="1" s="1"/>
  <c r="Y17" i="1"/>
  <c r="AU17" i="1" s="1"/>
  <c r="BQ17" i="1" s="1"/>
  <c r="Y49" i="1"/>
  <c r="Y48" i="1"/>
  <c r="AU48" i="1" s="1"/>
  <c r="BQ48" i="1" s="1"/>
  <c r="Y95" i="1"/>
  <c r="Y110" i="1"/>
  <c r="Y114" i="1"/>
  <c r="AU114" i="1" s="1"/>
  <c r="BQ114" i="1" s="1"/>
  <c r="Y61" i="1"/>
  <c r="AU61" i="1" s="1"/>
  <c r="BQ61" i="1" s="1"/>
  <c r="Y112" i="1"/>
  <c r="Y97" i="1"/>
  <c r="Y94" i="1"/>
  <c r="AU94" i="1" s="1"/>
  <c r="BQ94" i="1" s="1"/>
  <c r="Y101" i="1"/>
  <c r="Y167" i="1"/>
  <c r="AU167" i="1" s="1"/>
  <c r="BQ167" i="1" s="1"/>
  <c r="Y168" i="1"/>
  <c r="AU168" i="1" s="1"/>
  <c r="BQ168" i="1" s="1"/>
  <c r="Y176" i="1"/>
  <c r="AU176" i="1" s="1"/>
  <c r="BQ176" i="1" s="1"/>
  <c r="Y201" i="1"/>
  <c r="AU201" i="1" s="1"/>
  <c r="BQ201" i="1" s="1"/>
  <c r="Y236" i="1"/>
  <c r="AU236" i="1" s="1"/>
  <c r="BQ236" i="1" s="1"/>
  <c r="Y304" i="1"/>
  <c r="AU304" i="1" s="1"/>
  <c r="BQ304" i="1" s="1"/>
  <c r="Y323" i="1"/>
  <c r="Y219" i="1"/>
  <c r="AU219" i="1" s="1"/>
  <c r="BQ219" i="1" s="1"/>
  <c r="Y303" i="1"/>
  <c r="AU303" i="1" s="1"/>
  <c r="BQ303" i="1" s="1"/>
  <c r="Y314" i="1"/>
  <c r="AU314" i="1" s="1"/>
  <c r="BQ314" i="1" s="1"/>
  <c r="Y247" i="1"/>
  <c r="AU247" i="1" s="1"/>
  <c r="BQ247" i="1" s="1"/>
  <c r="Y313" i="1"/>
  <c r="AU313" i="1" s="1"/>
  <c r="BQ313" i="1" s="1"/>
  <c r="Y188" i="1"/>
  <c r="AU188" i="1" s="1"/>
  <c r="BQ188" i="1" s="1"/>
  <c r="Y202" i="1"/>
  <c r="AU202" i="1" s="1"/>
  <c r="BQ202" i="1" s="1"/>
  <c r="Y245" i="1"/>
  <c r="AU245" i="1" s="1"/>
  <c r="BQ245" i="1" s="1"/>
  <c r="Y258" i="1"/>
  <c r="AU258" i="1" s="1"/>
  <c r="BQ258" i="1" s="1"/>
  <c r="Y342" i="1"/>
  <c r="AU342" i="1" s="1"/>
  <c r="BQ342" i="1" s="1"/>
  <c r="Y387" i="1"/>
  <c r="Y399" i="1"/>
  <c r="AU399" i="1" s="1"/>
  <c r="BQ399" i="1" s="1"/>
  <c r="Y305" i="1"/>
  <c r="AU305" i="1" s="1"/>
  <c r="BQ305" i="1" s="1"/>
  <c r="Y341" i="1"/>
  <c r="AU341" i="1" s="1"/>
  <c r="BQ341" i="1" s="1"/>
  <c r="Y324" i="1"/>
  <c r="Y397" i="1"/>
  <c r="AU397" i="1" s="1"/>
  <c r="BQ397" i="1" s="1"/>
  <c r="Y401" i="1"/>
  <c r="Y417" i="1"/>
  <c r="AU417" i="1" s="1"/>
  <c r="BQ417" i="1" s="1"/>
  <c r="Y343" i="1"/>
  <c r="Y379" i="1"/>
  <c r="AU379" i="1" s="1"/>
  <c r="BQ379" i="1" s="1"/>
  <c r="AA411" i="1"/>
  <c r="AX411" i="1"/>
  <c r="BT411" i="1" s="1"/>
  <c r="AA67" i="1"/>
  <c r="AX67" i="1"/>
  <c r="BT67" i="1" s="1"/>
  <c r="AQ19" i="1"/>
  <c r="V19" i="1"/>
  <c r="W19" i="1" s="1"/>
  <c r="V228" i="1"/>
  <c r="W228" i="1" s="1"/>
  <c r="AQ228" i="1"/>
  <c r="AQ31" i="1"/>
  <c r="V31" i="1"/>
  <c r="W31" i="1" s="1"/>
  <c r="AM365" i="1"/>
  <c r="AN365" i="1" s="1"/>
  <c r="BH365" i="1"/>
  <c r="AM65" i="1"/>
  <c r="AN65" i="1" s="1"/>
  <c r="BH65" i="1"/>
  <c r="AA400" i="1"/>
  <c r="AW400" i="1" s="1"/>
  <c r="BS400" i="1" s="1"/>
  <c r="CO400" i="1" s="1"/>
  <c r="AA237" i="1"/>
  <c r="AW237" i="1" s="1"/>
  <c r="BS237" i="1" s="1"/>
  <c r="CO237" i="1" s="1"/>
  <c r="AX237" i="1"/>
  <c r="BT237" i="1" s="1"/>
  <c r="AA207" i="1"/>
  <c r="AW207" i="1" s="1"/>
  <c r="BS207" i="1" s="1"/>
  <c r="CO207" i="1" s="1"/>
  <c r="AA113" i="1"/>
  <c r="AW113" i="1" s="1"/>
  <c r="BS113" i="1" s="1"/>
  <c r="CO113" i="1" s="1"/>
  <c r="AX113" i="1"/>
  <c r="BT113" i="1" s="1"/>
  <c r="AA47" i="1"/>
  <c r="AW47" i="1" s="1"/>
  <c r="BS47" i="1" s="1"/>
  <c r="CO47" i="1" s="1"/>
  <c r="AX47" i="1"/>
  <c r="BT47" i="1" s="1"/>
  <c r="AA32" i="1"/>
  <c r="AP32" i="1" s="1"/>
  <c r="AM385" i="1"/>
  <c r="AN385" i="1" s="1"/>
  <c r="BH385" i="1"/>
  <c r="AM386" i="1"/>
  <c r="AN386" i="1" s="1"/>
  <c r="BH386" i="1"/>
  <c r="AM31" i="1"/>
  <c r="AN31" i="1" s="1"/>
  <c r="BH31" i="1"/>
  <c r="AA274" i="1"/>
  <c r="AX274" i="1"/>
  <c r="BT274" i="1" s="1"/>
  <c r="BI93" i="1"/>
  <c r="BJ93" i="1" s="1"/>
  <c r="CD93" i="1"/>
  <c r="V373" i="1"/>
  <c r="W373" i="1" s="1"/>
  <c r="AP373" i="1"/>
  <c r="V321" i="1"/>
  <c r="W321" i="1" s="1"/>
  <c r="AP321" i="1"/>
  <c r="V173" i="1"/>
  <c r="W173" i="1" s="1"/>
  <c r="AP173" i="1"/>
  <c r="V50" i="1"/>
  <c r="W50" i="1" s="1"/>
  <c r="V401" i="1"/>
  <c r="W401" i="1" s="1"/>
  <c r="AP401" i="1"/>
  <c r="V272" i="1"/>
  <c r="W272" i="1" s="1"/>
  <c r="AP272" i="1"/>
  <c r="V205" i="1"/>
  <c r="W205" i="1" s="1"/>
  <c r="V111" i="1"/>
  <c r="W111" i="1" s="1"/>
  <c r="V392" i="1"/>
  <c r="W392" i="1" s="1"/>
  <c r="AP392" i="1"/>
  <c r="V347" i="1"/>
  <c r="W347" i="1" s="1"/>
  <c r="AP347" i="1"/>
  <c r="V285" i="1"/>
  <c r="W285" i="1" s="1"/>
  <c r="AP285" i="1"/>
  <c r="V195" i="1"/>
  <c r="W195" i="1" s="1"/>
  <c r="AP195" i="1"/>
  <c r="V153" i="1"/>
  <c r="W153" i="1" s="1"/>
  <c r="AP153" i="1"/>
  <c r="V122" i="1"/>
  <c r="W122" i="1" s="1"/>
  <c r="AP122" i="1"/>
  <c r="V79" i="1"/>
  <c r="W79" i="1" s="1"/>
  <c r="AP79" i="1"/>
  <c r="V32" i="1"/>
  <c r="W32" i="1" s="1"/>
  <c r="V393" i="1"/>
  <c r="W393" i="1" s="1"/>
  <c r="AP393" i="1"/>
  <c r="V348" i="1"/>
  <c r="W348" i="1" s="1"/>
  <c r="AP348" i="1"/>
  <c r="V291" i="1"/>
  <c r="W291" i="1" s="1"/>
  <c r="AP291" i="1"/>
  <c r="V218" i="1"/>
  <c r="W218" i="1" s="1"/>
  <c r="AP218" i="1"/>
  <c r="V192" i="1"/>
  <c r="W192" i="1" s="1"/>
  <c r="AP192" i="1"/>
  <c r="V137" i="1"/>
  <c r="W137" i="1" s="1"/>
  <c r="AP137" i="1"/>
  <c r="V123" i="1"/>
  <c r="AP123" i="1"/>
  <c r="V101" i="1"/>
  <c r="W101" i="1" s="1"/>
  <c r="AP101" i="1"/>
  <c r="V37" i="1"/>
  <c r="W37" i="1" s="1"/>
  <c r="AP37" i="1"/>
  <c r="V8" i="1"/>
  <c r="W8" i="1" s="1"/>
  <c r="V346" i="1"/>
  <c r="W346" i="1" s="1"/>
  <c r="AP346" i="1"/>
  <c r="V343" i="1"/>
  <c r="W343" i="1" s="1"/>
  <c r="AP343" i="1"/>
  <c r="V75" i="1"/>
  <c r="W75" i="1" s="1"/>
  <c r="AP75" i="1"/>
  <c r="V284" i="1"/>
  <c r="W284" i="1" s="1"/>
  <c r="AP284" i="1"/>
  <c r="V319" i="1"/>
  <c r="W319" i="1" s="1"/>
  <c r="AP319" i="1"/>
  <c r="V320" i="1"/>
  <c r="W320" i="1" s="1"/>
  <c r="AP320" i="1"/>
  <c r="V69" i="1"/>
  <c r="W69" i="1" s="1"/>
  <c r="AP69" i="1"/>
  <c r="V371" i="1"/>
  <c r="W371" i="1" s="1"/>
  <c r="V234" i="1"/>
  <c r="W234" i="1" s="1"/>
  <c r="AP234" i="1"/>
  <c r="V145" i="1"/>
  <c r="W145" i="1" s="1"/>
  <c r="AP145" i="1"/>
  <c r="V24" i="1"/>
  <c r="W24" i="1" s="1"/>
  <c r="AP24" i="1"/>
  <c r="V372" i="1"/>
  <c r="W372" i="1" s="1"/>
  <c r="AP372" i="1"/>
  <c r="V232" i="1"/>
  <c r="W232" i="1" s="1"/>
  <c r="AP232" i="1"/>
  <c r="V174" i="1"/>
  <c r="W174" i="1" s="1"/>
  <c r="AP174" i="1"/>
  <c r="V51" i="1"/>
  <c r="W51" i="1" s="1"/>
  <c r="V390" i="1"/>
  <c r="W390" i="1" s="1"/>
  <c r="AP390" i="1"/>
  <c r="V294" i="1"/>
  <c r="W294" i="1" s="1"/>
  <c r="AP294" i="1"/>
  <c r="V255" i="1"/>
  <c r="W255" i="1" s="1"/>
  <c r="AP255" i="1"/>
  <c r="V193" i="1"/>
  <c r="W193" i="1" s="1"/>
  <c r="AP193" i="1"/>
  <c r="V136" i="1"/>
  <c r="W136" i="1" s="1"/>
  <c r="AP136" i="1"/>
  <c r="V120" i="1"/>
  <c r="W120" i="1" s="1"/>
  <c r="AP120" i="1"/>
  <c r="V77" i="1"/>
  <c r="W77" i="1" s="1"/>
  <c r="AP77" i="1"/>
  <c r="V12" i="1"/>
  <c r="W12" i="1" s="1"/>
  <c r="AP12" i="1"/>
  <c r="V391" i="1"/>
  <c r="W391" i="1" s="1"/>
  <c r="AP391" i="1"/>
  <c r="V344" i="1"/>
  <c r="W344" i="1" s="1"/>
  <c r="AP344" i="1"/>
  <c r="V287" i="1"/>
  <c r="W287" i="1" s="1"/>
  <c r="AP287" i="1"/>
  <c r="V216" i="1"/>
  <c r="W216" i="1" s="1"/>
  <c r="AP216" i="1"/>
  <c r="V156" i="1"/>
  <c r="W156" i="1" s="1"/>
  <c r="AP156" i="1"/>
  <c r="V135" i="1"/>
  <c r="W135" i="1" s="1"/>
  <c r="AP135" i="1"/>
  <c r="V121" i="1"/>
  <c r="W121" i="1" s="1"/>
  <c r="AP121" i="1"/>
  <c r="V97" i="1"/>
  <c r="W97" i="1" s="1"/>
  <c r="AP97" i="1"/>
  <c r="V35" i="1"/>
  <c r="W35" i="1" s="1"/>
  <c r="V283" i="1"/>
  <c r="W283" i="1" s="1"/>
  <c r="AP283" i="1"/>
  <c r="V405" i="1"/>
  <c r="W405" i="1" s="1"/>
  <c r="AP405" i="1"/>
  <c r="V152" i="1"/>
  <c r="W152" i="1" s="1"/>
  <c r="AP152" i="1"/>
  <c r="V229" i="1"/>
  <c r="W229" i="1" s="1"/>
  <c r="AP229" i="1"/>
  <c r="V235" i="1"/>
  <c r="W235" i="1" s="1"/>
  <c r="V423" i="1"/>
  <c r="W423" i="1" s="1"/>
  <c r="AP423" i="1"/>
  <c r="V369" i="1"/>
  <c r="W369" i="1" s="1"/>
  <c r="AP369" i="1"/>
  <c r="V231" i="1"/>
  <c r="W231" i="1" s="1"/>
  <c r="AP231" i="1"/>
  <c r="V112" i="1"/>
  <c r="W112" i="1" s="1"/>
  <c r="AP112" i="1"/>
  <c r="V22" i="1"/>
  <c r="W22" i="1" s="1"/>
  <c r="AP22" i="1"/>
  <c r="V324" i="1"/>
  <c r="W324" i="1" s="1"/>
  <c r="AP324" i="1"/>
  <c r="V230" i="1"/>
  <c r="W230" i="1" s="1"/>
  <c r="AP230" i="1"/>
  <c r="V172" i="1"/>
  <c r="W172" i="1" s="1"/>
  <c r="AP172" i="1"/>
  <c r="V49" i="1"/>
  <c r="W49" i="1" s="1"/>
  <c r="AP49" i="1"/>
  <c r="V408" i="1"/>
  <c r="W408" i="1" s="1"/>
  <c r="AP408" i="1"/>
  <c r="V388" i="1"/>
  <c r="W388" i="1" s="1"/>
  <c r="AP388" i="1"/>
  <c r="V292" i="1"/>
  <c r="W292" i="1" s="1"/>
  <c r="AP292" i="1"/>
  <c r="V217" i="1"/>
  <c r="W217" i="1" s="1"/>
  <c r="AP217" i="1"/>
  <c r="V191" i="1"/>
  <c r="W191" i="1" s="1"/>
  <c r="AP191" i="1"/>
  <c r="V134" i="1"/>
  <c r="W134" i="1" s="1"/>
  <c r="AP134" i="1"/>
  <c r="V102" i="1"/>
  <c r="W102" i="1" s="1"/>
  <c r="AP102" i="1"/>
  <c r="V36" i="1"/>
  <c r="W36" i="1" s="1"/>
  <c r="AP36" i="1"/>
  <c r="V9" i="1"/>
  <c r="W9" i="1" s="1"/>
  <c r="AP9" i="1"/>
  <c r="V389" i="1"/>
  <c r="W389" i="1" s="1"/>
  <c r="AP389" i="1"/>
  <c r="V295" i="1"/>
  <c r="W295" i="1" s="1"/>
  <c r="AP295" i="1"/>
  <c r="V256" i="1"/>
  <c r="W256" i="1" s="1"/>
  <c r="AP256" i="1"/>
  <c r="V214" i="1"/>
  <c r="W214" i="1" s="1"/>
  <c r="AP214" i="1"/>
  <c r="V154" i="1"/>
  <c r="W154" i="1" s="1"/>
  <c r="AP154" i="1"/>
  <c r="V133" i="1"/>
  <c r="W133" i="1" s="1"/>
  <c r="AP133" i="1"/>
  <c r="V119" i="1"/>
  <c r="W119" i="1" s="1"/>
  <c r="AP119" i="1"/>
  <c r="V78" i="1"/>
  <c r="W78" i="1" s="1"/>
  <c r="AP78" i="1"/>
  <c r="V33" i="1"/>
  <c r="W33" i="1" s="1"/>
  <c r="V151" i="1"/>
  <c r="W151" i="1" s="1"/>
  <c r="AP151" i="1"/>
  <c r="V387" i="1"/>
  <c r="W387" i="1" s="1"/>
  <c r="AP387" i="1"/>
  <c r="V370" i="1"/>
  <c r="W370" i="1" s="1"/>
  <c r="AP370" i="1"/>
  <c r="V400" i="1"/>
  <c r="W400" i="1" s="1"/>
  <c r="V323" i="1"/>
  <c r="W323" i="1" s="1"/>
  <c r="AP323" i="1"/>
  <c r="V206" i="1"/>
  <c r="W206" i="1" s="1"/>
  <c r="V110" i="1"/>
  <c r="W110" i="1" s="1"/>
  <c r="AP110" i="1"/>
  <c r="V413" i="1"/>
  <c r="W413" i="1" s="1"/>
  <c r="AP413" i="1"/>
  <c r="V322" i="1"/>
  <c r="W322" i="1" s="1"/>
  <c r="AP322" i="1"/>
  <c r="V207" i="1"/>
  <c r="W207" i="1" s="1"/>
  <c r="V146" i="1"/>
  <c r="W146" i="1" s="1"/>
  <c r="AP146" i="1"/>
  <c r="V23" i="1"/>
  <c r="W23" i="1" s="1"/>
  <c r="AP23" i="1"/>
  <c r="V406" i="1"/>
  <c r="W406" i="1" s="1"/>
  <c r="AP406" i="1"/>
  <c r="V349" i="1"/>
  <c r="W349" i="1" s="1"/>
  <c r="AP349" i="1"/>
  <c r="V288" i="1"/>
  <c r="W288" i="1" s="1"/>
  <c r="AP288" i="1"/>
  <c r="V215" i="1"/>
  <c r="W215" i="1" s="1"/>
  <c r="AP215" i="1"/>
  <c r="V155" i="1"/>
  <c r="W155" i="1" s="1"/>
  <c r="AP155" i="1"/>
  <c r="V132" i="1"/>
  <c r="W132" i="1" s="1"/>
  <c r="AP132" i="1"/>
  <c r="V98" i="1"/>
  <c r="W98" i="1" s="1"/>
  <c r="V34" i="1"/>
  <c r="W34" i="1" s="1"/>
  <c r="AP34" i="1"/>
  <c r="V407" i="1"/>
  <c r="W407" i="1" s="1"/>
  <c r="AP407" i="1"/>
  <c r="V350" i="1"/>
  <c r="W350" i="1" s="1"/>
  <c r="AP350" i="1"/>
  <c r="V293" i="1"/>
  <c r="W293" i="1" s="1"/>
  <c r="AP293" i="1"/>
  <c r="V254" i="1"/>
  <c r="W254" i="1" s="1"/>
  <c r="AP254" i="1"/>
  <c r="V194" i="1"/>
  <c r="W194" i="1" s="1"/>
  <c r="AP194" i="1"/>
  <c r="V150" i="1"/>
  <c r="W150" i="1" s="1"/>
  <c r="AP150" i="1"/>
  <c r="V131" i="1"/>
  <c r="W131" i="1" s="1"/>
  <c r="AP131" i="1"/>
  <c r="V103" i="1"/>
  <c r="W103" i="1" s="1"/>
  <c r="AP103" i="1"/>
  <c r="V76" i="1"/>
  <c r="W76" i="1" s="1"/>
  <c r="AP76" i="1"/>
  <c r="V11" i="1"/>
  <c r="W11" i="1" s="1"/>
  <c r="AP11" i="1"/>
  <c r="V290" i="1"/>
  <c r="W290" i="1" s="1"/>
  <c r="V345" i="1"/>
  <c r="W345" i="1" s="1"/>
  <c r="AP345" i="1"/>
  <c r="V95" i="1"/>
  <c r="W95" i="1" s="1"/>
  <c r="AP95" i="1"/>
  <c r="V289" i="1"/>
  <c r="W289" i="1" s="1"/>
  <c r="AP289" i="1"/>
  <c r="V325" i="1"/>
  <c r="W325" i="1" s="1"/>
  <c r="AP325" i="1"/>
  <c r="V368" i="1"/>
  <c r="W368" i="1" s="1"/>
  <c r="AP368" i="1"/>
  <c r="AY4" i="1"/>
  <c r="AA4" i="1"/>
  <c r="Q147" i="12"/>
  <c r="BN140" i="1"/>
  <c r="BO140" i="1" s="1"/>
  <c r="CK140" i="1" s="1"/>
  <c r="CI65" i="1"/>
  <c r="CR145" i="1"/>
  <c r="R147" i="12"/>
  <c r="CU145" i="1"/>
  <c r="U147" i="12"/>
  <c r="CS145" i="1"/>
  <c r="S147" i="12"/>
  <c r="CX145" i="1"/>
  <c r="X147" i="12"/>
  <c r="BX145" i="1"/>
  <c r="AVG145" i="1" s="1"/>
  <c r="CC7" i="15"/>
  <c r="AG7" i="15"/>
  <c r="P44" i="2"/>
  <c r="DX7" i="15"/>
  <c r="O33" i="15"/>
  <c r="CY145" i="1"/>
  <c r="Y147" i="12"/>
  <c r="CW145" i="1"/>
  <c r="W147" i="12"/>
  <c r="CV145" i="1"/>
  <c r="V147" i="12"/>
  <c r="DV18" i="15"/>
  <c r="DT18" i="15" s="1"/>
  <c r="CA18" i="15"/>
  <c r="BY18" i="15" s="1"/>
  <c r="AE18" i="15"/>
  <c r="AC18" i="15" s="1"/>
  <c r="BX123" i="1"/>
  <c r="AVG123" i="1" s="1"/>
  <c r="CC9" i="15"/>
  <c r="P45" i="2"/>
  <c r="DX9" i="15"/>
  <c r="AG9" i="15"/>
  <c r="O34" i="15"/>
  <c r="BN116" i="1"/>
  <c r="BO116" i="1" s="1"/>
  <c r="CK116" i="1" s="1"/>
  <c r="BN81" i="1"/>
  <c r="BO81" i="1" s="1"/>
  <c r="CK81" i="1" s="1"/>
  <c r="O19" i="15"/>
  <c r="P23" i="2"/>
  <c r="BK19" i="15"/>
  <c r="DF19" i="15"/>
  <c r="BN118" i="1"/>
  <c r="BO118" i="1" s="1"/>
  <c r="CK118" i="1" s="1"/>
  <c r="BN61" i="1"/>
  <c r="CJ61" i="1" s="1"/>
  <c r="BN169" i="1"/>
  <c r="BO169" i="1" s="1"/>
  <c r="CK169" i="1" s="1"/>
  <c r="BN204" i="1"/>
  <c r="BO204" i="1" s="1"/>
  <c r="CK204" i="1" s="1"/>
  <c r="BA6" i="15"/>
  <c r="DF10" i="15"/>
  <c r="BK10" i="15"/>
  <c r="BK7" i="15"/>
  <c r="DF7" i="15"/>
  <c r="BK11" i="15"/>
  <c r="DF11" i="15"/>
  <c r="DF14" i="15"/>
  <c r="BK14" i="15"/>
  <c r="DF15" i="15"/>
  <c r="BK15" i="15"/>
  <c r="BK12" i="15"/>
  <c r="DF12" i="15"/>
  <c r="BK9" i="15"/>
  <c r="DF9" i="15"/>
  <c r="DF8" i="15"/>
  <c r="BK8" i="15"/>
  <c r="BK13" i="15"/>
  <c r="DF13" i="15"/>
  <c r="DF18" i="15"/>
  <c r="BK18" i="15"/>
  <c r="DF17" i="15"/>
  <c r="BK17" i="15"/>
  <c r="DF6" i="15"/>
  <c r="BK6" i="15"/>
  <c r="BA16" i="15"/>
  <c r="BN175" i="1"/>
  <c r="CJ175" i="1" s="1"/>
  <c r="BA5" i="15"/>
  <c r="CA12" i="15"/>
  <c r="BY12" i="15" s="1"/>
  <c r="DV12" i="15"/>
  <c r="DT12" i="15" s="1"/>
  <c r="M20" i="15"/>
  <c r="K20" i="15" s="1"/>
  <c r="BI20" i="15"/>
  <c r="BG20" i="15" s="1"/>
  <c r="DD20" i="15"/>
  <c r="DB20" i="15" s="1"/>
  <c r="O15" i="15"/>
  <c r="O12" i="15"/>
  <c r="O9" i="15"/>
  <c r="O8" i="15"/>
  <c r="O17" i="15"/>
  <c r="O6" i="15"/>
  <c r="BA11" i="15"/>
  <c r="CI149" i="1"/>
  <c r="BA8" i="15"/>
  <c r="M35" i="15"/>
  <c r="K35" i="15" s="1"/>
  <c r="AE12" i="15"/>
  <c r="AC12" i="15" s="1"/>
  <c r="O14" i="15"/>
  <c r="O38" i="15"/>
  <c r="O48" i="15" s="1"/>
  <c r="AG38" i="15"/>
  <c r="BN89" i="1"/>
  <c r="BO89" i="1" s="1"/>
  <c r="CK89" i="1" s="1"/>
  <c r="BA13" i="15"/>
  <c r="O13" i="15"/>
  <c r="BA14" i="15"/>
  <c r="O10" i="15"/>
  <c r="O7" i="15"/>
  <c r="O11" i="15"/>
  <c r="O18" i="15"/>
  <c r="BA10" i="15"/>
  <c r="BA12" i="15"/>
  <c r="CI38" i="1"/>
  <c r="BN42" i="1"/>
  <c r="CJ42" i="1" s="1"/>
  <c r="AU69" i="1"/>
  <c r="BQ69" i="1" s="1"/>
  <c r="AUZ69" i="1" s="1"/>
  <c r="AU423" i="1"/>
  <c r="BQ423" i="1" s="1"/>
  <c r="AUZ423" i="1" s="1"/>
  <c r="AU118" i="1"/>
  <c r="BQ118" i="1" s="1"/>
  <c r="AU149" i="1"/>
  <c r="BQ149" i="1" s="1"/>
  <c r="AU184" i="1"/>
  <c r="BQ184" i="1" s="1"/>
  <c r="AU404" i="1"/>
  <c r="BQ404" i="1" s="1"/>
  <c r="AU68" i="1"/>
  <c r="BQ68" i="1" s="1"/>
  <c r="AU183" i="1"/>
  <c r="BQ183" i="1" s="1"/>
  <c r="AU280" i="1"/>
  <c r="BQ280" i="1" s="1"/>
  <c r="AU251" i="1"/>
  <c r="BQ251" i="1" s="1"/>
  <c r="AU339" i="1"/>
  <c r="BQ339" i="1" s="1"/>
  <c r="AU66" i="1"/>
  <c r="BQ66" i="1" s="1"/>
  <c r="AU180" i="1"/>
  <c r="BQ180" i="1" s="1"/>
  <c r="AU212" i="1"/>
  <c r="BQ212" i="1" s="1"/>
  <c r="AU250" i="1"/>
  <c r="BQ250" i="1" s="1"/>
  <c r="AU240" i="1"/>
  <c r="BQ240" i="1" s="1"/>
  <c r="AU25" i="1"/>
  <c r="BQ25" i="1" s="1"/>
  <c r="AU328" i="1"/>
  <c r="BQ328" i="1" s="1"/>
  <c r="AU332" i="1"/>
  <c r="BQ332" i="1" s="1"/>
  <c r="AU357" i="1"/>
  <c r="BQ357" i="1" s="1"/>
  <c r="AU358" i="1"/>
  <c r="BQ358" i="1" s="1"/>
  <c r="M135" i="12"/>
  <c r="AU16" i="1"/>
  <c r="BQ16" i="1" s="1"/>
  <c r="AU42" i="1"/>
  <c r="BQ42" i="1" s="1"/>
  <c r="AU85" i="1"/>
  <c r="BQ85" i="1" s="1"/>
  <c r="AU87" i="1"/>
  <c r="BQ87" i="1" s="1"/>
  <c r="AU108" i="1"/>
  <c r="BQ108" i="1" s="1"/>
  <c r="AU128" i="1"/>
  <c r="BQ128" i="1" s="1"/>
  <c r="AU138" i="1"/>
  <c r="BQ138" i="1" s="1"/>
  <c r="AU140" i="1"/>
  <c r="BQ140" i="1" s="1"/>
  <c r="AU142" i="1"/>
  <c r="BQ142" i="1" s="1"/>
  <c r="AU162" i="1"/>
  <c r="BQ162" i="1" s="1"/>
  <c r="AU171" i="1"/>
  <c r="BQ171" i="1" s="1"/>
  <c r="AU200" i="1"/>
  <c r="BQ200" i="1" s="1"/>
  <c r="AU204" i="1"/>
  <c r="BQ204" i="1" s="1"/>
  <c r="AU225" i="1"/>
  <c r="BQ225" i="1" s="1"/>
  <c r="AU261" i="1"/>
  <c r="BQ261" i="1" s="1"/>
  <c r="AU267" i="1"/>
  <c r="BQ267" i="1" s="1"/>
  <c r="AU302" i="1"/>
  <c r="BQ302" i="1" s="1"/>
  <c r="AU317" i="1"/>
  <c r="BQ317" i="1" s="1"/>
  <c r="AU359" i="1"/>
  <c r="BQ359" i="1" s="1"/>
  <c r="AU361" i="1"/>
  <c r="BQ361" i="1" s="1"/>
  <c r="AU363" i="1"/>
  <c r="BQ363" i="1" s="1"/>
  <c r="AU396" i="1"/>
  <c r="BQ396" i="1" s="1"/>
  <c r="AU410" i="1"/>
  <c r="BQ410" i="1" s="1"/>
  <c r="AU412" i="1"/>
  <c r="BQ412" i="1" s="1"/>
  <c r="AU43" i="1"/>
  <c r="BQ43" i="1" s="1"/>
  <c r="AU84" i="1"/>
  <c r="BQ84" i="1" s="1"/>
  <c r="AU88" i="1"/>
  <c r="BQ88" i="1" s="1"/>
  <c r="AU161" i="1"/>
  <c r="BQ161" i="1" s="1"/>
  <c r="AU226" i="1"/>
  <c r="BQ226" i="1" s="1"/>
  <c r="AU356" i="1"/>
  <c r="BQ356" i="1" s="1"/>
  <c r="AU364" i="1"/>
  <c r="BQ364" i="1" s="1"/>
  <c r="AU21" i="1"/>
  <c r="BQ21" i="1" s="1"/>
  <c r="AU45" i="1"/>
  <c r="BQ45" i="1" s="1"/>
  <c r="AU86" i="1"/>
  <c r="BQ86" i="1" s="1"/>
  <c r="AU105" i="1"/>
  <c r="BQ105" i="1" s="1"/>
  <c r="AU109" i="1"/>
  <c r="BQ109" i="1" s="1"/>
  <c r="AU141" i="1"/>
  <c r="BQ141" i="1" s="1"/>
  <c r="AU362" i="1"/>
  <c r="BQ362" i="1" s="1"/>
  <c r="AU409" i="1"/>
  <c r="BQ409" i="1" s="1"/>
  <c r="AU38" i="1"/>
  <c r="BQ38" i="1" s="1"/>
  <c r="AU104" i="1"/>
  <c r="BQ104" i="1" s="1"/>
  <c r="AU159" i="1"/>
  <c r="BQ159" i="1" s="1"/>
  <c r="AU197" i="1"/>
  <c r="BQ197" i="1" s="1"/>
  <c r="AU223" i="1"/>
  <c r="BQ223" i="1" s="1"/>
  <c r="AU257" i="1"/>
  <c r="BQ257" i="1" s="1"/>
  <c r="AU259" i="1"/>
  <c r="BQ259" i="1" s="1"/>
  <c r="AU263" i="1"/>
  <c r="BQ263" i="1" s="1"/>
  <c r="AU265" i="1"/>
  <c r="BQ265" i="1" s="1"/>
  <c r="AU296" i="1"/>
  <c r="BQ296" i="1" s="1"/>
  <c r="AU298" i="1"/>
  <c r="BQ298" i="1" s="1"/>
  <c r="AU394" i="1"/>
  <c r="BQ394" i="1" s="1"/>
  <c r="AU15" i="1"/>
  <c r="BQ15" i="1" s="1"/>
  <c r="AU39" i="1"/>
  <c r="BQ39" i="1" s="1"/>
  <c r="AU80" i="1"/>
  <c r="BQ80" i="1" s="1"/>
  <c r="AU196" i="1"/>
  <c r="BQ196" i="1" s="1"/>
  <c r="AU222" i="1"/>
  <c r="BQ222" i="1" s="1"/>
  <c r="AU260" i="1"/>
  <c r="BQ260" i="1" s="1"/>
  <c r="AU264" i="1"/>
  <c r="BQ264" i="1" s="1"/>
  <c r="AU299" i="1"/>
  <c r="BQ299" i="1" s="1"/>
  <c r="AU360" i="1"/>
  <c r="BQ360" i="1" s="1"/>
  <c r="AU82" i="1"/>
  <c r="BQ82" i="1" s="1"/>
  <c r="AU158" i="1"/>
  <c r="BQ158" i="1" s="1"/>
  <c r="AU163" i="1"/>
  <c r="BQ163" i="1" s="1"/>
  <c r="AU224" i="1"/>
  <c r="BQ224" i="1" s="1"/>
  <c r="AU262" i="1"/>
  <c r="BQ262" i="1" s="1"/>
  <c r="AU266" i="1"/>
  <c r="BQ266" i="1" s="1"/>
  <c r="AU297" i="1"/>
  <c r="BQ297" i="1" s="1"/>
  <c r="AU352" i="1"/>
  <c r="BQ352" i="1" s="1"/>
  <c r="AU71" i="1"/>
  <c r="BQ71" i="1" s="1"/>
  <c r="AU73" i="1"/>
  <c r="BQ73" i="1" s="1"/>
  <c r="AU422" i="1"/>
  <c r="BQ422" i="1" s="1"/>
  <c r="AUZ422" i="1" s="1"/>
  <c r="AU70" i="1"/>
  <c r="BQ70" i="1" s="1"/>
  <c r="AU74" i="1"/>
  <c r="BQ74" i="1" s="1"/>
  <c r="AU185" i="1"/>
  <c r="BQ185" i="1" s="1"/>
  <c r="AUZ185" i="1" s="1"/>
  <c r="AU72" i="1"/>
  <c r="BQ72" i="1" s="1"/>
  <c r="M132" i="12"/>
  <c r="CI200" i="1"/>
  <c r="CI158" i="1"/>
  <c r="CI187" i="1"/>
  <c r="CI179" i="1"/>
  <c r="CI376" i="1"/>
  <c r="CI21" i="1"/>
  <c r="CI115" i="1"/>
  <c r="CI125" i="1"/>
  <c r="CI80" i="1"/>
  <c r="CI197" i="1"/>
  <c r="CI362" i="1"/>
  <c r="CI276" i="1"/>
  <c r="CI20" i="1"/>
  <c r="CI202" i="1"/>
  <c r="CI412" i="1"/>
  <c r="CI316" i="1"/>
  <c r="CI117" i="1"/>
  <c r="CI29" i="1"/>
  <c r="CI315" i="1"/>
  <c r="CI378" i="1"/>
  <c r="CI268" i="1"/>
  <c r="CI166" i="1"/>
  <c r="CI43" i="1"/>
  <c r="CI363" i="1"/>
  <c r="CI267" i="1"/>
  <c r="CI297" i="1"/>
  <c r="CI327" i="1"/>
  <c r="CI334" i="1"/>
  <c r="CI143" i="1"/>
  <c r="CI359" i="1"/>
  <c r="CI130" i="1"/>
  <c r="CI340" i="1"/>
  <c r="CI241" i="1"/>
  <c r="CI94" i="1"/>
  <c r="CI162" i="1"/>
  <c r="CI249" i="1"/>
  <c r="CI318" i="1"/>
  <c r="CI201" i="1"/>
  <c r="CI84" i="1"/>
  <c r="CI355" i="1"/>
  <c r="CI238" i="1"/>
  <c r="CI415" i="1"/>
  <c r="CI90" i="1"/>
  <c r="CI339" i="1"/>
  <c r="CI342" i="1"/>
  <c r="CI210" i="1"/>
  <c r="CI39" i="1"/>
  <c r="CI251" i="1"/>
  <c r="CI399" i="1"/>
  <c r="CI171" i="1"/>
  <c r="CI414" i="1"/>
  <c r="CI328" i="1"/>
  <c r="CI176" i="1"/>
  <c r="CI25" i="1"/>
  <c r="CI236" i="1"/>
  <c r="CI226" i="1"/>
  <c r="CI68" i="1"/>
  <c r="CI341" i="1"/>
  <c r="CI181" i="1"/>
  <c r="CI219" i="1"/>
  <c r="CI358" i="1"/>
  <c r="CI66" i="1"/>
  <c r="CI240" i="1"/>
  <c r="CI296" i="1"/>
  <c r="CI336" i="1"/>
  <c r="CI163" i="1"/>
  <c r="CI183" i="1"/>
  <c r="CI242" i="1"/>
  <c r="CI168" i="1"/>
  <c r="CI338" i="1"/>
  <c r="CI351" i="1"/>
  <c r="CI106" i="1"/>
  <c r="CI85" i="1"/>
  <c r="CI252" i="1"/>
  <c r="CI409" i="1"/>
  <c r="CI199" i="1"/>
  <c r="CI261" i="1"/>
  <c r="CI107" i="1"/>
  <c r="CI225" i="1"/>
  <c r="I165" i="12"/>
  <c r="I138" i="12"/>
  <c r="CI188" i="1"/>
  <c r="CI404" i="1"/>
  <c r="CI87" i="1"/>
  <c r="CI280" i="1"/>
  <c r="CI203" i="1"/>
  <c r="CI109" i="1"/>
  <c r="CI13" i="1"/>
  <c r="CI273" i="1"/>
  <c r="CI356" i="1"/>
  <c r="CI248" i="1"/>
  <c r="CI139" i="1"/>
  <c r="CI337" i="1"/>
  <c r="CI247" i="1"/>
  <c r="CI258" i="1"/>
  <c r="CI82" i="1"/>
  <c r="CI269" i="1"/>
  <c r="CI299" i="1"/>
  <c r="CI88" i="1"/>
  <c r="CI317" i="1"/>
  <c r="CI379" i="1"/>
  <c r="CI332" i="1"/>
  <c r="CI74" i="1"/>
  <c r="CI357" i="1"/>
  <c r="CI227" i="1"/>
  <c r="CI282" i="1"/>
  <c r="CI178" i="1"/>
  <c r="CI64" i="1"/>
  <c r="CI313" i="1"/>
  <c r="CI209" i="1"/>
  <c r="CI277" i="1"/>
  <c r="CI314" i="1"/>
  <c r="CI170" i="1"/>
  <c r="CI335" i="1"/>
  <c r="CI213" i="1"/>
  <c r="CI184" i="1"/>
  <c r="CI223" i="1"/>
  <c r="CI410" i="1"/>
  <c r="CI266" i="1"/>
  <c r="CI141" i="1"/>
  <c r="CI365" i="1"/>
  <c r="CI360" i="1"/>
  <c r="CI196" i="1"/>
  <c r="CI27" i="1"/>
  <c r="CI302" i="1"/>
  <c r="CI114" i="1"/>
  <c r="CI89" i="1"/>
  <c r="CI250" i="1"/>
  <c r="CI331" i="1"/>
  <c r="CI303" i="1"/>
  <c r="CI72" i="1"/>
  <c r="CI298" i="1"/>
  <c r="CI374" i="1"/>
  <c r="CI15" i="1"/>
  <c r="CI262" i="1"/>
  <c r="CI265" i="1"/>
  <c r="CI239" i="1"/>
  <c r="CI259" i="1"/>
  <c r="CI305" i="1"/>
  <c r="CI395" i="1"/>
  <c r="CI333" i="1"/>
  <c r="CI14" i="1"/>
  <c r="CI147" i="1"/>
  <c r="CI70" i="1"/>
  <c r="CI361" i="1"/>
  <c r="CI396" i="1"/>
  <c r="CI93" i="1"/>
  <c r="CI403" i="1"/>
  <c r="CI270" i="1"/>
  <c r="CI180" i="1"/>
  <c r="CI86" i="1"/>
  <c r="CI375" i="1"/>
  <c r="CI257" i="1"/>
  <c r="CI330" i="1"/>
  <c r="CI222" i="1"/>
  <c r="CI92" i="1"/>
  <c r="CI329" i="1"/>
  <c r="CI221" i="1"/>
  <c r="CI224" i="1"/>
  <c r="CI41" i="1"/>
  <c r="CI244" i="1"/>
  <c r="CI243" i="1"/>
  <c r="CI271" i="1"/>
  <c r="CI397" i="1"/>
  <c r="CI190" i="1"/>
  <c r="CI45" i="1"/>
  <c r="CI300" i="1"/>
  <c r="CI364" i="1"/>
  <c r="CI260" i="1"/>
  <c r="CI148" i="1"/>
  <c r="CI275" i="1"/>
  <c r="CI138" i="1"/>
  <c r="CI352" i="1"/>
  <c r="CI212" i="1"/>
  <c r="CI17" i="1"/>
  <c r="CI253" i="1"/>
  <c r="CI264" i="1"/>
  <c r="CI127" i="1"/>
  <c r="CI377" i="1"/>
  <c r="CI164" i="1"/>
  <c r="CI126" i="1"/>
  <c r="CI211" i="1"/>
  <c r="CI128" i="1"/>
  <c r="CI402" i="1"/>
  <c r="CI411" i="1"/>
  <c r="CI245" i="1"/>
  <c r="CI105" i="1"/>
  <c r="CI304" i="1"/>
  <c r="CI326" i="1"/>
  <c r="CI161" i="1"/>
  <c r="CI394" i="1"/>
  <c r="CI263" i="1"/>
  <c r="CI91" i="1"/>
  <c r="BN91" i="1"/>
  <c r="CJ91" i="1" s="1"/>
  <c r="CI71" i="1"/>
  <c r="BN71" i="1"/>
  <c r="BO71" i="1" s="1"/>
  <c r="CK71" i="1" s="1"/>
  <c r="AT190" i="1"/>
  <c r="AT70" i="1"/>
  <c r="AT130" i="1"/>
  <c r="AT72" i="1"/>
  <c r="AT338" i="1"/>
  <c r="AT65" i="1"/>
  <c r="AT331" i="1"/>
  <c r="AT374" i="1"/>
  <c r="AT178" i="1"/>
  <c r="AT113" i="1"/>
  <c r="AT335" i="1"/>
  <c r="AT242" i="1"/>
  <c r="AT175" i="1"/>
  <c r="AT28" i="1"/>
  <c r="AT241" i="1"/>
  <c r="AT327" i="1"/>
  <c r="AT358" i="1"/>
  <c r="AT250" i="1"/>
  <c r="AT236" i="1"/>
  <c r="AT316" i="1"/>
  <c r="AT268" i="1"/>
  <c r="AT201" i="1"/>
  <c r="AT143" i="1"/>
  <c r="AT125" i="1"/>
  <c r="AT88" i="1"/>
  <c r="AT45" i="1"/>
  <c r="AT412" i="1"/>
  <c r="AT302" i="1"/>
  <c r="AT261" i="1"/>
  <c r="AT202" i="1"/>
  <c r="AT162" i="1"/>
  <c r="AT128" i="1"/>
  <c r="AT106" i="1"/>
  <c r="AT46" i="1"/>
  <c r="AT360" i="1"/>
  <c r="AT264" i="1"/>
  <c r="AT196" i="1"/>
  <c r="AT300" i="1"/>
  <c r="AT81" i="1"/>
  <c r="AT342" i="1"/>
  <c r="AT416" i="1"/>
  <c r="AT149" i="1"/>
  <c r="AT73" i="1"/>
  <c r="AT417" i="1"/>
  <c r="AT181" i="1"/>
  <c r="AT30" i="1"/>
  <c r="AT414" i="1"/>
  <c r="AT415" i="1"/>
  <c r="AT336" i="1"/>
  <c r="AT243" i="1"/>
  <c r="AT176" i="1"/>
  <c r="AT92" i="1"/>
  <c r="AT29" i="1"/>
  <c r="AT333" i="1"/>
  <c r="AT211" i="1"/>
  <c r="AT147" i="1"/>
  <c r="AT89" i="1"/>
  <c r="AT330" i="1"/>
  <c r="AT273" i="1"/>
  <c r="AT357" i="1"/>
  <c r="AT248" i="1"/>
  <c r="AT339" i="1"/>
  <c r="AT364" i="1"/>
  <c r="AT314" i="1"/>
  <c r="AT170" i="1"/>
  <c r="AT86" i="1"/>
  <c r="AT43" i="1"/>
  <c r="AT398" i="1"/>
  <c r="AT317" i="1"/>
  <c r="AT227" i="1"/>
  <c r="AT200" i="1"/>
  <c r="AT87" i="1"/>
  <c r="AT44" i="1"/>
  <c r="AT16" i="1"/>
  <c r="AT299" i="1"/>
  <c r="AT222" i="1"/>
  <c r="AT166" i="1"/>
  <c r="AT80" i="1"/>
  <c r="BL80" i="1" s="1"/>
  <c r="AT259" i="1"/>
  <c r="AT197" i="1"/>
  <c r="AT157" i="1"/>
  <c r="AT40" i="1"/>
  <c r="AT404" i="1"/>
  <c r="AT68" i="1"/>
  <c r="AT253" i="1"/>
  <c r="AT129" i="1"/>
  <c r="AT188" i="1"/>
  <c r="AT71" i="1"/>
  <c r="AT378" i="1"/>
  <c r="AT277" i="1"/>
  <c r="AT179" i="1"/>
  <c r="AT377" i="1"/>
  <c r="AT334" i="1"/>
  <c r="AT239" i="1"/>
  <c r="AT27" i="1"/>
  <c r="AT275" i="1"/>
  <c r="AT209" i="1"/>
  <c r="AT116" i="1"/>
  <c r="AT63" i="1"/>
  <c r="AT219" i="1"/>
  <c r="AT251" i="1"/>
  <c r="BL251" i="1" s="1"/>
  <c r="AT361" i="1"/>
  <c r="BL361" i="1" s="1"/>
  <c r="AT399" i="1"/>
  <c r="BL399" i="1" s="1"/>
  <c r="AT362" i="1"/>
  <c r="BL362" i="1" s="1"/>
  <c r="AT303" i="1"/>
  <c r="BL303" i="1" s="1"/>
  <c r="AT139" i="1"/>
  <c r="BL139" i="1" s="1"/>
  <c r="AT107" i="1"/>
  <c r="BL107" i="1" s="1"/>
  <c r="AT84" i="1"/>
  <c r="BL84" i="1" s="1"/>
  <c r="AT21" i="1"/>
  <c r="BL21" i="1" s="1"/>
  <c r="AT396" i="1"/>
  <c r="BL396" i="1" s="1"/>
  <c r="AT315" i="1"/>
  <c r="BL315" i="1" s="1"/>
  <c r="AT269" i="1"/>
  <c r="BL269" i="1" s="1"/>
  <c r="AT225" i="1"/>
  <c r="AT171" i="1"/>
  <c r="BL171" i="1" s="1"/>
  <c r="AT140" i="1"/>
  <c r="BL140" i="1" s="1"/>
  <c r="AT124" i="1"/>
  <c r="BL124" i="1" s="1"/>
  <c r="AT85" i="1"/>
  <c r="BL85" i="1" s="1"/>
  <c r="AT318" i="1"/>
  <c r="BL318" i="1" s="1"/>
  <c r="AT297" i="1"/>
  <c r="BL297" i="1" s="1"/>
  <c r="AT260" i="1"/>
  <c r="BL260" i="1" s="1"/>
  <c r="AT13" i="1"/>
  <c r="BL13" i="1" s="1"/>
  <c r="AT296" i="1"/>
  <c r="BL296" i="1" s="1"/>
  <c r="AT257" i="1"/>
  <c r="BL257" i="1" s="1"/>
  <c r="AT167" i="1"/>
  <c r="BL167" i="1" s="1"/>
  <c r="AT104" i="1"/>
  <c r="BL104" i="1" s="1"/>
  <c r="AT38" i="1"/>
  <c r="AT341" i="1"/>
  <c r="BL341" i="1" s="1"/>
  <c r="AT252" i="1"/>
  <c r="BL252" i="1" s="1"/>
  <c r="AT31" i="1"/>
  <c r="AT282" i="1"/>
  <c r="AT187" i="1"/>
  <c r="AT249" i="1"/>
  <c r="AT93" i="1"/>
  <c r="AT375" i="1"/>
  <c r="AT276" i="1"/>
  <c r="BL276" i="1" s="1"/>
  <c r="AT115" i="1"/>
  <c r="AT64" i="1"/>
  <c r="AT402" i="1"/>
  <c r="AT244" i="1"/>
  <c r="AT114" i="1"/>
  <c r="AT61" i="1"/>
  <c r="AT379" i="1"/>
  <c r="AT240" i="1"/>
  <c r="BL240" i="1" s="1"/>
  <c r="AT359" i="1"/>
  <c r="BL359" i="1" s="1"/>
  <c r="AT356" i="1"/>
  <c r="AT203" i="1"/>
  <c r="BL203" i="1" s="1"/>
  <c r="AT161" i="1"/>
  <c r="BL161" i="1" s="1"/>
  <c r="AT127" i="1"/>
  <c r="BL127" i="1" s="1"/>
  <c r="AT105" i="1"/>
  <c r="BL105" i="1" s="1"/>
  <c r="AT47" i="1"/>
  <c r="AT19" i="1"/>
  <c r="AT365" i="1"/>
  <c r="AT267" i="1"/>
  <c r="BL267" i="1" s="1"/>
  <c r="AT138" i="1"/>
  <c r="BL138" i="1" s="1"/>
  <c r="AT108" i="1"/>
  <c r="BL108" i="1" s="1"/>
  <c r="AT48" i="1"/>
  <c r="BL48" i="1" s="1"/>
  <c r="AT20" i="1"/>
  <c r="BL20" i="1" s="1"/>
  <c r="AT351" i="1"/>
  <c r="BL351" i="1" s="1"/>
  <c r="AT266" i="1"/>
  <c r="BL266" i="1" s="1"/>
  <c r="AT158" i="1"/>
  <c r="BL158" i="1" s="1"/>
  <c r="AT39" i="1"/>
  <c r="BL39" i="1" s="1"/>
  <c r="AT304" i="1"/>
  <c r="AT265" i="1"/>
  <c r="BL265" i="1" s="1"/>
  <c r="AT223" i="1"/>
  <c r="BL223" i="1" s="1"/>
  <c r="AT14" i="1"/>
  <c r="AT183" i="1"/>
  <c r="AT418" i="1"/>
  <c r="AT184" i="1"/>
  <c r="O165" i="12"/>
  <c r="CY423" i="1"/>
  <c r="Y192" i="12"/>
  <c r="Y195" i="12"/>
  <c r="Y198" i="12"/>
  <c r="CW423" i="1"/>
  <c r="W192" i="12"/>
  <c r="W195" i="12"/>
  <c r="W198" i="12"/>
  <c r="CU423" i="1"/>
  <c r="U192" i="12"/>
  <c r="U195" i="12"/>
  <c r="U198" i="12"/>
  <c r="CS423" i="1"/>
  <c r="S192" i="12"/>
  <c r="S195" i="12"/>
  <c r="S198" i="12"/>
  <c r="CQ423" i="1"/>
  <c r="Q192" i="12"/>
  <c r="Q195" i="12"/>
  <c r="Q198" i="12"/>
  <c r="AQ69" i="1"/>
  <c r="O222" i="12"/>
  <c r="AT421" i="1"/>
  <c r="BL421" i="1" s="1"/>
  <c r="BH373" i="1"/>
  <c r="BH369" i="1"/>
  <c r="BH321" i="1"/>
  <c r="BH231" i="1"/>
  <c r="BH173" i="1"/>
  <c r="BH112" i="1"/>
  <c r="BH50" i="1"/>
  <c r="BH22" i="1"/>
  <c r="BH401" i="1"/>
  <c r="BH324" i="1"/>
  <c r="BH272" i="1"/>
  <c r="BH230" i="1"/>
  <c r="BH205" i="1"/>
  <c r="BH172" i="1"/>
  <c r="BH111" i="1"/>
  <c r="BH49" i="1"/>
  <c r="AX400" i="1"/>
  <c r="BT400" i="1" s="1"/>
  <c r="AX371" i="1"/>
  <c r="BT371" i="1" s="1"/>
  <c r="AX323" i="1"/>
  <c r="BT323" i="1" s="1"/>
  <c r="AW323" i="1"/>
  <c r="BS323" i="1" s="1"/>
  <c r="CO323" i="1" s="1"/>
  <c r="AX234" i="1"/>
  <c r="BT234" i="1" s="1"/>
  <c r="AW234" i="1"/>
  <c r="BS234" i="1" s="1"/>
  <c r="CO234" i="1" s="1"/>
  <c r="AX206" i="1"/>
  <c r="BT206" i="1" s="1"/>
  <c r="AX145" i="1"/>
  <c r="BT145" i="1" s="1"/>
  <c r="AVC145" i="1" s="1"/>
  <c r="AW145" i="1"/>
  <c r="BS145" i="1" s="1"/>
  <c r="AX110" i="1"/>
  <c r="BT110" i="1" s="1"/>
  <c r="AW110" i="1"/>
  <c r="BS110" i="1" s="1"/>
  <c r="CO110" i="1" s="1"/>
  <c r="AX24" i="1"/>
  <c r="BT24" i="1" s="1"/>
  <c r="AW24" i="1"/>
  <c r="BS24" i="1" s="1"/>
  <c r="AX413" i="1"/>
  <c r="BT413" i="1" s="1"/>
  <c r="AW413" i="1"/>
  <c r="BS413" i="1" s="1"/>
  <c r="CO413" i="1" s="1"/>
  <c r="AX372" i="1"/>
  <c r="BT372" i="1" s="1"/>
  <c r="AW372" i="1"/>
  <c r="BS372" i="1" s="1"/>
  <c r="CO372" i="1" s="1"/>
  <c r="AX322" i="1"/>
  <c r="BT322" i="1" s="1"/>
  <c r="AW322" i="1"/>
  <c r="BS322" i="1" s="1"/>
  <c r="CO322" i="1" s="1"/>
  <c r="AX232" i="1"/>
  <c r="BT232" i="1" s="1"/>
  <c r="AW232" i="1"/>
  <c r="BS232" i="1" s="1"/>
  <c r="CO232" i="1" s="1"/>
  <c r="AX207" i="1"/>
  <c r="BT207" i="1" s="1"/>
  <c r="AX174" i="1"/>
  <c r="BT174" i="1" s="1"/>
  <c r="AW174" i="1"/>
  <c r="BS174" i="1" s="1"/>
  <c r="CO174" i="1" s="1"/>
  <c r="AX146" i="1"/>
  <c r="BT146" i="1" s="1"/>
  <c r="AW146" i="1"/>
  <c r="BS146" i="1" s="1"/>
  <c r="CO146" i="1" s="1"/>
  <c r="AX51" i="1"/>
  <c r="BT51" i="1" s="1"/>
  <c r="AX23" i="1"/>
  <c r="BT23" i="1" s="1"/>
  <c r="AW23" i="1"/>
  <c r="BS23" i="1" s="1"/>
  <c r="CO23" i="1" s="1"/>
  <c r="BH319" i="1"/>
  <c r="BH370" i="1"/>
  <c r="BH320" i="1"/>
  <c r="AX325" i="1"/>
  <c r="BT325" i="1" s="1"/>
  <c r="AW325" i="1"/>
  <c r="BS325" i="1" s="1"/>
  <c r="CO325" i="1" s="1"/>
  <c r="AX229" i="1"/>
  <c r="BT229" i="1" s="1"/>
  <c r="AW229" i="1"/>
  <c r="BS229" i="1" s="1"/>
  <c r="CO229" i="1" s="1"/>
  <c r="AX368" i="1"/>
  <c r="BT368" i="1" s="1"/>
  <c r="AW368" i="1"/>
  <c r="BS368" i="1" s="1"/>
  <c r="CO368" i="1" s="1"/>
  <c r="AX235" i="1"/>
  <c r="BT235" i="1" s="1"/>
  <c r="BH408" i="1"/>
  <c r="BH392" i="1"/>
  <c r="BH388" i="1"/>
  <c r="BH347" i="1"/>
  <c r="BH292" i="1"/>
  <c r="BH285" i="1"/>
  <c r="BH217" i="1"/>
  <c r="BH195" i="1"/>
  <c r="BH191" i="1"/>
  <c r="BH153" i="1"/>
  <c r="BH134" i="1"/>
  <c r="BH122" i="1"/>
  <c r="BH102" i="1"/>
  <c r="BH79" i="1"/>
  <c r="BH36" i="1"/>
  <c r="BH32" i="1"/>
  <c r="BH9" i="1"/>
  <c r="BH407" i="1"/>
  <c r="BH391" i="1"/>
  <c r="BH350" i="1"/>
  <c r="BH344" i="1"/>
  <c r="BH293" i="1"/>
  <c r="BH287" i="1"/>
  <c r="BH254" i="1"/>
  <c r="BH216" i="1"/>
  <c r="BH194" i="1"/>
  <c r="BH156" i="1"/>
  <c r="BH150" i="1"/>
  <c r="BH135" i="1"/>
  <c r="BH131" i="1"/>
  <c r="BH121" i="1"/>
  <c r="BH103" i="1"/>
  <c r="BH97" i="1"/>
  <c r="BH76" i="1"/>
  <c r="BH35" i="1"/>
  <c r="BH11" i="1"/>
  <c r="X93" i="12"/>
  <c r="CX254" i="1"/>
  <c r="X66" i="12"/>
  <c r="CX150" i="1"/>
  <c r="CX131" i="1"/>
  <c r="X30" i="12"/>
  <c r="X96" i="12"/>
  <c r="X105" i="12"/>
  <c r="X60" i="12"/>
  <c r="X51" i="12"/>
  <c r="X69" i="12"/>
  <c r="X99" i="12"/>
  <c r="X108" i="12"/>
  <c r="X36" i="12"/>
  <c r="X63" i="12"/>
  <c r="X42" i="12"/>
  <c r="X54" i="12"/>
  <c r="X72" i="12"/>
  <c r="CV254" i="1"/>
  <c r="V66" i="12"/>
  <c r="CV150" i="1"/>
  <c r="CV131" i="1"/>
  <c r="V30" i="12"/>
  <c r="V93" i="12"/>
  <c r="V96" i="12"/>
  <c r="V33" i="12"/>
  <c r="V42" i="12"/>
  <c r="V54" i="12"/>
  <c r="V72" i="12"/>
  <c r="P19" i="2"/>
  <c r="BX254" i="1"/>
  <c r="AVG254" i="1" s="1"/>
  <c r="P16" i="2"/>
  <c r="P13" i="2"/>
  <c r="BX150" i="1"/>
  <c r="AVG150" i="1" s="1"/>
  <c r="P12" i="2"/>
  <c r="BX131" i="1"/>
  <c r="R93" i="12"/>
  <c r="CR214" i="1"/>
  <c r="R48" i="12"/>
  <c r="CR119" i="1"/>
  <c r="R21" i="12"/>
  <c r="R96" i="12"/>
  <c r="R105" i="12"/>
  <c r="R60" i="12"/>
  <c r="R51" i="12"/>
  <c r="R69" i="12"/>
  <c r="R99" i="12"/>
  <c r="R36" i="12"/>
  <c r="R42" i="12"/>
  <c r="R54" i="12"/>
  <c r="R72" i="12"/>
  <c r="AX408" i="1"/>
  <c r="BT408" i="1" s="1"/>
  <c r="AW408" i="1"/>
  <c r="BS408" i="1" s="1"/>
  <c r="CO408" i="1" s="1"/>
  <c r="AX392" i="1"/>
  <c r="BT392" i="1" s="1"/>
  <c r="AW392" i="1"/>
  <c r="BS392" i="1" s="1"/>
  <c r="CO392" i="1" s="1"/>
  <c r="AX388" i="1"/>
  <c r="BT388" i="1" s="1"/>
  <c r="AW388" i="1"/>
  <c r="BS388" i="1" s="1"/>
  <c r="CO388" i="1" s="1"/>
  <c r="AX347" i="1"/>
  <c r="BT347" i="1" s="1"/>
  <c r="AW347" i="1"/>
  <c r="BS347" i="1" s="1"/>
  <c r="CO347" i="1" s="1"/>
  <c r="AX292" i="1"/>
  <c r="BT292" i="1" s="1"/>
  <c r="AW292" i="1"/>
  <c r="BS292" i="1" s="1"/>
  <c r="CO292" i="1" s="1"/>
  <c r="AX285" i="1"/>
  <c r="BT285" i="1" s="1"/>
  <c r="AW285" i="1"/>
  <c r="BS285" i="1" s="1"/>
  <c r="CO285" i="1" s="1"/>
  <c r="AX217" i="1"/>
  <c r="BT217" i="1" s="1"/>
  <c r="AW217" i="1"/>
  <c r="BS217" i="1" s="1"/>
  <c r="CO217" i="1" s="1"/>
  <c r="AX195" i="1"/>
  <c r="BT195" i="1" s="1"/>
  <c r="AW195" i="1"/>
  <c r="BS195" i="1" s="1"/>
  <c r="CO195" i="1" s="1"/>
  <c r="AX191" i="1"/>
  <c r="BT191" i="1" s="1"/>
  <c r="AVC191" i="1" s="1"/>
  <c r="AVB191" i="1" s="1"/>
  <c r="AW191" i="1"/>
  <c r="BS191" i="1" s="1"/>
  <c r="AX153" i="1"/>
  <c r="BT153" i="1" s="1"/>
  <c r="AW153" i="1"/>
  <c r="BS153" i="1" s="1"/>
  <c r="CO153" i="1" s="1"/>
  <c r="AX134" i="1"/>
  <c r="BT134" i="1" s="1"/>
  <c r="AW134" i="1"/>
  <c r="BS134" i="1" s="1"/>
  <c r="CO134" i="1" s="1"/>
  <c r="AX122" i="1"/>
  <c r="BT122" i="1" s="1"/>
  <c r="AW122" i="1"/>
  <c r="BS122" i="1" s="1"/>
  <c r="CO122" i="1" s="1"/>
  <c r="AX102" i="1"/>
  <c r="BT102" i="1" s="1"/>
  <c r="AW102" i="1"/>
  <c r="BS102" i="1" s="1"/>
  <c r="CO102" i="1" s="1"/>
  <c r="AX79" i="1"/>
  <c r="BT79" i="1" s="1"/>
  <c r="AW79" i="1"/>
  <c r="BS79" i="1" s="1"/>
  <c r="CO79" i="1" s="1"/>
  <c r="AX36" i="1"/>
  <c r="BT36" i="1" s="1"/>
  <c r="AW36" i="1"/>
  <c r="BS36" i="1" s="1"/>
  <c r="CO36" i="1" s="1"/>
  <c r="AX32" i="1"/>
  <c r="BT32" i="1" s="1"/>
  <c r="AVC32" i="1" s="1"/>
  <c r="AVB32" i="1" s="1"/>
  <c r="AX9" i="1"/>
  <c r="BT9" i="1" s="1"/>
  <c r="AW9" i="1"/>
  <c r="BS9" i="1" s="1"/>
  <c r="CO9" i="1" s="1"/>
  <c r="AX407" i="1"/>
  <c r="BT407" i="1" s="1"/>
  <c r="AW407" i="1"/>
  <c r="BS407" i="1" s="1"/>
  <c r="CO407" i="1" s="1"/>
  <c r="AX391" i="1"/>
  <c r="BT391" i="1" s="1"/>
  <c r="AW391" i="1"/>
  <c r="BS391" i="1" s="1"/>
  <c r="CO391" i="1" s="1"/>
  <c r="AX350" i="1"/>
  <c r="BT350" i="1" s="1"/>
  <c r="AW350" i="1"/>
  <c r="BS350" i="1" s="1"/>
  <c r="CO350" i="1" s="1"/>
  <c r="AX344" i="1"/>
  <c r="BT344" i="1" s="1"/>
  <c r="AW344" i="1"/>
  <c r="BS344" i="1" s="1"/>
  <c r="CO344" i="1" s="1"/>
  <c r="AX293" i="1"/>
  <c r="BT293" i="1" s="1"/>
  <c r="AW293" i="1"/>
  <c r="BS293" i="1" s="1"/>
  <c r="CO293" i="1" s="1"/>
  <c r="AX287" i="1"/>
  <c r="BT287" i="1" s="1"/>
  <c r="AW287" i="1"/>
  <c r="BS287" i="1" s="1"/>
  <c r="CO287" i="1" s="1"/>
  <c r="AX254" i="1"/>
  <c r="BT254" i="1" s="1"/>
  <c r="AVC254" i="1" s="1"/>
  <c r="AVB254" i="1" s="1"/>
  <c r="AW254" i="1"/>
  <c r="BS254" i="1" s="1"/>
  <c r="AX216" i="1"/>
  <c r="BT216" i="1" s="1"/>
  <c r="AW216" i="1"/>
  <c r="BS216" i="1" s="1"/>
  <c r="CO216" i="1" s="1"/>
  <c r="AX194" i="1"/>
  <c r="BT194" i="1" s="1"/>
  <c r="AW194" i="1"/>
  <c r="BS194" i="1" s="1"/>
  <c r="CO194" i="1" s="1"/>
  <c r="AX156" i="1"/>
  <c r="BT156" i="1" s="1"/>
  <c r="AW156" i="1"/>
  <c r="BS156" i="1" s="1"/>
  <c r="CO156" i="1" s="1"/>
  <c r="AX150" i="1"/>
  <c r="BT150" i="1" s="1"/>
  <c r="AVC150" i="1" s="1"/>
  <c r="AVB150" i="1" s="1"/>
  <c r="AW150" i="1"/>
  <c r="BS150" i="1" s="1"/>
  <c r="AX135" i="1"/>
  <c r="BT135" i="1" s="1"/>
  <c r="AW135" i="1"/>
  <c r="BS135" i="1" s="1"/>
  <c r="CO135" i="1" s="1"/>
  <c r="AX131" i="1"/>
  <c r="BT131" i="1" s="1"/>
  <c r="AW131" i="1"/>
  <c r="BS131" i="1" s="1"/>
  <c r="AX121" i="1"/>
  <c r="BT121" i="1" s="1"/>
  <c r="AW121" i="1"/>
  <c r="BS121" i="1" s="1"/>
  <c r="CO121" i="1" s="1"/>
  <c r="AX103" i="1"/>
  <c r="BT103" i="1" s="1"/>
  <c r="AW103" i="1"/>
  <c r="BS103" i="1" s="1"/>
  <c r="CO103" i="1" s="1"/>
  <c r="AX97" i="1"/>
  <c r="BT97" i="1" s="1"/>
  <c r="AW97" i="1"/>
  <c r="BS97" i="1" s="1"/>
  <c r="CO97" i="1" s="1"/>
  <c r="AX76" i="1"/>
  <c r="BT76" i="1" s="1"/>
  <c r="CP76" i="1" s="1"/>
  <c r="AW76" i="1"/>
  <c r="BS76" i="1" s="1"/>
  <c r="AX35" i="1"/>
  <c r="BT35" i="1" s="1"/>
  <c r="AX11" i="1"/>
  <c r="BT11" i="1" s="1"/>
  <c r="AW11" i="1"/>
  <c r="BS11" i="1" s="1"/>
  <c r="CO11" i="1" s="1"/>
  <c r="AT9" i="1"/>
  <c r="BP9" i="1" s="1"/>
  <c r="AT34" i="1"/>
  <c r="BP34" i="1" s="1"/>
  <c r="AT102" i="1"/>
  <c r="BP102" i="1" s="1"/>
  <c r="AT134" i="1"/>
  <c r="BP134" i="1" s="1"/>
  <c r="AT195" i="1"/>
  <c r="BP195" i="1" s="1"/>
  <c r="AT255" i="1"/>
  <c r="BP255" i="1" s="1"/>
  <c r="AT33" i="1"/>
  <c r="BP33" i="1" s="1"/>
  <c r="AT37" i="1"/>
  <c r="BP37" i="1" s="1"/>
  <c r="AT78" i="1"/>
  <c r="BP78" i="1" s="1"/>
  <c r="AT121" i="1"/>
  <c r="BP121" i="1" s="1"/>
  <c r="AT137" i="1"/>
  <c r="BP137" i="1" s="1"/>
  <c r="AT150" i="1"/>
  <c r="BP150" i="1" s="1"/>
  <c r="AUY150" i="1" s="1"/>
  <c r="AT194" i="1"/>
  <c r="BP194" i="1" s="1"/>
  <c r="AT254" i="1"/>
  <c r="BP254" i="1" s="1"/>
  <c r="AUY254" i="1" s="1"/>
  <c r="AT344" i="1"/>
  <c r="BP344" i="1" s="1"/>
  <c r="AT348" i="1"/>
  <c r="BP348" i="1" s="1"/>
  <c r="AT389" i="1"/>
  <c r="BP389" i="1" s="1"/>
  <c r="AT393" i="1"/>
  <c r="BP393" i="1" s="1"/>
  <c r="AT407" i="1"/>
  <c r="BP407" i="1" s="1"/>
  <c r="X4" i="1"/>
  <c r="X456" i="1" s="1"/>
  <c r="X458" i="1" s="1"/>
  <c r="X459" i="1" s="1"/>
  <c r="BH346" i="1"/>
  <c r="AX346" i="1"/>
  <c r="BT346" i="1" s="1"/>
  <c r="AW346" i="1"/>
  <c r="BS346" i="1" s="1"/>
  <c r="CO346" i="1" s="1"/>
  <c r="BH343" i="1"/>
  <c r="BH151" i="1"/>
  <c r="BH75" i="1"/>
  <c r="BH387" i="1"/>
  <c r="BH284" i="1"/>
  <c r="CX405" i="1"/>
  <c r="X120" i="12"/>
  <c r="CX343" i="1"/>
  <c r="X84" i="12"/>
  <c r="CX75" i="1"/>
  <c r="X114" i="12"/>
  <c r="X78" i="12"/>
  <c r="X87" i="12"/>
  <c r="X18" i="12"/>
  <c r="X126" i="12"/>
  <c r="CV343" i="1"/>
  <c r="V84" i="12"/>
  <c r="CV387" i="1"/>
  <c r="V111" i="12"/>
  <c r="CV283" i="1"/>
  <c r="V75" i="12"/>
  <c r="CV95" i="1"/>
  <c r="V12" i="12"/>
  <c r="V15" i="12"/>
  <c r="V114" i="12"/>
  <c r="V9" i="12"/>
  <c r="V81" i="12"/>
  <c r="V117" i="12"/>
  <c r="P22" i="2"/>
  <c r="BX405" i="1"/>
  <c r="AVG405" i="1" s="1"/>
  <c r="BX343" i="1"/>
  <c r="P18" i="2"/>
  <c r="BX75" i="1"/>
  <c r="AVG75" i="1" s="1"/>
  <c r="P9" i="2"/>
  <c r="CR387" i="1"/>
  <c r="R111" i="12"/>
  <c r="CR283" i="1"/>
  <c r="R75" i="12"/>
  <c r="CR95" i="1"/>
  <c r="R12" i="12"/>
  <c r="R15" i="12"/>
  <c r="R114" i="12"/>
  <c r="R9" i="12"/>
  <c r="R81" i="12"/>
  <c r="AX345" i="1"/>
  <c r="BT345" i="1" s="1"/>
  <c r="AW345" i="1"/>
  <c r="BS345" i="1" s="1"/>
  <c r="CO345" i="1" s="1"/>
  <c r="AX283" i="1"/>
  <c r="BT283" i="1" s="1"/>
  <c r="AVC283" i="1" s="1"/>
  <c r="AVB283" i="1" s="1"/>
  <c r="AW283" i="1"/>
  <c r="BS283" i="1" s="1"/>
  <c r="AX95" i="1"/>
  <c r="BT95" i="1" s="1"/>
  <c r="AVC95" i="1" s="1"/>
  <c r="AVB95" i="1" s="1"/>
  <c r="AW95" i="1"/>
  <c r="BS95" i="1" s="1"/>
  <c r="AX405" i="1"/>
  <c r="BT405" i="1" s="1"/>
  <c r="AVC405" i="1" s="1"/>
  <c r="AVB405" i="1" s="1"/>
  <c r="AW405" i="1"/>
  <c r="BS405" i="1" s="1"/>
  <c r="AX289" i="1"/>
  <c r="BT289" i="1" s="1"/>
  <c r="AW289" i="1"/>
  <c r="BS289" i="1" s="1"/>
  <c r="CO289" i="1" s="1"/>
  <c r="AX152" i="1"/>
  <c r="BT152" i="1" s="1"/>
  <c r="AW152" i="1"/>
  <c r="BS152" i="1" s="1"/>
  <c r="CO152" i="1" s="1"/>
  <c r="AT247" i="1"/>
  <c r="BL247" i="1" s="1"/>
  <c r="AT376" i="1"/>
  <c r="BL376" i="1" s="1"/>
  <c r="AT210" i="1"/>
  <c r="BL210" i="1" s="1"/>
  <c r="AT177" i="1"/>
  <c r="BL177" i="1" s="1"/>
  <c r="AT26" i="1"/>
  <c r="BL26" i="1" s="1"/>
  <c r="AT326" i="1"/>
  <c r="BL326" i="1" s="1"/>
  <c r="AT337" i="1"/>
  <c r="BL337" i="1" s="1"/>
  <c r="AT238" i="1"/>
  <c r="BL238" i="1" s="1"/>
  <c r="BH423" i="1"/>
  <c r="CV423" i="1"/>
  <c r="V192" i="12"/>
  <c r="V195" i="12"/>
  <c r="V198" i="12"/>
  <c r="P49" i="2"/>
  <c r="P59" i="2" s="1"/>
  <c r="BX423" i="1"/>
  <c r="AVG423" i="1" s="1"/>
  <c r="AX423" i="1"/>
  <c r="BT423" i="1" s="1"/>
  <c r="AW423" i="1"/>
  <c r="BS423" i="1" s="1"/>
  <c r="O129" i="12" s="1"/>
  <c r="AQ373" i="1"/>
  <c r="AQ369" i="1"/>
  <c r="AQ321" i="1"/>
  <c r="AQ231" i="1"/>
  <c r="AQ173" i="1"/>
  <c r="AQ112" i="1"/>
  <c r="AQ50" i="1"/>
  <c r="AQ22" i="1"/>
  <c r="AQ401" i="1"/>
  <c r="AQ324" i="1"/>
  <c r="AQ272" i="1"/>
  <c r="AQ230" i="1"/>
  <c r="AQ205" i="1"/>
  <c r="AQ172" i="1"/>
  <c r="AQ111" i="1"/>
  <c r="AQ49" i="1"/>
  <c r="Y93" i="12"/>
  <c r="CY254" i="1"/>
  <c r="Y66" i="12"/>
  <c r="CY150" i="1"/>
  <c r="CY131" i="1"/>
  <c r="Y30" i="12"/>
  <c r="Y96" i="12"/>
  <c r="Y42" i="12"/>
  <c r="Y54" i="12"/>
  <c r="Y72" i="12"/>
  <c r="Y60" i="12"/>
  <c r="Y51" i="12"/>
  <c r="Y69" i="12"/>
  <c r="Y99" i="12"/>
  <c r="Y108" i="12"/>
  <c r="Y36" i="12"/>
  <c r="Y63" i="12"/>
  <c r="U93" i="12"/>
  <c r="CU254" i="1"/>
  <c r="U66" i="12"/>
  <c r="CU150" i="1"/>
  <c r="CU131" i="1"/>
  <c r="U30" i="12"/>
  <c r="U33" i="12"/>
  <c r="U24" i="12"/>
  <c r="U27" i="12"/>
  <c r="U45" i="12"/>
  <c r="U105" i="12"/>
  <c r="U60" i="12"/>
  <c r="U51" i="12"/>
  <c r="U69" i="12"/>
  <c r="U99" i="12"/>
  <c r="U108" i="12"/>
  <c r="U36" i="12"/>
  <c r="U63" i="12"/>
  <c r="CQ254" i="1"/>
  <c r="Q66" i="12"/>
  <c r="CQ150" i="1"/>
  <c r="CQ131" i="1"/>
  <c r="Q30" i="12"/>
  <c r="Q93" i="12"/>
  <c r="Q33" i="12"/>
  <c r="Q24" i="12"/>
  <c r="Q27" i="12"/>
  <c r="Q45" i="12"/>
  <c r="Q105" i="12"/>
  <c r="Q51" i="12"/>
  <c r="Q69" i="12"/>
  <c r="Q36" i="12"/>
  <c r="Q63" i="12"/>
  <c r="AQ406" i="1"/>
  <c r="AQ390" i="1"/>
  <c r="AQ349" i="1"/>
  <c r="AQ294" i="1"/>
  <c r="AQ288" i="1"/>
  <c r="AQ255" i="1"/>
  <c r="AQ215" i="1"/>
  <c r="AQ193" i="1"/>
  <c r="AQ155" i="1"/>
  <c r="AQ136" i="1"/>
  <c r="AQ132" i="1"/>
  <c r="AQ120" i="1"/>
  <c r="AQ98" i="1"/>
  <c r="AQ77" i="1"/>
  <c r="AQ34" i="1"/>
  <c r="AQ12" i="1"/>
  <c r="V4" i="1"/>
  <c r="AQ393" i="1"/>
  <c r="AQ389" i="1"/>
  <c r="AQ348" i="1"/>
  <c r="AQ295" i="1"/>
  <c r="AQ291" i="1"/>
  <c r="AQ256" i="1"/>
  <c r="AQ218" i="1"/>
  <c r="AQ214" i="1"/>
  <c r="AQ192" i="1"/>
  <c r="AQ154" i="1"/>
  <c r="AQ137" i="1"/>
  <c r="AQ133" i="1"/>
  <c r="AQ123" i="1"/>
  <c r="AQ119" i="1"/>
  <c r="AQ101" i="1"/>
  <c r="AQ78" i="1"/>
  <c r="AQ37" i="1"/>
  <c r="AQ33" i="1"/>
  <c r="AQ8" i="1"/>
  <c r="AQ346" i="1"/>
  <c r="CW387" i="1"/>
  <c r="W111" i="12"/>
  <c r="CW343" i="1"/>
  <c r="W84" i="12"/>
  <c r="CW75" i="1"/>
  <c r="W15" i="12"/>
  <c r="W9" i="12"/>
  <c r="W81" i="12"/>
  <c r="W117" i="12"/>
  <c r="W114" i="12"/>
  <c r="CS283" i="1"/>
  <c r="S75" i="12"/>
  <c r="CS95" i="1"/>
  <c r="S12" i="12"/>
  <c r="CS405" i="1"/>
  <c r="S120" i="12"/>
  <c r="S6" i="12"/>
  <c r="S78" i="12"/>
  <c r="S87" i="12"/>
  <c r="S18" i="12"/>
  <c r="S126" i="12"/>
  <c r="S123" i="12"/>
  <c r="S90" i="12"/>
  <c r="AQ345" i="1"/>
  <c r="AQ283" i="1"/>
  <c r="AQ95" i="1"/>
  <c r="AQ405" i="1"/>
  <c r="AQ289" i="1"/>
  <c r="AQ152" i="1"/>
  <c r="AT180" i="1"/>
  <c r="BL180" i="1" s="1"/>
  <c r="AT328" i="1"/>
  <c r="BL328" i="1" s="1"/>
  <c r="AT410" i="1"/>
  <c r="BL410" i="1" s="1"/>
  <c r="AT409" i="1"/>
  <c r="BL409" i="1" s="1"/>
  <c r="AT397" i="1"/>
  <c r="BL397" i="1" s="1"/>
  <c r="AT270" i="1"/>
  <c r="BL270" i="1" s="1"/>
  <c r="AT228" i="1"/>
  <c r="AT141" i="1"/>
  <c r="BL141" i="1" s="1"/>
  <c r="AT109" i="1"/>
  <c r="BL109" i="1" s="1"/>
  <c r="AT313" i="1"/>
  <c r="BL313" i="1" s="1"/>
  <c r="AT271" i="1"/>
  <c r="BL271" i="1" s="1"/>
  <c r="AT204" i="1"/>
  <c r="BL204" i="1" s="1"/>
  <c r="AT169" i="1"/>
  <c r="BL169" i="1" s="1"/>
  <c r="AT142" i="1"/>
  <c r="BL142" i="1" s="1"/>
  <c r="AT126" i="1"/>
  <c r="BL126" i="1" s="1"/>
  <c r="AT394" i="1"/>
  <c r="BL394" i="1" s="1"/>
  <c r="AT352" i="1"/>
  <c r="BL352" i="1" s="1"/>
  <c r="AT305" i="1"/>
  <c r="BL305" i="1" s="1"/>
  <c r="AT262" i="1"/>
  <c r="BL262" i="1" s="1"/>
  <c r="AT258" i="1"/>
  <c r="BL258" i="1" s="1"/>
  <c r="AT199" i="1"/>
  <c r="BL199" i="1" s="1"/>
  <c r="AT15" i="1"/>
  <c r="BL15" i="1" s="1"/>
  <c r="AT298" i="1"/>
  <c r="BL298" i="1" s="1"/>
  <c r="AT83" i="1"/>
  <c r="CX423" i="1"/>
  <c r="X192" i="12"/>
  <c r="X195" i="12"/>
  <c r="X198" i="12"/>
  <c r="CR423" i="1"/>
  <c r="R192" i="12"/>
  <c r="R195" i="12"/>
  <c r="R198" i="12"/>
  <c r="CL423" i="1"/>
  <c r="AQ319" i="1"/>
  <c r="AQ370" i="1"/>
  <c r="AQ320" i="1"/>
  <c r="W93" i="12"/>
  <c r="CW214" i="1"/>
  <c r="W48" i="12"/>
  <c r="CW119" i="1"/>
  <c r="W21" i="12"/>
  <c r="W96" i="12"/>
  <c r="W42" i="12"/>
  <c r="W54" i="12"/>
  <c r="W72" i="12"/>
  <c r="W33" i="12"/>
  <c r="S93" i="12"/>
  <c r="CS214" i="1"/>
  <c r="S48" i="12"/>
  <c r="CS119" i="1"/>
  <c r="S21" i="12"/>
  <c r="S96" i="12"/>
  <c r="S42" i="12"/>
  <c r="S54" i="12"/>
  <c r="S72" i="12"/>
  <c r="S33" i="12"/>
  <c r="CY283" i="1"/>
  <c r="Y75" i="12"/>
  <c r="CY95" i="1"/>
  <c r="Y12" i="12"/>
  <c r="CY387" i="1"/>
  <c r="Y111" i="12"/>
  <c r="Y6" i="12"/>
  <c r="Y78" i="12"/>
  <c r="Y87" i="12"/>
  <c r="Y18" i="12"/>
  <c r="Y126" i="12"/>
  <c r="Y123" i="12"/>
  <c r="Y90" i="12"/>
  <c r="CU405" i="1"/>
  <c r="U120" i="12"/>
  <c r="CU343" i="1"/>
  <c r="U84" i="12"/>
  <c r="CU75" i="1"/>
  <c r="U78" i="12"/>
  <c r="U87" i="12"/>
  <c r="U18" i="12"/>
  <c r="U126" i="12"/>
  <c r="U114" i="12"/>
  <c r="CQ387" i="1"/>
  <c r="Q111" i="12"/>
  <c r="CQ283" i="1"/>
  <c r="Q75" i="12"/>
  <c r="CQ95" i="1"/>
  <c r="Q12" i="12"/>
  <c r="Q15" i="12"/>
  <c r="Q9" i="12"/>
  <c r="Q81" i="12"/>
  <c r="Q117" i="12"/>
  <c r="Q6" i="12"/>
  <c r="Q123" i="12"/>
  <c r="Q90" i="12"/>
  <c r="AT94" i="1"/>
  <c r="BL94" i="1" s="1"/>
  <c r="AT213" i="1"/>
  <c r="BL213" i="1" s="1"/>
  <c r="AT67" i="1"/>
  <c r="CY69" i="1"/>
  <c r="Y177" i="12"/>
  <c r="Y180" i="12"/>
  <c r="CW69" i="1"/>
  <c r="W177" i="12"/>
  <c r="W180" i="12"/>
  <c r="CU69" i="1"/>
  <c r="U177" i="12"/>
  <c r="U180" i="12"/>
  <c r="CS69" i="1"/>
  <c r="S177" i="12"/>
  <c r="S180" i="12"/>
  <c r="CQ69" i="1"/>
  <c r="Q177" i="12"/>
  <c r="Q180" i="12"/>
  <c r="AQ423" i="1"/>
  <c r="O219" i="12"/>
  <c r="O225" i="12"/>
  <c r="AT185" i="1"/>
  <c r="BL185" i="1" s="1"/>
  <c r="AT74" i="1"/>
  <c r="BL74" i="1" s="1"/>
  <c r="AT281" i="1"/>
  <c r="BL281" i="1" s="1"/>
  <c r="AT186" i="1"/>
  <c r="BL186" i="1" s="1"/>
  <c r="AT422" i="1"/>
  <c r="BL422" i="1" s="1"/>
  <c r="AT424" i="1"/>
  <c r="BL424" i="1" s="1"/>
  <c r="AT420" i="1"/>
  <c r="BL420" i="1" s="1"/>
  <c r="BH400" i="1"/>
  <c r="BH371" i="1"/>
  <c r="BH323" i="1"/>
  <c r="BH234" i="1"/>
  <c r="BH206" i="1"/>
  <c r="BH145" i="1"/>
  <c r="BH110" i="1"/>
  <c r="BH24" i="1"/>
  <c r="BH413" i="1"/>
  <c r="BH372" i="1"/>
  <c r="BH322" i="1"/>
  <c r="BH232" i="1"/>
  <c r="BH207" i="1"/>
  <c r="BH174" i="1"/>
  <c r="BH146" i="1"/>
  <c r="BH51" i="1"/>
  <c r="BH23" i="1"/>
  <c r="AX373" i="1"/>
  <c r="BT373" i="1" s="1"/>
  <c r="AW373" i="1"/>
  <c r="BS373" i="1" s="1"/>
  <c r="CO373" i="1" s="1"/>
  <c r="AX369" i="1"/>
  <c r="BT369" i="1" s="1"/>
  <c r="CP369" i="1" s="1"/>
  <c r="AW369" i="1"/>
  <c r="BS369" i="1" s="1"/>
  <c r="AX321" i="1"/>
  <c r="BT321" i="1" s="1"/>
  <c r="AW321" i="1"/>
  <c r="BS321" i="1" s="1"/>
  <c r="CO321" i="1" s="1"/>
  <c r="AX231" i="1"/>
  <c r="BT231" i="1" s="1"/>
  <c r="AW231" i="1"/>
  <c r="BS231" i="1" s="1"/>
  <c r="CO231" i="1" s="1"/>
  <c r="AX173" i="1"/>
  <c r="BT173" i="1" s="1"/>
  <c r="AW173" i="1"/>
  <c r="BS173" i="1" s="1"/>
  <c r="CO173" i="1" s="1"/>
  <c r="AX112" i="1"/>
  <c r="BT112" i="1" s="1"/>
  <c r="AW112" i="1"/>
  <c r="BS112" i="1" s="1"/>
  <c r="CO112" i="1" s="1"/>
  <c r="AX50" i="1"/>
  <c r="BT50" i="1" s="1"/>
  <c r="AX22" i="1"/>
  <c r="BT22" i="1" s="1"/>
  <c r="AW22" i="1"/>
  <c r="BS22" i="1" s="1"/>
  <c r="AX401" i="1"/>
  <c r="BT401" i="1" s="1"/>
  <c r="AW401" i="1"/>
  <c r="BS401" i="1" s="1"/>
  <c r="CO401" i="1" s="1"/>
  <c r="AX324" i="1"/>
  <c r="BT324" i="1" s="1"/>
  <c r="AW324" i="1"/>
  <c r="BS324" i="1" s="1"/>
  <c r="CO324" i="1" s="1"/>
  <c r="AX272" i="1"/>
  <c r="BT272" i="1" s="1"/>
  <c r="AW272" i="1"/>
  <c r="BS272" i="1" s="1"/>
  <c r="CO272" i="1" s="1"/>
  <c r="AX230" i="1"/>
  <c r="BT230" i="1" s="1"/>
  <c r="AW230" i="1"/>
  <c r="BS230" i="1" s="1"/>
  <c r="CO230" i="1" s="1"/>
  <c r="AX205" i="1"/>
  <c r="BT205" i="1" s="1"/>
  <c r="AX172" i="1"/>
  <c r="BT172" i="1" s="1"/>
  <c r="AW172" i="1"/>
  <c r="BS172" i="1" s="1"/>
  <c r="CO172" i="1" s="1"/>
  <c r="AX111" i="1"/>
  <c r="BT111" i="1" s="1"/>
  <c r="AX49" i="1"/>
  <c r="BT49" i="1" s="1"/>
  <c r="AW49" i="1"/>
  <c r="BS49" i="1" s="1"/>
  <c r="CO49" i="1" s="1"/>
  <c r="AT50" i="1"/>
  <c r="BP50" i="1" s="1"/>
  <c r="AT110" i="1"/>
  <c r="BP110" i="1" s="1"/>
  <c r="AT321" i="1"/>
  <c r="BP321" i="1" s="1"/>
  <c r="AT172" i="1"/>
  <c r="BP172" i="1" s="1"/>
  <c r="AT232" i="1"/>
  <c r="BP232" i="1" s="1"/>
  <c r="AT372" i="1"/>
  <c r="BP372" i="1" s="1"/>
  <c r="AT413" i="1"/>
  <c r="BP413" i="1" s="1"/>
  <c r="AT373" i="1"/>
  <c r="BP373" i="1" s="1"/>
  <c r="BH325" i="1"/>
  <c r="BH229" i="1"/>
  <c r="BH368" i="1"/>
  <c r="BH235" i="1"/>
  <c r="AX319" i="1"/>
  <c r="BT319" i="1" s="1"/>
  <c r="AW319" i="1"/>
  <c r="BS319" i="1" s="1"/>
  <c r="CO319" i="1" s="1"/>
  <c r="AX370" i="1"/>
  <c r="BT370" i="1" s="1"/>
  <c r="AW370" i="1"/>
  <c r="BS370" i="1" s="1"/>
  <c r="CO370" i="1" s="1"/>
  <c r="AX320" i="1"/>
  <c r="BT320" i="1" s="1"/>
  <c r="AW320" i="1"/>
  <c r="BS320" i="1" s="1"/>
  <c r="CO320" i="1" s="1"/>
  <c r="AT229" i="1"/>
  <c r="BP229" i="1" s="1"/>
  <c r="AT320" i="1"/>
  <c r="BP320" i="1" s="1"/>
  <c r="AT368" i="1"/>
  <c r="BP368" i="1" s="1"/>
  <c r="AT370" i="1"/>
  <c r="BP370" i="1" s="1"/>
  <c r="K25" i="3"/>
  <c r="Y367" i="1" s="1"/>
  <c r="AU367" i="1" s="1"/>
  <c r="BQ367" i="1" s="1"/>
  <c r="AUZ367" i="1" s="1"/>
  <c r="BH406" i="1"/>
  <c r="BH390" i="1"/>
  <c r="BH349" i="1"/>
  <c r="BH294" i="1"/>
  <c r="BH288" i="1"/>
  <c r="BH255" i="1"/>
  <c r="BH215" i="1"/>
  <c r="BH193" i="1"/>
  <c r="BH155" i="1"/>
  <c r="BH136" i="1"/>
  <c r="BH132" i="1"/>
  <c r="BH120" i="1"/>
  <c r="BH98" i="1"/>
  <c r="BH77" i="1"/>
  <c r="BH34" i="1"/>
  <c r="BH12" i="1"/>
  <c r="BH4" i="1"/>
  <c r="AM4" i="1"/>
  <c r="BH393" i="1"/>
  <c r="BH389" i="1"/>
  <c r="BH348" i="1"/>
  <c r="BH295" i="1"/>
  <c r="BH291" i="1"/>
  <c r="BH256" i="1"/>
  <c r="BH218" i="1"/>
  <c r="BH214" i="1"/>
  <c r="BH192" i="1"/>
  <c r="BH154" i="1"/>
  <c r="BH137" i="1"/>
  <c r="BH133" i="1"/>
  <c r="BH123" i="1"/>
  <c r="BH119" i="1"/>
  <c r="BH101" i="1"/>
  <c r="BH78" i="1"/>
  <c r="BH37" i="1"/>
  <c r="BH33" i="1"/>
  <c r="BH8" i="1"/>
  <c r="CX214" i="1"/>
  <c r="X48" i="12"/>
  <c r="CX119" i="1"/>
  <c r="X21" i="12"/>
  <c r="CX191" i="1"/>
  <c r="X57" i="12"/>
  <c r="CX32" i="1"/>
  <c r="X33" i="12"/>
  <c r="X24" i="12"/>
  <c r="X27" i="12"/>
  <c r="X45" i="12"/>
  <c r="CV214" i="1"/>
  <c r="V48" i="12"/>
  <c r="CV119" i="1"/>
  <c r="V21" i="12"/>
  <c r="CV191" i="1"/>
  <c r="V57" i="12"/>
  <c r="CV32" i="1"/>
  <c r="V24" i="12"/>
  <c r="V105" i="12"/>
  <c r="V60" i="12"/>
  <c r="V51" i="12"/>
  <c r="V69" i="12"/>
  <c r="V99" i="12"/>
  <c r="V108" i="12"/>
  <c r="V36" i="12"/>
  <c r="V63" i="12"/>
  <c r="V27" i="12"/>
  <c r="V45" i="12"/>
  <c r="P14" i="2"/>
  <c r="BX214" i="1"/>
  <c r="AVG214" i="1" s="1"/>
  <c r="P11" i="2"/>
  <c r="BX119" i="1"/>
  <c r="AVG119" i="1" s="1"/>
  <c r="BX191" i="1"/>
  <c r="AVG191" i="1" s="1"/>
  <c r="P15" i="2"/>
  <c r="BX32" i="1"/>
  <c r="AVG32" i="1" s="1"/>
  <c r="CR254" i="1"/>
  <c r="R66" i="12"/>
  <c r="CR150" i="1"/>
  <c r="CR131" i="1"/>
  <c r="R30" i="12"/>
  <c r="CR191" i="1"/>
  <c r="R57" i="12"/>
  <c r="CR32" i="1"/>
  <c r="R24" i="12"/>
  <c r="R33" i="12"/>
  <c r="R27" i="12"/>
  <c r="R45" i="12"/>
  <c r="AX406" i="1"/>
  <c r="BT406" i="1" s="1"/>
  <c r="AW406" i="1"/>
  <c r="BS406" i="1" s="1"/>
  <c r="CO406" i="1" s="1"/>
  <c r="AX390" i="1"/>
  <c r="BT390" i="1" s="1"/>
  <c r="AW390" i="1"/>
  <c r="BS390" i="1" s="1"/>
  <c r="CO390" i="1" s="1"/>
  <c r="AX349" i="1"/>
  <c r="BT349" i="1" s="1"/>
  <c r="AW349" i="1"/>
  <c r="BS349" i="1" s="1"/>
  <c r="CO349" i="1" s="1"/>
  <c r="AX294" i="1"/>
  <c r="BT294" i="1" s="1"/>
  <c r="AW294" i="1"/>
  <c r="BS294" i="1" s="1"/>
  <c r="CO294" i="1" s="1"/>
  <c r="AX288" i="1"/>
  <c r="BT288" i="1" s="1"/>
  <c r="AW288" i="1"/>
  <c r="BS288" i="1" s="1"/>
  <c r="CO288" i="1" s="1"/>
  <c r="AX255" i="1"/>
  <c r="BT255" i="1" s="1"/>
  <c r="AW255" i="1"/>
  <c r="BS255" i="1" s="1"/>
  <c r="CO255" i="1" s="1"/>
  <c r="AX215" i="1"/>
  <c r="BT215" i="1" s="1"/>
  <c r="AW215" i="1"/>
  <c r="BS215" i="1" s="1"/>
  <c r="CO215" i="1" s="1"/>
  <c r="AX193" i="1"/>
  <c r="BT193" i="1" s="1"/>
  <c r="AW193" i="1"/>
  <c r="BS193" i="1" s="1"/>
  <c r="CO193" i="1" s="1"/>
  <c r="AX155" i="1"/>
  <c r="BT155" i="1" s="1"/>
  <c r="AW155" i="1"/>
  <c r="BS155" i="1" s="1"/>
  <c r="CO155" i="1" s="1"/>
  <c r="AX136" i="1"/>
  <c r="BT136" i="1" s="1"/>
  <c r="AW136" i="1"/>
  <c r="BS136" i="1" s="1"/>
  <c r="CO136" i="1" s="1"/>
  <c r="AX132" i="1"/>
  <c r="BT132" i="1" s="1"/>
  <c r="CP132" i="1" s="1"/>
  <c r="AW132" i="1"/>
  <c r="BS132" i="1" s="1"/>
  <c r="AX120" i="1"/>
  <c r="BT120" i="1" s="1"/>
  <c r="AW120" i="1"/>
  <c r="BS120" i="1" s="1"/>
  <c r="CO120" i="1" s="1"/>
  <c r="AX98" i="1"/>
  <c r="BT98" i="1" s="1"/>
  <c r="AX77" i="1"/>
  <c r="BT77" i="1" s="1"/>
  <c r="AW77" i="1"/>
  <c r="BS77" i="1" s="1"/>
  <c r="CO77" i="1" s="1"/>
  <c r="AX34" i="1"/>
  <c r="BT34" i="1" s="1"/>
  <c r="AW34" i="1"/>
  <c r="BS34" i="1" s="1"/>
  <c r="CO34" i="1" s="1"/>
  <c r="AX12" i="1"/>
  <c r="BT12" i="1" s="1"/>
  <c r="AW12" i="1"/>
  <c r="BS12" i="1" s="1"/>
  <c r="BT4" i="1"/>
  <c r="AVC4" i="1" s="1"/>
  <c r="AX393" i="1"/>
  <c r="BT393" i="1" s="1"/>
  <c r="AW393" i="1"/>
  <c r="BS393" i="1" s="1"/>
  <c r="CO393" i="1" s="1"/>
  <c r="AX389" i="1"/>
  <c r="BT389" i="1" s="1"/>
  <c r="AW389" i="1"/>
  <c r="BS389" i="1" s="1"/>
  <c r="CO389" i="1" s="1"/>
  <c r="AX348" i="1"/>
  <c r="BT348" i="1" s="1"/>
  <c r="AW348" i="1"/>
  <c r="BS348" i="1" s="1"/>
  <c r="CO348" i="1" s="1"/>
  <c r="AX295" i="1"/>
  <c r="BT295" i="1" s="1"/>
  <c r="AW295" i="1"/>
  <c r="BS295" i="1" s="1"/>
  <c r="CO295" i="1" s="1"/>
  <c r="AX291" i="1"/>
  <c r="BT291" i="1" s="1"/>
  <c r="AW291" i="1"/>
  <c r="BS291" i="1" s="1"/>
  <c r="CO291" i="1" s="1"/>
  <c r="AX256" i="1"/>
  <c r="BT256" i="1" s="1"/>
  <c r="AW256" i="1"/>
  <c r="BS256" i="1" s="1"/>
  <c r="CO256" i="1" s="1"/>
  <c r="AX218" i="1"/>
  <c r="BT218" i="1" s="1"/>
  <c r="AW218" i="1"/>
  <c r="BS218" i="1" s="1"/>
  <c r="CO218" i="1" s="1"/>
  <c r="AX214" i="1"/>
  <c r="BT214" i="1" s="1"/>
  <c r="AVC214" i="1" s="1"/>
  <c r="AVB214" i="1" s="1"/>
  <c r="AW214" i="1"/>
  <c r="BS214" i="1" s="1"/>
  <c r="AX192" i="1"/>
  <c r="BT192" i="1" s="1"/>
  <c r="AW192" i="1"/>
  <c r="BS192" i="1" s="1"/>
  <c r="CO192" i="1" s="1"/>
  <c r="AX154" i="1"/>
  <c r="BT154" i="1" s="1"/>
  <c r="AW154" i="1"/>
  <c r="BS154" i="1" s="1"/>
  <c r="CO154" i="1" s="1"/>
  <c r="AX137" i="1"/>
  <c r="BT137" i="1" s="1"/>
  <c r="AW137" i="1"/>
  <c r="BS137" i="1" s="1"/>
  <c r="CO137" i="1" s="1"/>
  <c r="AX133" i="1"/>
  <c r="BT133" i="1" s="1"/>
  <c r="AW133" i="1"/>
  <c r="BS133" i="1" s="1"/>
  <c r="CO133" i="1" s="1"/>
  <c r="AX123" i="1"/>
  <c r="AW123" i="1"/>
  <c r="AX119" i="1"/>
  <c r="BT119" i="1" s="1"/>
  <c r="AVC119" i="1" s="1"/>
  <c r="AVB119" i="1" s="1"/>
  <c r="AW119" i="1"/>
  <c r="BS119" i="1" s="1"/>
  <c r="AX101" i="1"/>
  <c r="BT101" i="1" s="1"/>
  <c r="AW101" i="1"/>
  <c r="BS101" i="1" s="1"/>
  <c r="CO101" i="1" s="1"/>
  <c r="AX78" i="1"/>
  <c r="BT78" i="1" s="1"/>
  <c r="CP78" i="1" s="1"/>
  <c r="AW78" i="1"/>
  <c r="BS78" i="1" s="1"/>
  <c r="AX37" i="1"/>
  <c r="BT37" i="1" s="1"/>
  <c r="AW37" i="1"/>
  <c r="BS37" i="1" s="1"/>
  <c r="CO37" i="1" s="1"/>
  <c r="AX33" i="1"/>
  <c r="BT33" i="1" s="1"/>
  <c r="AX8" i="1"/>
  <c r="BT8" i="1" s="1"/>
  <c r="BH290" i="1"/>
  <c r="AX290" i="1"/>
  <c r="BT290" i="1" s="1"/>
  <c r="BH345" i="1"/>
  <c r="BH283" i="1"/>
  <c r="BH95" i="1"/>
  <c r="BH405" i="1"/>
  <c r="BH289" i="1"/>
  <c r="BH152" i="1"/>
  <c r="CX387" i="1"/>
  <c r="X111" i="12"/>
  <c r="CX283" i="1"/>
  <c r="X75" i="12"/>
  <c r="CX95" i="1"/>
  <c r="X12" i="12"/>
  <c r="X6" i="12"/>
  <c r="X123" i="12"/>
  <c r="X90" i="12"/>
  <c r="X15" i="12"/>
  <c r="X9" i="12"/>
  <c r="X81" i="12"/>
  <c r="X117" i="12"/>
  <c r="CV405" i="1"/>
  <c r="V120" i="12"/>
  <c r="CV75" i="1"/>
  <c r="V6" i="12"/>
  <c r="V123" i="12"/>
  <c r="V90" i="12"/>
  <c r="V78" i="12"/>
  <c r="V87" i="12"/>
  <c r="V18" i="12"/>
  <c r="V126" i="12"/>
  <c r="P21" i="2"/>
  <c r="BX387" i="1"/>
  <c r="AVG387" i="1" s="1"/>
  <c r="P17" i="2"/>
  <c r="BX283" i="1"/>
  <c r="AVG283" i="1" s="1"/>
  <c r="P10" i="2"/>
  <c r="BX95" i="1"/>
  <c r="AVG95" i="1" s="1"/>
  <c r="CR405" i="1"/>
  <c r="R120" i="12"/>
  <c r="CR343" i="1"/>
  <c r="R84" i="12"/>
  <c r="CR75" i="1"/>
  <c r="R6" i="12"/>
  <c r="R123" i="12"/>
  <c r="R90" i="12"/>
  <c r="R87" i="12"/>
  <c r="R18" i="12"/>
  <c r="R126" i="12"/>
  <c r="AX343" i="1"/>
  <c r="BT343" i="1" s="1"/>
  <c r="AW343" i="1"/>
  <c r="BS343" i="1" s="1"/>
  <c r="AX151" i="1"/>
  <c r="BT151" i="1" s="1"/>
  <c r="AW151" i="1"/>
  <c r="BS151" i="1" s="1"/>
  <c r="CO151" i="1" s="1"/>
  <c r="AX75" i="1"/>
  <c r="BT75" i="1" s="1"/>
  <c r="AVC75" i="1" s="1"/>
  <c r="AVB75" i="1" s="1"/>
  <c r="AW75" i="1"/>
  <c r="BS75" i="1" s="1"/>
  <c r="AX387" i="1"/>
  <c r="BT387" i="1" s="1"/>
  <c r="AVC387" i="1" s="1"/>
  <c r="AVB387" i="1" s="1"/>
  <c r="AW387" i="1"/>
  <c r="BS387" i="1" s="1"/>
  <c r="AX284" i="1"/>
  <c r="BT284" i="1" s="1"/>
  <c r="AW284" i="1"/>
  <c r="BS284" i="1" s="1"/>
  <c r="CO284" i="1" s="1"/>
  <c r="AT340" i="1"/>
  <c r="BL340" i="1" s="1"/>
  <c r="AT117" i="1"/>
  <c r="BL117" i="1" s="1"/>
  <c r="AT403" i="1"/>
  <c r="BL403" i="1" s="1"/>
  <c r="AT274" i="1"/>
  <c r="AT148" i="1"/>
  <c r="BL148" i="1" s="1"/>
  <c r="AT90" i="1"/>
  <c r="BL90" i="1" s="1"/>
  <c r="AT62" i="1"/>
  <c r="AT91" i="1"/>
  <c r="BL91" i="1" s="1"/>
  <c r="AT245" i="1"/>
  <c r="BL245" i="1" s="1"/>
  <c r="AT237" i="1"/>
  <c r="AT329" i="1"/>
  <c r="BL329" i="1" s="1"/>
  <c r="AT290" i="1"/>
  <c r="BP290" i="1" s="1"/>
  <c r="BH69" i="1"/>
  <c r="CV69" i="1"/>
  <c r="V177" i="12"/>
  <c r="V180" i="12"/>
  <c r="BX69" i="1"/>
  <c r="AVG69" i="1" s="1"/>
  <c r="AX69" i="1"/>
  <c r="BT69" i="1" s="1"/>
  <c r="AVC69" i="1" s="1"/>
  <c r="AVB69" i="1" s="1"/>
  <c r="AQ400" i="1"/>
  <c r="AQ371" i="1"/>
  <c r="AQ323" i="1"/>
  <c r="AQ234" i="1"/>
  <c r="AQ206" i="1"/>
  <c r="AQ145" i="1"/>
  <c r="AQ110" i="1"/>
  <c r="AQ24" i="1"/>
  <c r="AQ413" i="1"/>
  <c r="AQ372" i="1"/>
  <c r="AQ322" i="1"/>
  <c r="AQ232" i="1"/>
  <c r="AQ207" i="1"/>
  <c r="AQ174" i="1"/>
  <c r="AQ146" i="1"/>
  <c r="AQ51" i="1"/>
  <c r="AQ23" i="1"/>
  <c r="CY191" i="1"/>
  <c r="Y57" i="12"/>
  <c r="CY32" i="1"/>
  <c r="CY214" i="1"/>
  <c r="Y48" i="12"/>
  <c r="CY119" i="1"/>
  <c r="Y21" i="12"/>
  <c r="Y33" i="12"/>
  <c r="Y24" i="12"/>
  <c r="Y27" i="12"/>
  <c r="Y45" i="12"/>
  <c r="Y105" i="12"/>
  <c r="CU191" i="1"/>
  <c r="U57" i="12"/>
  <c r="CU32" i="1"/>
  <c r="CU214" i="1"/>
  <c r="U48" i="12"/>
  <c r="CU119" i="1"/>
  <c r="U21" i="12"/>
  <c r="U96" i="12"/>
  <c r="U42" i="12"/>
  <c r="U54" i="12"/>
  <c r="U72" i="12"/>
  <c r="CQ214" i="1"/>
  <c r="Q48" i="12"/>
  <c r="CQ119" i="1"/>
  <c r="Q21" i="12"/>
  <c r="CQ191" i="1"/>
  <c r="Q57" i="12"/>
  <c r="CQ32" i="1"/>
  <c r="Q96" i="12"/>
  <c r="Q42" i="12"/>
  <c r="Q54" i="12"/>
  <c r="Q72" i="12"/>
  <c r="AQ408" i="1"/>
  <c r="AQ392" i="1"/>
  <c r="AQ388" i="1"/>
  <c r="AQ347" i="1"/>
  <c r="AQ292" i="1"/>
  <c r="AQ285" i="1"/>
  <c r="AQ217" i="1"/>
  <c r="AQ195" i="1"/>
  <c r="AQ191" i="1"/>
  <c r="AQ153" i="1"/>
  <c r="AQ134" i="1"/>
  <c r="AQ122" i="1"/>
  <c r="AQ102" i="1"/>
  <c r="AQ79" i="1"/>
  <c r="AQ36" i="1"/>
  <c r="AQ32" i="1"/>
  <c r="AQ9" i="1"/>
  <c r="AQ407" i="1"/>
  <c r="AQ391" i="1"/>
  <c r="AQ350" i="1"/>
  <c r="AQ344" i="1"/>
  <c r="AQ293" i="1"/>
  <c r="AQ287" i="1"/>
  <c r="AQ254" i="1"/>
  <c r="AQ216" i="1"/>
  <c r="AQ194" i="1"/>
  <c r="AQ156" i="1"/>
  <c r="AQ150" i="1"/>
  <c r="AQ135" i="1"/>
  <c r="AQ131" i="1"/>
  <c r="AQ121" i="1"/>
  <c r="AQ103" i="1"/>
  <c r="AQ97" i="1"/>
  <c r="AQ76" i="1"/>
  <c r="AQ35" i="1"/>
  <c r="AQ11" i="1"/>
  <c r="AQ290" i="1"/>
  <c r="CW283" i="1"/>
  <c r="W75" i="12"/>
  <c r="CW95" i="1"/>
  <c r="W12" i="12"/>
  <c r="CW405" i="1"/>
  <c r="W120" i="12"/>
  <c r="W6" i="12"/>
  <c r="W78" i="12"/>
  <c r="W87" i="12"/>
  <c r="W18" i="12"/>
  <c r="W126" i="12"/>
  <c r="W123" i="12"/>
  <c r="W90" i="12"/>
  <c r="CS387" i="1"/>
  <c r="S111" i="12"/>
  <c r="CS343" i="1"/>
  <c r="S84" i="12"/>
  <c r="CS75" i="1"/>
  <c r="S15" i="12"/>
  <c r="S9" i="12"/>
  <c r="S81" i="12"/>
  <c r="S117" i="12"/>
  <c r="S114" i="12"/>
  <c r="AQ343" i="1"/>
  <c r="AQ151" i="1"/>
  <c r="AQ75" i="1"/>
  <c r="AQ387" i="1"/>
  <c r="AQ284" i="1"/>
  <c r="AT386" i="1"/>
  <c r="AT212" i="1"/>
  <c r="BL212" i="1" s="1"/>
  <c r="AT66" i="1"/>
  <c r="BL66" i="1" s="1"/>
  <c r="AT332" i="1"/>
  <c r="BL332" i="1" s="1"/>
  <c r="AT25" i="1"/>
  <c r="BL25" i="1" s="1"/>
  <c r="AT411" i="1"/>
  <c r="AT395" i="1"/>
  <c r="BL395" i="1" s="1"/>
  <c r="AT226" i="1"/>
  <c r="BL226" i="1" s="1"/>
  <c r="AT168" i="1"/>
  <c r="BL168" i="1" s="1"/>
  <c r="AT363" i="1"/>
  <c r="BL363" i="1" s="1"/>
  <c r="AT42" i="1"/>
  <c r="BL42" i="1" s="1"/>
  <c r="AT18" i="1"/>
  <c r="BL18" i="1" s="1"/>
  <c r="AT355" i="1"/>
  <c r="AT301" i="1"/>
  <c r="AT224" i="1"/>
  <c r="BL224" i="1" s="1"/>
  <c r="AT220" i="1"/>
  <c r="AT163" i="1"/>
  <c r="BL163" i="1" s="1"/>
  <c r="AT82" i="1"/>
  <c r="BL82" i="1" s="1"/>
  <c r="AT41" i="1"/>
  <c r="BL41" i="1" s="1"/>
  <c r="AT17" i="1"/>
  <c r="BL17" i="1" s="1"/>
  <c r="AT263" i="1"/>
  <c r="BL263" i="1" s="1"/>
  <c r="AT221" i="1"/>
  <c r="BL221" i="1" s="1"/>
  <c r="AT159" i="1"/>
  <c r="BL159" i="1" s="1"/>
  <c r="K20" i="3"/>
  <c r="AT75" i="1"/>
  <c r="BP75" i="1" s="1"/>
  <c r="AUY75" i="1" s="1"/>
  <c r="AT151" i="1"/>
  <c r="BP151" i="1" s="1"/>
  <c r="AT345" i="1"/>
  <c r="BP345" i="1" s="1"/>
  <c r="AT284" i="1"/>
  <c r="BP284" i="1" s="1"/>
  <c r="AT289" i="1"/>
  <c r="BP289" i="1" s="1"/>
  <c r="CX69" i="1"/>
  <c r="X177" i="12"/>
  <c r="X180" i="12"/>
  <c r="CR69" i="1"/>
  <c r="R177" i="12"/>
  <c r="R180" i="12"/>
  <c r="CL69" i="1"/>
  <c r="AQ325" i="1"/>
  <c r="AQ229" i="1"/>
  <c r="AQ368" i="1"/>
  <c r="AQ235" i="1"/>
  <c r="CW191" i="1"/>
  <c r="W57" i="12"/>
  <c r="CW32" i="1"/>
  <c r="CW254" i="1"/>
  <c r="W66" i="12"/>
  <c r="CW150" i="1"/>
  <c r="CW131" i="1"/>
  <c r="W30" i="12"/>
  <c r="W24" i="12"/>
  <c r="W27" i="12"/>
  <c r="W45" i="12"/>
  <c r="W105" i="12"/>
  <c r="W60" i="12"/>
  <c r="W51" i="12"/>
  <c r="W69" i="12"/>
  <c r="W99" i="12"/>
  <c r="W108" i="12"/>
  <c r="W36" i="12"/>
  <c r="W63" i="12"/>
  <c r="CS191" i="1"/>
  <c r="S57" i="12"/>
  <c r="CS32" i="1"/>
  <c r="CS254" i="1"/>
  <c r="S66" i="12"/>
  <c r="CS150" i="1"/>
  <c r="CS131" i="1"/>
  <c r="S30" i="12"/>
  <c r="S24" i="12"/>
  <c r="S27" i="12"/>
  <c r="S45" i="12"/>
  <c r="S105" i="12"/>
  <c r="S60" i="12"/>
  <c r="S51" i="12"/>
  <c r="S69" i="12"/>
  <c r="S99" i="12"/>
  <c r="S108" i="12"/>
  <c r="S36" i="12"/>
  <c r="S63" i="12"/>
  <c r="CY405" i="1"/>
  <c r="Y120" i="12"/>
  <c r="CY343" i="1"/>
  <c r="Y84" i="12"/>
  <c r="CY75" i="1"/>
  <c r="Y15" i="12"/>
  <c r="Y9" i="12"/>
  <c r="Y81" i="12"/>
  <c r="Y117" i="12"/>
  <c r="Y114" i="12"/>
  <c r="CU283" i="1"/>
  <c r="U75" i="12"/>
  <c r="CU95" i="1"/>
  <c r="U12" i="12"/>
  <c r="CU387" i="1"/>
  <c r="U111" i="12"/>
  <c r="U15" i="12"/>
  <c r="U9" i="12"/>
  <c r="U81" i="12"/>
  <c r="U117" i="12"/>
  <c r="U6" i="12"/>
  <c r="U123" i="12"/>
  <c r="U90" i="12"/>
  <c r="CQ405" i="1"/>
  <c r="Q120" i="12"/>
  <c r="CQ343" i="1"/>
  <c r="Q84" i="12"/>
  <c r="CQ75" i="1"/>
  <c r="Q78" i="12"/>
  <c r="Q87" i="12"/>
  <c r="Q18" i="12"/>
  <c r="Q126" i="12"/>
  <c r="Q114" i="12"/>
  <c r="AT385" i="1"/>
  <c r="AT280" i="1"/>
  <c r="BL280" i="1" s="1"/>
  <c r="AT118" i="1"/>
  <c r="BL118" i="1" s="1"/>
  <c r="CF336" i="1"/>
  <c r="DB336" i="1" s="1"/>
  <c r="DA336" i="1"/>
  <c r="CF262" i="1"/>
  <c r="DB262" i="1" s="1"/>
  <c r="DA262" i="1"/>
  <c r="CF125" i="1"/>
  <c r="DB125" i="1" s="1"/>
  <c r="DA125" i="1"/>
  <c r="CF74" i="1"/>
  <c r="DB74" i="1" s="1"/>
  <c r="DA74" i="1"/>
  <c r="CF17" i="1"/>
  <c r="DB17" i="1" s="1"/>
  <c r="DA17" i="1"/>
  <c r="CF175" i="1"/>
  <c r="DB175" i="1" s="1"/>
  <c r="DA175" i="1"/>
  <c r="CF253" i="1"/>
  <c r="DB253" i="1" s="1"/>
  <c r="DA253" i="1"/>
  <c r="BO177" i="1"/>
  <c r="CK177" i="1" s="1"/>
  <c r="CJ177" i="1"/>
  <c r="BO30" i="1"/>
  <c r="CK30" i="1" s="1"/>
  <c r="CJ30" i="1"/>
  <c r="CF299" i="1"/>
  <c r="DB299" i="1" s="1"/>
  <c r="DA299" i="1"/>
  <c r="BO44" i="1"/>
  <c r="CK44" i="1" s="1"/>
  <c r="CJ44" i="1"/>
  <c r="CF89" i="1"/>
  <c r="DB89" i="1" s="1"/>
  <c r="DA89" i="1"/>
  <c r="CF317" i="1"/>
  <c r="DB317" i="1" s="1"/>
  <c r="DA317" i="1"/>
  <c r="CF259" i="1"/>
  <c r="DB259" i="1" s="1"/>
  <c r="DA259" i="1"/>
  <c r="CF225" i="1"/>
  <c r="DB225" i="1" s="1"/>
  <c r="DA225" i="1"/>
  <c r="CF147" i="1"/>
  <c r="DB147" i="1" s="1"/>
  <c r="DA147" i="1"/>
  <c r="BO124" i="1"/>
  <c r="CK124" i="1" s="1"/>
  <c r="CJ124" i="1"/>
  <c r="CF360" i="1"/>
  <c r="DB360" i="1" s="1"/>
  <c r="DA360" i="1"/>
  <c r="CF248" i="1"/>
  <c r="DB248" i="1" s="1"/>
  <c r="DA248" i="1"/>
  <c r="CF196" i="1"/>
  <c r="DB196" i="1" s="1"/>
  <c r="DA196" i="1"/>
  <c r="CF143" i="1"/>
  <c r="DB143" i="1" s="1"/>
  <c r="DA143" i="1"/>
  <c r="CF92" i="1"/>
  <c r="DB92" i="1" s="1"/>
  <c r="DA92" i="1"/>
  <c r="CF376" i="1"/>
  <c r="DB376" i="1" s="1"/>
  <c r="DA376" i="1"/>
  <c r="CF305" i="1"/>
  <c r="DB305" i="1" s="1"/>
  <c r="DA305" i="1"/>
  <c r="CF270" i="1"/>
  <c r="DB270" i="1" s="1"/>
  <c r="DA270" i="1"/>
  <c r="CF203" i="1"/>
  <c r="DB203" i="1" s="1"/>
  <c r="DA203" i="1"/>
  <c r="CF168" i="1"/>
  <c r="DB168" i="1" s="1"/>
  <c r="DA168" i="1"/>
  <c r="CF82" i="1"/>
  <c r="DB82" i="1" s="1"/>
  <c r="DA82" i="1"/>
  <c r="CF41" i="1"/>
  <c r="DB41" i="1" s="1"/>
  <c r="DA41" i="1"/>
  <c r="CF140" i="1"/>
  <c r="DB140" i="1" s="1"/>
  <c r="DA140" i="1"/>
  <c r="BO26" i="1"/>
  <c r="CK26" i="1" s="1"/>
  <c r="CJ26" i="1"/>
  <c r="CF18" i="1"/>
  <c r="DB18" i="1" s="1"/>
  <c r="DA18" i="1"/>
  <c r="CF296" i="1"/>
  <c r="DB296" i="1" s="1"/>
  <c r="DA296" i="1"/>
  <c r="CF277" i="1"/>
  <c r="DB277" i="1" s="1"/>
  <c r="DA277" i="1"/>
  <c r="CF261" i="1"/>
  <c r="DB261" i="1" s="1"/>
  <c r="DA261" i="1"/>
  <c r="CF244" i="1"/>
  <c r="DB244" i="1" s="1"/>
  <c r="DA244" i="1"/>
  <c r="CF227" i="1"/>
  <c r="DB227" i="1" s="1"/>
  <c r="DA227" i="1"/>
  <c r="BO46" i="1"/>
  <c r="CK46" i="1" s="1"/>
  <c r="CJ46" i="1"/>
  <c r="CF395" i="1"/>
  <c r="DB395" i="1" s="1"/>
  <c r="DA395" i="1"/>
  <c r="CF330" i="1"/>
  <c r="DB330" i="1" s="1"/>
  <c r="DA330" i="1"/>
  <c r="CF314" i="1"/>
  <c r="DB314" i="1" s="1"/>
  <c r="DA314" i="1"/>
  <c r="BO184" i="1"/>
  <c r="CK184" i="1" s="1"/>
  <c r="CF332" i="1"/>
  <c r="DB332" i="1" s="1"/>
  <c r="DA332" i="1"/>
  <c r="CF316" i="1"/>
  <c r="DB316" i="1" s="1"/>
  <c r="DA316" i="1"/>
  <c r="CF258" i="1"/>
  <c r="DB258" i="1" s="1"/>
  <c r="DA258" i="1"/>
  <c r="CF241" i="1"/>
  <c r="DB241" i="1" s="1"/>
  <c r="DA241" i="1"/>
  <c r="CF224" i="1"/>
  <c r="DB224" i="1" s="1"/>
  <c r="DA224" i="1"/>
  <c r="CF190" i="1"/>
  <c r="DB190" i="1" s="1"/>
  <c r="DA190" i="1"/>
  <c r="CF105" i="1"/>
  <c r="DB105" i="1" s="1"/>
  <c r="DA105" i="1"/>
  <c r="CF86" i="1"/>
  <c r="DB86" i="1" s="1"/>
  <c r="DA86" i="1"/>
  <c r="CF70" i="1"/>
  <c r="DB70" i="1" s="1"/>
  <c r="DA70" i="1"/>
  <c r="CF45" i="1"/>
  <c r="DB45" i="1" s="1"/>
  <c r="DA45" i="1"/>
  <c r="CF29" i="1"/>
  <c r="DB29" i="1" s="1"/>
  <c r="DA29" i="1"/>
  <c r="CF13" i="1"/>
  <c r="DB13" i="1" s="1"/>
  <c r="DA13" i="1"/>
  <c r="CF184" i="1"/>
  <c r="DB184" i="1" s="1"/>
  <c r="DA184" i="1"/>
  <c r="CF116" i="1"/>
  <c r="DB116" i="1" s="1"/>
  <c r="DA116" i="1"/>
  <c r="CF40" i="1"/>
  <c r="DB40" i="1" s="1"/>
  <c r="DA40" i="1"/>
  <c r="CF329" i="1"/>
  <c r="DB329" i="1" s="1"/>
  <c r="DA329" i="1"/>
  <c r="CF313" i="1"/>
  <c r="DB313" i="1" s="1"/>
  <c r="DA313" i="1"/>
  <c r="CF271" i="1"/>
  <c r="DB271" i="1" s="1"/>
  <c r="DA271" i="1"/>
  <c r="CF238" i="1"/>
  <c r="DB238" i="1" s="1"/>
  <c r="DA238" i="1"/>
  <c r="CF221" i="1"/>
  <c r="DB221" i="1" s="1"/>
  <c r="DA221" i="1"/>
  <c r="CF26" i="1"/>
  <c r="DB26" i="1" s="1"/>
  <c r="DA26" i="1"/>
  <c r="CF104" i="1"/>
  <c r="DB104" i="1" s="1"/>
  <c r="DA104" i="1"/>
  <c r="CF28" i="1"/>
  <c r="DB28" i="1" s="1"/>
  <c r="DA28" i="1"/>
  <c r="CF409" i="1"/>
  <c r="DB409" i="1" s="1"/>
  <c r="DA409" i="1"/>
  <c r="CF171" i="1"/>
  <c r="DB171" i="1" s="1"/>
  <c r="DA171" i="1"/>
  <c r="CF245" i="1"/>
  <c r="DB245" i="1" s="1"/>
  <c r="DA245" i="1"/>
  <c r="CF176" i="1"/>
  <c r="DB176" i="1" s="1"/>
  <c r="DA176" i="1"/>
  <c r="CF109" i="1"/>
  <c r="DB109" i="1" s="1"/>
  <c r="DA109" i="1"/>
  <c r="BO157" i="1"/>
  <c r="CK157" i="1" s="1"/>
  <c r="CJ157" i="1"/>
  <c r="CF338" i="1"/>
  <c r="DB338" i="1" s="1"/>
  <c r="DA338" i="1"/>
  <c r="CF264" i="1"/>
  <c r="DB264" i="1" s="1"/>
  <c r="DA264" i="1"/>
  <c r="CF30" i="1"/>
  <c r="DB30" i="1" s="1"/>
  <c r="DA30" i="1"/>
  <c r="CF157" i="1"/>
  <c r="DB157" i="1" s="1"/>
  <c r="DA157" i="1"/>
  <c r="CF16" i="1"/>
  <c r="DB16" i="1" s="1"/>
  <c r="DA16" i="1"/>
  <c r="CF275" i="1"/>
  <c r="DB275" i="1" s="1"/>
  <c r="DA275" i="1"/>
  <c r="DB164" i="1"/>
  <c r="DA164" i="1"/>
  <c r="CF114" i="1"/>
  <c r="DB114" i="1" s="1"/>
  <c r="DA114" i="1"/>
  <c r="BO73" i="1"/>
  <c r="CK73" i="1" s="1"/>
  <c r="CJ73" i="1"/>
  <c r="CF61" i="1"/>
  <c r="DB61" i="1" s="1"/>
  <c r="DA61" i="1"/>
  <c r="CF178" i="1"/>
  <c r="DB178" i="1" s="1"/>
  <c r="DA178" i="1"/>
  <c r="CF127" i="1"/>
  <c r="DB127" i="1" s="1"/>
  <c r="DA127" i="1"/>
  <c r="CF91" i="1"/>
  <c r="DB91" i="1" s="1"/>
  <c r="DA91" i="1"/>
  <c r="CF397" i="1"/>
  <c r="DB397" i="1" s="1"/>
  <c r="DA397" i="1"/>
  <c r="CF14" i="1"/>
  <c r="DB14" i="1" s="1"/>
  <c r="DA14" i="1"/>
  <c r="CF328" i="1"/>
  <c r="DB328" i="1" s="1"/>
  <c r="DA328" i="1"/>
  <c r="CF185" i="1"/>
  <c r="DA185" i="1"/>
  <c r="CF117" i="1"/>
  <c r="DB117" i="1" s="1"/>
  <c r="DA117" i="1"/>
  <c r="CF66" i="1"/>
  <c r="DB66" i="1" s="1"/>
  <c r="DA66" i="1"/>
  <c r="CF25" i="1"/>
  <c r="DB25" i="1" s="1"/>
  <c r="DA25" i="1"/>
  <c r="CF73" i="1"/>
  <c r="DB73" i="1" s="1"/>
  <c r="DA73" i="1"/>
  <c r="CF71" i="1"/>
  <c r="DB71" i="1" s="1"/>
  <c r="DA71" i="1"/>
  <c r="BO28" i="1"/>
  <c r="CK28" i="1" s="1"/>
  <c r="CJ28" i="1"/>
  <c r="CF124" i="1"/>
  <c r="DB124" i="1" s="1"/>
  <c r="DA124" i="1"/>
  <c r="CF48" i="1"/>
  <c r="DB48" i="1" s="1"/>
  <c r="DA48" i="1"/>
  <c r="CF341" i="1"/>
  <c r="DB341" i="1" s="1"/>
  <c r="DA341" i="1"/>
  <c r="CF302" i="1"/>
  <c r="DB302" i="1" s="1"/>
  <c r="DA302" i="1"/>
  <c r="CF267" i="1"/>
  <c r="DB267" i="1" s="1"/>
  <c r="DA267" i="1"/>
  <c r="CF251" i="1"/>
  <c r="DB251" i="1" s="1"/>
  <c r="DA251" i="1"/>
  <c r="CF138" i="1"/>
  <c r="DB138" i="1" s="1"/>
  <c r="DA138" i="1"/>
  <c r="CF106" i="1"/>
  <c r="DB106" i="1" s="1"/>
  <c r="DA106" i="1"/>
  <c r="CF20" i="1"/>
  <c r="DB20" i="1" s="1"/>
  <c r="DA20" i="1"/>
  <c r="CF378" i="1"/>
  <c r="DB378" i="1" s="1"/>
  <c r="DA378" i="1"/>
  <c r="CF239" i="1"/>
  <c r="DB239" i="1" s="1"/>
  <c r="DA239" i="1"/>
  <c r="CF222" i="1"/>
  <c r="DB222" i="1" s="1"/>
  <c r="DA222" i="1"/>
  <c r="CF187" i="1"/>
  <c r="DB187" i="1" s="1"/>
  <c r="DA187" i="1"/>
  <c r="CF170" i="1"/>
  <c r="DB170" i="1" s="1"/>
  <c r="DA170" i="1"/>
  <c r="CF84" i="1"/>
  <c r="DB84" i="1" s="1"/>
  <c r="DA84" i="1"/>
  <c r="CF68" i="1"/>
  <c r="DB68" i="1" s="1"/>
  <c r="DA68" i="1"/>
  <c r="CF43" i="1"/>
  <c r="DB43" i="1" s="1"/>
  <c r="DA43" i="1"/>
  <c r="CF27" i="1"/>
  <c r="DB27" i="1" s="1"/>
  <c r="DA27" i="1"/>
  <c r="CF63" i="1"/>
  <c r="DB63" i="1" s="1"/>
  <c r="DA63" i="1"/>
  <c r="CF167" i="1"/>
  <c r="DB167" i="1" s="1"/>
  <c r="DA167" i="1"/>
  <c r="CF399" i="1"/>
  <c r="DB399" i="1" s="1"/>
  <c r="DA399" i="1"/>
  <c r="BO108" i="1"/>
  <c r="CK108" i="1" s="1"/>
  <c r="CJ108" i="1"/>
  <c r="CF300" i="1"/>
  <c r="DB300" i="1" s="1"/>
  <c r="DA300" i="1"/>
  <c r="CF265" i="1"/>
  <c r="DB265" i="1" s="1"/>
  <c r="DA265" i="1"/>
  <c r="CF249" i="1"/>
  <c r="DB249" i="1" s="1"/>
  <c r="DA249" i="1"/>
  <c r="CF85" i="1"/>
  <c r="DB85" i="1" s="1"/>
  <c r="DA85" i="1"/>
  <c r="CF334" i="1"/>
  <c r="DB334" i="1" s="1"/>
  <c r="DA334" i="1"/>
  <c r="CF318" i="1"/>
  <c r="DB318" i="1" s="1"/>
  <c r="DA318" i="1"/>
  <c r="CF276" i="1"/>
  <c r="DB276" i="1" s="1"/>
  <c r="DA276" i="1"/>
  <c r="CF260" i="1"/>
  <c r="DB260" i="1" s="1"/>
  <c r="DA260" i="1"/>
  <c r="CF243" i="1"/>
  <c r="DB243" i="1" s="1"/>
  <c r="DA243" i="1"/>
  <c r="CF226" i="1"/>
  <c r="DB226" i="1" s="1"/>
  <c r="DA226" i="1"/>
  <c r="CF210" i="1"/>
  <c r="DB210" i="1" s="1"/>
  <c r="DA210" i="1"/>
  <c r="CF139" i="1"/>
  <c r="DB139" i="1" s="1"/>
  <c r="DA139" i="1"/>
  <c r="CF107" i="1"/>
  <c r="DB107" i="1" s="1"/>
  <c r="DA107" i="1"/>
  <c r="CF88" i="1"/>
  <c r="DB88" i="1" s="1"/>
  <c r="DA88" i="1"/>
  <c r="CF72" i="1"/>
  <c r="DB72" i="1" s="1"/>
  <c r="DA72" i="1"/>
  <c r="CF15" i="1"/>
  <c r="DB15" i="1" s="1"/>
  <c r="DA15" i="1"/>
  <c r="CF417" i="1"/>
  <c r="DA417" i="1"/>
  <c r="CF162" i="1"/>
  <c r="DB162" i="1" s="1"/>
  <c r="DA162" i="1"/>
  <c r="CF128" i="1"/>
  <c r="DB128" i="1" s="1"/>
  <c r="DA128" i="1"/>
  <c r="CF403" i="1"/>
  <c r="DB403" i="1" s="1"/>
  <c r="DA403" i="1"/>
  <c r="CF356" i="1"/>
  <c r="DB356" i="1" s="1"/>
  <c r="DA356" i="1"/>
  <c r="CF46" i="1"/>
  <c r="DB46" i="1" s="1"/>
  <c r="DA46" i="1"/>
  <c r="CF358" i="1"/>
  <c r="DB358" i="1" s="1"/>
  <c r="DA358" i="1"/>
  <c r="CF297" i="1"/>
  <c r="DB297" i="1" s="1"/>
  <c r="DA297" i="1"/>
  <c r="CF141" i="1"/>
  <c r="DB141" i="1" s="1"/>
  <c r="DA141" i="1"/>
  <c r="BO48" i="1"/>
  <c r="CK48" i="1" s="1"/>
  <c r="CJ48" i="1"/>
  <c r="CF304" i="1"/>
  <c r="DB304" i="1" s="1"/>
  <c r="DA304" i="1"/>
  <c r="CF236" i="1"/>
  <c r="DB236" i="1" s="1"/>
  <c r="DA236" i="1"/>
  <c r="BO142" i="1"/>
  <c r="CK142" i="1" s="1"/>
  <c r="CJ142" i="1"/>
  <c r="CF374" i="1"/>
  <c r="DB374" i="1" s="1"/>
  <c r="DA374" i="1"/>
  <c r="CF282" i="1"/>
  <c r="DB282" i="1" s="1"/>
  <c r="DA282" i="1"/>
  <c r="CF38" i="1"/>
  <c r="DB38" i="1" s="1"/>
  <c r="DA38" i="1"/>
  <c r="BO104" i="1"/>
  <c r="CK104" i="1" s="1"/>
  <c r="CJ104" i="1"/>
  <c r="CF362" i="1"/>
  <c r="DB362" i="1" s="1"/>
  <c r="DA362" i="1"/>
  <c r="CF340" i="1"/>
  <c r="DB340" i="1" s="1"/>
  <c r="DA340" i="1"/>
  <c r="CF266" i="1"/>
  <c r="DB266" i="1" s="1"/>
  <c r="DA266" i="1"/>
  <c r="CF250" i="1"/>
  <c r="DB250" i="1" s="1"/>
  <c r="DA250" i="1"/>
  <c r="CF199" i="1"/>
  <c r="DB199" i="1" s="1"/>
  <c r="DA199" i="1"/>
  <c r="CF180" i="1"/>
  <c r="DB180" i="1" s="1"/>
  <c r="DA180" i="1"/>
  <c r="CF163" i="1"/>
  <c r="DB163" i="1" s="1"/>
  <c r="DA163" i="1"/>
  <c r="CF129" i="1"/>
  <c r="DA129" i="1"/>
  <c r="CF94" i="1"/>
  <c r="DB94" i="1" s="1"/>
  <c r="DA94" i="1"/>
  <c r="CF21" i="1"/>
  <c r="DB21" i="1" s="1"/>
  <c r="DA21" i="1"/>
  <c r="CF149" i="1"/>
  <c r="DB149" i="1" s="1"/>
  <c r="DA149" i="1"/>
  <c r="CF337" i="1"/>
  <c r="DB337" i="1" s="1"/>
  <c r="DA337" i="1"/>
  <c r="CF298" i="1"/>
  <c r="DB298" i="1" s="1"/>
  <c r="DA298" i="1"/>
  <c r="CF281" i="1"/>
  <c r="DA281" i="1"/>
  <c r="CF263" i="1"/>
  <c r="DB263" i="1" s="1"/>
  <c r="DA263" i="1"/>
  <c r="CF247" i="1"/>
  <c r="DB247" i="1" s="1"/>
  <c r="DA247" i="1"/>
  <c r="CF213" i="1"/>
  <c r="DB213" i="1" s="1"/>
  <c r="DA213" i="1"/>
  <c r="BO40" i="1"/>
  <c r="CK40" i="1" s="1"/>
  <c r="CJ40" i="1"/>
  <c r="BO63" i="1"/>
  <c r="CK63" i="1" s="1"/>
  <c r="CJ63" i="1"/>
  <c r="CI185" i="1"/>
  <c r="CI281" i="1"/>
  <c r="N46" i="2"/>
  <c r="CF352" i="1"/>
  <c r="DB352" i="1" s="1"/>
  <c r="DA352" i="1"/>
  <c r="CF415" i="1"/>
  <c r="DB415" i="1" s="1"/>
  <c r="DA415" i="1"/>
  <c r="CI417" i="1"/>
  <c r="CF280" i="1"/>
  <c r="DB280" i="1" s="1"/>
  <c r="DA280" i="1"/>
  <c r="CF212" i="1"/>
  <c r="DB212" i="1" s="1"/>
  <c r="DA212" i="1"/>
  <c r="CF158" i="1"/>
  <c r="DB158" i="1" s="1"/>
  <c r="DA158" i="1"/>
  <c r="CF90" i="1"/>
  <c r="DB90" i="1" s="1"/>
  <c r="DA90" i="1"/>
  <c r="CF108" i="1"/>
  <c r="DB108" i="1" s="1"/>
  <c r="DA108" i="1"/>
  <c r="BO83" i="1"/>
  <c r="CK83" i="1" s="1"/>
  <c r="CJ83" i="1"/>
  <c r="CF327" i="1"/>
  <c r="DB327" i="1" s="1"/>
  <c r="DA327" i="1"/>
  <c r="CF269" i="1"/>
  <c r="DB269" i="1" s="1"/>
  <c r="DA269" i="1"/>
  <c r="CF219" i="1"/>
  <c r="DB219" i="1" s="1"/>
  <c r="DA219" i="1"/>
  <c r="BO186" i="1"/>
  <c r="CK186" i="1" s="1"/>
  <c r="CJ186" i="1"/>
  <c r="CF333" i="1"/>
  <c r="DB333" i="1" s="1"/>
  <c r="DA333" i="1"/>
  <c r="CF242" i="1"/>
  <c r="DB242" i="1" s="1"/>
  <c r="DA242" i="1"/>
  <c r="CF130" i="1"/>
  <c r="DB130" i="1" s="1"/>
  <c r="DA130" i="1"/>
  <c r="BO16" i="1"/>
  <c r="CK16" i="1" s="1"/>
  <c r="CJ16" i="1"/>
  <c r="CF161" i="1"/>
  <c r="DB161" i="1" s="1"/>
  <c r="DA161" i="1"/>
  <c r="CF42" i="1"/>
  <c r="DB42" i="1" s="1"/>
  <c r="DA42" i="1"/>
  <c r="BO65" i="1"/>
  <c r="CK65" i="1" s="1"/>
  <c r="CJ65" i="1"/>
  <c r="CF331" i="1"/>
  <c r="DB331" i="1" s="1"/>
  <c r="DA331" i="1"/>
  <c r="CF315" i="1"/>
  <c r="DB315" i="1" s="1"/>
  <c r="DA315" i="1"/>
  <c r="CF273" i="1"/>
  <c r="DB273" i="1" s="1"/>
  <c r="DA273" i="1"/>
  <c r="CF257" i="1"/>
  <c r="DB257" i="1" s="1"/>
  <c r="DA257" i="1"/>
  <c r="CF240" i="1"/>
  <c r="DB240" i="1" s="1"/>
  <c r="DA240" i="1"/>
  <c r="CF223" i="1"/>
  <c r="DB223" i="1" s="1"/>
  <c r="DA223" i="1"/>
  <c r="CF44" i="1"/>
  <c r="DB44" i="1" s="1"/>
  <c r="DA44" i="1"/>
  <c r="BO159" i="1"/>
  <c r="CK159" i="1" s="1"/>
  <c r="CJ159" i="1"/>
  <c r="CF364" i="1"/>
  <c r="DB364" i="1" s="1"/>
  <c r="DA364" i="1"/>
  <c r="CF342" i="1"/>
  <c r="DB342" i="1" s="1"/>
  <c r="DA342" i="1"/>
  <c r="CF326" i="1"/>
  <c r="DB326" i="1" s="1"/>
  <c r="DA326" i="1"/>
  <c r="CF303" i="1"/>
  <c r="DB303" i="1" s="1"/>
  <c r="DA303" i="1"/>
  <c r="CF268" i="1"/>
  <c r="DB268" i="1" s="1"/>
  <c r="DA268" i="1"/>
  <c r="CF252" i="1"/>
  <c r="DB252" i="1" s="1"/>
  <c r="DA252" i="1"/>
  <c r="CF201" i="1"/>
  <c r="DB201" i="1" s="1"/>
  <c r="DA201" i="1"/>
  <c r="CF183" i="1"/>
  <c r="DB183" i="1" s="1"/>
  <c r="DA183" i="1"/>
  <c r="CF166" i="1"/>
  <c r="DB166" i="1" s="1"/>
  <c r="DA166" i="1"/>
  <c r="CF148" i="1"/>
  <c r="DB148" i="1" s="1"/>
  <c r="DA148" i="1"/>
  <c r="CF115" i="1"/>
  <c r="DB115" i="1" s="1"/>
  <c r="DA115" i="1"/>
  <c r="CF80" i="1"/>
  <c r="DB80" i="1" s="1"/>
  <c r="DA80" i="1"/>
  <c r="CF64" i="1"/>
  <c r="DB64" i="1" s="1"/>
  <c r="DA64" i="1"/>
  <c r="CF39" i="1"/>
  <c r="DB39" i="1" s="1"/>
  <c r="DA39" i="1"/>
  <c r="CI129" i="1"/>
  <c r="CF179" i="1"/>
  <c r="DB179" i="1" s="1"/>
  <c r="DA179" i="1"/>
  <c r="CF188" i="1"/>
  <c r="DB188" i="1" s="1"/>
  <c r="DA188" i="1"/>
  <c r="CI416" i="1"/>
  <c r="N24" i="2"/>
  <c r="BN162" i="1"/>
  <c r="BN404" i="1"/>
  <c r="BN375" i="1"/>
  <c r="BN147" i="1"/>
  <c r="BS89" i="1"/>
  <c r="AVB89" i="1" s="1"/>
  <c r="BN397" i="1"/>
  <c r="BN316" i="1"/>
  <c r="BN241" i="1"/>
  <c r="BN105" i="1"/>
  <c r="BN70" i="1"/>
  <c r="BN29" i="1"/>
  <c r="CE200" i="1"/>
  <c r="CE414" i="1"/>
  <c r="BN304" i="1"/>
  <c r="BN265" i="1"/>
  <c r="BN374" i="1"/>
  <c r="BN338" i="1"/>
  <c r="BN314" i="1"/>
  <c r="BN299" i="1"/>
  <c r="BN264" i="1"/>
  <c r="BN222" i="1"/>
  <c r="BN187" i="1"/>
  <c r="BN84" i="1"/>
  <c r="BN43" i="1"/>
  <c r="CE351" i="1"/>
  <c r="CE335" i="1"/>
  <c r="AA165" i="12" s="1"/>
  <c r="CE211" i="1"/>
  <c r="BN377" i="1"/>
  <c r="BN341" i="1"/>
  <c r="BN302" i="1"/>
  <c r="BN267" i="1"/>
  <c r="BN411" i="1"/>
  <c r="BS28" i="1"/>
  <c r="BN399" i="1"/>
  <c r="BN410" i="1"/>
  <c r="BN362" i="1"/>
  <c r="BN328" i="1"/>
  <c r="BN245" i="1"/>
  <c r="BN212" i="1"/>
  <c r="BN176" i="1"/>
  <c r="BN141" i="1"/>
  <c r="BN109" i="1"/>
  <c r="BN74" i="1"/>
  <c r="CE204" i="1"/>
  <c r="CE186" i="1"/>
  <c r="CE169" i="1"/>
  <c r="CE118" i="1"/>
  <c r="BN219" i="1"/>
  <c r="CE412" i="1"/>
  <c r="BN300" i="1"/>
  <c r="BN261" i="1"/>
  <c r="BN227" i="1"/>
  <c r="BN318" i="1"/>
  <c r="BN276" i="1"/>
  <c r="BN252" i="1"/>
  <c r="BN243" i="1"/>
  <c r="BN210" i="1"/>
  <c r="BN139" i="1"/>
  <c r="BN107" i="1"/>
  <c r="BN72" i="1"/>
  <c r="BN361" i="1"/>
  <c r="BN363" i="1"/>
  <c r="BN329" i="1"/>
  <c r="BN221" i="1"/>
  <c r="BS38" i="1"/>
  <c r="BS14" i="1"/>
  <c r="BN412" i="1"/>
  <c r="BN358" i="1"/>
  <c r="BN250" i="1"/>
  <c r="BN180" i="1"/>
  <c r="CE377" i="1"/>
  <c r="BN223" i="1"/>
  <c r="BN188" i="1"/>
  <c r="BN273" i="1"/>
  <c r="BN240" i="1"/>
  <c r="BN196" i="1"/>
  <c r="BN161" i="1"/>
  <c r="BN127" i="1"/>
  <c r="BN92" i="1"/>
  <c r="BN335" i="1"/>
  <c r="BN317" i="1"/>
  <c r="BN275" i="1"/>
  <c r="BN242" i="1"/>
  <c r="BN209" i="1"/>
  <c r="BN138" i="1"/>
  <c r="BN403" i="1"/>
  <c r="BN179" i="1"/>
  <c r="BN414" i="1"/>
  <c r="BN409" i="1"/>
  <c r="BN336" i="1"/>
  <c r="BN297" i="1"/>
  <c r="BN262" i="1"/>
  <c r="BN185" i="1"/>
  <c r="BN117" i="1"/>
  <c r="BN82" i="1"/>
  <c r="BN41" i="1"/>
  <c r="CE396" i="1"/>
  <c r="CE404" i="1"/>
  <c r="BN315" i="1"/>
  <c r="BN269" i="1"/>
  <c r="BN236" i="1"/>
  <c r="BN360" i="1"/>
  <c r="BN326" i="1"/>
  <c r="BN183" i="1"/>
  <c r="BN148" i="1"/>
  <c r="BN115" i="1"/>
  <c r="BN80" i="1"/>
  <c r="BN39" i="1"/>
  <c r="CE375" i="1"/>
  <c r="BN337" i="1"/>
  <c r="BN298" i="1"/>
  <c r="BN263" i="1"/>
  <c r="BN396" i="1"/>
  <c r="BN416" i="1"/>
  <c r="J138" i="12" s="1"/>
  <c r="BN181" i="1"/>
  <c r="BN114" i="1"/>
  <c r="BN332" i="1"/>
  <c r="BN258" i="1"/>
  <c r="BN224" i="1"/>
  <c r="BN190" i="1"/>
  <c r="BN86" i="1"/>
  <c r="BN45" i="1"/>
  <c r="BN13" i="1"/>
  <c r="CE209" i="1"/>
  <c r="CE87" i="1"/>
  <c r="BN197" i="1"/>
  <c r="BN93" i="1"/>
  <c r="CE410" i="1"/>
  <c r="BN327" i="1"/>
  <c r="BN249" i="1"/>
  <c r="BN395" i="1"/>
  <c r="BN364" i="1"/>
  <c r="BN356" i="1"/>
  <c r="BN330" i="1"/>
  <c r="BN282" i="1"/>
  <c r="BN239" i="1"/>
  <c r="BN170" i="1"/>
  <c r="BN68" i="1"/>
  <c r="BN27" i="1"/>
  <c r="CE361" i="1"/>
  <c r="CE202" i="1"/>
  <c r="BN351" i="1"/>
  <c r="BN359" i="1"/>
  <c r="BN251" i="1"/>
  <c r="BN85" i="1"/>
  <c r="BN417" i="1"/>
  <c r="BN305" i="1"/>
  <c r="BN270" i="1"/>
  <c r="BN158" i="1"/>
  <c r="BN125" i="1"/>
  <c r="BN90" i="1"/>
  <c r="BN17" i="1"/>
  <c r="CE177" i="1"/>
  <c r="CE159" i="1"/>
  <c r="CE142" i="1"/>
  <c r="CE126" i="1"/>
  <c r="BN202" i="1"/>
  <c r="BN171" i="1"/>
  <c r="BN277" i="1"/>
  <c r="BN244" i="1"/>
  <c r="BN378" i="1"/>
  <c r="BN334" i="1"/>
  <c r="BN260" i="1"/>
  <c r="BN226" i="1"/>
  <c r="BN88" i="1"/>
  <c r="BN15" i="1"/>
  <c r="BN296" i="1"/>
  <c r="BN313" i="1"/>
  <c r="BN271" i="1"/>
  <c r="BN238" i="1"/>
  <c r="BN415" i="1"/>
  <c r="BN128" i="1"/>
  <c r="BN357" i="1"/>
  <c r="BN379" i="1"/>
  <c r="BN376" i="1"/>
  <c r="BN340" i="1"/>
  <c r="BN266" i="1"/>
  <c r="BN199" i="1"/>
  <c r="BN163" i="1"/>
  <c r="BN129" i="1"/>
  <c r="BN94" i="1"/>
  <c r="BN21" i="1"/>
  <c r="CE359" i="1"/>
  <c r="CE402" i="1"/>
  <c r="BN339" i="1"/>
  <c r="BN257" i="1"/>
  <c r="BN248" i="1"/>
  <c r="BN178" i="1"/>
  <c r="BN143" i="1"/>
  <c r="CE394" i="1"/>
  <c r="BN333" i="1"/>
  <c r="BN259" i="1"/>
  <c r="BN225" i="1"/>
  <c r="BN106" i="1"/>
  <c r="BN402" i="1"/>
  <c r="BN365" i="1"/>
  <c r="BN394" i="1"/>
  <c r="BN200" i="1"/>
  <c r="BN130" i="1"/>
  <c r="BN352" i="1"/>
  <c r="BN280" i="1"/>
  <c r="BN203" i="1"/>
  <c r="BN168" i="1"/>
  <c r="BN66" i="1"/>
  <c r="BN25" i="1"/>
  <c r="CE363" i="1"/>
  <c r="BN211" i="1"/>
  <c r="CE416" i="1"/>
  <c r="AA138" i="12" s="1"/>
  <c r="BN331" i="1"/>
  <c r="BN253" i="1"/>
  <c r="BN342" i="1"/>
  <c r="BN303" i="1"/>
  <c r="BN268" i="1"/>
  <c r="BN201" i="1"/>
  <c r="BN166" i="1"/>
  <c r="BN64" i="1"/>
  <c r="CE357" i="1"/>
  <c r="CE339" i="1"/>
  <c r="CE197" i="1"/>
  <c r="BN355" i="1"/>
  <c r="BN281" i="1"/>
  <c r="BN247" i="1"/>
  <c r="BN213" i="1"/>
  <c r="BN87" i="1"/>
  <c r="CE379" i="1"/>
  <c r="AVB145" i="1" l="1"/>
  <c r="W102" i="12"/>
  <c r="CJ14" i="1"/>
  <c r="AW205" i="1"/>
  <c r="BS205" i="1" s="1"/>
  <c r="CO205" i="1" s="1"/>
  <c r="AG16" i="15"/>
  <c r="AG21" i="15" s="1"/>
  <c r="DF16" i="15"/>
  <c r="AP383" i="1"/>
  <c r="Y102" i="12"/>
  <c r="AP384" i="1"/>
  <c r="CJ18" i="1"/>
  <c r="CJ167" i="1"/>
  <c r="BO149" i="1"/>
  <c r="CK149" i="1" s="1"/>
  <c r="V174" i="12"/>
  <c r="AP228" i="1"/>
  <c r="BL301" i="1"/>
  <c r="AP353" i="1"/>
  <c r="BO61" i="1"/>
  <c r="CK61" i="1" s="1"/>
  <c r="Q102" i="12"/>
  <c r="U102" i="12"/>
  <c r="BL237" i="1"/>
  <c r="AVB343" i="1"/>
  <c r="AW290" i="1"/>
  <c r="BS290" i="1" s="1"/>
  <c r="CO290" i="1" s="1"/>
  <c r="BL96" i="1"/>
  <c r="AR96" i="1"/>
  <c r="AS96" i="1" s="1"/>
  <c r="BM96" i="1"/>
  <c r="X102" i="12"/>
  <c r="AVM367" i="1"/>
  <c r="AVN367" i="1" s="1"/>
  <c r="AVO367" i="1" s="1"/>
  <c r="CE367" i="1"/>
  <c r="CF367" i="1" s="1"/>
  <c r="BS367" i="1"/>
  <c r="CH367" i="1" s="1"/>
  <c r="AVQ367" i="1" s="1"/>
  <c r="BL367" i="1"/>
  <c r="Y6" i="1"/>
  <c r="AU6" i="1" s="1"/>
  <c r="BQ6" i="1" s="1"/>
  <c r="AUZ6" i="1" s="1"/>
  <c r="Y384" i="1"/>
  <c r="AU384" i="1" s="1"/>
  <c r="BQ384" i="1" s="1"/>
  <c r="AUZ384" i="1" s="1"/>
  <c r="Y383" i="1"/>
  <c r="AU383" i="1" s="1"/>
  <c r="BQ383" i="1" s="1"/>
  <c r="AUZ383" i="1" s="1"/>
  <c r="Y353" i="1"/>
  <c r="AU353" i="1" s="1"/>
  <c r="BQ353" i="1" s="1"/>
  <c r="AP62" i="1"/>
  <c r="AVC353" i="1"/>
  <c r="AVB353" i="1" s="1"/>
  <c r="CP353" i="1"/>
  <c r="AUZ10" i="1"/>
  <c r="CM10" i="1"/>
  <c r="BI383" i="1"/>
  <c r="BJ383" i="1" s="1"/>
  <c r="CD383" i="1"/>
  <c r="CJ38" i="1"/>
  <c r="BM384" i="1"/>
  <c r="AR384" i="1"/>
  <c r="AS384" i="1" s="1"/>
  <c r="BL384" i="1"/>
  <c r="CD353" i="1"/>
  <c r="BI353" i="1"/>
  <c r="BJ353" i="1" s="1"/>
  <c r="CJ126" i="1"/>
  <c r="CJ20" i="1"/>
  <c r="CJ67" i="1"/>
  <c r="BI6" i="1"/>
  <c r="BJ6" i="1" s="1"/>
  <c r="CD6" i="1"/>
  <c r="BI384" i="1"/>
  <c r="BJ384" i="1" s="1"/>
  <c r="CD384" i="1"/>
  <c r="AP6" i="1"/>
  <c r="AW6" i="1"/>
  <c r="BS6" i="1" s="1"/>
  <c r="AR6" i="1"/>
  <c r="AS6" i="1" s="1"/>
  <c r="BM6" i="1"/>
  <c r="BM353" i="1"/>
  <c r="AR353" i="1"/>
  <c r="AS353" i="1" s="1"/>
  <c r="BL353" i="1"/>
  <c r="DD96" i="1"/>
  <c r="AVQ96" i="1"/>
  <c r="BM383" i="1"/>
  <c r="AR383" i="1"/>
  <c r="AS383" i="1" s="1"/>
  <c r="BL383" i="1"/>
  <c r="AVB131" i="1"/>
  <c r="CM164" i="1"/>
  <c r="AW35" i="1"/>
  <c r="BS35" i="1" s="1"/>
  <c r="CO35" i="1" s="1"/>
  <c r="CL289" i="1"/>
  <c r="AUY289" i="1"/>
  <c r="CP284" i="1"/>
  <c r="AVC284" i="1"/>
  <c r="AVB284" i="1" s="1"/>
  <c r="CP290" i="1"/>
  <c r="AVC290" i="1"/>
  <c r="AVB290" i="1" s="1"/>
  <c r="CP12" i="1"/>
  <c r="AVC12" i="1"/>
  <c r="AVB12" i="1" s="1"/>
  <c r="CP77" i="1"/>
  <c r="AVC77" i="1"/>
  <c r="AVB77" i="1" s="1"/>
  <c r="CL370" i="1"/>
  <c r="AUY370" i="1"/>
  <c r="CL372" i="1"/>
  <c r="AUY372" i="1"/>
  <c r="CL110" i="1"/>
  <c r="AUY110" i="1"/>
  <c r="CP111" i="1"/>
  <c r="AVC111" i="1"/>
  <c r="AVB111" i="1" s="1"/>
  <c r="CP205" i="1"/>
  <c r="AVC205" i="1"/>
  <c r="AVB205" i="1" s="1"/>
  <c r="CP272" i="1"/>
  <c r="AVC272" i="1"/>
  <c r="AVB272" i="1" s="1"/>
  <c r="CP401" i="1"/>
  <c r="AVC401" i="1"/>
  <c r="AVB401" i="1" s="1"/>
  <c r="P129" i="12"/>
  <c r="AVC423" i="1"/>
  <c r="AVB423" i="1" s="1"/>
  <c r="CL407" i="1"/>
  <c r="AUY407" i="1"/>
  <c r="CL344" i="1"/>
  <c r="AUY344" i="1"/>
  <c r="CL137" i="1"/>
  <c r="AUY137" i="1"/>
  <c r="CL33" i="1"/>
  <c r="AUY33" i="1"/>
  <c r="CL102" i="1"/>
  <c r="AUY102" i="1"/>
  <c r="CP11" i="1"/>
  <c r="AVC11" i="1"/>
  <c r="AVB11" i="1" s="1"/>
  <c r="CP103" i="1"/>
  <c r="AVC103" i="1"/>
  <c r="AVB103" i="1" s="1"/>
  <c r="CP194" i="1"/>
  <c r="AVC194" i="1"/>
  <c r="AVB194" i="1" s="1"/>
  <c r="CP293" i="1"/>
  <c r="AVC293" i="1"/>
  <c r="AVB293" i="1" s="1"/>
  <c r="CP350" i="1"/>
  <c r="AVC350" i="1"/>
  <c r="AVB350" i="1" s="1"/>
  <c r="CP407" i="1"/>
  <c r="AVC407" i="1"/>
  <c r="AVB407" i="1" s="1"/>
  <c r="CP207" i="1"/>
  <c r="AVC207" i="1"/>
  <c r="AVB207" i="1" s="1"/>
  <c r="CP322" i="1"/>
  <c r="AVC322" i="1"/>
  <c r="AVB322" i="1" s="1"/>
  <c r="CP413" i="1"/>
  <c r="AVC413" i="1"/>
  <c r="AVB413" i="1" s="1"/>
  <c r="CP110" i="1"/>
  <c r="AVC110" i="1"/>
  <c r="AVB110" i="1" s="1"/>
  <c r="CP371" i="1"/>
  <c r="AVC371" i="1"/>
  <c r="AVB371" i="1" s="1"/>
  <c r="CM70" i="1"/>
  <c r="AUZ70" i="1"/>
  <c r="CM71" i="1"/>
  <c r="AUZ71" i="1"/>
  <c r="CM266" i="1"/>
  <c r="AUZ266" i="1"/>
  <c r="CM163" i="1"/>
  <c r="AUZ163" i="1"/>
  <c r="CM299" i="1"/>
  <c r="AUZ299" i="1"/>
  <c r="CM196" i="1"/>
  <c r="AUZ196" i="1"/>
  <c r="CM394" i="1"/>
  <c r="AUZ394" i="1"/>
  <c r="CM263" i="1"/>
  <c r="AUZ263" i="1"/>
  <c r="CM221" i="1"/>
  <c r="AUZ221" i="1"/>
  <c r="CM159" i="1"/>
  <c r="AUZ159" i="1"/>
  <c r="CM409" i="1"/>
  <c r="AUZ409" i="1"/>
  <c r="CM141" i="1"/>
  <c r="AUZ141" i="1"/>
  <c r="CM45" i="1"/>
  <c r="AUZ45" i="1"/>
  <c r="CM356" i="1"/>
  <c r="AUZ356" i="1"/>
  <c r="CM161" i="1"/>
  <c r="AUZ161" i="1"/>
  <c r="CM43" i="1"/>
  <c r="AUZ43" i="1"/>
  <c r="CM363" i="1"/>
  <c r="AUZ363" i="1"/>
  <c r="CM313" i="1"/>
  <c r="AUZ313" i="1"/>
  <c r="CM227" i="1"/>
  <c r="AUZ227" i="1"/>
  <c r="CM171" i="1"/>
  <c r="AUZ171" i="1"/>
  <c r="CM140" i="1"/>
  <c r="AUZ140" i="1"/>
  <c r="CM106" i="1"/>
  <c r="AUZ106" i="1"/>
  <c r="CM42" i="1"/>
  <c r="AUZ42" i="1"/>
  <c r="CM357" i="1"/>
  <c r="AUZ357" i="1"/>
  <c r="CM25" i="1"/>
  <c r="AUZ25" i="1"/>
  <c r="CM180" i="1"/>
  <c r="AUZ180" i="1"/>
  <c r="CM280" i="1"/>
  <c r="AUZ280" i="1"/>
  <c r="CM404" i="1"/>
  <c r="AUZ404" i="1"/>
  <c r="CP47" i="1"/>
  <c r="AVC47" i="1"/>
  <c r="AVB47" i="1" s="1"/>
  <c r="CM202" i="1"/>
  <c r="AUZ202" i="1"/>
  <c r="CM314" i="1"/>
  <c r="AUZ314" i="1"/>
  <c r="CM304" i="1"/>
  <c r="AUZ304" i="1"/>
  <c r="CM176" i="1"/>
  <c r="AUZ176" i="1"/>
  <c r="CM114" i="1"/>
  <c r="AUZ114" i="1"/>
  <c r="CM30" i="1"/>
  <c r="AUZ30" i="1"/>
  <c r="CM337" i="1"/>
  <c r="AUZ337" i="1"/>
  <c r="CM300" i="1"/>
  <c r="AUZ300" i="1"/>
  <c r="CM166" i="1"/>
  <c r="AUZ166" i="1"/>
  <c r="CM271" i="1"/>
  <c r="AUZ271" i="1"/>
  <c r="CM125" i="1"/>
  <c r="AUZ125" i="1"/>
  <c r="CM282" i="1"/>
  <c r="AUZ282" i="1"/>
  <c r="CM203" i="1"/>
  <c r="AUZ203" i="1"/>
  <c r="CM213" i="1"/>
  <c r="AUZ213" i="1"/>
  <c r="CM177" i="1"/>
  <c r="AUZ177" i="1"/>
  <c r="CM147" i="1"/>
  <c r="AUZ147" i="1"/>
  <c r="CM115" i="1"/>
  <c r="AUZ115" i="1"/>
  <c r="CM44" i="1"/>
  <c r="AUZ44" i="1"/>
  <c r="CM40" i="1"/>
  <c r="AUZ40" i="1"/>
  <c r="CM63" i="1"/>
  <c r="AUZ63" i="1"/>
  <c r="CP62" i="1"/>
  <c r="AVC62" i="1"/>
  <c r="AVB62" i="1" s="1"/>
  <c r="CP81" i="1"/>
  <c r="AVC81" i="1"/>
  <c r="AVB81" i="1" s="1"/>
  <c r="S156" i="12"/>
  <c r="AVF123" i="1"/>
  <c r="CC457" i="1"/>
  <c r="AVL123" i="1"/>
  <c r="CY274" i="1"/>
  <c r="AVL274" i="1"/>
  <c r="CL151" i="1"/>
  <c r="AUY151" i="1"/>
  <c r="CL290" i="1"/>
  <c r="AUY290" i="1"/>
  <c r="CP33" i="1"/>
  <c r="AVC33" i="1"/>
  <c r="AVB33" i="1" s="1"/>
  <c r="CP133" i="1"/>
  <c r="AVC133" i="1"/>
  <c r="AVB133" i="1" s="1"/>
  <c r="CP154" i="1"/>
  <c r="AVC154" i="1"/>
  <c r="AVB154" i="1" s="1"/>
  <c r="CP256" i="1"/>
  <c r="AVC256" i="1"/>
  <c r="AVB256" i="1" s="1"/>
  <c r="CP295" i="1"/>
  <c r="AVC295" i="1"/>
  <c r="AVB295" i="1" s="1"/>
  <c r="CP389" i="1"/>
  <c r="AVC389" i="1"/>
  <c r="AVB389" i="1" s="1"/>
  <c r="CP120" i="1"/>
  <c r="AVC120" i="1"/>
  <c r="AVB120" i="1" s="1"/>
  <c r="CP136" i="1"/>
  <c r="AVC136" i="1"/>
  <c r="AVB136" i="1" s="1"/>
  <c r="CP193" i="1"/>
  <c r="AVC193" i="1"/>
  <c r="AVB193" i="1" s="1"/>
  <c r="CP255" i="1"/>
  <c r="AVC255" i="1"/>
  <c r="AVB255" i="1" s="1"/>
  <c r="CP294" i="1"/>
  <c r="AVC294" i="1"/>
  <c r="AVB294" i="1" s="1"/>
  <c r="CP390" i="1"/>
  <c r="AVC390" i="1"/>
  <c r="AVB390" i="1" s="1"/>
  <c r="CL229" i="1"/>
  <c r="AUY229" i="1"/>
  <c r="CP370" i="1"/>
  <c r="AVC370" i="1"/>
  <c r="AVB370" i="1" s="1"/>
  <c r="CL413" i="1"/>
  <c r="AUY413" i="1"/>
  <c r="CL321" i="1"/>
  <c r="AUY321" i="1"/>
  <c r="CP49" i="1"/>
  <c r="AVC49" i="1"/>
  <c r="AVB49" i="1" s="1"/>
  <c r="CP50" i="1"/>
  <c r="AVC50" i="1"/>
  <c r="AVB50" i="1" s="1"/>
  <c r="CP173" i="1"/>
  <c r="AVC173" i="1"/>
  <c r="AVB173" i="1" s="1"/>
  <c r="CP321" i="1"/>
  <c r="AVC321" i="1"/>
  <c r="AVB321" i="1" s="1"/>
  <c r="CP373" i="1"/>
  <c r="AVC373" i="1"/>
  <c r="AVB373" i="1" s="1"/>
  <c r="CP289" i="1"/>
  <c r="AVC289" i="1"/>
  <c r="AVB289" i="1" s="1"/>
  <c r="CP345" i="1"/>
  <c r="AVC345" i="1"/>
  <c r="AVB345" i="1" s="1"/>
  <c r="CL348" i="1"/>
  <c r="AUY348" i="1"/>
  <c r="CL37" i="1"/>
  <c r="AUY37" i="1"/>
  <c r="CL134" i="1"/>
  <c r="AUY134" i="1"/>
  <c r="CP79" i="1"/>
  <c r="AVC79" i="1"/>
  <c r="AVB79" i="1" s="1"/>
  <c r="CP122" i="1"/>
  <c r="AVC122" i="1"/>
  <c r="AVB122" i="1" s="1"/>
  <c r="CP153" i="1"/>
  <c r="AVC153" i="1"/>
  <c r="AVB153" i="1" s="1"/>
  <c r="CP195" i="1"/>
  <c r="AVC195" i="1"/>
  <c r="AVB195" i="1" s="1"/>
  <c r="CP285" i="1"/>
  <c r="AVC285" i="1"/>
  <c r="AVB285" i="1" s="1"/>
  <c r="CP347" i="1"/>
  <c r="AVC347" i="1"/>
  <c r="AVB347" i="1" s="1"/>
  <c r="CP392" i="1"/>
  <c r="AVC392" i="1"/>
  <c r="AVB392" i="1" s="1"/>
  <c r="CP235" i="1"/>
  <c r="AVC235" i="1"/>
  <c r="AVB235" i="1" s="1"/>
  <c r="CP229" i="1"/>
  <c r="AVC229" i="1"/>
  <c r="AVB229" i="1" s="1"/>
  <c r="CP51" i="1"/>
  <c r="AVC51" i="1"/>
  <c r="AVB51" i="1" s="1"/>
  <c r="CP174" i="1"/>
  <c r="AVC174" i="1"/>
  <c r="AVB174" i="1" s="1"/>
  <c r="CP206" i="1"/>
  <c r="AVC206" i="1"/>
  <c r="AVB206" i="1" s="1"/>
  <c r="CP323" i="1"/>
  <c r="AVC323" i="1"/>
  <c r="AVB323" i="1" s="1"/>
  <c r="CM74" i="1"/>
  <c r="AUZ74" i="1"/>
  <c r="CM73" i="1"/>
  <c r="AUZ73" i="1"/>
  <c r="CM297" i="1"/>
  <c r="AUZ297" i="1"/>
  <c r="CM224" i="1"/>
  <c r="AUZ224" i="1"/>
  <c r="CM360" i="1"/>
  <c r="AUZ360" i="1"/>
  <c r="CM222" i="1"/>
  <c r="AUZ222" i="1"/>
  <c r="CM15" i="1"/>
  <c r="AUZ15" i="1"/>
  <c r="CM265" i="1"/>
  <c r="AUZ265" i="1"/>
  <c r="CM223" i="1"/>
  <c r="AUZ223" i="1"/>
  <c r="CM38" i="1"/>
  <c r="AUZ38" i="1"/>
  <c r="CM270" i="1"/>
  <c r="AUZ270" i="1"/>
  <c r="CM86" i="1"/>
  <c r="AUZ86" i="1"/>
  <c r="CM364" i="1"/>
  <c r="AUZ364" i="1"/>
  <c r="CM84" i="1"/>
  <c r="AUZ84" i="1"/>
  <c r="CM396" i="1"/>
  <c r="AUZ396" i="1"/>
  <c r="CM317" i="1"/>
  <c r="AUZ317" i="1"/>
  <c r="CM261" i="1"/>
  <c r="AUZ261" i="1"/>
  <c r="CM200" i="1"/>
  <c r="AUZ200" i="1"/>
  <c r="CM142" i="1"/>
  <c r="AUZ142" i="1"/>
  <c r="CM108" i="1"/>
  <c r="AUZ108" i="1"/>
  <c r="CM46" i="1"/>
  <c r="AUZ46" i="1"/>
  <c r="CM358" i="1"/>
  <c r="AUZ358" i="1"/>
  <c r="CM328" i="1"/>
  <c r="AUZ328" i="1"/>
  <c r="CM212" i="1"/>
  <c r="AUZ212" i="1"/>
  <c r="CM251" i="1"/>
  <c r="AUZ251" i="1"/>
  <c r="CM68" i="1"/>
  <c r="AUZ68" i="1"/>
  <c r="CP274" i="1"/>
  <c r="AVC274" i="1"/>
  <c r="CP67" i="1"/>
  <c r="AVC67" i="1"/>
  <c r="AVB67" i="1" s="1"/>
  <c r="CM379" i="1"/>
  <c r="AUZ379" i="1"/>
  <c r="CM397" i="1"/>
  <c r="AUZ397" i="1"/>
  <c r="CM399" i="1"/>
  <c r="AUZ399" i="1"/>
  <c r="CM247" i="1"/>
  <c r="AUZ247" i="1"/>
  <c r="CM190" i="1"/>
  <c r="AUZ190" i="1"/>
  <c r="CM61" i="1"/>
  <c r="AUZ61" i="1"/>
  <c r="CM48" i="1"/>
  <c r="AUZ48" i="1"/>
  <c r="CM376" i="1"/>
  <c r="AUZ376" i="1"/>
  <c r="CM276" i="1"/>
  <c r="AUZ276" i="1"/>
  <c r="CM186" i="1"/>
  <c r="AUZ186" i="1"/>
  <c r="CM130" i="1"/>
  <c r="AUZ130" i="1"/>
  <c r="CM28" i="1"/>
  <c r="AUZ28" i="1"/>
  <c r="CP301" i="1"/>
  <c r="AVC301" i="1"/>
  <c r="AVB301" i="1" s="1"/>
  <c r="CP83" i="1"/>
  <c r="AVC83" i="1"/>
  <c r="AVB83" i="1" s="1"/>
  <c r="CM275" i="1"/>
  <c r="AUZ275" i="1"/>
  <c r="CM244" i="1"/>
  <c r="AUZ244" i="1"/>
  <c r="CM127" i="1"/>
  <c r="AUZ127" i="1"/>
  <c r="CM402" i="1"/>
  <c r="AUZ402" i="1"/>
  <c r="CM248" i="1"/>
  <c r="AUZ248" i="1"/>
  <c r="CM315" i="1"/>
  <c r="AUZ315" i="1"/>
  <c r="CM210" i="1"/>
  <c r="AUZ210" i="1"/>
  <c r="CM20" i="1"/>
  <c r="AUZ20" i="1"/>
  <c r="CM13" i="1"/>
  <c r="AUZ13" i="1"/>
  <c r="CP385" i="1"/>
  <c r="AVC385" i="1"/>
  <c r="AVB385" i="1" s="1"/>
  <c r="CS274" i="1"/>
  <c r="AVF274" i="1"/>
  <c r="CR274" i="1"/>
  <c r="AVE274" i="1"/>
  <c r="R156" i="12"/>
  <c r="AVE123" i="1"/>
  <c r="CQ274" i="1"/>
  <c r="AVD274" i="1"/>
  <c r="CX274" i="1"/>
  <c r="AVK274" i="1"/>
  <c r="CU274" i="1"/>
  <c r="AVH274" i="1"/>
  <c r="CL345" i="1"/>
  <c r="AUY345" i="1"/>
  <c r="CP151" i="1"/>
  <c r="AVC151" i="1"/>
  <c r="AVB151" i="1" s="1"/>
  <c r="CP8" i="1"/>
  <c r="AVC8" i="1"/>
  <c r="AVB8" i="1" s="1"/>
  <c r="CP34" i="1"/>
  <c r="AVC34" i="1"/>
  <c r="AVB34" i="1" s="1"/>
  <c r="CL320" i="1"/>
  <c r="AUY320" i="1"/>
  <c r="CL373" i="1"/>
  <c r="AUY373" i="1"/>
  <c r="CL172" i="1"/>
  <c r="AUY172" i="1"/>
  <c r="CP172" i="1"/>
  <c r="AVC172" i="1"/>
  <c r="AVB172" i="1" s="1"/>
  <c r="CP230" i="1"/>
  <c r="AVC230" i="1"/>
  <c r="AVB230" i="1" s="1"/>
  <c r="CP324" i="1"/>
  <c r="AVC324" i="1"/>
  <c r="AVB324" i="1" s="1"/>
  <c r="CP22" i="1"/>
  <c r="AVC22" i="1"/>
  <c r="AVB22" i="1" s="1"/>
  <c r="CL389" i="1"/>
  <c r="AUY389" i="1"/>
  <c r="CL194" i="1"/>
  <c r="AUY194" i="1"/>
  <c r="CL195" i="1"/>
  <c r="AUY195" i="1"/>
  <c r="CL9" i="1"/>
  <c r="AUY9" i="1"/>
  <c r="CP35" i="1"/>
  <c r="AVC35" i="1"/>
  <c r="AVB35" i="1" s="1"/>
  <c r="CP97" i="1"/>
  <c r="AVC97" i="1"/>
  <c r="AVB97" i="1" s="1"/>
  <c r="CP121" i="1"/>
  <c r="AVC121" i="1"/>
  <c r="AVB121" i="1" s="1"/>
  <c r="CP135" i="1"/>
  <c r="AVC135" i="1"/>
  <c r="AVB135" i="1" s="1"/>
  <c r="CP156" i="1"/>
  <c r="AVC156" i="1"/>
  <c r="AVB156" i="1" s="1"/>
  <c r="CP216" i="1"/>
  <c r="AVC216" i="1"/>
  <c r="AVB216" i="1" s="1"/>
  <c r="CP287" i="1"/>
  <c r="AVC287" i="1"/>
  <c r="AVB287" i="1" s="1"/>
  <c r="CP344" i="1"/>
  <c r="AVC344" i="1"/>
  <c r="AVB344" i="1" s="1"/>
  <c r="CP391" i="1"/>
  <c r="AVC391" i="1"/>
  <c r="AVB391" i="1" s="1"/>
  <c r="CP9" i="1"/>
  <c r="AVC9" i="1"/>
  <c r="AVB9" i="1" s="1"/>
  <c r="CP23" i="1"/>
  <c r="AVC23" i="1"/>
  <c r="AVB23" i="1" s="1"/>
  <c r="CP232" i="1"/>
  <c r="AVC232" i="1"/>
  <c r="AVB232" i="1" s="1"/>
  <c r="CP372" i="1"/>
  <c r="AVC372" i="1"/>
  <c r="AVB372" i="1" s="1"/>
  <c r="CP24" i="1"/>
  <c r="AVC24" i="1"/>
  <c r="AVB24" i="1" s="1"/>
  <c r="CM305" i="1"/>
  <c r="AUZ305" i="1"/>
  <c r="CM258" i="1"/>
  <c r="AUZ258" i="1"/>
  <c r="CM82" i="1"/>
  <c r="AUZ82" i="1"/>
  <c r="CM260" i="1"/>
  <c r="AUZ260" i="1"/>
  <c r="CM39" i="1"/>
  <c r="AUZ39" i="1"/>
  <c r="CM296" i="1"/>
  <c r="AUZ296" i="1"/>
  <c r="CM257" i="1"/>
  <c r="AUZ257" i="1"/>
  <c r="CM167" i="1"/>
  <c r="AUZ167" i="1"/>
  <c r="CM104" i="1"/>
  <c r="AUZ104" i="1"/>
  <c r="CM316" i="1"/>
  <c r="AUZ316" i="1"/>
  <c r="CM105" i="1"/>
  <c r="AUZ105" i="1"/>
  <c r="CM395" i="1"/>
  <c r="AUZ395" i="1"/>
  <c r="CM226" i="1"/>
  <c r="AUZ226" i="1"/>
  <c r="CM410" i="1"/>
  <c r="AUZ410" i="1"/>
  <c r="CM359" i="1"/>
  <c r="AUZ359" i="1"/>
  <c r="CM204" i="1"/>
  <c r="AUZ204" i="1"/>
  <c r="CM162" i="1"/>
  <c r="AUZ162" i="1"/>
  <c r="CM128" i="1"/>
  <c r="AUZ128" i="1"/>
  <c r="CM85" i="1"/>
  <c r="AUZ85" i="1"/>
  <c r="CM332" i="1"/>
  <c r="AUZ332" i="1"/>
  <c r="CM250" i="1"/>
  <c r="AUZ250" i="1"/>
  <c r="CM339" i="1"/>
  <c r="AUZ339" i="1"/>
  <c r="CM183" i="1"/>
  <c r="AUZ183" i="1"/>
  <c r="CM149" i="1"/>
  <c r="AUZ149" i="1"/>
  <c r="CP113" i="1"/>
  <c r="AVC113" i="1"/>
  <c r="AVB113" i="1" s="1"/>
  <c r="CM338" i="1"/>
  <c r="AUZ338" i="1"/>
  <c r="CM274" i="1"/>
  <c r="AUZ274" i="1"/>
  <c r="CP19" i="1"/>
  <c r="AVC19" i="1"/>
  <c r="AVB19" i="1" s="1"/>
  <c r="CM273" i="1"/>
  <c r="AUZ273" i="1"/>
  <c r="CM238" i="1"/>
  <c r="AUZ238" i="1"/>
  <c r="CM249" i="1"/>
  <c r="AUZ249" i="1"/>
  <c r="CP31" i="1"/>
  <c r="AVC31" i="1"/>
  <c r="AVB31" i="1" s="1"/>
  <c r="CP365" i="1"/>
  <c r="AVC365" i="1"/>
  <c r="AVB365" i="1" s="1"/>
  <c r="CU123" i="1"/>
  <c r="AVH123" i="1"/>
  <c r="AVN181" i="1"/>
  <c r="AVO181" i="1" s="1"/>
  <c r="CL284" i="1"/>
  <c r="AUY284" i="1"/>
  <c r="CP37" i="1"/>
  <c r="AVC37" i="1"/>
  <c r="AVB37" i="1" s="1"/>
  <c r="CP101" i="1"/>
  <c r="AVC101" i="1"/>
  <c r="AVB101" i="1" s="1"/>
  <c r="CP137" i="1"/>
  <c r="AVC137" i="1"/>
  <c r="AVB137" i="1" s="1"/>
  <c r="CP192" i="1"/>
  <c r="AVC192" i="1"/>
  <c r="AVB192" i="1" s="1"/>
  <c r="CP218" i="1"/>
  <c r="AVC218" i="1"/>
  <c r="AVB218" i="1" s="1"/>
  <c r="CP291" i="1"/>
  <c r="AVC291" i="1"/>
  <c r="AVB291" i="1" s="1"/>
  <c r="CP348" i="1"/>
  <c r="AVC348" i="1"/>
  <c r="AVB348" i="1" s="1"/>
  <c r="CP393" i="1"/>
  <c r="AVC393" i="1"/>
  <c r="AVB393" i="1" s="1"/>
  <c r="CP98" i="1"/>
  <c r="AVC98" i="1"/>
  <c r="AVB98" i="1" s="1"/>
  <c r="CP155" i="1"/>
  <c r="AVC155" i="1"/>
  <c r="AVB155" i="1" s="1"/>
  <c r="CP215" i="1"/>
  <c r="AVC215" i="1"/>
  <c r="AVB215" i="1" s="1"/>
  <c r="CP288" i="1"/>
  <c r="AVC288" i="1"/>
  <c r="AVB288" i="1" s="1"/>
  <c r="CP349" i="1"/>
  <c r="AVC349" i="1"/>
  <c r="AVB349" i="1" s="1"/>
  <c r="CP406" i="1"/>
  <c r="AVC406" i="1"/>
  <c r="AVB406" i="1" s="1"/>
  <c r="CL368" i="1"/>
  <c r="AUY368" i="1"/>
  <c r="CP320" i="1"/>
  <c r="AVC320" i="1"/>
  <c r="AVB320" i="1" s="1"/>
  <c r="CP319" i="1"/>
  <c r="AVC319" i="1"/>
  <c r="AVB319" i="1" s="1"/>
  <c r="CL232" i="1"/>
  <c r="AUY232" i="1"/>
  <c r="CL50" i="1"/>
  <c r="AUY50" i="1"/>
  <c r="CP112" i="1"/>
  <c r="AVC112" i="1"/>
  <c r="AVB112" i="1" s="1"/>
  <c r="CP231" i="1"/>
  <c r="AVC231" i="1"/>
  <c r="AVB231" i="1" s="1"/>
  <c r="CP152" i="1"/>
  <c r="AVC152" i="1"/>
  <c r="AVB152" i="1" s="1"/>
  <c r="CP346" i="1"/>
  <c r="AVC346" i="1"/>
  <c r="AVB346" i="1" s="1"/>
  <c r="CL393" i="1"/>
  <c r="AUY393" i="1"/>
  <c r="CL121" i="1"/>
  <c r="AUY121" i="1"/>
  <c r="CL255" i="1"/>
  <c r="AUY255" i="1"/>
  <c r="CL34" i="1"/>
  <c r="AUY34" i="1"/>
  <c r="CP36" i="1"/>
  <c r="AVC36" i="1"/>
  <c r="AVB36" i="1" s="1"/>
  <c r="CP102" i="1"/>
  <c r="AVC102" i="1"/>
  <c r="AVB102" i="1" s="1"/>
  <c r="CP134" i="1"/>
  <c r="AVC134" i="1"/>
  <c r="AVB134" i="1" s="1"/>
  <c r="CP217" i="1"/>
  <c r="AVC217" i="1"/>
  <c r="AVB217" i="1" s="1"/>
  <c r="CP292" i="1"/>
  <c r="AVC292" i="1"/>
  <c r="AVB292" i="1" s="1"/>
  <c r="CP388" i="1"/>
  <c r="AVC388" i="1"/>
  <c r="AVB388" i="1" s="1"/>
  <c r="CP408" i="1"/>
  <c r="AVC408" i="1"/>
  <c r="AVB408" i="1" s="1"/>
  <c r="CP368" i="1"/>
  <c r="AVC368" i="1"/>
  <c r="AVB368" i="1" s="1"/>
  <c r="CP325" i="1"/>
  <c r="AVC325" i="1"/>
  <c r="AVB325" i="1" s="1"/>
  <c r="CP146" i="1"/>
  <c r="AVC146" i="1"/>
  <c r="AVB146" i="1" s="1"/>
  <c r="CP234" i="1"/>
  <c r="AVC234" i="1"/>
  <c r="AVB234" i="1" s="1"/>
  <c r="CP400" i="1"/>
  <c r="AVC400" i="1"/>
  <c r="AVB400" i="1" s="1"/>
  <c r="CM424" i="1"/>
  <c r="AUZ424" i="1"/>
  <c r="CM352" i="1"/>
  <c r="AUZ352" i="1"/>
  <c r="CM262" i="1"/>
  <c r="AUZ262" i="1"/>
  <c r="CM158" i="1"/>
  <c r="AUZ158" i="1"/>
  <c r="CM264" i="1"/>
  <c r="AUZ264" i="1"/>
  <c r="CM80" i="1"/>
  <c r="AUZ80" i="1"/>
  <c r="CM298" i="1"/>
  <c r="AUZ298" i="1"/>
  <c r="CM259" i="1"/>
  <c r="AUZ259" i="1"/>
  <c r="CM197" i="1"/>
  <c r="AUZ197" i="1"/>
  <c r="CM157" i="1"/>
  <c r="AUZ157" i="1"/>
  <c r="CM362" i="1"/>
  <c r="AUZ362" i="1"/>
  <c r="CM109" i="1"/>
  <c r="AUZ109" i="1"/>
  <c r="CM21" i="1"/>
  <c r="AUZ21" i="1"/>
  <c r="CM268" i="1"/>
  <c r="AUZ268" i="1"/>
  <c r="CM143" i="1"/>
  <c r="AUZ143" i="1"/>
  <c r="CM412" i="1"/>
  <c r="AUZ412" i="1"/>
  <c r="CM361" i="1"/>
  <c r="AUZ361" i="1"/>
  <c r="CM302" i="1"/>
  <c r="AUZ302" i="1"/>
  <c r="CM225" i="1"/>
  <c r="AUZ225" i="1"/>
  <c r="CM169" i="1"/>
  <c r="AUZ169" i="1"/>
  <c r="CM138" i="1"/>
  <c r="AUZ138" i="1"/>
  <c r="CM87" i="1"/>
  <c r="AUZ87" i="1"/>
  <c r="CM16" i="1"/>
  <c r="AUZ16" i="1"/>
  <c r="CM240" i="1"/>
  <c r="AUZ240" i="1"/>
  <c r="CM66" i="1"/>
  <c r="AUZ66" i="1"/>
  <c r="CM252" i="1"/>
  <c r="AUZ252" i="1"/>
  <c r="CM184" i="1"/>
  <c r="AUZ184" i="1"/>
  <c r="CP237" i="1"/>
  <c r="AVC237" i="1"/>
  <c r="AVB237" i="1" s="1"/>
  <c r="CP411" i="1"/>
  <c r="AVC411" i="1"/>
  <c r="AVB411" i="1" s="1"/>
  <c r="CM417" i="1"/>
  <c r="AUZ417" i="1"/>
  <c r="CM188" i="1"/>
  <c r="AUZ188" i="1"/>
  <c r="CM236" i="1"/>
  <c r="AUZ236" i="1"/>
  <c r="CM168" i="1"/>
  <c r="AUZ168" i="1"/>
  <c r="CM17" i="1"/>
  <c r="AUZ17" i="1"/>
  <c r="CM18" i="1"/>
  <c r="AUZ18" i="1"/>
  <c r="CM277" i="1"/>
  <c r="AUZ277" i="1"/>
  <c r="CM90" i="1"/>
  <c r="AUZ90" i="1"/>
  <c r="CM27" i="1"/>
  <c r="AUZ27" i="1"/>
  <c r="CP386" i="1"/>
  <c r="AVC386" i="1"/>
  <c r="AVB386" i="1" s="1"/>
  <c r="CM126" i="1"/>
  <c r="AUZ126" i="1"/>
  <c r="CM124" i="1"/>
  <c r="AUZ124" i="1"/>
  <c r="CM351" i="1"/>
  <c r="AUZ351" i="1"/>
  <c r="CM318" i="1"/>
  <c r="AUZ318" i="1"/>
  <c r="CM253" i="1"/>
  <c r="AUZ253" i="1"/>
  <c r="CM199" i="1"/>
  <c r="AUZ199" i="1"/>
  <c r="CM209" i="1"/>
  <c r="AUZ209" i="1"/>
  <c r="CM139" i="1"/>
  <c r="AUZ139" i="1"/>
  <c r="CM107" i="1"/>
  <c r="AUZ107" i="1"/>
  <c r="CM41" i="1"/>
  <c r="AUZ41" i="1"/>
  <c r="CM14" i="1"/>
  <c r="AUZ14" i="1"/>
  <c r="CP418" i="1"/>
  <c r="AVC418" i="1"/>
  <c r="AVB418" i="1" s="1"/>
  <c r="CM269" i="1"/>
  <c r="AUZ269" i="1"/>
  <c r="CT274" i="1"/>
  <c r="AVG274" i="1"/>
  <c r="Q156" i="12"/>
  <c r="AVD123" i="1"/>
  <c r="X156" i="12"/>
  <c r="AVK123" i="1"/>
  <c r="BZ457" i="1"/>
  <c r="AVI123" i="1"/>
  <c r="CW274" i="1"/>
  <c r="AVJ274" i="1"/>
  <c r="CV274" i="1"/>
  <c r="AVI274" i="1"/>
  <c r="W156" i="12"/>
  <c r="AVJ123" i="1"/>
  <c r="AUW67" i="1"/>
  <c r="AUX67" i="1" s="1"/>
  <c r="CM421" i="1"/>
  <c r="AUZ421" i="1"/>
  <c r="CM415" i="1"/>
  <c r="AUZ415" i="1"/>
  <c r="CO398" i="1"/>
  <c r="AVB398" i="1"/>
  <c r="CM375" i="1"/>
  <c r="AUZ375" i="1"/>
  <c r="CO369" i="1"/>
  <c r="AVB369" i="1"/>
  <c r="CM341" i="1"/>
  <c r="AUZ341" i="1"/>
  <c r="CM342" i="1"/>
  <c r="AUZ342" i="1"/>
  <c r="CM335" i="1"/>
  <c r="AUZ335" i="1"/>
  <c r="CM334" i="1"/>
  <c r="AUZ334" i="1"/>
  <c r="CM333" i="1"/>
  <c r="AUZ333" i="1"/>
  <c r="CM303" i="1"/>
  <c r="AUZ303" i="1"/>
  <c r="CM267" i="1"/>
  <c r="AUZ267" i="1"/>
  <c r="CM245" i="1"/>
  <c r="AUZ245" i="1"/>
  <c r="CO228" i="1"/>
  <c r="AVB228" i="1"/>
  <c r="CO220" i="1"/>
  <c r="AVB220" i="1"/>
  <c r="CM219" i="1"/>
  <c r="AUZ219" i="1"/>
  <c r="CM201" i="1"/>
  <c r="AUZ201" i="1"/>
  <c r="CM187" i="1"/>
  <c r="AUZ187" i="1"/>
  <c r="CM170" i="1"/>
  <c r="AUZ170" i="1"/>
  <c r="CO132" i="1"/>
  <c r="AVB132" i="1"/>
  <c r="CM118" i="1"/>
  <c r="AUZ118" i="1"/>
  <c r="CM94" i="1"/>
  <c r="AUZ94" i="1"/>
  <c r="CM88" i="1"/>
  <c r="AUZ88" i="1"/>
  <c r="CM89" i="1"/>
  <c r="AUZ89" i="1"/>
  <c r="CM91" i="1"/>
  <c r="AUZ91" i="1"/>
  <c r="CO78" i="1"/>
  <c r="AVB78" i="1"/>
  <c r="CL78" i="1"/>
  <c r="AUY78" i="1"/>
  <c r="CO76" i="1"/>
  <c r="AVB76" i="1"/>
  <c r="CM72" i="1"/>
  <c r="AUZ72" i="1"/>
  <c r="CS123" i="1"/>
  <c r="AW371" i="1"/>
  <c r="BS371" i="1" s="1"/>
  <c r="CO371" i="1" s="1"/>
  <c r="CC16" i="15"/>
  <c r="CC21" i="15" s="1"/>
  <c r="CW123" i="1"/>
  <c r="U156" i="12"/>
  <c r="CJ140" i="1"/>
  <c r="S39" i="12"/>
  <c r="S102" i="12"/>
  <c r="R174" i="12"/>
  <c r="P47" i="2"/>
  <c r="P60" i="2" s="1"/>
  <c r="P20" i="2"/>
  <c r="P25" i="2" s="1"/>
  <c r="U39" i="12"/>
  <c r="Y39" i="12"/>
  <c r="O16" i="15"/>
  <c r="O36" i="15"/>
  <c r="O49" i="15" s="1"/>
  <c r="BK16" i="15"/>
  <c r="DX16" i="15"/>
  <c r="DX21" i="15" s="1"/>
  <c r="CY123" i="1"/>
  <c r="CR123" i="1"/>
  <c r="CV123" i="1"/>
  <c r="CX123" i="1"/>
  <c r="V156" i="12"/>
  <c r="AI458" i="1"/>
  <c r="AI459" i="1" s="1"/>
  <c r="AE458" i="1"/>
  <c r="AE459" i="1" s="1"/>
  <c r="BC457" i="1"/>
  <c r="BF457" i="1"/>
  <c r="BO175" i="1"/>
  <c r="CK175" i="1" s="1"/>
  <c r="CJ118" i="1"/>
  <c r="BG457" i="1"/>
  <c r="BY457" i="1"/>
  <c r="CB457" i="1"/>
  <c r="K14" i="18"/>
  <c r="K14" i="19"/>
  <c r="O13" i="18"/>
  <c r="M13" i="18" s="1"/>
  <c r="O13" i="19"/>
  <c r="M13" i="19" s="1"/>
  <c r="K11" i="19"/>
  <c r="K11" i="18"/>
  <c r="K47" i="19"/>
  <c r="K47" i="18"/>
  <c r="O44" i="19"/>
  <c r="O44" i="18"/>
  <c r="K17" i="19"/>
  <c r="K17" i="18"/>
  <c r="O12" i="19"/>
  <c r="M12" i="19" s="1"/>
  <c r="O12" i="18"/>
  <c r="M12" i="18" s="1"/>
  <c r="O18" i="18"/>
  <c r="M18" i="18" s="1"/>
  <c r="O18" i="19"/>
  <c r="M18" i="19" s="1"/>
  <c r="O47" i="18"/>
  <c r="O47" i="19"/>
  <c r="BB456" i="1"/>
  <c r="N9" i="19"/>
  <c r="N9" i="18"/>
  <c r="J46" i="19"/>
  <c r="N20" i="19"/>
  <c r="K19" i="19"/>
  <c r="K19" i="18"/>
  <c r="K12" i="19"/>
  <c r="K12" i="18"/>
  <c r="K20" i="19"/>
  <c r="K20" i="18"/>
  <c r="K44" i="19"/>
  <c r="K44" i="18"/>
  <c r="K16" i="19"/>
  <c r="K16" i="18"/>
  <c r="K9" i="19"/>
  <c r="K9" i="18"/>
  <c r="K15" i="18"/>
  <c r="K15" i="19"/>
  <c r="O23" i="19"/>
  <c r="M23" i="19" s="1"/>
  <c r="O23" i="18"/>
  <c r="M23" i="18" s="1"/>
  <c r="O14" i="19"/>
  <c r="M14" i="19" s="1"/>
  <c r="O14" i="18"/>
  <c r="M14" i="18" s="1"/>
  <c r="BX457" i="1"/>
  <c r="O45" i="18"/>
  <c r="M45" i="18" s="1"/>
  <c r="O45" i="19"/>
  <c r="M45" i="19" s="1"/>
  <c r="O21" i="19"/>
  <c r="M21" i="19" s="1"/>
  <c r="O21" i="18"/>
  <c r="M21" i="18" s="1"/>
  <c r="O16" i="19"/>
  <c r="M16" i="19" s="1"/>
  <c r="O16" i="18"/>
  <c r="M16" i="18" s="1"/>
  <c r="N47" i="18"/>
  <c r="M47" i="18" s="1"/>
  <c r="O10" i="19"/>
  <c r="M10" i="19" s="1"/>
  <c r="O10" i="18"/>
  <c r="M10" i="18" s="1"/>
  <c r="I24" i="19"/>
  <c r="I29" i="19"/>
  <c r="I29" i="18"/>
  <c r="I24" i="18"/>
  <c r="K13" i="19"/>
  <c r="K13" i="18"/>
  <c r="O20" i="18"/>
  <c r="O20" i="19"/>
  <c r="K22" i="19"/>
  <c r="K22" i="18"/>
  <c r="K49" i="19"/>
  <c r="K59" i="19" s="1"/>
  <c r="K49" i="18"/>
  <c r="K59" i="18" s="1"/>
  <c r="O17" i="19"/>
  <c r="M17" i="19" s="1"/>
  <c r="O17" i="18"/>
  <c r="M17" i="18" s="1"/>
  <c r="O49" i="19"/>
  <c r="O49" i="18"/>
  <c r="O15" i="19"/>
  <c r="M15" i="19" s="1"/>
  <c r="O15" i="18"/>
  <c r="M15" i="18" s="1"/>
  <c r="AY457" i="1"/>
  <c r="BD457" i="1"/>
  <c r="N47" i="19"/>
  <c r="N58" i="19" s="1"/>
  <c r="K21" i="19"/>
  <c r="K21" i="18"/>
  <c r="O19" i="18"/>
  <c r="M19" i="18" s="1"/>
  <c r="O19" i="19"/>
  <c r="M19" i="19" s="1"/>
  <c r="K23" i="19"/>
  <c r="K23" i="18"/>
  <c r="K10" i="19"/>
  <c r="K10" i="18"/>
  <c r="K45" i="18"/>
  <c r="K45" i="19"/>
  <c r="O11" i="18"/>
  <c r="M11" i="18" s="1"/>
  <c r="O11" i="19"/>
  <c r="M11" i="19" s="1"/>
  <c r="O22" i="18"/>
  <c r="M22" i="18" s="1"/>
  <c r="O22" i="19"/>
  <c r="M22" i="19" s="1"/>
  <c r="N20" i="18"/>
  <c r="BA457" i="1"/>
  <c r="AQ457" i="1"/>
  <c r="BV457" i="1"/>
  <c r="BT123" i="1"/>
  <c r="P39" i="12" s="1"/>
  <c r="AX457" i="1"/>
  <c r="BH457" i="1"/>
  <c r="W123" i="1"/>
  <c r="W457" i="1" s="1"/>
  <c r="V457" i="1"/>
  <c r="AW274" i="1"/>
  <c r="BS274" i="1" s="1"/>
  <c r="CO274" i="1" s="1"/>
  <c r="AA457" i="1"/>
  <c r="BB457" i="1"/>
  <c r="AC458" i="1"/>
  <c r="AC459" i="1" s="1"/>
  <c r="AK458" i="1"/>
  <c r="AK459" i="1" s="1"/>
  <c r="AD458" i="1"/>
  <c r="AD459" i="1" s="1"/>
  <c r="BW457" i="1"/>
  <c r="AH458" i="1"/>
  <c r="AH459" i="1" s="1"/>
  <c r="Y457" i="1"/>
  <c r="AZ457" i="1"/>
  <c r="BE457" i="1"/>
  <c r="BS123" i="1"/>
  <c r="CO123" i="1" s="1"/>
  <c r="AN274" i="1"/>
  <c r="AN457" i="1" s="1"/>
  <c r="AM457" i="1"/>
  <c r="AF458" i="1"/>
  <c r="AF459" i="1" s="1"/>
  <c r="CQ123" i="1"/>
  <c r="BU457" i="1"/>
  <c r="AJ458" i="1"/>
  <c r="AJ459" i="1" s="1"/>
  <c r="AG458" i="1"/>
  <c r="AG459" i="1" s="1"/>
  <c r="U458" i="1"/>
  <c r="U459" i="1" s="1"/>
  <c r="CA457" i="1"/>
  <c r="BO42" i="1"/>
  <c r="CK42" i="1" s="1"/>
  <c r="AW111" i="1"/>
  <c r="BS111" i="1" s="1"/>
  <c r="CO111" i="1" s="1"/>
  <c r="AW8" i="1"/>
  <c r="BS8" i="1" s="1"/>
  <c r="CO8" i="1" s="1"/>
  <c r="BX4" i="1"/>
  <c r="T3" i="12" s="1"/>
  <c r="AP33" i="1"/>
  <c r="BK5" i="15"/>
  <c r="AW206" i="1"/>
  <c r="BS206" i="1" s="1"/>
  <c r="CO206" i="1" s="1"/>
  <c r="O5" i="15"/>
  <c r="DF5" i="15"/>
  <c r="AA456" i="1"/>
  <c r="BH456" i="1"/>
  <c r="BZ4" i="1"/>
  <c r="AVI4" i="1" s="1"/>
  <c r="AVI458" i="1" s="1"/>
  <c r="BD456" i="1"/>
  <c r="CB4" i="1"/>
  <c r="AVK4" i="1" s="1"/>
  <c r="BF456" i="1"/>
  <c r="BY4" i="1"/>
  <c r="AVH4" i="1" s="1"/>
  <c r="AVH458" i="1" s="1"/>
  <c r="BC456" i="1"/>
  <c r="BU4" i="1"/>
  <c r="AVD4" i="1" s="1"/>
  <c r="AY456" i="1"/>
  <c r="BW4" i="1"/>
  <c r="AVF4" i="1" s="1"/>
  <c r="AVF458" i="1" s="1"/>
  <c r="BA456" i="1"/>
  <c r="AX456" i="1"/>
  <c r="W4" i="1"/>
  <c r="V456" i="1"/>
  <c r="BV4" i="1"/>
  <c r="AVE4" i="1" s="1"/>
  <c r="AVE458" i="1" s="1"/>
  <c r="AZ456" i="1"/>
  <c r="CC4" i="1"/>
  <c r="AVL4" i="1" s="1"/>
  <c r="BG456" i="1"/>
  <c r="CA4" i="1"/>
  <c r="AVJ4" i="1" s="1"/>
  <c r="AVJ458" i="1" s="1"/>
  <c r="BE456" i="1"/>
  <c r="AN4" i="1"/>
  <c r="AM456" i="1"/>
  <c r="AW50" i="1"/>
  <c r="BS50" i="1" s="1"/>
  <c r="CO50" i="1" s="1"/>
  <c r="L46" i="2"/>
  <c r="BL62" i="1"/>
  <c r="AP207" i="1"/>
  <c r="AW98" i="1"/>
  <c r="BS98" i="1" s="1"/>
  <c r="CO98" i="1" s="1"/>
  <c r="AW32" i="1"/>
  <c r="BS32" i="1" s="1"/>
  <c r="CO32" i="1" s="1"/>
  <c r="AP400" i="1"/>
  <c r="BL220" i="1"/>
  <c r="AW235" i="1"/>
  <c r="BS235" i="1" s="1"/>
  <c r="CO235" i="1" s="1"/>
  <c r="BL47" i="1"/>
  <c r="AP19" i="1"/>
  <c r="AW51" i="1"/>
  <c r="BS51" i="1" s="1"/>
  <c r="CO51" i="1" s="1"/>
  <c r="BL31" i="1"/>
  <c r="BL385" i="1"/>
  <c r="CJ169" i="1"/>
  <c r="BL386" i="1"/>
  <c r="BL228" i="1"/>
  <c r="CJ116" i="1"/>
  <c r="AP31" i="1"/>
  <c r="AP398" i="1"/>
  <c r="AP431" i="1"/>
  <c r="CT133" i="1"/>
  <c r="CT228" i="1"/>
  <c r="CT172" i="1"/>
  <c r="CT207" i="1"/>
  <c r="CT319" i="1"/>
  <c r="CT31" i="1"/>
  <c r="CT146" i="1"/>
  <c r="CT385" i="1"/>
  <c r="CT272" i="1"/>
  <c r="CZ93" i="1"/>
  <c r="CE93" i="1"/>
  <c r="CD31" i="1"/>
  <c r="AVM31" i="1" s="1"/>
  <c r="BI31" i="1"/>
  <c r="BJ31" i="1" s="1"/>
  <c r="AR398" i="1"/>
  <c r="AS398" i="1" s="1"/>
  <c r="BM398" i="1"/>
  <c r="AR237" i="1"/>
  <c r="AS237" i="1" s="1"/>
  <c r="BM237" i="1"/>
  <c r="AUV237" i="1" s="1"/>
  <c r="AUW237" i="1" s="1"/>
  <c r="AUX237" i="1" s="1"/>
  <c r="AW355" i="1"/>
  <c r="BS355" i="1" s="1"/>
  <c r="AP355" i="1"/>
  <c r="CD228" i="1"/>
  <c r="BI228" i="1"/>
  <c r="BJ228" i="1" s="1"/>
  <c r="CD67" i="1"/>
  <c r="AVM67" i="1" s="1"/>
  <c r="BI67" i="1"/>
  <c r="BJ67" i="1" s="1"/>
  <c r="AP113" i="1"/>
  <c r="AP365" i="1"/>
  <c r="AW365" i="1"/>
  <c r="BS365" i="1" s="1"/>
  <c r="CO365" i="1" s="1"/>
  <c r="CD113" i="1"/>
  <c r="AVM113" i="1" s="1"/>
  <c r="BI113" i="1"/>
  <c r="BJ113" i="1" s="1"/>
  <c r="CD301" i="1"/>
  <c r="AVM301" i="1" s="1"/>
  <c r="BI301" i="1"/>
  <c r="BJ301" i="1" s="1"/>
  <c r="BM274" i="1"/>
  <c r="AUV274" i="1" s="1"/>
  <c r="AUW274" i="1" s="1"/>
  <c r="AUX274" i="1" s="1"/>
  <c r="AR274" i="1"/>
  <c r="AS274" i="1" s="1"/>
  <c r="AR385" i="1"/>
  <c r="AS385" i="1" s="1"/>
  <c r="BM385" i="1"/>
  <c r="AUV385" i="1" s="1"/>
  <c r="AUW385" i="1" s="1"/>
  <c r="AUX385" i="1" s="1"/>
  <c r="Y67" i="1"/>
  <c r="AU67" i="1" s="1"/>
  <c r="BQ67" i="1" s="1"/>
  <c r="Y83" i="1"/>
  <c r="AU83" i="1" s="1"/>
  <c r="BQ83" i="1" s="1"/>
  <c r="Y81" i="1"/>
  <c r="AU81" i="1" s="1"/>
  <c r="BQ81" i="1" s="1"/>
  <c r="Y65" i="1"/>
  <c r="AU65" i="1" s="1"/>
  <c r="BQ65" i="1" s="1"/>
  <c r="Y411" i="1"/>
  <c r="AU411" i="1" s="1"/>
  <c r="BQ411" i="1" s="1"/>
  <c r="Y355" i="1"/>
  <c r="AU355" i="1" s="1"/>
  <c r="BQ355" i="1" s="1"/>
  <c r="Y365" i="1"/>
  <c r="AU365" i="1" s="1"/>
  <c r="BQ365" i="1" s="1"/>
  <c r="Y371" i="1"/>
  <c r="AU371" i="1" s="1"/>
  <c r="BQ371" i="1" s="1"/>
  <c r="BI385" i="1"/>
  <c r="BJ385" i="1" s="1"/>
  <c r="CD385" i="1"/>
  <c r="AVM385" i="1" s="1"/>
  <c r="BI65" i="1"/>
  <c r="BJ65" i="1" s="1"/>
  <c r="CD65" i="1"/>
  <c r="BM228" i="1"/>
  <c r="AR228" i="1"/>
  <c r="AS228" i="1" s="1"/>
  <c r="AR19" i="1"/>
  <c r="AS19" i="1" s="1"/>
  <c r="BM19" i="1"/>
  <c r="AUV19" i="1" s="1"/>
  <c r="AW411" i="1"/>
  <c r="BS411" i="1" s="1"/>
  <c r="CO411" i="1" s="1"/>
  <c r="AP411" i="1"/>
  <c r="CD398" i="1"/>
  <c r="BI398" i="1"/>
  <c r="BJ398" i="1" s="1"/>
  <c r="CD81" i="1"/>
  <c r="AVM81" i="1" s="1"/>
  <c r="BI81" i="1"/>
  <c r="BJ81" i="1" s="1"/>
  <c r="AR47" i="1"/>
  <c r="AS47" i="1" s="1"/>
  <c r="BM47" i="1"/>
  <c r="AUV47" i="1" s="1"/>
  <c r="CD220" i="1"/>
  <c r="BI220" i="1"/>
  <c r="BJ220" i="1" s="1"/>
  <c r="BM431" i="1"/>
  <c r="AUV431" i="1" s="1"/>
  <c r="AUW431" i="1" s="1"/>
  <c r="AUX431" i="1" s="1"/>
  <c r="BL431" i="1"/>
  <c r="AR431" i="1"/>
  <c r="AS431" i="1" s="1"/>
  <c r="CD237" i="1"/>
  <c r="AVM237" i="1" s="1"/>
  <c r="BI237" i="1"/>
  <c r="BJ237" i="1" s="1"/>
  <c r="AP418" i="1"/>
  <c r="AW418" i="1"/>
  <c r="BS418" i="1" s="1"/>
  <c r="CO418" i="1" s="1"/>
  <c r="CD83" i="1"/>
  <c r="AVM83" i="1" s="1"/>
  <c r="BI83" i="1"/>
  <c r="BJ83" i="1" s="1"/>
  <c r="AR220" i="1"/>
  <c r="AS220" i="1" s="1"/>
  <c r="BM220" i="1"/>
  <c r="AR386" i="1"/>
  <c r="AS386" i="1" s="1"/>
  <c r="BM386" i="1"/>
  <c r="AUV386" i="1" s="1"/>
  <c r="AUW386" i="1" s="1"/>
  <c r="AUX386" i="1" s="1"/>
  <c r="AW81" i="1"/>
  <c r="BS81" i="1" s="1"/>
  <c r="CO81" i="1" s="1"/>
  <c r="AP81" i="1"/>
  <c r="AP237" i="1"/>
  <c r="AP83" i="1"/>
  <c r="AW83" i="1"/>
  <c r="BS83" i="1" s="1"/>
  <c r="CO83" i="1" s="1"/>
  <c r="CD47" i="1"/>
  <c r="AVM47" i="1" s="1"/>
  <c r="BI47" i="1"/>
  <c r="BJ47" i="1" s="1"/>
  <c r="CD418" i="1"/>
  <c r="AVM418" i="1" s="1"/>
  <c r="BI418" i="1"/>
  <c r="BJ418" i="1" s="1"/>
  <c r="CD411" i="1"/>
  <c r="AVM411" i="1" s="1"/>
  <c r="BI411" i="1"/>
  <c r="BJ411" i="1" s="1"/>
  <c r="AR62" i="1"/>
  <c r="AS62" i="1" s="1"/>
  <c r="BM62" i="1"/>
  <c r="AUV62" i="1" s="1"/>
  <c r="AUW62" i="1" s="1"/>
  <c r="AUX62" i="1" s="1"/>
  <c r="AR301" i="1"/>
  <c r="AS301" i="1" s="1"/>
  <c r="BM301" i="1"/>
  <c r="AUV301" i="1" s="1"/>
  <c r="AUW301" i="1" s="1"/>
  <c r="AUX301" i="1" s="1"/>
  <c r="AW65" i="1"/>
  <c r="BS65" i="1" s="1"/>
  <c r="AP65" i="1"/>
  <c r="BI431" i="1"/>
  <c r="BJ431" i="1" s="1"/>
  <c r="CD431" i="1"/>
  <c r="CD19" i="1"/>
  <c r="AVM19" i="1" s="1"/>
  <c r="BI19" i="1"/>
  <c r="BJ19" i="1" s="1"/>
  <c r="CD62" i="1"/>
  <c r="AVM62" i="1" s="1"/>
  <c r="BI62" i="1"/>
  <c r="BJ62" i="1" s="1"/>
  <c r="AP274" i="1"/>
  <c r="AP457" i="1" s="1"/>
  <c r="AP385" i="1"/>
  <c r="AP386" i="1"/>
  <c r="CD274" i="1"/>
  <c r="AVM274" i="1" s="1"/>
  <c r="BI274" i="1"/>
  <c r="BJ274" i="1" s="1"/>
  <c r="Y19" i="1"/>
  <c r="AU19" i="1" s="1"/>
  <c r="BQ19" i="1" s="1"/>
  <c r="Y31" i="1"/>
  <c r="AU31" i="1" s="1"/>
  <c r="BQ31" i="1" s="1"/>
  <c r="Y35" i="1"/>
  <c r="AU35" i="1" s="1"/>
  <c r="BQ35" i="1" s="1"/>
  <c r="Y47" i="1"/>
  <c r="AU47" i="1" s="1"/>
  <c r="BQ47" i="1" s="1"/>
  <c r="Y51" i="1"/>
  <c r="AU51" i="1" s="1"/>
  <c r="BQ51" i="1" s="1"/>
  <c r="Y50" i="1"/>
  <c r="AU50" i="1" s="1"/>
  <c r="BQ50" i="1" s="1"/>
  <c r="Y8" i="1"/>
  <c r="AU8" i="1" s="1"/>
  <c r="BQ8" i="1" s="1"/>
  <c r="Y33" i="1"/>
  <c r="AU33" i="1" s="1"/>
  <c r="BQ33" i="1" s="1"/>
  <c r="Y62" i="1"/>
  <c r="AU62" i="1" s="1"/>
  <c r="BQ62" i="1" s="1"/>
  <c r="Y32" i="1"/>
  <c r="AU32" i="1" s="1"/>
  <c r="BQ32" i="1" s="1"/>
  <c r="AUZ32" i="1" s="1"/>
  <c r="Y98" i="1"/>
  <c r="AU98" i="1" s="1"/>
  <c r="BQ98" i="1" s="1"/>
  <c r="Y111" i="1"/>
  <c r="AU111" i="1" s="1"/>
  <c r="BQ111" i="1" s="1"/>
  <c r="Y113" i="1"/>
  <c r="AU113" i="1" s="1"/>
  <c r="BQ113" i="1" s="1"/>
  <c r="Y207" i="1"/>
  <c r="AU207" i="1" s="1"/>
  <c r="BQ207" i="1" s="1"/>
  <c r="Y205" i="1"/>
  <c r="AU205" i="1" s="1"/>
  <c r="BQ205" i="1" s="1"/>
  <c r="Y206" i="1"/>
  <c r="AU206" i="1" s="1"/>
  <c r="BQ206" i="1" s="1"/>
  <c r="Y235" i="1"/>
  <c r="AU235" i="1" s="1"/>
  <c r="BQ235" i="1" s="1"/>
  <c r="Y290" i="1"/>
  <c r="AU290" i="1" s="1"/>
  <c r="BQ290" i="1" s="1"/>
  <c r="Y220" i="1"/>
  <c r="AU220" i="1" s="1"/>
  <c r="BQ220" i="1" s="1"/>
  <c r="Y228" i="1"/>
  <c r="AU228" i="1" s="1"/>
  <c r="BQ228" i="1" s="1"/>
  <c r="Y237" i="1"/>
  <c r="AU237" i="1" s="1"/>
  <c r="BQ237" i="1" s="1"/>
  <c r="Y386" i="1"/>
  <c r="AU386" i="1" s="1"/>
  <c r="BQ386" i="1" s="1"/>
  <c r="Y398" i="1"/>
  <c r="AU398" i="1" s="1"/>
  <c r="BQ398" i="1" s="1"/>
  <c r="Y418" i="1"/>
  <c r="AU418" i="1" s="1"/>
  <c r="BQ418" i="1" s="1"/>
  <c r="Y385" i="1"/>
  <c r="AU385" i="1" s="1"/>
  <c r="BQ385" i="1" s="1"/>
  <c r="Y301" i="1"/>
  <c r="AU301" i="1" s="1"/>
  <c r="BQ301" i="1" s="1"/>
  <c r="Y400" i="1"/>
  <c r="AU400" i="1" s="1"/>
  <c r="BQ400" i="1" s="1"/>
  <c r="CD386" i="1"/>
  <c r="AVM386" i="1" s="1"/>
  <c r="BI386" i="1"/>
  <c r="BJ386" i="1" s="1"/>
  <c r="CD365" i="1"/>
  <c r="AVM365" i="1" s="1"/>
  <c r="BI365" i="1"/>
  <c r="BJ365" i="1" s="1"/>
  <c r="AR31" i="1"/>
  <c r="AS31" i="1" s="1"/>
  <c r="BM31" i="1"/>
  <c r="AUV31" i="1" s="1"/>
  <c r="AW67" i="1"/>
  <c r="BS67" i="1" s="1"/>
  <c r="CO67" i="1" s="1"/>
  <c r="AP67" i="1"/>
  <c r="AP47" i="1"/>
  <c r="BM113" i="1"/>
  <c r="AUV113" i="1" s="1"/>
  <c r="AUW113" i="1" s="1"/>
  <c r="AUX113" i="1" s="1"/>
  <c r="AR113" i="1"/>
  <c r="AS113" i="1" s="1"/>
  <c r="AP301" i="1"/>
  <c r="CD355" i="1"/>
  <c r="BI355" i="1"/>
  <c r="BJ355" i="1" s="1"/>
  <c r="AP220" i="1"/>
  <c r="L24" i="2"/>
  <c r="AP4" i="1"/>
  <c r="AW4" i="1"/>
  <c r="CJ81" i="1"/>
  <c r="DU7" i="15"/>
  <c r="AD7" i="15"/>
  <c r="L33" i="15"/>
  <c r="BZ7" i="15"/>
  <c r="M44" i="2"/>
  <c r="CO145" i="1"/>
  <c r="O147" i="12"/>
  <c r="CP145" i="1"/>
  <c r="P147" i="12"/>
  <c r="CT145" i="1"/>
  <c r="DY7" i="15"/>
  <c r="DW7" i="15" s="1"/>
  <c r="AH7" i="15"/>
  <c r="AF7" i="15" s="1"/>
  <c r="Q44" i="2"/>
  <c r="O44" i="2" s="1"/>
  <c r="T147" i="12"/>
  <c r="CD7" i="15"/>
  <c r="CB7" i="15" s="1"/>
  <c r="P33" i="15"/>
  <c r="N33" i="15" s="1"/>
  <c r="DU9" i="15"/>
  <c r="L34" i="15"/>
  <c r="AD9" i="15"/>
  <c r="BZ9" i="15"/>
  <c r="M45" i="2"/>
  <c r="CT123" i="1"/>
  <c r="CD9" i="15"/>
  <c r="CB9" i="15" s="1"/>
  <c r="DY9" i="15"/>
  <c r="DW9" i="15" s="1"/>
  <c r="P34" i="15"/>
  <c r="N34" i="15" s="1"/>
  <c r="AH9" i="15"/>
  <c r="AF9" i="15" s="1"/>
  <c r="T156" i="12"/>
  <c r="Q45" i="2"/>
  <c r="O45" i="2" s="1"/>
  <c r="BH19" i="15"/>
  <c r="M23" i="2"/>
  <c r="L19" i="15"/>
  <c r="DC19" i="15"/>
  <c r="DG19" i="15"/>
  <c r="DE19" i="15" s="1"/>
  <c r="T129" i="12"/>
  <c r="P19" i="15"/>
  <c r="N19" i="15" s="1"/>
  <c r="Q23" i="2"/>
  <c r="O23" i="2" s="1"/>
  <c r="BL19" i="15"/>
  <c r="BJ19" i="15" s="1"/>
  <c r="CJ204" i="1"/>
  <c r="CJ89" i="1"/>
  <c r="DY16" i="15"/>
  <c r="CD16" i="15"/>
  <c r="P14" i="15"/>
  <c r="N14" i="15" s="1"/>
  <c r="BL14" i="15"/>
  <c r="BJ14" i="15" s="1"/>
  <c r="DG14" i="15"/>
  <c r="DE14" i="15" s="1"/>
  <c r="P8" i="15"/>
  <c r="N8" i="15" s="1"/>
  <c r="BL8" i="15"/>
  <c r="BJ8" i="15" s="1"/>
  <c r="DG8" i="15"/>
  <c r="DE8" i="15" s="1"/>
  <c r="P13" i="15"/>
  <c r="N13" i="15" s="1"/>
  <c r="BL13" i="15"/>
  <c r="BJ13" i="15" s="1"/>
  <c r="DG13" i="15"/>
  <c r="DE13" i="15" s="1"/>
  <c r="P10" i="15"/>
  <c r="N10" i="15" s="1"/>
  <c r="BL10" i="15"/>
  <c r="BJ10" i="15" s="1"/>
  <c r="DG10" i="15"/>
  <c r="DE10" i="15" s="1"/>
  <c r="P18" i="15"/>
  <c r="N18" i="15" s="1"/>
  <c r="BL18" i="15"/>
  <c r="BJ18" i="15" s="1"/>
  <c r="DG18" i="15"/>
  <c r="DE18" i="15" s="1"/>
  <c r="P12" i="15"/>
  <c r="N12" i="15" s="1"/>
  <c r="BL12" i="15"/>
  <c r="BJ12" i="15" s="1"/>
  <c r="DG12" i="15"/>
  <c r="DE12" i="15" s="1"/>
  <c r="P11" i="15"/>
  <c r="N11" i="15" s="1"/>
  <c r="DG11" i="15"/>
  <c r="DE11" i="15" s="1"/>
  <c r="BL11" i="15"/>
  <c r="BJ11" i="15" s="1"/>
  <c r="P9" i="15"/>
  <c r="N9" i="15" s="1"/>
  <c r="BL9" i="15"/>
  <c r="BJ9" i="15" s="1"/>
  <c r="DG9" i="15"/>
  <c r="DE9" i="15" s="1"/>
  <c r="P15" i="15"/>
  <c r="N15" i="15" s="1"/>
  <c r="DG15" i="15"/>
  <c r="DE15" i="15" s="1"/>
  <c r="BL15" i="15"/>
  <c r="BJ15" i="15" s="1"/>
  <c r="P6" i="15"/>
  <c r="N6" i="15" s="1"/>
  <c r="BL6" i="15"/>
  <c r="BJ6" i="15" s="1"/>
  <c r="DG6" i="15"/>
  <c r="DE6" i="15" s="1"/>
  <c r="P17" i="15"/>
  <c r="N17" i="15" s="1"/>
  <c r="BL17" i="15"/>
  <c r="BJ17" i="15" s="1"/>
  <c r="DG17" i="15"/>
  <c r="DE17" i="15" s="1"/>
  <c r="BL16" i="15"/>
  <c r="DG16" i="15"/>
  <c r="P7" i="15"/>
  <c r="N7" i="15" s="1"/>
  <c r="DG7" i="15"/>
  <c r="DE7" i="15" s="1"/>
  <c r="BL7" i="15"/>
  <c r="BJ7" i="15" s="1"/>
  <c r="BH11" i="15"/>
  <c r="DC11" i="15"/>
  <c r="BH7" i="15"/>
  <c r="DC7" i="15"/>
  <c r="DC10" i="15"/>
  <c r="BH10" i="15"/>
  <c r="BH15" i="15"/>
  <c r="DC15" i="15"/>
  <c r="L5" i="15"/>
  <c r="DC5" i="15"/>
  <c r="BH5" i="15"/>
  <c r="DC18" i="15"/>
  <c r="BH18" i="15"/>
  <c r="BH9" i="15"/>
  <c r="DC9" i="15"/>
  <c r="L12" i="15"/>
  <c r="BH12" i="15"/>
  <c r="DC12" i="15"/>
  <c r="BH13" i="15"/>
  <c r="DC13" i="15"/>
  <c r="BZ16" i="15"/>
  <c r="DU16" i="15"/>
  <c r="BH17" i="15"/>
  <c r="DC17" i="15"/>
  <c r="BH8" i="15"/>
  <c r="DC8" i="15"/>
  <c r="BH16" i="15"/>
  <c r="DC16" i="15"/>
  <c r="DC6" i="15"/>
  <c r="BH6" i="15"/>
  <c r="L17" i="15"/>
  <c r="L9" i="15"/>
  <c r="AB45" i="15"/>
  <c r="J45" i="15"/>
  <c r="AB40" i="15"/>
  <c r="J40" i="15"/>
  <c r="L8" i="15"/>
  <c r="L16" i="15"/>
  <c r="P16" i="15"/>
  <c r="AB43" i="15"/>
  <c r="J43" i="15"/>
  <c r="AD38" i="15"/>
  <c r="L38" i="15"/>
  <c r="L48" i="15" s="1"/>
  <c r="L18" i="15"/>
  <c r="AH38" i="15"/>
  <c r="AF38" i="15" s="1"/>
  <c r="P38" i="15"/>
  <c r="AB42" i="15"/>
  <c r="J42" i="15"/>
  <c r="L36" i="15"/>
  <c r="AD16" i="15"/>
  <c r="L11" i="15"/>
  <c r="P36" i="15"/>
  <c r="AH16" i="15"/>
  <c r="AB46" i="15"/>
  <c r="J46" i="15"/>
  <c r="L13" i="15"/>
  <c r="L7" i="15"/>
  <c r="L10" i="15"/>
  <c r="L15" i="15"/>
  <c r="AB39" i="15"/>
  <c r="J39" i="15"/>
  <c r="J37" i="15"/>
  <c r="AB37" i="15"/>
  <c r="AJ37" i="15" s="1"/>
  <c r="AN37" i="15"/>
  <c r="AB41" i="15"/>
  <c r="J41" i="15"/>
  <c r="L6" i="15"/>
  <c r="AB44" i="15"/>
  <c r="J44" i="15"/>
  <c r="M129" i="12"/>
  <c r="AU75" i="1"/>
  <c r="BQ75" i="1" s="1"/>
  <c r="AUZ75" i="1" s="1"/>
  <c r="AU95" i="1"/>
  <c r="BQ95" i="1" s="1"/>
  <c r="AUZ95" i="1" s="1"/>
  <c r="AU151" i="1"/>
  <c r="BQ151" i="1" s="1"/>
  <c r="AU283" i="1"/>
  <c r="BQ283" i="1" s="1"/>
  <c r="AUZ283" i="1" s="1"/>
  <c r="AU343" i="1"/>
  <c r="BQ343" i="1" s="1"/>
  <c r="AUZ343" i="1" s="1"/>
  <c r="AU345" i="1"/>
  <c r="BQ345" i="1" s="1"/>
  <c r="AU152" i="1"/>
  <c r="BQ152" i="1" s="1"/>
  <c r="AU387" i="1"/>
  <c r="BQ387" i="1" s="1"/>
  <c r="AUZ387" i="1" s="1"/>
  <c r="AU284" i="1"/>
  <c r="BQ284" i="1" s="1"/>
  <c r="AU289" i="1"/>
  <c r="BQ289" i="1" s="1"/>
  <c r="AU405" i="1"/>
  <c r="BQ405" i="1" s="1"/>
  <c r="AUZ405" i="1" s="1"/>
  <c r="AU346" i="1"/>
  <c r="BQ346" i="1" s="1"/>
  <c r="AU229" i="1"/>
  <c r="BQ229" i="1" s="1"/>
  <c r="AU319" i="1"/>
  <c r="BQ319" i="1" s="1"/>
  <c r="AU325" i="1"/>
  <c r="BQ325" i="1" s="1"/>
  <c r="AU370" i="1"/>
  <c r="BQ370" i="1" s="1"/>
  <c r="AU320" i="1"/>
  <c r="BQ320" i="1" s="1"/>
  <c r="AU368" i="1"/>
  <c r="BQ368" i="1" s="1"/>
  <c r="AU22" i="1"/>
  <c r="BQ22" i="1" s="1"/>
  <c r="AU24" i="1"/>
  <c r="BQ24" i="1" s="1"/>
  <c r="AU110" i="1"/>
  <c r="BQ110" i="1" s="1"/>
  <c r="AU112" i="1"/>
  <c r="BQ112" i="1" s="1"/>
  <c r="AU145" i="1"/>
  <c r="BQ145" i="1" s="1"/>
  <c r="AU173" i="1"/>
  <c r="BQ173" i="1" s="1"/>
  <c r="AU231" i="1"/>
  <c r="BQ231" i="1" s="1"/>
  <c r="AU234" i="1"/>
  <c r="BQ234" i="1" s="1"/>
  <c r="AU321" i="1"/>
  <c r="BQ321" i="1" s="1"/>
  <c r="AU323" i="1"/>
  <c r="BQ323" i="1" s="1"/>
  <c r="AU369" i="1"/>
  <c r="BQ369" i="1" s="1"/>
  <c r="AU373" i="1"/>
  <c r="BQ373" i="1" s="1"/>
  <c r="AU23" i="1"/>
  <c r="BQ23" i="1" s="1"/>
  <c r="AU174" i="1"/>
  <c r="BQ174" i="1" s="1"/>
  <c r="AU230" i="1"/>
  <c r="BQ230" i="1" s="1"/>
  <c r="AU272" i="1"/>
  <c r="BQ272" i="1" s="1"/>
  <c r="AU322" i="1"/>
  <c r="BQ322" i="1" s="1"/>
  <c r="AU49" i="1"/>
  <c r="BQ49" i="1" s="1"/>
  <c r="AU146" i="1"/>
  <c r="BQ146" i="1" s="1"/>
  <c r="AU172" i="1"/>
  <c r="BQ172" i="1" s="1"/>
  <c r="AU232" i="1"/>
  <c r="BQ232" i="1" s="1"/>
  <c r="AU324" i="1"/>
  <c r="BQ324" i="1" s="1"/>
  <c r="AU372" i="1"/>
  <c r="BQ372" i="1" s="1"/>
  <c r="AU401" i="1"/>
  <c r="BQ401" i="1" s="1"/>
  <c r="AU413" i="1"/>
  <c r="BQ413" i="1" s="1"/>
  <c r="M255" i="12"/>
  <c r="M228" i="12"/>
  <c r="CM185" i="1"/>
  <c r="M231" i="12"/>
  <c r="M237" i="12"/>
  <c r="M222" i="12"/>
  <c r="M210" i="12"/>
  <c r="CM422" i="1"/>
  <c r="M264" i="12"/>
  <c r="CM281" i="1"/>
  <c r="M165" i="12"/>
  <c r="M258" i="12"/>
  <c r="M186" i="12"/>
  <c r="M207" i="12"/>
  <c r="M153" i="12"/>
  <c r="M159" i="12"/>
  <c r="M252" i="12"/>
  <c r="M243" i="12"/>
  <c r="M216" i="12"/>
  <c r="M270" i="12"/>
  <c r="M171" i="12"/>
  <c r="CM416" i="1"/>
  <c r="M138" i="12"/>
  <c r="M141" i="12"/>
  <c r="CM69" i="1"/>
  <c r="M195" i="12"/>
  <c r="M180" i="12"/>
  <c r="AU9" i="1"/>
  <c r="BQ9" i="1" s="1"/>
  <c r="AU12" i="1"/>
  <c r="BQ12" i="1" s="1"/>
  <c r="AU34" i="1"/>
  <c r="BQ34" i="1" s="1"/>
  <c r="AU36" i="1"/>
  <c r="BQ36" i="1" s="1"/>
  <c r="AU77" i="1"/>
  <c r="BQ77" i="1" s="1"/>
  <c r="AU79" i="1"/>
  <c r="BQ79" i="1" s="1"/>
  <c r="AU102" i="1"/>
  <c r="BQ102" i="1" s="1"/>
  <c r="AU120" i="1"/>
  <c r="BQ120" i="1" s="1"/>
  <c r="AU122" i="1"/>
  <c r="BQ122" i="1" s="1"/>
  <c r="AU132" i="1"/>
  <c r="BQ132" i="1" s="1"/>
  <c r="AU134" i="1"/>
  <c r="BQ134" i="1" s="1"/>
  <c r="AU136" i="1"/>
  <c r="BQ136" i="1" s="1"/>
  <c r="AU153" i="1"/>
  <c r="BQ153" i="1" s="1"/>
  <c r="AU155" i="1"/>
  <c r="BQ155" i="1" s="1"/>
  <c r="AU191" i="1"/>
  <c r="BQ191" i="1" s="1"/>
  <c r="AUZ191" i="1" s="1"/>
  <c r="AU193" i="1"/>
  <c r="BQ193" i="1" s="1"/>
  <c r="AU195" i="1"/>
  <c r="BQ195" i="1" s="1"/>
  <c r="AU215" i="1"/>
  <c r="BQ215" i="1" s="1"/>
  <c r="AU217" i="1"/>
  <c r="BQ217" i="1" s="1"/>
  <c r="AU255" i="1"/>
  <c r="BQ255" i="1" s="1"/>
  <c r="AU285" i="1"/>
  <c r="BQ285" i="1" s="1"/>
  <c r="AU288" i="1"/>
  <c r="BQ288" i="1" s="1"/>
  <c r="AU292" i="1"/>
  <c r="BQ292" i="1" s="1"/>
  <c r="AU294" i="1"/>
  <c r="BQ294" i="1" s="1"/>
  <c r="AU347" i="1"/>
  <c r="BQ347" i="1" s="1"/>
  <c r="AU349" i="1"/>
  <c r="BQ349" i="1" s="1"/>
  <c r="AU388" i="1"/>
  <c r="BQ388" i="1" s="1"/>
  <c r="AU390" i="1"/>
  <c r="BQ390" i="1" s="1"/>
  <c r="AU392" i="1"/>
  <c r="BQ392" i="1" s="1"/>
  <c r="AU406" i="1"/>
  <c r="BQ406" i="1" s="1"/>
  <c r="AU408" i="1"/>
  <c r="BQ408" i="1" s="1"/>
  <c r="AU11" i="1"/>
  <c r="BQ11" i="1" s="1"/>
  <c r="AU76" i="1"/>
  <c r="BQ76" i="1" s="1"/>
  <c r="AU97" i="1"/>
  <c r="BQ97" i="1" s="1"/>
  <c r="AU103" i="1"/>
  <c r="BQ103" i="1" s="1"/>
  <c r="AU119" i="1"/>
  <c r="BQ119" i="1" s="1"/>
  <c r="AUZ119" i="1" s="1"/>
  <c r="AU123" i="1"/>
  <c r="AU131" i="1"/>
  <c r="BQ131" i="1" s="1"/>
  <c r="AUZ131" i="1" s="1"/>
  <c r="AU135" i="1"/>
  <c r="BQ135" i="1" s="1"/>
  <c r="AU156" i="1"/>
  <c r="BQ156" i="1" s="1"/>
  <c r="AU192" i="1"/>
  <c r="BQ192" i="1" s="1"/>
  <c r="AU214" i="1"/>
  <c r="BQ214" i="1" s="1"/>
  <c r="AUZ214" i="1" s="1"/>
  <c r="AU218" i="1"/>
  <c r="BQ218" i="1" s="1"/>
  <c r="AU256" i="1"/>
  <c r="BQ256" i="1" s="1"/>
  <c r="AU287" i="1"/>
  <c r="BQ287" i="1" s="1"/>
  <c r="AU291" i="1"/>
  <c r="BQ291" i="1" s="1"/>
  <c r="AU295" i="1"/>
  <c r="BQ295" i="1" s="1"/>
  <c r="AU350" i="1"/>
  <c r="BQ350" i="1" s="1"/>
  <c r="AU391" i="1"/>
  <c r="BQ391" i="1" s="1"/>
  <c r="AU407" i="1"/>
  <c r="BQ407" i="1" s="1"/>
  <c r="AU37" i="1"/>
  <c r="BQ37" i="1" s="1"/>
  <c r="AU78" i="1"/>
  <c r="BQ78" i="1" s="1"/>
  <c r="AU101" i="1"/>
  <c r="BQ101" i="1" s="1"/>
  <c r="AU121" i="1"/>
  <c r="BQ121" i="1" s="1"/>
  <c r="AU133" i="1"/>
  <c r="BQ133" i="1" s="1"/>
  <c r="AU137" i="1"/>
  <c r="BQ137" i="1" s="1"/>
  <c r="AU150" i="1"/>
  <c r="BQ150" i="1" s="1"/>
  <c r="AUZ150" i="1" s="1"/>
  <c r="AU154" i="1"/>
  <c r="BQ154" i="1" s="1"/>
  <c r="AU194" i="1"/>
  <c r="BQ194" i="1" s="1"/>
  <c r="AU216" i="1"/>
  <c r="BQ216" i="1" s="1"/>
  <c r="AU254" i="1"/>
  <c r="BQ254" i="1" s="1"/>
  <c r="AUZ254" i="1" s="1"/>
  <c r="AU293" i="1"/>
  <c r="BQ293" i="1" s="1"/>
  <c r="AU344" i="1"/>
  <c r="BQ344" i="1" s="1"/>
  <c r="AU348" i="1"/>
  <c r="BQ348" i="1" s="1"/>
  <c r="AU389" i="1"/>
  <c r="BQ389" i="1" s="1"/>
  <c r="AU393" i="1"/>
  <c r="BQ393" i="1" s="1"/>
  <c r="Y4" i="1"/>
  <c r="M246" i="12"/>
  <c r="M201" i="12"/>
  <c r="CM129" i="1"/>
  <c r="M204" i="12"/>
  <c r="M219" i="12"/>
  <c r="M249" i="12"/>
  <c r="CM420" i="1"/>
  <c r="M183" i="12"/>
  <c r="M240" i="12"/>
  <c r="M213" i="12"/>
  <c r="M267" i="12"/>
  <c r="M168" i="12"/>
  <c r="M234" i="12"/>
  <c r="M162" i="12"/>
  <c r="M150" i="12"/>
  <c r="M225" i="12"/>
  <c r="M261" i="12"/>
  <c r="M189" i="12"/>
  <c r="M144" i="12"/>
  <c r="CM423" i="1"/>
  <c r="M192" i="12"/>
  <c r="M177" i="12"/>
  <c r="M198" i="12"/>
  <c r="BO91" i="1"/>
  <c r="CK91" i="1" s="1"/>
  <c r="BL423" i="1"/>
  <c r="I23" i="19" s="1"/>
  <c r="BL151" i="1"/>
  <c r="BL121" i="1"/>
  <c r="BL344" i="1"/>
  <c r="BL370" i="1"/>
  <c r="BL345" i="1"/>
  <c r="BL289" i="1"/>
  <c r="BP38" i="1"/>
  <c r="AUY38" i="1" s="1"/>
  <c r="BL38" i="1"/>
  <c r="BP219" i="1"/>
  <c r="BL219" i="1"/>
  <c r="BP116" i="1"/>
  <c r="BL116" i="1"/>
  <c r="BP275" i="1"/>
  <c r="BL275" i="1"/>
  <c r="BP239" i="1"/>
  <c r="BL239" i="1"/>
  <c r="BP377" i="1"/>
  <c r="BL377" i="1"/>
  <c r="BP277" i="1"/>
  <c r="BL277" i="1"/>
  <c r="BL229" i="1"/>
  <c r="BL284" i="1"/>
  <c r="BL9" i="1"/>
  <c r="BL102" i="1"/>
  <c r="BL134" i="1"/>
  <c r="BL413" i="1"/>
  <c r="BL320" i="1"/>
  <c r="BL321" i="1"/>
  <c r="BL373" i="1"/>
  <c r="BP184" i="1"/>
  <c r="BL184" i="1"/>
  <c r="BP183" i="1"/>
  <c r="BL183" i="1"/>
  <c r="BP19" i="1"/>
  <c r="BL19" i="1"/>
  <c r="BP356" i="1"/>
  <c r="BL356" i="1"/>
  <c r="BP61" i="1"/>
  <c r="BL61" i="1"/>
  <c r="BP244" i="1"/>
  <c r="BL244" i="1"/>
  <c r="BP64" i="1"/>
  <c r="BL64" i="1"/>
  <c r="BP93" i="1"/>
  <c r="AUY93" i="1" s="1"/>
  <c r="BL93" i="1"/>
  <c r="BP187" i="1"/>
  <c r="AUY187" i="1" s="1"/>
  <c r="BL187" i="1"/>
  <c r="BP71" i="1"/>
  <c r="BL71" i="1"/>
  <c r="BP129" i="1"/>
  <c r="BL129" i="1"/>
  <c r="BP68" i="1"/>
  <c r="BL68" i="1"/>
  <c r="BP40" i="1"/>
  <c r="BL40" i="1"/>
  <c r="BP197" i="1"/>
  <c r="BL197" i="1"/>
  <c r="BP222" i="1"/>
  <c r="BL222" i="1"/>
  <c r="BP16" i="1"/>
  <c r="BL16" i="1"/>
  <c r="BP87" i="1"/>
  <c r="BL87" i="1"/>
  <c r="BP227" i="1"/>
  <c r="BL227" i="1"/>
  <c r="BP398" i="1"/>
  <c r="BL398" i="1"/>
  <c r="BP86" i="1"/>
  <c r="BL86" i="1"/>
  <c r="BP314" i="1"/>
  <c r="BL314" i="1"/>
  <c r="BP339" i="1"/>
  <c r="BL339" i="1"/>
  <c r="BP357" i="1"/>
  <c r="BL357" i="1"/>
  <c r="BP330" i="1"/>
  <c r="BL330" i="1"/>
  <c r="BP147" i="1"/>
  <c r="BL147" i="1"/>
  <c r="BP333" i="1"/>
  <c r="BL333" i="1"/>
  <c r="BP92" i="1"/>
  <c r="BL92" i="1"/>
  <c r="BP243" i="1"/>
  <c r="BL243" i="1"/>
  <c r="BP415" i="1"/>
  <c r="BL415" i="1"/>
  <c r="BP30" i="1"/>
  <c r="BL30" i="1"/>
  <c r="BP417" i="1"/>
  <c r="BL417" i="1"/>
  <c r="BP149" i="1"/>
  <c r="BL149" i="1"/>
  <c r="BP342" i="1"/>
  <c r="BL342" i="1"/>
  <c r="BP300" i="1"/>
  <c r="BL300" i="1"/>
  <c r="BP264" i="1"/>
  <c r="BL264" i="1"/>
  <c r="BP46" i="1"/>
  <c r="BL46" i="1"/>
  <c r="BP128" i="1"/>
  <c r="BL128" i="1"/>
  <c r="BP202" i="1"/>
  <c r="BL202" i="1"/>
  <c r="BP302" i="1"/>
  <c r="BL302" i="1"/>
  <c r="BP45" i="1"/>
  <c r="BL45" i="1"/>
  <c r="BP125" i="1"/>
  <c r="BL125" i="1"/>
  <c r="BP201" i="1"/>
  <c r="BL201" i="1"/>
  <c r="BP316" i="1"/>
  <c r="BL316" i="1"/>
  <c r="BP250" i="1"/>
  <c r="BL250" i="1"/>
  <c r="BP327" i="1"/>
  <c r="BL327" i="1"/>
  <c r="BP28" i="1"/>
  <c r="AUY28" i="1" s="1"/>
  <c r="BL28" i="1"/>
  <c r="BP242" i="1"/>
  <c r="BL242" i="1"/>
  <c r="BP113" i="1"/>
  <c r="BL113" i="1"/>
  <c r="BP374" i="1"/>
  <c r="BL374" i="1"/>
  <c r="BP65" i="1"/>
  <c r="AUY65" i="1" s="1"/>
  <c r="BP72" i="1"/>
  <c r="BL72" i="1"/>
  <c r="BP70" i="1"/>
  <c r="BL70" i="1"/>
  <c r="BL37" i="1"/>
  <c r="BL137" i="1"/>
  <c r="BL393" i="1"/>
  <c r="BL255" i="1"/>
  <c r="CJ71" i="1"/>
  <c r="BL75" i="1"/>
  <c r="BL150" i="1"/>
  <c r="BL194" i="1"/>
  <c r="BL254" i="1"/>
  <c r="BL407" i="1"/>
  <c r="BL110" i="1"/>
  <c r="BL33" i="1"/>
  <c r="BL78" i="1"/>
  <c r="BL389" i="1"/>
  <c r="BP225" i="1"/>
  <c r="BL225" i="1"/>
  <c r="BP63" i="1"/>
  <c r="BL63" i="1"/>
  <c r="BP209" i="1"/>
  <c r="BL209" i="1"/>
  <c r="BP27" i="1"/>
  <c r="BL27" i="1"/>
  <c r="BP334" i="1"/>
  <c r="BL334" i="1"/>
  <c r="BP179" i="1"/>
  <c r="BL179" i="1"/>
  <c r="BP378" i="1"/>
  <c r="BL378" i="1"/>
  <c r="BL348" i="1"/>
  <c r="BL368" i="1"/>
  <c r="BL195" i="1"/>
  <c r="BL232" i="1"/>
  <c r="BL372" i="1"/>
  <c r="BL34" i="1"/>
  <c r="BL172" i="1"/>
  <c r="BP418" i="1"/>
  <c r="AUY418" i="1" s="1"/>
  <c r="BP14" i="1"/>
  <c r="AUY14" i="1" s="1"/>
  <c r="BL14" i="1"/>
  <c r="BP304" i="1"/>
  <c r="BL304" i="1"/>
  <c r="BP379" i="1"/>
  <c r="BL379" i="1"/>
  <c r="BP114" i="1"/>
  <c r="BL114" i="1"/>
  <c r="BP402" i="1"/>
  <c r="BL402" i="1"/>
  <c r="BP115" i="1"/>
  <c r="BL115" i="1"/>
  <c r="BP375" i="1"/>
  <c r="BL375" i="1"/>
  <c r="BP249" i="1"/>
  <c r="BL249" i="1"/>
  <c r="BP282" i="1"/>
  <c r="BL282" i="1"/>
  <c r="BP188" i="1"/>
  <c r="BL188" i="1"/>
  <c r="BP253" i="1"/>
  <c r="BL253" i="1"/>
  <c r="BP404" i="1"/>
  <c r="BL404" i="1"/>
  <c r="BP157" i="1"/>
  <c r="BL157" i="1"/>
  <c r="BP259" i="1"/>
  <c r="BL259" i="1"/>
  <c r="BP166" i="1"/>
  <c r="BL166" i="1"/>
  <c r="BP299" i="1"/>
  <c r="BL299" i="1"/>
  <c r="BP44" i="1"/>
  <c r="BL44" i="1"/>
  <c r="BP200" i="1"/>
  <c r="BL200" i="1"/>
  <c r="BP317" i="1"/>
  <c r="BL317" i="1"/>
  <c r="BP43" i="1"/>
  <c r="BL43" i="1"/>
  <c r="BP170" i="1"/>
  <c r="BL170" i="1"/>
  <c r="BP364" i="1"/>
  <c r="BL364" i="1"/>
  <c r="BP248" i="1"/>
  <c r="BL248" i="1"/>
  <c r="BP273" i="1"/>
  <c r="BL273" i="1"/>
  <c r="BP89" i="1"/>
  <c r="AUY89" i="1" s="1"/>
  <c r="BL89" i="1"/>
  <c r="BP211" i="1"/>
  <c r="BL211" i="1"/>
  <c r="BP29" i="1"/>
  <c r="BL29" i="1"/>
  <c r="BP176" i="1"/>
  <c r="BL176" i="1"/>
  <c r="BP336" i="1"/>
  <c r="BL336" i="1"/>
  <c r="BP414" i="1"/>
  <c r="BL414" i="1"/>
  <c r="BP181" i="1"/>
  <c r="BL181" i="1"/>
  <c r="BP73" i="1"/>
  <c r="BL73" i="1"/>
  <c r="BP416" i="1"/>
  <c r="BL416" i="1"/>
  <c r="BP81" i="1"/>
  <c r="BP196" i="1"/>
  <c r="BL196" i="1"/>
  <c r="BP360" i="1"/>
  <c r="BL360" i="1"/>
  <c r="BP106" i="1"/>
  <c r="BL106" i="1"/>
  <c r="BP162" i="1"/>
  <c r="BL162" i="1"/>
  <c r="BP261" i="1"/>
  <c r="BL261" i="1"/>
  <c r="BP412" i="1"/>
  <c r="BL412" i="1"/>
  <c r="BP88" i="1"/>
  <c r="BL88" i="1"/>
  <c r="BP143" i="1"/>
  <c r="BL143" i="1"/>
  <c r="BP268" i="1"/>
  <c r="BL268" i="1"/>
  <c r="BP236" i="1"/>
  <c r="BL236" i="1"/>
  <c r="BP358" i="1"/>
  <c r="BL358" i="1"/>
  <c r="BP241" i="1"/>
  <c r="BL241" i="1"/>
  <c r="BP175" i="1"/>
  <c r="BL175" i="1"/>
  <c r="BP335" i="1"/>
  <c r="BL335" i="1"/>
  <c r="BP178" i="1"/>
  <c r="BL178" i="1"/>
  <c r="BP331" i="1"/>
  <c r="BL331" i="1"/>
  <c r="BP338" i="1"/>
  <c r="BL338" i="1"/>
  <c r="BP130" i="1"/>
  <c r="BL130" i="1"/>
  <c r="BP190" i="1"/>
  <c r="BL190" i="1"/>
  <c r="BP276" i="1"/>
  <c r="BP223" i="1"/>
  <c r="BP158" i="1"/>
  <c r="BP351" i="1"/>
  <c r="BP48" i="1"/>
  <c r="BP138" i="1"/>
  <c r="BP365" i="1"/>
  <c r="AUY365" i="1" s="1"/>
  <c r="BP47" i="1"/>
  <c r="BP127" i="1"/>
  <c r="BP203" i="1"/>
  <c r="BP359" i="1"/>
  <c r="BP252" i="1"/>
  <c r="BP104" i="1"/>
  <c r="BP257" i="1"/>
  <c r="BP13" i="1"/>
  <c r="BP297" i="1"/>
  <c r="BP85" i="1"/>
  <c r="BP140" i="1"/>
  <c r="BP315" i="1"/>
  <c r="BP21" i="1"/>
  <c r="BP107" i="1"/>
  <c r="BP303" i="1"/>
  <c r="BP399" i="1"/>
  <c r="BP251" i="1"/>
  <c r="BP80" i="1"/>
  <c r="BP265" i="1"/>
  <c r="BP39" i="1"/>
  <c r="BP266" i="1"/>
  <c r="BP20" i="1"/>
  <c r="BP108" i="1"/>
  <c r="BP267" i="1"/>
  <c r="BP105" i="1"/>
  <c r="BP161" i="1"/>
  <c r="BP240" i="1"/>
  <c r="BP31" i="1"/>
  <c r="BP341" i="1"/>
  <c r="BP167" i="1"/>
  <c r="BP296" i="1"/>
  <c r="BP260" i="1"/>
  <c r="BP318" i="1"/>
  <c r="BP124" i="1"/>
  <c r="BP171" i="1"/>
  <c r="BP269" i="1"/>
  <c r="BP396" i="1"/>
  <c r="BP84" i="1"/>
  <c r="BP139" i="1"/>
  <c r="BP362" i="1"/>
  <c r="BP361" i="1"/>
  <c r="J165" i="12"/>
  <c r="DB281" i="1"/>
  <c r="BP280" i="1"/>
  <c r="BM235" i="1"/>
  <c r="AUV235" i="1" s="1"/>
  <c r="AUW235" i="1" s="1"/>
  <c r="AUX235" i="1" s="1"/>
  <c r="AR235" i="1"/>
  <c r="AS235" i="1" s="1"/>
  <c r="BM229" i="1"/>
  <c r="AUV229" i="1" s="1"/>
  <c r="AUW229" i="1" s="1"/>
  <c r="AUX229" i="1" s="1"/>
  <c r="AR229" i="1"/>
  <c r="AS229" i="1" s="1"/>
  <c r="AT387" i="1"/>
  <c r="BP387" i="1" s="1"/>
  <c r="AUY387" i="1" s="1"/>
  <c r="BP221" i="1"/>
  <c r="BP17" i="1"/>
  <c r="BP163" i="1"/>
  <c r="BP224" i="1"/>
  <c r="BP355" i="1"/>
  <c r="AUY355" i="1" s="1"/>
  <c r="M12" i="2"/>
  <c r="BM131" i="1"/>
  <c r="AR131" i="1"/>
  <c r="AS131" i="1" s="1"/>
  <c r="BM293" i="1"/>
  <c r="AUV293" i="1" s="1"/>
  <c r="AUW293" i="1" s="1"/>
  <c r="AUX293" i="1" s="1"/>
  <c r="AR293" i="1"/>
  <c r="AS293" i="1" s="1"/>
  <c r="BM350" i="1"/>
  <c r="AUV350" i="1" s="1"/>
  <c r="AUW350" i="1" s="1"/>
  <c r="AUX350" i="1" s="1"/>
  <c r="AR350" i="1"/>
  <c r="AS350" i="1" s="1"/>
  <c r="BM391" i="1"/>
  <c r="AUV391" i="1" s="1"/>
  <c r="AUW391" i="1" s="1"/>
  <c r="AUX391" i="1" s="1"/>
  <c r="AR391" i="1"/>
  <c r="AS391" i="1" s="1"/>
  <c r="BM407" i="1"/>
  <c r="AUV407" i="1" s="1"/>
  <c r="AUW407" i="1" s="1"/>
  <c r="AUX407" i="1" s="1"/>
  <c r="AR407" i="1"/>
  <c r="AS407" i="1" s="1"/>
  <c r="BM9" i="1"/>
  <c r="AUV9" i="1" s="1"/>
  <c r="AUW9" i="1" s="1"/>
  <c r="AUX9" i="1" s="1"/>
  <c r="AR9" i="1"/>
  <c r="AS9" i="1" s="1"/>
  <c r="BM32" i="1"/>
  <c r="AUV32" i="1" s="1"/>
  <c r="AUW32" i="1" s="1"/>
  <c r="AUX32" i="1" s="1"/>
  <c r="AR32" i="1"/>
  <c r="AS32" i="1" s="1"/>
  <c r="M20" i="2"/>
  <c r="AR36" i="1"/>
  <c r="AS36" i="1" s="1"/>
  <c r="BM36" i="1"/>
  <c r="AUV36" i="1" s="1"/>
  <c r="AUW36" i="1" s="1"/>
  <c r="AUX36" i="1" s="1"/>
  <c r="AR79" i="1"/>
  <c r="AS79" i="1" s="1"/>
  <c r="BM79" i="1"/>
  <c r="AUV79" i="1" s="1"/>
  <c r="AUW79" i="1" s="1"/>
  <c r="AUX79" i="1" s="1"/>
  <c r="BM122" i="1"/>
  <c r="AUV122" i="1" s="1"/>
  <c r="AUW122" i="1" s="1"/>
  <c r="AUX122" i="1" s="1"/>
  <c r="AR122" i="1"/>
  <c r="AS122" i="1" s="1"/>
  <c r="BM134" i="1"/>
  <c r="AUV134" i="1" s="1"/>
  <c r="AUW134" i="1" s="1"/>
  <c r="AUX134" i="1" s="1"/>
  <c r="AR134" i="1"/>
  <c r="AS134" i="1" s="1"/>
  <c r="BM217" i="1"/>
  <c r="AUV217" i="1" s="1"/>
  <c r="AUW217" i="1" s="1"/>
  <c r="AUX217" i="1" s="1"/>
  <c r="AR217" i="1"/>
  <c r="AS217" i="1" s="1"/>
  <c r="BM285" i="1"/>
  <c r="AUV285" i="1" s="1"/>
  <c r="AUW285" i="1" s="1"/>
  <c r="AUX285" i="1" s="1"/>
  <c r="AR285" i="1"/>
  <c r="AS285" i="1" s="1"/>
  <c r="BM388" i="1"/>
  <c r="AUV388" i="1" s="1"/>
  <c r="AUW388" i="1" s="1"/>
  <c r="AUX388" i="1" s="1"/>
  <c r="AR388" i="1"/>
  <c r="AS388" i="1" s="1"/>
  <c r="BM392" i="1"/>
  <c r="AUV392" i="1" s="1"/>
  <c r="AUW392" i="1" s="1"/>
  <c r="AUX392" i="1" s="1"/>
  <c r="AR392" i="1"/>
  <c r="AS392" i="1" s="1"/>
  <c r="BM408" i="1"/>
  <c r="AUV408" i="1" s="1"/>
  <c r="AUW408" i="1" s="1"/>
  <c r="AUX408" i="1" s="1"/>
  <c r="AR408" i="1"/>
  <c r="AS408" i="1" s="1"/>
  <c r="BM23" i="1"/>
  <c r="AUV23" i="1" s="1"/>
  <c r="AR23" i="1"/>
  <c r="AS23" i="1" s="1"/>
  <c r="BM51" i="1"/>
  <c r="AUV51" i="1" s="1"/>
  <c r="AR51" i="1"/>
  <c r="AS51" i="1" s="1"/>
  <c r="BM174" i="1"/>
  <c r="AUV174" i="1" s="1"/>
  <c r="AUW174" i="1" s="1"/>
  <c r="AUX174" i="1" s="1"/>
  <c r="AR174" i="1"/>
  <c r="AS174" i="1" s="1"/>
  <c r="BM372" i="1"/>
  <c r="AUV372" i="1" s="1"/>
  <c r="AUW372" i="1" s="1"/>
  <c r="AUX372" i="1" s="1"/>
  <c r="AR372" i="1"/>
  <c r="AS372" i="1" s="1"/>
  <c r="AR110" i="1"/>
  <c r="AS110" i="1" s="1"/>
  <c r="BM110" i="1"/>
  <c r="AUV110" i="1" s="1"/>
  <c r="AUW110" i="1" s="1"/>
  <c r="AUX110" i="1" s="1"/>
  <c r="BM145" i="1"/>
  <c r="AUV145" i="1" s="1"/>
  <c r="AUW145" i="1" s="1"/>
  <c r="AUX145" i="1" s="1"/>
  <c r="AR145" i="1"/>
  <c r="AS145" i="1" s="1"/>
  <c r="BM323" i="1"/>
  <c r="AUV323" i="1" s="1"/>
  <c r="AUW323" i="1" s="1"/>
  <c r="AUX323" i="1" s="1"/>
  <c r="AR323" i="1"/>
  <c r="AS323" i="1" s="1"/>
  <c r="P180" i="12"/>
  <c r="O177" i="12"/>
  <c r="CP69" i="1"/>
  <c r="P174" i="12"/>
  <c r="T180" i="12"/>
  <c r="T177" i="12"/>
  <c r="AT346" i="1"/>
  <c r="BP346" i="1" s="1"/>
  <c r="BP91" i="1"/>
  <c r="BP62" i="1"/>
  <c r="AUY62" i="1" s="1"/>
  <c r="BP90" i="1"/>
  <c r="BP148" i="1"/>
  <c r="BP274" i="1"/>
  <c r="BP403" i="1"/>
  <c r="BP117" i="1"/>
  <c r="BP340" i="1"/>
  <c r="P117" i="12"/>
  <c r="P81" i="12"/>
  <c r="P9" i="12"/>
  <c r="P15" i="12"/>
  <c r="O90" i="12"/>
  <c r="P123" i="12"/>
  <c r="P6" i="12"/>
  <c r="CP387" i="1"/>
  <c r="P111" i="12"/>
  <c r="CP75" i="1"/>
  <c r="P3" i="12"/>
  <c r="CP343" i="1"/>
  <c r="P84" i="12"/>
  <c r="T117" i="12"/>
  <c r="T9" i="12"/>
  <c r="T15" i="12"/>
  <c r="T123" i="12"/>
  <c r="T6" i="12"/>
  <c r="CD289" i="1"/>
  <c r="AVM289" i="1" s="1"/>
  <c r="BI289" i="1"/>
  <c r="BJ289" i="1" s="1"/>
  <c r="CD95" i="1"/>
  <c r="AVM95" i="1" s="1"/>
  <c r="BI95" i="1"/>
  <c r="BJ95" i="1" s="1"/>
  <c r="CD345" i="1"/>
  <c r="AVM345" i="1" s="1"/>
  <c r="BI345" i="1"/>
  <c r="BJ345" i="1" s="1"/>
  <c r="CD290" i="1"/>
  <c r="AVM290" i="1" s="1"/>
  <c r="BI290" i="1"/>
  <c r="BJ290" i="1" s="1"/>
  <c r="O45" i="12"/>
  <c r="O27" i="12"/>
  <c r="O24" i="12"/>
  <c r="O33" i="12"/>
  <c r="CO119" i="1"/>
  <c r="O21" i="12"/>
  <c r="CO214" i="1"/>
  <c r="T99" i="12"/>
  <c r="T69" i="12"/>
  <c r="T102" i="12"/>
  <c r="Q20" i="2"/>
  <c r="CT32" i="1"/>
  <c r="T21" i="12"/>
  <c r="CT119" i="1"/>
  <c r="Q11" i="2"/>
  <c r="O11" i="2" s="1"/>
  <c r="T48" i="12"/>
  <c r="Q14" i="2"/>
  <c r="O14" i="2" s="1"/>
  <c r="CT214" i="1"/>
  <c r="CD8" i="1"/>
  <c r="AVM8" i="1" s="1"/>
  <c r="BI8" i="1"/>
  <c r="BJ8" i="1" s="1"/>
  <c r="CD33" i="1"/>
  <c r="AVM33" i="1" s="1"/>
  <c r="BI33" i="1"/>
  <c r="BJ33" i="1" s="1"/>
  <c r="CD37" i="1"/>
  <c r="AVM37" i="1" s="1"/>
  <c r="BI37" i="1"/>
  <c r="BJ37" i="1" s="1"/>
  <c r="CD78" i="1"/>
  <c r="BI78" i="1"/>
  <c r="BJ78" i="1" s="1"/>
  <c r="CD101" i="1"/>
  <c r="AVM101" i="1" s="1"/>
  <c r="BI101" i="1"/>
  <c r="BJ101" i="1" s="1"/>
  <c r="CD133" i="1"/>
  <c r="AVM133" i="1" s="1"/>
  <c r="BI133" i="1"/>
  <c r="BJ133" i="1" s="1"/>
  <c r="CD137" i="1"/>
  <c r="AVM137" i="1" s="1"/>
  <c r="BI137" i="1"/>
  <c r="BJ137" i="1" s="1"/>
  <c r="CD154" i="1"/>
  <c r="AVM154" i="1" s="1"/>
  <c r="BI154" i="1"/>
  <c r="BJ154" i="1" s="1"/>
  <c r="CD348" i="1"/>
  <c r="AVM348" i="1" s="1"/>
  <c r="BI348" i="1"/>
  <c r="BJ348" i="1" s="1"/>
  <c r="CD155" i="1"/>
  <c r="AVM155" i="1" s="1"/>
  <c r="BI155" i="1"/>
  <c r="BJ155" i="1" s="1"/>
  <c r="CD255" i="1"/>
  <c r="AVM255" i="1" s="1"/>
  <c r="BI255" i="1"/>
  <c r="BJ255" i="1" s="1"/>
  <c r="CD294" i="1"/>
  <c r="AVM294" i="1" s="1"/>
  <c r="BI294" i="1"/>
  <c r="BJ294" i="1" s="1"/>
  <c r="CD349" i="1"/>
  <c r="AVM349" i="1" s="1"/>
  <c r="BI349" i="1"/>
  <c r="BJ349" i="1" s="1"/>
  <c r="CD390" i="1"/>
  <c r="AVM390" i="1" s="1"/>
  <c r="BI390" i="1"/>
  <c r="BJ390" i="1" s="1"/>
  <c r="CD406" i="1"/>
  <c r="AVM406" i="1" s="1"/>
  <c r="BI406" i="1"/>
  <c r="BJ406" i="1" s="1"/>
  <c r="AT235" i="1"/>
  <c r="BP235" i="1" s="1"/>
  <c r="AT319" i="1"/>
  <c r="BP319" i="1" s="1"/>
  <c r="CD229" i="1"/>
  <c r="AVM229" i="1" s="1"/>
  <c r="BI229" i="1"/>
  <c r="BJ229" i="1" s="1"/>
  <c r="CD325" i="1"/>
  <c r="AVM325" i="1" s="1"/>
  <c r="BI325" i="1"/>
  <c r="BJ325" i="1" s="1"/>
  <c r="AT371" i="1"/>
  <c r="BP371" i="1" s="1"/>
  <c r="AT322" i="1"/>
  <c r="BL322" i="1" s="1"/>
  <c r="AT207" i="1"/>
  <c r="BP207" i="1" s="1"/>
  <c r="AT174" i="1"/>
  <c r="BP174" i="1" s="1"/>
  <c r="AT146" i="1"/>
  <c r="BP146" i="1" s="1"/>
  <c r="AT51" i="1"/>
  <c r="BP51" i="1" s="1"/>
  <c r="AT23" i="1"/>
  <c r="BP23" i="1" s="1"/>
  <c r="AT323" i="1"/>
  <c r="BP323" i="1" s="1"/>
  <c r="AT234" i="1"/>
  <c r="BP234" i="1" s="1"/>
  <c r="AT206" i="1"/>
  <c r="BP206" i="1" s="1"/>
  <c r="AT145" i="1"/>
  <c r="BP145" i="1" s="1"/>
  <c r="AT24" i="1"/>
  <c r="BL24" i="1" s="1"/>
  <c r="CD23" i="1"/>
  <c r="AVM23" i="1" s="1"/>
  <c r="BI23" i="1"/>
  <c r="BJ23" i="1" s="1"/>
  <c r="CD51" i="1"/>
  <c r="AVM51" i="1" s="1"/>
  <c r="BI51" i="1"/>
  <c r="BJ51" i="1" s="1"/>
  <c r="CD174" i="1"/>
  <c r="AVM174" i="1" s="1"/>
  <c r="BI174" i="1"/>
  <c r="BJ174" i="1" s="1"/>
  <c r="CD322" i="1"/>
  <c r="AVM322" i="1" s="1"/>
  <c r="BI322" i="1"/>
  <c r="BJ322" i="1" s="1"/>
  <c r="CD372" i="1"/>
  <c r="AVM372" i="1" s="1"/>
  <c r="BI372" i="1"/>
  <c r="BJ372" i="1" s="1"/>
  <c r="BI413" i="1"/>
  <c r="BJ413" i="1" s="1"/>
  <c r="CD413" i="1"/>
  <c r="AVM413" i="1" s="1"/>
  <c r="BI24" i="1"/>
  <c r="BJ24" i="1" s="1"/>
  <c r="CD24" i="1"/>
  <c r="AVM24" i="1" s="1"/>
  <c r="CD145" i="1"/>
  <c r="BI145" i="1"/>
  <c r="BJ145" i="1" s="1"/>
  <c r="CD206" i="1"/>
  <c r="AVM206" i="1" s="1"/>
  <c r="BI206" i="1"/>
  <c r="BJ206" i="1" s="1"/>
  <c r="CD323" i="1"/>
  <c r="AVM323" i="1" s="1"/>
  <c r="BI323" i="1"/>
  <c r="BJ323" i="1" s="1"/>
  <c r="CD371" i="1"/>
  <c r="AVM371" i="1" s="1"/>
  <c r="BI371" i="1"/>
  <c r="BJ371" i="1" s="1"/>
  <c r="BP420" i="1"/>
  <c r="BP424" i="1"/>
  <c r="BP422" i="1"/>
  <c r="BP186" i="1"/>
  <c r="BP281" i="1"/>
  <c r="BP74" i="1"/>
  <c r="BP185" i="1"/>
  <c r="AR423" i="1"/>
  <c r="AS423" i="1" s="1"/>
  <c r="BM423" i="1"/>
  <c r="AUV423" i="1" s="1"/>
  <c r="AUW423" i="1" s="1"/>
  <c r="AUX423" i="1" s="1"/>
  <c r="M49" i="2"/>
  <c r="M59" i="2" s="1"/>
  <c r="BP67" i="1"/>
  <c r="AUY67" i="1" s="1"/>
  <c r="BP213" i="1"/>
  <c r="BP94" i="1"/>
  <c r="BM320" i="1"/>
  <c r="AUV320" i="1" s="1"/>
  <c r="AUW320" i="1" s="1"/>
  <c r="AUX320" i="1" s="1"/>
  <c r="AR320" i="1"/>
  <c r="AS320" i="1" s="1"/>
  <c r="BM289" i="1"/>
  <c r="AUV289" i="1" s="1"/>
  <c r="AUW289" i="1" s="1"/>
  <c r="AUX289" i="1" s="1"/>
  <c r="AR289" i="1"/>
  <c r="AS289" i="1" s="1"/>
  <c r="M17" i="2"/>
  <c r="BM283" i="1"/>
  <c r="AUV283" i="1" s="1"/>
  <c r="AUW283" i="1" s="1"/>
  <c r="AUX283" i="1" s="1"/>
  <c r="AR283" i="1"/>
  <c r="AS283" i="1" s="1"/>
  <c r="BM346" i="1"/>
  <c r="AUV346" i="1" s="1"/>
  <c r="AUW346" i="1" s="1"/>
  <c r="AUX346" i="1" s="1"/>
  <c r="AR346" i="1"/>
  <c r="AS346" i="1" s="1"/>
  <c r="BM101" i="1"/>
  <c r="AUV101" i="1" s="1"/>
  <c r="AUW101" i="1" s="1"/>
  <c r="AUX101" i="1" s="1"/>
  <c r="AR101" i="1"/>
  <c r="AS101" i="1" s="1"/>
  <c r="BM133" i="1"/>
  <c r="AUV133" i="1" s="1"/>
  <c r="AUW133" i="1" s="1"/>
  <c r="AUX133" i="1" s="1"/>
  <c r="AR133" i="1"/>
  <c r="AS133" i="1" s="1"/>
  <c r="BM137" i="1"/>
  <c r="AUV137" i="1" s="1"/>
  <c r="AUW137" i="1" s="1"/>
  <c r="AUX137" i="1" s="1"/>
  <c r="AR137" i="1"/>
  <c r="AS137" i="1" s="1"/>
  <c r="BM192" i="1"/>
  <c r="AUV192" i="1" s="1"/>
  <c r="AUW192" i="1" s="1"/>
  <c r="AUX192" i="1" s="1"/>
  <c r="AR192" i="1"/>
  <c r="AS192" i="1" s="1"/>
  <c r="M14" i="2"/>
  <c r="BM214" i="1"/>
  <c r="AUV214" i="1" s="1"/>
  <c r="AUW214" i="1" s="1"/>
  <c r="AUX214" i="1" s="1"/>
  <c r="AR214" i="1"/>
  <c r="AS214" i="1" s="1"/>
  <c r="BM218" i="1"/>
  <c r="AUV218" i="1" s="1"/>
  <c r="AUW218" i="1" s="1"/>
  <c r="AUX218" i="1" s="1"/>
  <c r="AR218" i="1"/>
  <c r="AS218" i="1" s="1"/>
  <c r="BM256" i="1"/>
  <c r="AUV256" i="1" s="1"/>
  <c r="AUW256" i="1" s="1"/>
  <c r="AUX256" i="1" s="1"/>
  <c r="AR256" i="1"/>
  <c r="AS256" i="1" s="1"/>
  <c r="BM291" i="1"/>
  <c r="AUV291" i="1" s="1"/>
  <c r="AUW291" i="1" s="1"/>
  <c r="AUX291" i="1" s="1"/>
  <c r="AR291" i="1"/>
  <c r="AS291" i="1" s="1"/>
  <c r="BM295" i="1"/>
  <c r="AUV295" i="1" s="1"/>
  <c r="AUW295" i="1" s="1"/>
  <c r="AUX295" i="1" s="1"/>
  <c r="AR295" i="1"/>
  <c r="AS295" i="1" s="1"/>
  <c r="BM348" i="1"/>
  <c r="AUV348" i="1" s="1"/>
  <c r="AUW348" i="1" s="1"/>
  <c r="AUX348" i="1" s="1"/>
  <c r="AR348" i="1"/>
  <c r="AS348" i="1" s="1"/>
  <c r="BM393" i="1"/>
  <c r="AUV393" i="1" s="1"/>
  <c r="AUW393" i="1" s="1"/>
  <c r="AUX393" i="1" s="1"/>
  <c r="AR393" i="1"/>
  <c r="AS393" i="1" s="1"/>
  <c r="AR34" i="1"/>
  <c r="AS34" i="1" s="1"/>
  <c r="BM34" i="1"/>
  <c r="AUV34" i="1" s="1"/>
  <c r="AUW34" i="1" s="1"/>
  <c r="AUX34" i="1" s="1"/>
  <c r="AR77" i="1"/>
  <c r="AS77" i="1" s="1"/>
  <c r="BM77" i="1"/>
  <c r="AUV77" i="1" s="1"/>
  <c r="AUW77" i="1" s="1"/>
  <c r="AUX77" i="1" s="1"/>
  <c r="BM98" i="1"/>
  <c r="AUV98" i="1" s="1"/>
  <c r="AUW98" i="1" s="1"/>
  <c r="AUX98" i="1" s="1"/>
  <c r="AR98" i="1"/>
  <c r="AS98" i="1" s="1"/>
  <c r="AR132" i="1"/>
  <c r="AS132" i="1" s="1"/>
  <c r="BM132" i="1"/>
  <c r="BM294" i="1"/>
  <c r="AUV294" i="1" s="1"/>
  <c r="AUW294" i="1" s="1"/>
  <c r="AUX294" i="1" s="1"/>
  <c r="AR294" i="1"/>
  <c r="AS294" i="1" s="1"/>
  <c r="BM349" i="1"/>
  <c r="AUV349" i="1" s="1"/>
  <c r="AUW349" i="1" s="1"/>
  <c r="AUX349" i="1" s="1"/>
  <c r="AR349" i="1"/>
  <c r="AS349" i="1" s="1"/>
  <c r="BM390" i="1"/>
  <c r="AUV390" i="1" s="1"/>
  <c r="AUW390" i="1" s="1"/>
  <c r="AUX390" i="1" s="1"/>
  <c r="AR390" i="1"/>
  <c r="AS390" i="1" s="1"/>
  <c r="BM406" i="1"/>
  <c r="AUV406" i="1" s="1"/>
  <c r="AUW406" i="1" s="1"/>
  <c r="AUX406" i="1" s="1"/>
  <c r="AR406" i="1"/>
  <c r="AS406" i="1" s="1"/>
  <c r="Q108" i="12"/>
  <c r="Q99" i="12"/>
  <c r="Q60" i="12"/>
  <c r="BM111" i="1"/>
  <c r="AUV111" i="1" s="1"/>
  <c r="AUW111" i="1" s="1"/>
  <c r="AUX111" i="1" s="1"/>
  <c r="AR111" i="1"/>
  <c r="AS111" i="1" s="1"/>
  <c r="BM324" i="1"/>
  <c r="AUV324" i="1" s="1"/>
  <c r="AUW324" i="1" s="1"/>
  <c r="AUX324" i="1" s="1"/>
  <c r="AR324" i="1"/>
  <c r="AS324" i="1" s="1"/>
  <c r="BM401" i="1"/>
  <c r="AUV401" i="1" s="1"/>
  <c r="AUW401" i="1" s="1"/>
  <c r="AUX401" i="1" s="1"/>
  <c r="AR401" i="1"/>
  <c r="AS401" i="1" s="1"/>
  <c r="BM50" i="1"/>
  <c r="AUV50" i="1" s="1"/>
  <c r="AUW50" i="1" s="1"/>
  <c r="AUX50" i="1" s="1"/>
  <c r="AR50" i="1"/>
  <c r="AS50" i="1" s="1"/>
  <c r="BM112" i="1"/>
  <c r="AUV112" i="1" s="1"/>
  <c r="AUW112" i="1" s="1"/>
  <c r="AUX112" i="1" s="1"/>
  <c r="AR112" i="1"/>
  <c r="AS112" i="1" s="1"/>
  <c r="BM231" i="1"/>
  <c r="AUV231" i="1" s="1"/>
  <c r="AUW231" i="1" s="1"/>
  <c r="AUX231" i="1" s="1"/>
  <c r="AR231" i="1"/>
  <c r="AS231" i="1" s="1"/>
  <c r="BM321" i="1"/>
  <c r="AUV321" i="1" s="1"/>
  <c r="AUW321" i="1" s="1"/>
  <c r="AUX321" i="1" s="1"/>
  <c r="AR321" i="1"/>
  <c r="AS321" i="1" s="1"/>
  <c r="BM369" i="1"/>
  <c r="AR369" i="1"/>
  <c r="AS369" i="1" s="1"/>
  <c r="BM373" i="1"/>
  <c r="AUV373" i="1" s="1"/>
  <c r="AUW373" i="1" s="1"/>
  <c r="AUX373" i="1" s="1"/>
  <c r="AR373" i="1"/>
  <c r="AS373" i="1" s="1"/>
  <c r="O198" i="12"/>
  <c r="O195" i="12"/>
  <c r="CO423" i="1"/>
  <c r="O192" i="12"/>
  <c r="T195" i="12"/>
  <c r="T192" i="12"/>
  <c r="Q49" i="2"/>
  <c r="CT423" i="1"/>
  <c r="BP238" i="1"/>
  <c r="BP337" i="1"/>
  <c r="BP326" i="1"/>
  <c r="BP26" i="1"/>
  <c r="BP177" i="1"/>
  <c r="BP210" i="1"/>
  <c r="BP376" i="1"/>
  <c r="O126" i="12"/>
  <c r="O18" i="12"/>
  <c r="O87" i="12"/>
  <c r="O78" i="12"/>
  <c r="O114" i="12"/>
  <c r="CO405" i="1"/>
  <c r="CO95" i="1"/>
  <c r="CO283" i="1"/>
  <c r="R117" i="12"/>
  <c r="T120" i="12"/>
  <c r="Q22" i="2"/>
  <c r="O22" i="2" s="1"/>
  <c r="CT405" i="1"/>
  <c r="CD284" i="1"/>
  <c r="AVM284" i="1" s="1"/>
  <c r="BI284" i="1"/>
  <c r="BJ284" i="1" s="1"/>
  <c r="CD75" i="1"/>
  <c r="AVM75" i="1" s="1"/>
  <c r="BI75" i="1"/>
  <c r="BJ75" i="1" s="1"/>
  <c r="CD151" i="1"/>
  <c r="AVM151" i="1" s="1"/>
  <c r="BI151" i="1"/>
  <c r="BJ151" i="1" s="1"/>
  <c r="CD346" i="1"/>
  <c r="AVM346" i="1" s="1"/>
  <c r="BI346" i="1"/>
  <c r="BJ346" i="1" s="1"/>
  <c r="AT390" i="1"/>
  <c r="BP390" i="1" s="1"/>
  <c r="AT4" i="1"/>
  <c r="AT295" i="1"/>
  <c r="BP295" i="1" s="1"/>
  <c r="AT291" i="1"/>
  <c r="BP291" i="1" s="1"/>
  <c r="AT256" i="1"/>
  <c r="BP256" i="1" s="1"/>
  <c r="AT218" i="1"/>
  <c r="BP218" i="1" s="1"/>
  <c r="AT214" i="1"/>
  <c r="BL214" i="1" s="1"/>
  <c r="AT192" i="1"/>
  <c r="BP192" i="1" s="1"/>
  <c r="AT154" i="1"/>
  <c r="BP154" i="1" s="1"/>
  <c r="AT133" i="1"/>
  <c r="BP133" i="1" s="1"/>
  <c r="AT123" i="1"/>
  <c r="AT119" i="1"/>
  <c r="BP119" i="1" s="1"/>
  <c r="AUY119" i="1" s="1"/>
  <c r="AT101" i="1"/>
  <c r="BP101" i="1" s="1"/>
  <c r="AT8" i="1"/>
  <c r="BP8" i="1" s="1"/>
  <c r="AT406" i="1"/>
  <c r="BP406" i="1" s="1"/>
  <c r="AT349" i="1"/>
  <c r="BP349" i="1" s="1"/>
  <c r="AT294" i="1"/>
  <c r="BL294" i="1" s="1"/>
  <c r="AT288" i="1"/>
  <c r="BP288" i="1" s="1"/>
  <c r="AT215" i="1"/>
  <c r="BP215" i="1" s="1"/>
  <c r="AT193" i="1"/>
  <c r="BP193" i="1" s="1"/>
  <c r="AT155" i="1"/>
  <c r="BP155" i="1" s="1"/>
  <c r="AT136" i="1"/>
  <c r="BP136" i="1" s="1"/>
  <c r="AT132" i="1"/>
  <c r="BP132" i="1" s="1"/>
  <c r="AT120" i="1"/>
  <c r="BP120" i="1" s="1"/>
  <c r="AT98" i="1"/>
  <c r="BP98" i="1" s="1"/>
  <c r="AT77" i="1"/>
  <c r="BP77" i="1" s="1"/>
  <c r="AT12" i="1"/>
  <c r="BL12" i="1" s="1"/>
  <c r="O72" i="12"/>
  <c r="O54" i="12"/>
  <c r="O42" i="12"/>
  <c r="O96" i="12"/>
  <c r="O63" i="12"/>
  <c r="O36" i="12"/>
  <c r="P108" i="12"/>
  <c r="P99" i="12"/>
  <c r="O69" i="12"/>
  <c r="O51" i="12"/>
  <c r="P60" i="12"/>
  <c r="O105" i="12"/>
  <c r="CO131" i="1"/>
  <c r="O30" i="12"/>
  <c r="CO150" i="1"/>
  <c r="CO254" i="1"/>
  <c r="O66" i="12"/>
  <c r="CO191" i="1"/>
  <c r="O57" i="12"/>
  <c r="R63" i="12"/>
  <c r="R108" i="12"/>
  <c r="T30" i="12"/>
  <c r="CT131" i="1"/>
  <c r="Q12" i="2"/>
  <c r="O12" i="2" s="1"/>
  <c r="T39" i="12"/>
  <c r="CT150" i="1"/>
  <c r="Q13" i="2"/>
  <c r="O13" i="2" s="1"/>
  <c r="T93" i="12"/>
  <c r="Q19" i="2"/>
  <c r="O19" i="2" s="1"/>
  <c r="CD11" i="1"/>
  <c r="AVM11" i="1" s="1"/>
  <c r="BI11" i="1"/>
  <c r="BJ11" i="1" s="1"/>
  <c r="CD35" i="1"/>
  <c r="AVM35" i="1" s="1"/>
  <c r="BI35" i="1"/>
  <c r="BJ35" i="1" s="1"/>
  <c r="CD76" i="1"/>
  <c r="BI76" i="1"/>
  <c r="BJ76" i="1" s="1"/>
  <c r="CD97" i="1"/>
  <c r="AVM97" i="1" s="1"/>
  <c r="BI97" i="1"/>
  <c r="BJ97" i="1" s="1"/>
  <c r="CD103" i="1"/>
  <c r="AVM103" i="1" s="1"/>
  <c r="BI103" i="1"/>
  <c r="BJ103" i="1" s="1"/>
  <c r="CD131" i="1"/>
  <c r="BI131" i="1"/>
  <c r="BJ131" i="1" s="1"/>
  <c r="CD135" i="1"/>
  <c r="AVM135" i="1" s="1"/>
  <c r="BI135" i="1"/>
  <c r="BJ135" i="1" s="1"/>
  <c r="CD156" i="1"/>
  <c r="AVM156" i="1" s="1"/>
  <c r="BI156" i="1"/>
  <c r="BJ156" i="1" s="1"/>
  <c r="CD287" i="1"/>
  <c r="AVM287" i="1" s="1"/>
  <c r="BI287" i="1"/>
  <c r="BJ287" i="1" s="1"/>
  <c r="CD350" i="1"/>
  <c r="AVM350" i="1" s="1"/>
  <c r="BI350" i="1"/>
  <c r="BJ350" i="1" s="1"/>
  <c r="CD391" i="1"/>
  <c r="AVM391" i="1" s="1"/>
  <c r="BI391" i="1"/>
  <c r="BJ391" i="1" s="1"/>
  <c r="CD407" i="1"/>
  <c r="AVM407" i="1" s="1"/>
  <c r="BI407" i="1"/>
  <c r="BJ407" i="1" s="1"/>
  <c r="CD9" i="1"/>
  <c r="AVM9" i="1" s="1"/>
  <c r="BI9" i="1"/>
  <c r="BJ9" i="1" s="1"/>
  <c r="CD32" i="1"/>
  <c r="AVM32" i="1" s="1"/>
  <c r="BI32" i="1"/>
  <c r="BJ32" i="1" s="1"/>
  <c r="CD36" i="1"/>
  <c r="AVM36" i="1" s="1"/>
  <c r="BI36" i="1"/>
  <c r="BJ36" i="1" s="1"/>
  <c r="CD153" i="1"/>
  <c r="AVM153" i="1" s="1"/>
  <c r="BI153" i="1"/>
  <c r="BJ153" i="1" s="1"/>
  <c r="CD292" i="1"/>
  <c r="AVM292" i="1" s="1"/>
  <c r="BI292" i="1"/>
  <c r="BJ292" i="1" s="1"/>
  <c r="CD347" i="1"/>
  <c r="AVM347" i="1" s="1"/>
  <c r="BI347" i="1"/>
  <c r="BJ347" i="1" s="1"/>
  <c r="CD370" i="1"/>
  <c r="AVM370" i="1" s="1"/>
  <c r="BI370" i="1"/>
  <c r="BJ370" i="1" s="1"/>
  <c r="CD319" i="1"/>
  <c r="AVM319" i="1" s="1"/>
  <c r="BI319" i="1"/>
  <c r="BJ319" i="1" s="1"/>
  <c r="CD111" i="1"/>
  <c r="AVM111" i="1" s="1"/>
  <c r="BI111" i="1"/>
  <c r="BJ111" i="1" s="1"/>
  <c r="CD205" i="1"/>
  <c r="AVM205" i="1" s="1"/>
  <c r="BI205" i="1"/>
  <c r="BJ205" i="1" s="1"/>
  <c r="CD230" i="1"/>
  <c r="AVM230" i="1" s="1"/>
  <c r="BI230" i="1"/>
  <c r="BJ230" i="1" s="1"/>
  <c r="CD272" i="1"/>
  <c r="AVM272" i="1" s="1"/>
  <c r="BI272" i="1"/>
  <c r="BJ272" i="1" s="1"/>
  <c r="CD401" i="1"/>
  <c r="AVM401" i="1" s="1"/>
  <c r="BI401" i="1"/>
  <c r="BJ401" i="1" s="1"/>
  <c r="CD22" i="1"/>
  <c r="AVM22" i="1" s="1"/>
  <c r="BI22" i="1"/>
  <c r="BJ22" i="1" s="1"/>
  <c r="CD50" i="1"/>
  <c r="AVM50" i="1" s="1"/>
  <c r="BI50" i="1"/>
  <c r="BJ50" i="1" s="1"/>
  <c r="CD112" i="1"/>
  <c r="AVM112" i="1" s="1"/>
  <c r="BI112" i="1"/>
  <c r="BJ112" i="1" s="1"/>
  <c r="CD231" i="1"/>
  <c r="AVM231" i="1" s="1"/>
  <c r="BI231" i="1"/>
  <c r="BJ231" i="1" s="1"/>
  <c r="BP421" i="1"/>
  <c r="AR69" i="1"/>
  <c r="AS69" i="1" s="1"/>
  <c r="BM69" i="1"/>
  <c r="AUV69" i="1" s="1"/>
  <c r="AUW69" i="1" s="1"/>
  <c r="AUX69" i="1" s="1"/>
  <c r="M47" i="2"/>
  <c r="BP118" i="1"/>
  <c r="BP385" i="1"/>
  <c r="AUY385" i="1" s="1"/>
  <c r="AT283" i="1"/>
  <c r="BP283" i="1" s="1"/>
  <c r="AUY283" i="1" s="1"/>
  <c r="AT95" i="1"/>
  <c r="BP95" i="1" s="1"/>
  <c r="AUY95" i="1" s="1"/>
  <c r="BP159" i="1"/>
  <c r="BP263" i="1"/>
  <c r="BP41" i="1"/>
  <c r="BP82" i="1"/>
  <c r="BP220" i="1"/>
  <c r="BP301" i="1"/>
  <c r="AUY301" i="1" s="1"/>
  <c r="BP18" i="1"/>
  <c r="BP42" i="1"/>
  <c r="BP363" i="1"/>
  <c r="BP168" i="1"/>
  <c r="BP226" i="1"/>
  <c r="BP395" i="1"/>
  <c r="BP411" i="1"/>
  <c r="AUY411" i="1" s="1"/>
  <c r="BP25" i="1"/>
  <c r="BP332" i="1"/>
  <c r="BP66" i="1"/>
  <c r="BP212" i="1"/>
  <c r="BP386" i="1"/>
  <c r="BM75" i="1"/>
  <c r="AUV75" i="1" s="1"/>
  <c r="AR75" i="1"/>
  <c r="AS75" i="1" s="1"/>
  <c r="M9" i="2"/>
  <c r="AR343" i="1"/>
  <c r="AS343" i="1" s="1"/>
  <c r="BM343" i="1"/>
  <c r="BM135" i="1"/>
  <c r="AUV135" i="1" s="1"/>
  <c r="AUW135" i="1" s="1"/>
  <c r="AUX135" i="1" s="1"/>
  <c r="AR135" i="1"/>
  <c r="AS135" i="1" s="1"/>
  <c r="DB129" i="1"/>
  <c r="DB417" i="1"/>
  <c r="DB185" i="1"/>
  <c r="BM368" i="1"/>
  <c r="AUV368" i="1" s="1"/>
  <c r="AUW368" i="1" s="1"/>
  <c r="AUX368" i="1" s="1"/>
  <c r="AR368" i="1"/>
  <c r="AS368" i="1" s="1"/>
  <c r="BM325" i="1"/>
  <c r="AUV325" i="1" s="1"/>
  <c r="AUW325" i="1" s="1"/>
  <c r="AUX325" i="1" s="1"/>
  <c r="AR325" i="1"/>
  <c r="AS325" i="1" s="1"/>
  <c r="AT405" i="1"/>
  <c r="BP405" i="1" s="1"/>
  <c r="AUY405" i="1" s="1"/>
  <c r="AT152" i="1"/>
  <c r="BP152" i="1" s="1"/>
  <c r="AT343" i="1"/>
  <c r="BP343" i="1" s="1"/>
  <c r="AUY343" i="1" s="1"/>
  <c r="CL75" i="1"/>
  <c r="BM284" i="1"/>
  <c r="AUV284" i="1" s="1"/>
  <c r="AUW284" i="1" s="1"/>
  <c r="AUX284" i="1" s="1"/>
  <c r="AR284" i="1"/>
  <c r="AS284" i="1" s="1"/>
  <c r="M21" i="2"/>
  <c r="BM387" i="1"/>
  <c r="AUV387" i="1" s="1"/>
  <c r="AUW387" i="1" s="1"/>
  <c r="AUX387" i="1" s="1"/>
  <c r="AR387" i="1"/>
  <c r="AS387" i="1" s="1"/>
  <c r="BM151" i="1"/>
  <c r="AUV151" i="1" s="1"/>
  <c r="AUW151" i="1" s="1"/>
  <c r="AUX151" i="1" s="1"/>
  <c r="AR151" i="1"/>
  <c r="AS151" i="1" s="1"/>
  <c r="BM290" i="1"/>
  <c r="AUV290" i="1" s="1"/>
  <c r="AUW290" i="1" s="1"/>
  <c r="AUX290" i="1" s="1"/>
  <c r="AR290" i="1"/>
  <c r="AS290" i="1" s="1"/>
  <c r="BM11" i="1"/>
  <c r="AUV11" i="1" s="1"/>
  <c r="AR11" i="1"/>
  <c r="AS11" i="1" s="1"/>
  <c r="BM35" i="1"/>
  <c r="AUV35" i="1" s="1"/>
  <c r="AR35" i="1"/>
  <c r="AS35" i="1" s="1"/>
  <c r="BM76" i="1"/>
  <c r="AR76" i="1"/>
  <c r="AS76" i="1" s="1"/>
  <c r="BM97" i="1"/>
  <c r="AUV97" i="1" s="1"/>
  <c r="AUW97" i="1" s="1"/>
  <c r="AUX97" i="1" s="1"/>
  <c r="AR97" i="1"/>
  <c r="AS97" i="1" s="1"/>
  <c r="BM103" i="1"/>
  <c r="AUV103" i="1" s="1"/>
  <c r="AUW103" i="1" s="1"/>
  <c r="AUX103" i="1" s="1"/>
  <c r="AR103" i="1"/>
  <c r="AS103" i="1" s="1"/>
  <c r="BM121" i="1"/>
  <c r="AUV121" i="1" s="1"/>
  <c r="AUW121" i="1" s="1"/>
  <c r="AUX121" i="1" s="1"/>
  <c r="AR121" i="1"/>
  <c r="AS121" i="1" s="1"/>
  <c r="AR150" i="1"/>
  <c r="AS150" i="1" s="1"/>
  <c r="M13" i="2"/>
  <c r="BM150" i="1"/>
  <c r="AUV150" i="1" s="1"/>
  <c r="AUW150" i="1" s="1"/>
  <c r="AUX150" i="1" s="1"/>
  <c r="BM156" i="1"/>
  <c r="AUV156" i="1" s="1"/>
  <c r="AUW156" i="1" s="1"/>
  <c r="AUX156" i="1" s="1"/>
  <c r="AR156" i="1"/>
  <c r="AS156" i="1" s="1"/>
  <c r="BM194" i="1"/>
  <c r="AUV194" i="1" s="1"/>
  <c r="AUW194" i="1" s="1"/>
  <c r="AUX194" i="1" s="1"/>
  <c r="AR194" i="1"/>
  <c r="AS194" i="1" s="1"/>
  <c r="BM216" i="1"/>
  <c r="AUV216" i="1" s="1"/>
  <c r="AUW216" i="1" s="1"/>
  <c r="AUX216" i="1" s="1"/>
  <c r="AR216" i="1"/>
  <c r="AS216" i="1" s="1"/>
  <c r="BM254" i="1"/>
  <c r="AUV254" i="1" s="1"/>
  <c r="AUW254" i="1" s="1"/>
  <c r="AUX254" i="1" s="1"/>
  <c r="M16" i="2"/>
  <c r="AR254" i="1"/>
  <c r="AS254" i="1" s="1"/>
  <c r="BM287" i="1"/>
  <c r="AUV287" i="1" s="1"/>
  <c r="AUW287" i="1" s="1"/>
  <c r="AUX287" i="1" s="1"/>
  <c r="AR287" i="1"/>
  <c r="AS287" i="1" s="1"/>
  <c r="BM344" i="1"/>
  <c r="AUV344" i="1" s="1"/>
  <c r="AUW344" i="1" s="1"/>
  <c r="AUX344" i="1" s="1"/>
  <c r="AR344" i="1"/>
  <c r="AS344" i="1" s="1"/>
  <c r="BM102" i="1"/>
  <c r="AUV102" i="1" s="1"/>
  <c r="AUW102" i="1" s="1"/>
  <c r="AUX102" i="1" s="1"/>
  <c r="AR102" i="1"/>
  <c r="AS102" i="1" s="1"/>
  <c r="BM153" i="1"/>
  <c r="AUV153" i="1" s="1"/>
  <c r="AUW153" i="1" s="1"/>
  <c r="AUX153" i="1" s="1"/>
  <c r="AR153" i="1"/>
  <c r="AS153" i="1" s="1"/>
  <c r="M15" i="2"/>
  <c r="AR191" i="1"/>
  <c r="AS191" i="1" s="1"/>
  <c r="BM191" i="1"/>
  <c r="AUV191" i="1" s="1"/>
  <c r="AUW191" i="1" s="1"/>
  <c r="AUX191" i="1" s="1"/>
  <c r="AR195" i="1"/>
  <c r="AS195" i="1" s="1"/>
  <c r="BM195" i="1"/>
  <c r="AUV195" i="1" s="1"/>
  <c r="AUW195" i="1" s="1"/>
  <c r="AUX195" i="1" s="1"/>
  <c r="BM292" i="1"/>
  <c r="AUV292" i="1" s="1"/>
  <c r="AUW292" i="1" s="1"/>
  <c r="AUX292" i="1" s="1"/>
  <c r="AR292" i="1"/>
  <c r="AS292" i="1" s="1"/>
  <c r="BM347" i="1"/>
  <c r="AUV347" i="1" s="1"/>
  <c r="AUW347" i="1" s="1"/>
  <c r="AUX347" i="1" s="1"/>
  <c r="AR347" i="1"/>
  <c r="AS347" i="1" s="1"/>
  <c r="BM146" i="1"/>
  <c r="AUV146" i="1" s="1"/>
  <c r="AUW146" i="1" s="1"/>
  <c r="AUX146" i="1" s="1"/>
  <c r="AR146" i="1"/>
  <c r="AS146" i="1" s="1"/>
  <c r="BM207" i="1"/>
  <c r="AUV207" i="1" s="1"/>
  <c r="AUW207" i="1" s="1"/>
  <c r="AUX207" i="1" s="1"/>
  <c r="AR207" i="1"/>
  <c r="AS207" i="1" s="1"/>
  <c r="BM232" i="1"/>
  <c r="AUV232" i="1" s="1"/>
  <c r="AUW232" i="1" s="1"/>
  <c r="AUX232" i="1" s="1"/>
  <c r="AR232" i="1"/>
  <c r="AS232" i="1" s="1"/>
  <c r="BM322" i="1"/>
  <c r="AUV322" i="1" s="1"/>
  <c r="AUW322" i="1" s="1"/>
  <c r="AUX322" i="1" s="1"/>
  <c r="AR322" i="1"/>
  <c r="AS322" i="1" s="1"/>
  <c r="BM413" i="1"/>
  <c r="AR413" i="1"/>
  <c r="AS413" i="1" s="1"/>
  <c r="BM24" i="1"/>
  <c r="AUV24" i="1" s="1"/>
  <c r="AUW24" i="1" s="1"/>
  <c r="AUX24" i="1" s="1"/>
  <c r="AR24" i="1"/>
  <c r="AS24" i="1" s="1"/>
  <c r="BM206" i="1"/>
  <c r="AUV206" i="1" s="1"/>
  <c r="AUW206" i="1" s="1"/>
  <c r="AUX206" i="1" s="1"/>
  <c r="AR206" i="1"/>
  <c r="AS206" i="1" s="1"/>
  <c r="BM234" i="1"/>
  <c r="AUV234" i="1" s="1"/>
  <c r="AUW234" i="1" s="1"/>
  <c r="AUX234" i="1" s="1"/>
  <c r="AR234" i="1"/>
  <c r="AS234" i="1" s="1"/>
  <c r="BM371" i="1"/>
  <c r="AUV371" i="1" s="1"/>
  <c r="AUW371" i="1" s="1"/>
  <c r="AUX371" i="1" s="1"/>
  <c r="AR371" i="1"/>
  <c r="AS371" i="1" s="1"/>
  <c r="BM400" i="1"/>
  <c r="AUV400" i="1" s="1"/>
  <c r="AUW400" i="1" s="1"/>
  <c r="AUX400" i="1" s="1"/>
  <c r="AR400" i="1"/>
  <c r="AS400" i="1" s="1"/>
  <c r="O180" i="12"/>
  <c r="P177" i="12"/>
  <c r="AW69" i="1"/>
  <c r="BS69" i="1" s="1"/>
  <c r="T174" i="12"/>
  <c r="CT69" i="1"/>
  <c r="Q47" i="2"/>
  <c r="BI69" i="1"/>
  <c r="BJ69" i="1" s="1"/>
  <c r="CD69" i="1"/>
  <c r="AVM69" i="1" s="1"/>
  <c r="BP329" i="1"/>
  <c r="BP237" i="1"/>
  <c r="AUY237" i="1" s="1"/>
  <c r="BP245" i="1"/>
  <c r="O117" i="12"/>
  <c r="O81" i="12"/>
  <c r="O9" i="12"/>
  <c r="O15" i="12"/>
  <c r="P90" i="12"/>
  <c r="O123" i="12"/>
  <c r="O6" i="12"/>
  <c r="CO387" i="1"/>
  <c r="O111" i="12"/>
  <c r="CO75" i="1"/>
  <c r="CO343" i="1"/>
  <c r="R78" i="12"/>
  <c r="T81" i="12"/>
  <c r="T90" i="12"/>
  <c r="T12" i="12"/>
  <c r="Q10" i="2"/>
  <c r="O10" i="2" s="1"/>
  <c r="CT95" i="1"/>
  <c r="T75" i="12"/>
  <c r="Q17" i="2"/>
  <c r="O17" i="2" s="1"/>
  <c r="CT283" i="1"/>
  <c r="T111" i="12"/>
  <c r="Q21" i="2"/>
  <c r="O21" i="2" s="1"/>
  <c r="CT387" i="1"/>
  <c r="CD152" i="1"/>
  <c r="AVM152" i="1" s="1"/>
  <c r="BI152" i="1"/>
  <c r="BJ152" i="1" s="1"/>
  <c r="BI405" i="1"/>
  <c r="BJ405" i="1" s="1"/>
  <c r="CD405" i="1"/>
  <c r="AVM405" i="1" s="1"/>
  <c r="CD283" i="1"/>
  <c r="AVM283" i="1" s="1"/>
  <c r="BI283" i="1"/>
  <c r="BJ283" i="1" s="1"/>
  <c r="P45" i="12"/>
  <c r="P27" i="12"/>
  <c r="P24" i="12"/>
  <c r="P33" i="12"/>
  <c r="CP119" i="1"/>
  <c r="P21" i="12"/>
  <c r="CP214" i="1"/>
  <c r="P48" i="12"/>
  <c r="CP4" i="1"/>
  <c r="P93" i="12"/>
  <c r="T45" i="12"/>
  <c r="T27" i="12"/>
  <c r="T96" i="12"/>
  <c r="T63" i="12"/>
  <c r="T36" i="12"/>
  <c r="T108" i="12"/>
  <c r="T51" i="12"/>
  <c r="T60" i="12"/>
  <c r="T105" i="12"/>
  <c r="T57" i="12"/>
  <c r="Q15" i="2"/>
  <c r="O15" i="2" s="1"/>
  <c r="CT191" i="1"/>
  <c r="CD119" i="1"/>
  <c r="AVM119" i="1" s="1"/>
  <c r="BI119" i="1"/>
  <c r="BJ119" i="1" s="1"/>
  <c r="CD123" i="1"/>
  <c r="AVM123" i="1" s="1"/>
  <c r="BI123" i="1"/>
  <c r="CD192" i="1"/>
  <c r="AVM192" i="1" s="1"/>
  <c r="BI192" i="1"/>
  <c r="BJ192" i="1" s="1"/>
  <c r="CD214" i="1"/>
  <c r="AVM214" i="1" s="1"/>
  <c r="BI214" i="1"/>
  <c r="BJ214" i="1" s="1"/>
  <c r="CD218" i="1"/>
  <c r="AVM218" i="1" s="1"/>
  <c r="BI218" i="1"/>
  <c r="BJ218" i="1" s="1"/>
  <c r="CD256" i="1"/>
  <c r="AVM256" i="1" s="1"/>
  <c r="BI256" i="1"/>
  <c r="BJ256" i="1" s="1"/>
  <c r="CD291" i="1"/>
  <c r="AVM291" i="1" s="1"/>
  <c r="BI291" i="1"/>
  <c r="BJ291" i="1" s="1"/>
  <c r="CD295" i="1"/>
  <c r="AVM295" i="1" s="1"/>
  <c r="BI295" i="1"/>
  <c r="BJ295" i="1" s="1"/>
  <c r="BI389" i="1"/>
  <c r="BJ389" i="1" s="1"/>
  <c r="CD389" i="1"/>
  <c r="AVM389" i="1" s="1"/>
  <c r="CD393" i="1"/>
  <c r="AVM393" i="1" s="1"/>
  <c r="BI393" i="1"/>
  <c r="BJ393" i="1" s="1"/>
  <c r="BI4" i="1"/>
  <c r="CD12" i="1"/>
  <c r="AVM12" i="1" s="1"/>
  <c r="BI12" i="1"/>
  <c r="BJ12" i="1" s="1"/>
  <c r="CD34" i="1"/>
  <c r="AVM34" i="1" s="1"/>
  <c r="BI34" i="1"/>
  <c r="BJ34" i="1" s="1"/>
  <c r="CD77" i="1"/>
  <c r="AVM77" i="1" s="1"/>
  <c r="BI77" i="1"/>
  <c r="BJ77" i="1" s="1"/>
  <c r="CD98" i="1"/>
  <c r="AVM98" i="1" s="1"/>
  <c r="BI98" i="1"/>
  <c r="BJ98" i="1" s="1"/>
  <c r="CD120" i="1"/>
  <c r="AVM120" i="1" s="1"/>
  <c r="BI120" i="1"/>
  <c r="BJ120" i="1" s="1"/>
  <c r="CD132" i="1"/>
  <c r="BI132" i="1"/>
  <c r="BJ132" i="1" s="1"/>
  <c r="CD136" i="1"/>
  <c r="AVM136" i="1" s="1"/>
  <c r="BI136" i="1"/>
  <c r="BJ136" i="1" s="1"/>
  <c r="CD193" i="1"/>
  <c r="AVM193" i="1" s="1"/>
  <c r="BI193" i="1"/>
  <c r="BJ193" i="1" s="1"/>
  <c r="CD215" i="1"/>
  <c r="AVM215" i="1" s="1"/>
  <c r="BI215" i="1"/>
  <c r="BJ215" i="1" s="1"/>
  <c r="CD288" i="1"/>
  <c r="AVM288" i="1" s="1"/>
  <c r="BI288" i="1"/>
  <c r="BJ288" i="1" s="1"/>
  <c r="AT325" i="1"/>
  <c r="BP325" i="1" s="1"/>
  <c r="CD235" i="1"/>
  <c r="AVM235" i="1" s="1"/>
  <c r="BI235" i="1"/>
  <c r="BJ235" i="1" s="1"/>
  <c r="BI368" i="1"/>
  <c r="BJ368" i="1" s="1"/>
  <c r="CD368" i="1"/>
  <c r="AVM368" i="1" s="1"/>
  <c r="AT369" i="1"/>
  <c r="BP369" i="1" s="1"/>
  <c r="AT401" i="1"/>
  <c r="BP401" i="1" s="1"/>
  <c r="AT324" i="1"/>
  <c r="BP324" i="1" s="1"/>
  <c r="AT272" i="1"/>
  <c r="BP272" i="1" s="1"/>
  <c r="AT230" i="1"/>
  <c r="BP230" i="1" s="1"/>
  <c r="AT205" i="1"/>
  <c r="BP205" i="1" s="1"/>
  <c r="AT111" i="1"/>
  <c r="BP111" i="1" s="1"/>
  <c r="AT49" i="1"/>
  <c r="BP49" i="1" s="1"/>
  <c r="AT400" i="1"/>
  <c r="BP400" i="1" s="1"/>
  <c r="AT231" i="1"/>
  <c r="BP231" i="1" s="1"/>
  <c r="AT173" i="1"/>
  <c r="BP173" i="1" s="1"/>
  <c r="AT112" i="1"/>
  <c r="BP112" i="1" s="1"/>
  <c r="AT22" i="1"/>
  <c r="BL22" i="1" s="1"/>
  <c r="CD146" i="1"/>
  <c r="AVM146" i="1" s="1"/>
  <c r="BI146" i="1"/>
  <c r="BJ146" i="1" s="1"/>
  <c r="CD207" i="1"/>
  <c r="AVM207" i="1" s="1"/>
  <c r="BI207" i="1"/>
  <c r="BJ207" i="1" s="1"/>
  <c r="CD232" i="1"/>
  <c r="AVM232" i="1" s="1"/>
  <c r="BI232" i="1"/>
  <c r="BJ232" i="1" s="1"/>
  <c r="CD110" i="1"/>
  <c r="AVM110" i="1" s="1"/>
  <c r="BI110" i="1"/>
  <c r="BJ110" i="1" s="1"/>
  <c r="CD234" i="1"/>
  <c r="AVM234" i="1" s="1"/>
  <c r="BI234" i="1"/>
  <c r="BJ234" i="1" s="1"/>
  <c r="CD400" i="1"/>
  <c r="AVM400" i="1" s="1"/>
  <c r="BI400" i="1"/>
  <c r="BJ400" i="1" s="1"/>
  <c r="BM370" i="1"/>
  <c r="AUV370" i="1" s="1"/>
  <c r="AUW370" i="1" s="1"/>
  <c r="AUX370" i="1" s="1"/>
  <c r="AR370" i="1"/>
  <c r="AS370" i="1" s="1"/>
  <c r="BM319" i="1"/>
  <c r="AUV319" i="1" s="1"/>
  <c r="AUW319" i="1" s="1"/>
  <c r="AUX319" i="1" s="1"/>
  <c r="AR319" i="1"/>
  <c r="AS319" i="1" s="1"/>
  <c r="BP83" i="1"/>
  <c r="AUY83" i="1" s="1"/>
  <c r="BP298" i="1"/>
  <c r="BP15" i="1"/>
  <c r="BP199" i="1"/>
  <c r="BP258" i="1"/>
  <c r="BP262" i="1"/>
  <c r="BP305" i="1"/>
  <c r="BP352" i="1"/>
  <c r="BP394" i="1"/>
  <c r="BP126" i="1"/>
  <c r="BP142" i="1"/>
  <c r="BP169" i="1"/>
  <c r="BP204" i="1"/>
  <c r="BP271" i="1"/>
  <c r="BP313" i="1"/>
  <c r="BP109" i="1"/>
  <c r="BP141" i="1"/>
  <c r="BP228" i="1"/>
  <c r="AUY228" i="1" s="1"/>
  <c r="BP270" i="1"/>
  <c r="BP397" i="1"/>
  <c r="BP409" i="1"/>
  <c r="BP410" i="1"/>
  <c r="BP328" i="1"/>
  <c r="BP180" i="1"/>
  <c r="BM152" i="1"/>
  <c r="AUV152" i="1" s="1"/>
  <c r="AUW152" i="1" s="1"/>
  <c r="AUX152" i="1" s="1"/>
  <c r="AR152" i="1"/>
  <c r="AS152" i="1" s="1"/>
  <c r="AR405" i="1"/>
  <c r="AS405" i="1" s="1"/>
  <c r="BM405" i="1"/>
  <c r="AUV405" i="1" s="1"/>
  <c r="AUW405" i="1" s="1"/>
  <c r="AUX405" i="1" s="1"/>
  <c r="M22" i="2"/>
  <c r="M10" i="2"/>
  <c r="BM95" i="1"/>
  <c r="AUV95" i="1" s="1"/>
  <c r="AUW95" i="1" s="1"/>
  <c r="AUX95" i="1" s="1"/>
  <c r="AR95" i="1"/>
  <c r="AS95" i="1" s="1"/>
  <c r="BM345" i="1"/>
  <c r="AUV345" i="1" s="1"/>
  <c r="AUW345" i="1" s="1"/>
  <c r="AUX345" i="1" s="1"/>
  <c r="AR345" i="1"/>
  <c r="AS345" i="1" s="1"/>
  <c r="BM8" i="1"/>
  <c r="AUV8" i="1" s="1"/>
  <c r="AUW8" i="1" s="1"/>
  <c r="AUX8" i="1" s="1"/>
  <c r="AR8" i="1"/>
  <c r="AS8" i="1" s="1"/>
  <c r="BM33" i="1"/>
  <c r="AUV33" i="1" s="1"/>
  <c r="AUW33" i="1" s="1"/>
  <c r="AUX33" i="1" s="1"/>
  <c r="AR33" i="1"/>
  <c r="AS33" i="1" s="1"/>
  <c r="BM37" i="1"/>
  <c r="AUV37" i="1" s="1"/>
  <c r="AUW37" i="1" s="1"/>
  <c r="AUX37" i="1" s="1"/>
  <c r="AR37" i="1"/>
  <c r="AS37" i="1" s="1"/>
  <c r="BM78" i="1"/>
  <c r="AR78" i="1"/>
  <c r="AS78" i="1" s="1"/>
  <c r="AR119" i="1"/>
  <c r="AS119" i="1" s="1"/>
  <c r="M11" i="2"/>
  <c r="BM119" i="1"/>
  <c r="AUV119" i="1" s="1"/>
  <c r="BM123" i="1"/>
  <c r="AUV123" i="1" s="1"/>
  <c r="AR123" i="1"/>
  <c r="BM154" i="1"/>
  <c r="AUV154" i="1" s="1"/>
  <c r="AUW154" i="1" s="1"/>
  <c r="AUX154" i="1" s="1"/>
  <c r="AR154" i="1"/>
  <c r="AS154" i="1" s="1"/>
  <c r="BM389" i="1"/>
  <c r="AUV389" i="1" s="1"/>
  <c r="AUW389" i="1" s="1"/>
  <c r="AUX389" i="1" s="1"/>
  <c r="AR389" i="1"/>
  <c r="AS389" i="1" s="1"/>
  <c r="AR4" i="1"/>
  <c r="M19" i="2"/>
  <c r="AR12" i="1"/>
  <c r="AS12" i="1" s="1"/>
  <c r="BM12" i="1"/>
  <c r="AUV12" i="1" s="1"/>
  <c r="AUW12" i="1" s="1"/>
  <c r="AUX12" i="1" s="1"/>
  <c r="BM120" i="1"/>
  <c r="AUV120" i="1" s="1"/>
  <c r="AUW120" i="1" s="1"/>
  <c r="AUX120" i="1" s="1"/>
  <c r="AR120" i="1"/>
  <c r="AS120" i="1" s="1"/>
  <c r="BM136" i="1"/>
  <c r="AUV136" i="1" s="1"/>
  <c r="AUW136" i="1" s="1"/>
  <c r="AUX136" i="1" s="1"/>
  <c r="AR136" i="1"/>
  <c r="AS136" i="1" s="1"/>
  <c r="BM155" i="1"/>
  <c r="AUV155" i="1" s="1"/>
  <c r="AUW155" i="1" s="1"/>
  <c r="AUX155" i="1" s="1"/>
  <c r="AR155" i="1"/>
  <c r="AS155" i="1" s="1"/>
  <c r="BM193" i="1"/>
  <c r="AUV193" i="1" s="1"/>
  <c r="AUW193" i="1" s="1"/>
  <c r="AUX193" i="1" s="1"/>
  <c r="AR193" i="1"/>
  <c r="AS193" i="1" s="1"/>
  <c r="BM215" i="1"/>
  <c r="AUV215" i="1" s="1"/>
  <c r="AUW215" i="1" s="1"/>
  <c r="AUX215" i="1" s="1"/>
  <c r="AR215" i="1"/>
  <c r="AS215" i="1" s="1"/>
  <c r="BM255" i="1"/>
  <c r="AUV255" i="1" s="1"/>
  <c r="AUW255" i="1" s="1"/>
  <c r="AUX255" i="1" s="1"/>
  <c r="AR255" i="1"/>
  <c r="AS255" i="1" s="1"/>
  <c r="BM288" i="1"/>
  <c r="AUV288" i="1" s="1"/>
  <c r="AUW288" i="1" s="1"/>
  <c r="AUX288" i="1" s="1"/>
  <c r="AR288" i="1"/>
  <c r="AS288" i="1" s="1"/>
  <c r="O108" i="12"/>
  <c r="O99" i="12"/>
  <c r="O60" i="12"/>
  <c r="BM49" i="1"/>
  <c r="AUV49" i="1" s="1"/>
  <c r="AUW49" i="1" s="1"/>
  <c r="AUX49" i="1" s="1"/>
  <c r="AR49" i="1"/>
  <c r="AS49" i="1" s="1"/>
  <c r="BM172" i="1"/>
  <c r="AUV172" i="1" s="1"/>
  <c r="AUW172" i="1" s="1"/>
  <c r="AUX172" i="1" s="1"/>
  <c r="AR172" i="1"/>
  <c r="AS172" i="1" s="1"/>
  <c r="BM205" i="1"/>
  <c r="AUV205" i="1" s="1"/>
  <c r="AUW205" i="1" s="1"/>
  <c r="AUX205" i="1" s="1"/>
  <c r="AR205" i="1"/>
  <c r="AS205" i="1" s="1"/>
  <c r="BM230" i="1"/>
  <c r="AUV230" i="1" s="1"/>
  <c r="AUW230" i="1" s="1"/>
  <c r="AUX230" i="1" s="1"/>
  <c r="AR230" i="1"/>
  <c r="AS230" i="1" s="1"/>
  <c r="BM272" i="1"/>
  <c r="AUV272" i="1" s="1"/>
  <c r="AUW272" i="1" s="1"/>
  <c r="AUX272" i="1" s="1"/>
  <c r="AR272" i="1"/>
  <c r="AS272" i="1" s="1"/>
  <c r="BM22" i="1"/>
  <c r="AUV22" i="1" s="1"/>
  <c r="AUW22" i="1" s="1"/>
  <c r="AUX22" i="1" s="1"/>
  <c r="AR22" i="1"/>
  <c r="AS22" i="1" s="1"/>
  <c r="BM173" i="1"/>
  <c r="AUV173" i="1" s="1"/>
  <c r="AUW173" i="1" s="1"/>
  <c r="AUX173" i="1" s="1"/>
  <c r="AR173" i="1"/>
  <c r="AS173" i="1" s="1"/>
  <c r="P198" i="12"/>
  <c r="P195" i="12"/>
  <c r="CP423" i="1"/>
  <c r="P192" i="12"/>
  <c r="T198" i="12"/>
  <c r="BI423" i="1"/>
  <c r="BJ423" i="1" s="1"/>
  <c r="CD423" i="1"/>
  <c r="BP247" i="1"/>
  <c r="P126" i="12"/>
  <c r="P18" i="12"/>
  <c r="P87" i="12"/>
  <c r="P78" i="12"/>
  <c r="P114" i="12"/>
  <c r="CP405" i="1"/>
  <c r="P120" i="12"/>
  <c r="CP95" i="1"/>
  <c r="P12" i="12"/>
  <c r="CP283" i="1"/>
  <c r="P75" i="12"/>
  <c r="T126" i="12"/>
  <c r="T18" i="12"/>
  <c r="T87" i="12"/>
  <c r="T78" i="12"/>
  <c r="T114" i="12"/>
  <c r="CT75" i="1"/>
  <c r="T84" i="12"/>
  <c r="CT343" i="1"/>
  <c r="Q18" i="2"/>
  <c r="O18" i="2" s="1"/>
  <c r="BI387" i="1"/>
  <c r="BJ387" i="1" s="1"/>
  <c r="CD387" i="1"/>
  <c r="AVM387" i="1" s="1"/>
  <c r="CD343" i="1"/>
  <c r="BI343" i="1"/>
  <c r="BJ343" i="1" s="1"/>
  <c r="AT388" i="1"/>
  <c r="BP388" i="1" s="1"/>
  <c r="AT391" i="1"/>
  <c r="BP391" i="1" s="1"/>
  <c r="AT350" i="1"/>
  <c r="BP350" i="1" s="1"/>
  <c r="AT293" i="1"/>
  <c r="BP293" i="1" s="1"/>
  <c r="AT287" i="1"/>
  <c r="BP287" i="1" s="1"/>
  <c r="CL254" i="1"/>
  <c r="AT216" i="1"/>
  <c r="BP216" i="1" s="1"/>
  <c r="AT156" i="1"/>
  <c r="BP156" i="1" s="1"/>
  <c r="CL150" i="1"/>
  <c r="AT135" i="1"/>
  <c r="BP135" i="1" s="1"/>
  <c r="AT131" i="1"/>
  <c r="BP131" i="1" s="1"/>
  <c r="AUY131" i="1" s="1"/>
  <c r="AT103" i="1"/>
  <c r="BP103" i="1" s="1"/>
  <c r="AT97" i="1"/>
  <c r="BP97" i="1" s="1"/>
  <c r="AT76" i="1"/>
  <c r="BP76" i="1" s="1"/>
  <c r="AT35" i="1"/>
  <c r="BP35" i="1" s="1"/>
  <c r="AT11" i="1"/>
  <c r="BL11" i="1" s="1"/>
  <c r="AT408" i="1"/>
  <c r="BP408" i="1" s="1"/>
  <c r="AT392" i="1"/>
  <c r="BP392" i="1" s="1"/>
  <c r="AT347" i="1"/>
  <c r="BP347" i="1" s="1"/>
  <c r="AT292" i="1"/>
  <c r="BP292" i="1" s="1"/>
  <c r="AT285" i="1"/>
  <c r="BP285" i="1" s="1"/>
  <c r="AT217" i="1"/>
  <c r="BP217" i="1" s="1"/>
  <c r="AT191" i="1"/>
  <c r="BL191" i="1" s="1"/>
  <c r="AT153" i="1"/>
  <c r="BP153" i="1" s="1"/>
  <c r="AT122" i="1"/>
  <c r="BP122" i="1" s="1"/>
  <c r="AT79" i="1"/>
  <c r="BP79" i="1" s="1"/>
  <c r="AT36" i="1"/>
  <c r="BP36" i="1" s="1"/>
  <c r="AT32" i="1"/>
  <c r="BP32" i="1" s="1"/>
  <c r="AUY32" i="1" s="1"/>
  <c r="P72" i="12"/>
  <c r="P54" i="12"/>
  <c r="P42" i="12"/>
  <c r="P96" i="12"/>
  <c r="P63" i="12"/>
  <c r="P36" i="12"/>
  <c r="P69" i="12"/>
  <c r="P51" i="12"/>
  <c r="P105" i="12"/>
  <c r="CP131" i="1"/>
  <c r="P30" i="12"/>
  <c r="CP150" i="1"/>
  <c r="CP254" i="1"/>
  <c r="P66" i="12"/>
  <c r="CP32" i="1"/>
  <c r="P102" i="12"/>
  <c r="CP191" i="1"/>
  <c r="P57" i="12"/>
  <c r="T72" i="12"/>
  <c r="T54" i="12"/>
  <c r="T42" i="12"/>
  <c r="T24" i="12"/>
  <c r="T33" i="12"/>
  <c r="T66" i="12"/>
  <c r="Q16" i="2"/>
  <c r="O16" i="2" s="1"/>
  <c r="CT254" i="1"/>
  <c r="CD121" i="1"/>
  <c r="AVM121" i="1" s="1"/>
  <c r="BI121" i="1"/>
  <c r="BJ121" i="1" s="1"/>
  <c r="CD150" i="1"/>
  <c r="AVM150" i="1" s="1"/>
  <c r="BI150" i="1"/>
  <c r="BJ150" i="1" s="1"/>
  <c r="CD194" i="1"/>
  <c r="AVM194" i="1" s="1"/>
  <c r="BI194" i="1"/>
  <c r="BJ194" i="1" s="1"/>
  <c r="CD216" i="1"/>
  <c r="AVM216" i="1" s="1"/>
  <c r="BI216" i="1"/>
  <c r="BJ216" i="1" s="1"/>
  <c r="CD254" i="1"/>
  <c r="AVM254" i="1" s="1"/>
  <c r="BI254" i="1"/>
  <c r="BJ254" i="1" s="1"/>
  <c r="CD293" i="1"/>
  <c r="AVM293" i="1" s="1"/>
  <c r="BI293" i="1"/>
  <c r="BJ293" i="1" s="1"/>
  <c r="CD344" i="1"/>
  <c r="AVM344" i="1" s="1"/>
  <c r="BI344" i="1"/>
  <c r="BJ344" i="1" s="1"/>
  <c r="CD79" i="1"/>
  <c r="AVM79" i="1" s="1"/>
  <c r="BI79" i="1"/>
  <c r="BJ79" i="1" s="1"/>
  <c r="CD102" i="1"/>
  <c r="AVM102" i="1" s="1"/>
  <c r="BI102" i="1"/>
  <c r="BJ102" i="1" s="1"/>
  <c r="CD122" i="1"/>
  <c r="AVM122" i="1" s="1"/>
  <c r="BI122" i="1"/>
  <c r="BJ122" i="1" s="1"/>
  <c r="CD134" i="1"/>
  <c r="AVM134" i="1" s="1"/>
  <c r="BI134" i="1"/>
  <c r="BJ134" i="1" s="1"/>
  <c r="CD191" i="1"/>
  <c r="AVM191" i="1" s="1"/>
  <c r="BI191" i="1"/>
  <c r="BJ191" i="1" s="1"/>
  <c r="CD195" i="1"/>
  <c r="AVM195" i="1" s="1"/>
  <c r="BI195" i="1"/>
  <c r="BJ195" i="1" s="1"/>
  <c r="CD217" i="1"/>
  <c r="AVM217" i="1" s="1"/>
  <c r="BI217" i="1"/>
  <c r="BJ217" i="1" s="1"/>
  <c r="CD285" i="1"/>
  <c r="AVM285" i="1" s="1"/>
  <c r="BI285" i="1"/>
  <c r="BJ285" i="1" s="1"/>
  <c r="CD388" i="1"/>
  <c r="AVM388" i="1" s="1"/>
  <c r="BI388" i="1"/>
  <c r="BJ388" i="1" s="1"/>
  <c r="CD392" i="1"/>
  <c r="AVM392" i="1" s="1"/>
  <c r="BI392" i="1"/>
  <c r="BJ392" i="1" s="1"/>
  <c r="CD408" i="1"/>
  <c r="AVM408" i="1" s="1"/>
  <c r="BI408" i="1"/>
  <c r="BJ408" i="1" s="1"/>
  <c r="CD320" i="1"/>
  <c r="AVM320" i="1" s="1"/>
  <c r="BI320" i="1"/>
  <c r="BJ320" i="1" s="1"/>
  <c r="CD49" i="1"/>
  <c r="AVM49" i="1" s="1"/>
  <c r="BI49" i="1"/>
  <c r="BJ49" i="1" s="1"/>
  <c r="CD172" i="1"/>
  <c r="AVM172" i="1" s="1"/>
  <c r="BI172" i="1"/>
  <c r="BJ172" i="1" s="1"/>
  <c r="CD324" i="1"/>
  <c r="AVM324" i="1" s="1"/>
  <c r="BI324" i="1"/>
  <c r="BJ324" i="1" s="1"/>
  <c r="CD173" i="1"/>
  <c r="AVM173" i="1" s="1"/>
  <c r="BI173" i="1"/>
  <c r="BJ173" i="1" s="1"/>
  <c r="CD321" i="1"/>
  <c r="AVM321" i="1" s="1"/>
  <c r="BI321" i="1"/>
  <c r="BJ321" i="1" s="1"/>
  <c r="CD369" i="1"/>
  <c r="BI369" i="1"/>
  <c r="BJ369" i="1" s="1"/>
  <c r="CD373" i="1"/>
  <c r="AVM373" i="1" s="1"/>
  <c r="BI373" i="1"/>
  <c r="BJ373" i="1" s="1"/>
  <c r="BO201" i="1"/>
  <c r="CK201" i="1" s="1"/>
  <c r="CJ201" i="1"/>
  <c r="BO331" i="1"/>
  <c r="CK331" i="1" s="1"/>
  <c r="CJ331" i="1"/>
  <c r="BO168" i="1"/>
  <c r="CK168" i="1" s="1"/>
  <c r="CJ168" i="1"/>
  <c r="CO24" i="1"/>
  <c r="BO394" i="1"/>
  <c r="CK394" i="1" s="1"/>
  <c r="CJ394" i="1"/>
  <c r="BO225" i="1"/>
  <c r="CK225" i="1" s="1"/>
  <c r="CJ225" i="1"/>
  <c r="BO125" i="1"/>
  <c r="CK125" i="1" s="1"/>
  <c r="CJ125" i="1"/>
  <c r="BO85" i="1"/>
  <c r="CK85" i="1" s="1"/>
  <c r="CJ85" i="1"/>
  <c r="BO181" i="1"/>
  <c r="CK181" i="1" s="1"/>
  <c r="CJ181" i="1"/>
  <c r="BO117" i="1"/>
  <c r="CK117" i="1" s="1"/>
  <c r="CJ117" i="1"/>
  <c r="BO297" i="1"/>
  <c r="CK297" i="1" s="1"/>
  <c r="CJ297" i="1"/>
  <c r="BO138" i="1"/>
  <c r="CK138" i="1" s="1"/>
  <c r="CJ138" i="1"/>
  <c r="BO275" i="1"/>
  <c r="CK275" i="1" s="1"/>
  <c r="CJ275" i="1"/>
  <c r="BO243" i="1"/>
  <c r="CK243" i="1" s="1"/>
  <c r="CJ243" i="1"/>
  <c r="CF412" i="1"/>
  <c r="DB412" i="1" s="1"/>
  <c r="DA412" i="1"/>
  <c r="BO314" i="1"/>
  <c r="CK314" i="1" s="1"/>
  <c r="CJ314" i="1"/>
  <c r="BO241" i="1"/>
  <c r="CK241" i="1" s="1"/>
  <c r="CJ241" i="1"/>
  <c r="BO404" i="1"/>
  <c r="CK404" i="1" s="1"/>
  <c r="CJ404" i="1"/>
  <c r="BO247" i="1"/>
  <c r="CK247" i="1" s="1"/>
  <c r="CJ247" i="1"/>
  <c r="CF402" i="1"/>
  <c r="DB402" i="1" s="1"/>
  <c r="DA402" i="1"/>
  <c r="BO21" i="1"/>
  <c r="CK21" i="1" s="1"/>
  <c r="CJ21" i="1"/>
  <c r="BO94" i="1"/>
  <c r="CK94" i="1" s="1"/>
  <c r="CJ94" i="1"/>
  <c r="BO163" i="1"/>
  <c r="CK163" i="1" s="1"/>
  <c r="CJ163" i="1"/>
  <c r="BO376" i="1"/>
  <c r="CK376" i="1" s="1"/>
  <c r="CJ376" i="1"/>
  <c r="CO22" i="1"/>
  <c r="BO415" i="1"/>
  <c r="CK415" i="1" s="1"/>
  <c r="CJ415" i="1"/>
  <c r="BO238" i="1"/>
  <c r="CK238" i="1" s="1"/>
  <c r="CJ238" i="1"/>
  <c r="BO313" i="1"/>
  <c r="CK313" i="1" s="1"/>
  <c r="CJ313" i="1"/>
  <c r="BO296" i="1"/>
  <c r="CK296" i="1" s="1"/>
  <c r="CJ296" i="1"/>
  <c r="BO15" i="1"/>
  <c r="CK15" i="1" s="1"/>
  <c r="CJ15" i="1"/>
  <c r="BO88" i="1"/>
  <c r="CK88" i="1" s="1"/>
  <c r="CJ88" i="1"/>
  <c r="BO226" i="1"/>
  <c r="CK226" i="1" s="1"/>
  <c r="CJ226" i="1"/>
  <c r="BO244" i="1"/>
  <c r="CK244" i="1" s="1"/>
  <c r="CJ244" i="1"/>
  <c r="BO202" i="1"/>
  <c r="CK202" i="1" s="1"/>
  <c r="CJ202" i="1"/>
  <c r="CF142" i="1"/>
  <c r="DB142" i="1" s="1"/>
  <c r="DA142" i="1"/>
  <c r="CF361" i="1"/>
  <c r="DB361" i="1" s="1"/>
  <c r="DA361" i="1"/>
  <c r="BO68" i="1"/>
  <c r="CK68" i="1" s="1"/>
  <c r="CJ68" i="1"/>
  <c r="BO330" i="1"/>
  <c r="CK330" i="1" s="1"/>
  <c r="CJ330" i="1"/>
  <c r="BO364" i="1"/>
  <c r="CK364" i="1" s="1"/>
  <c r="CJ364" i="1"/>
  <c r="BO249" i="1"/>
  <c r="CK249" i="1" s="1"/>
  <c r="CJ249" i="1"/>
  <c r="BO327" i="1"/>
  <c r="CK327" i="1" s="1"/>
  <c r="CJ327" i="1"/>
  <c r="BO93" i="1"/>
  <c r="CK93" i="1" s="1"/>
  <c r="CJ93" i="1"/>
  <c r="CF87" i="1"/>
  <c r="DB87" i="1" s="1"/>
  <c r="DA87" i="1"/>
  <c r="BO298" i="1"/>
  <c r="CK298" i="1" s="1"/>
  <c r="CJ298" i="1"/>
  <c r="CF375" i="1"/>
  <c r="DB375" i="1" s="1"/>
  <c r="DA375" i="1"/>
  <c r="BO80" i="1"/>
  <c r="CK80" i="1" s="1"/>
  <c r="CJ80" i="1"/>
  <c r="BO148" i="1"/>
  <c r="CK148" i="1" s="1"/>
  <c r="CJ148" i="1"/>
  <c r="BO326" i="1"/>
  <c r="CK326" i="1" s="1"/>
  <c r="CJ326" i="1"/>
  <c r="BO236" i="1"/>
  <c r="CK236" i="1" s="1"/>
  <c r="CJ236" i="1"/>
  <c r="BO315" i="1"/>
  <c r="CK315" i="1" s="1"/>
  <c r="CJ315" i="1"/>
  <c r="BO242" i="1"/>
  <c r="CK242" i="1" s="1"/>
  <c r="CJ242" i="1"/>
  <c r="BO188" i="1"/>
  <c r="CK188" i="1" s="1"/>
  <c r="CJ188" i="1"/>
  <c r="CF377" i="1"/>
  <c r="DB377" i="1" s="1"/>
  <c r="DA377" i="1"/>
  <c r="BO358" i="1"/>
  <c r="CK358" i="1" s="1"/>
  <c r="CJ358" i="1"/>
  <c r="CO14" i="1"/>
  <c r="BO329" i="1"/>
  <c r="CK329" i="1" s="1"/>
  <c r="CJ329" i="1"/>
  <c r="BO361" i="1"/>
  <c r="CK361" i="1" s="1"/>
  <c r="CJ361" i="1"/>
  <c r="CF118" i="1"/>
  <c r="DB118" i="1" s="1"/>
  <c r="DA118" i="1"/>
  <c r="CF186" i="1"/>
  <c r="DB186" i="1" s="1"/>
  <c r="DA186" i="1"/>
  <c r="BO109" i="1"/>
  <c r="CK109" i="1" s="1"/>
  <c r="CJ109" i="1"/>
  <c r="BO176" i="1"/>
  <c r="CK176" i="1" s="1"/>
  <c r="CJ176" i="1"/>
  <c r="BO245" i="1"/>
  <c r="CK245" i="1" s="1"/>
  <c r="CJ245" i="1"/>
  <c r="BO328" i="1"/>
  <c r="CK328" i="1" s="1"/>
  <c r="CJ328" i="1"/>
  <c r="BO399" i="1"/>
  <c r="CK399" i="1" s="1"/>
  <c r="CJ399" i="1"/>
  <c r="BO411" i="1"/>
  <c r="CK411" i="1" s="1"/>
  <c r="CJ411" i="1"/>
  <c r="BO267" i="1"/>
  <c r="CK267" i="1" s="1"/>
  <c r="CJ267" i="1"/>
  <c r="BO341" i="1"/>
  <c r="CK341" i="1" s="1"/>
  <c r="CJ341" i="1"/>
  <c r="CF335" i="1"/>
  <c r="DB335" i="1" s="1"/>
  <c r="DA335" i="1"/>
  <c r="BO29" i="1"/>
  <c r="CK29" i="1" s="1"/>
  <c r="CJ29" i="1"/>
  <c r="BO105" i="1"/>
  <c r="CK105" i="1" s="1"/>
  <c r="CJ105" i="1"/>
  <c r="BO316" i="1"/>
  <c r="CK316" i="1" s="1"/>
  <c r="CJ316" i="1"/>
  <c r="CO89" i="1"/>
  <c r="CF379" i="1"/>
  <c r="DB379" i="1" s="1"/>
  <c r="DA379" i="1"/>
  <c r="CF357" i="1"/>
  <c r="DB357" i="1" s="1"/>
  <c r="DA357" i="1"/>
  <c r="BO268" i="1"/>
  <c r="CK268" i="1" s="1"/>
  <c r="CJ268" i="1"/>
  <c r="BO211" i="1"/>
  <c r="CK211" i="1" s="1"/>
  <c r="CJ211" i="1"/>
  <c r="BO143" i="1"/>
  <c r="CK143" i="1" s="1"/>
  <c r="CJ143" i="1"/>
  <c r="BO339" i="1"/>
  <c r="CK339" i="1" s="1"/>
  <c r="CJ339" i="1"/>
  <c r="BO417" i="1"/>
  <c r="CJ417" i="1"/>
  <c r="BO359" i="1"/>
  <c r="CK359" i="1" s="1"/>
  <c r="CJ359" i="1"/>
  <c r="BO86" i="1"/>
  <c r="CK86" i="1" s="1"/>
  <c r="CJ86" i="1"/>
  <c r="BO335" i="1"/>
  <c r="CK335" i="1" s="1"/>
  <c r="CJ335" i="1"/>
  <c r="BO196" i="1"/>
  <c r="CK196" i="1" s="1"/>
  <c r="CJ196" i="1"/>
  <c r="BO261" i="1"/>
  <c r="CK261" i="1" s="1"/>
  <c r="CJ261" i="1"/>
  <c r="BO222" i="1"/>
  <c r="CK222" i="1" s="1"/>
  <c r="CJ222" i="1"/>
  <c r="BO87" i="1"/>
  <c r="CK87" i="1" s="1"/>
  <c r="CJ87" i="1"/>
  <c r="CF197" i="1"/>
  <c r="DB197" i="1" s="1"/>
  <c r="DA197" i="1"/>
  <c r="CF416" i="1"/>
  <c r="DA416" i="1"/>
  <c r="BO66" i="1"/>
  <c r="CK66" i="1" s="1"/>
  <c r="CJ66" i="1"/>
  <c r="BO203" i="1"/>
  <c r="CK203" i="1" s="1"/>
  <c r="CJ203" i="1"/>
  <c r="BO280" i="1"/>
  <c r="CK280" i="1" s="1"/>
  <c r="CJ280" i="1"/>
  <c r="BO248" i="1"/>
  <c r="CK248" i="1" s="1"/>
  <c r="CJ248" i="1"/>
  <c r="BO17" i="1"/>
  <c r="CK17" i="1" s="1"/>
  <c r="CJ17" i="1"/>
  <c r="BO158" i="1"/>
  <c r="CK158" i="1" s="1"/>
  <c r="CJ158" i="1"/>
  <c r="BO305" i="1"/>
  <c r="CK305" i="1" s="1"/>
  <c r="CJ305" i="1"/>
  <c r="CO12" i="1"/>
  <c r="BO351" i="1"/>
  <c r="CK351" i="1" s="1"/>
  <c r="CJ351" i="1"/>
  <c r="BO27" i="1"/>
  <c r="CK27" i="1" s="1"/>
  <c r="CJ27" i="1"/>
  <c r="BO356" i="1"/>
  <c r="CK356" i="1" s="1"/>
  <c r="CJ356" i="1"/>
  <c r="CF209" i="1"/>
  <c r="DB209" i="1" s="1"/>
  <c r="DA209" i="1"/>
  <c r="BO45" i="1"/>
  <c r="CK45" i="1" s="1"/>
  <c r="CJ45" i="1"/>
  <c r="BO190" i="1"/>
  <c r="CK190" i="1" s="1"/>
  <c r="CJ190" i="1"/>
  <c r="BO258" i="1"/>
  <c r="CK258" i="1" s="1"/>
  <c r="CJ258" i="1"/>
  <c r="BO332" i="1"/>
  <c r="CK332" i="1" s="1"/>
  <c r="CJ332" i="1"/>
  <c r="BO114" i="1"/>
  <c r="CK114" i="1" s="1"/>
  <c r="CJ114" i="1"/>
  <c r="BO416" i="1"/>
  <c r="CJ416" i="1"/>
  <c r="CF404" i="1"/>
  <c r="DB404" i="1" s="1"/>
  <c r="DA404" i="1"/>
  <c r="BO82" i="1"/>
  <c r="CK82" i="1" s="1"/>
  <c r="CJ82" i="1"/>
  <c r="BO262" i="1"/>
  <c r="CK262" i="1" s="1"/>
  <c r="CJ262" i="1"/>
  <c r="BO336" i="1"/>
  <c r="CK336" i="1" s="1"/>
  <c r="CJ336" i="1"/>
  <c r="BO409" i="1"/>
  <c r="CK409" i="1" s="1"/>
  <c r="CJ409" i="1"/>
  <c r="CK164" i="1"/>
  <c r="CJ164" i="1"/>
  <c r="BO403" i="1"/>
  <c r="CK403" i="1" s="1"/>
  <c r="CJ403" i="1"/>
  <c r="BO209" i="1"/>
  <c r="CK209" i="1" s="1"/>
  <c r="CJ209" i="1"/>
  <c r="BO161" i="1"/>
  <c r="CK161" i="1" s="1"/>
  <c r="CJ161" i="1"/>
  <c r="BO273" i="1"/>
  <c r="CK273" i="1" s="1"/>
  <c r="CJ273" i="1"/>
  <c r="BO139" i="1"/>
  <c r="CK139" i="1" s="1"/>
  <c r="CJ139" i="1"/>
  <c r="BO318" i="1"/>
  <c r="CK318" i="1" s="1"/>
  <c r="CJ318" i="1"/>
  <c r="BO300" i="1"/>
  <c r="CK300" i="1" s="1"/>
  <c r="CJ300" i="1"/>
  <c r="CF204" i="1"/>
  <c r="DB204" i="1" s="1"/>
  <c r="DA204" i="1"/>
  <c r="BO64" i="1"/>
  <c r="CK64" i="1" s="1"/>
  <c r="CJ64" i="1"/>
  <c r="BO342" i="1"/>
  <c r="CK342" i="1" s="1"/>
  <c r="CJ342" i="1"/>
  <c r="BO25" i="1"/>
  <c r="CK25" i="1" s="1"/>
  <c r="CJ25" i="1"/>
  <c r="BO130" i="1"/>
  <c r="CK130" i="1" s="1"/>
  <c r="CJ130" i="1"/>
  <c r="BO106" i="1"/>
  <c r="CK106" i="1" s="1"/>
  <c r="CJ106" i="1"/>
  <c r="BO224" i="1"/>
  <c r="CK224" i="1" s="1"/>
  <c r="CJ224" i="1"/>
  <c r="BO396" i="1"/>
  <c r="CK396" i="1" s="1"/>
  <c r="CJ396" i="1"/>
  <c r="BO179" i="1"/>
  <c r="CK179" i="1" s="1"/>
  <c r="CJ179" i="1"/>
  <c r="BO166" i="1"/>
  <c r="CK166" i="1" s="1"/>
  <c r="CJ166" i="1"/>
  <c r="BO303" i="1"/>
  <c r="CK303" i="1" s="1"/>
  <c r="CJ303" i="1"/>
  <c r="CF363" i="1"/>
  <c r="DB363" i="1" s="1"/>
  <c r="DA363" i="1"/>
  <c r="BO352" i="1"/>
  <c r="CK352" i="1" s="1"/>
  <c r="CJ352" i="1"/>
  <c r="BO200" i="1"/>
  <c r="CK200" i="1" s="1"/>
  <c r="CJ200" i="1"/>
  <c r="BO259" i="1"/>
  <c r="CK259" i="1" s="1"/>
  <c r="CJ259" i="1"/>
  <c r="BO333" i="1"/>
  <c r="CK333" i="1" s="1"/>
  <c r="CJ333" i="1"/>
  <c r="BO178" i="1"/>
  <c r="CK178" i="1" s="1"/>
  <c r="CJ178" i="1"/>
  <c r="CF159" i="1"/>
  <c r="DB159" i="1" s="1"/>
  <c r="DA159" i="1"/>
  <c r="BO90" i="1"/>
  <c r="CK90" i="1" s="1"/>
  <c r="CJ90" i="1"/>
  <c r="BO251" i="1"/>
  <c r="CK251" i="1" s="1"/>
  <c r="CJ251" i="1"/>
  <c r="BO92" i="1"/>
  <c r="CK92" i="1" s="1"/>
  <c r="CJ92" i="1"/>
  <c r="BO72" i="1"/>
  <c r="CK72" i="1" s="1"/>
  <c r="CJ72" i="1"/>
  <c r="BO210" i="1"/>
  <c r="CK210" i="1" s="1"/>
  <c r="CJ210" i="1"/>
  <c r="BO252" i="1"/>
  <c r="CK252" i="1" s="1"/>
  <c r="CJ252" i="1"/>
  <c r="BO227" i="1"/>
  <c r="CK227" i="1" s="1"/>
  <c r="CJ227" i="1"/>
  <c r="CF351" i="1"/>
  <c r="DB351" i="1" s="1"/>
  <c r="DA351" i="1"/>
  <c r="BO43" i="1"/>
  <c r="CK43" i="1" s="1"/>
  <c r="CJ43" i="1"/>
  <c r="BO187" i="1"/>
  <c r="CK187" i="1" s="1"/>
  <c r="CJ187" i="1"/>
  <c r="BO264" i="1"/>
  <c r="CK264" i="1" s="1"/>
  <c r="CJ264" i="1"/>
  <c r="BO299" i="1"/>
  <c r="CK299" i="1" s="1"/>
  <c r="CJ299" i="1"/>
  <c r="BO338" i="1"/>
  <c r="CK338" i="1" s="1"/>
  <c r="CJ338" i="1"/>
  <c r="BO374" i="1"/>
  <c r="CK374" i="1" s="1"/>
  <c r="CJ374" i="1"/>
  <c r="BO304" i="1"/>
  <c r="CK304" i="1" s="1"/>
  <c r="CJ304" i="1"/>
  <c r="CF200" i="1"/>
  <c r="DB200" i="1" s="1"/>
  <c r="DA200" i="1"/>
  <c r="BO147" i="1"/>
  <c r="CK147" i="1" s="1"/>
  <c r="CJ147" i="1"/>
  <c r="BO375" i="1"/>
  <c r="CK375" i="1" s="1"/>
  <c r="CJ375" i="1"/>
  <c r="BO213" i="1"/>
  <c r="CK213" i="1" s="1"/>
  <c r="CJ213" i="1"/>
  <c r="BO281" i="1"/>
  <c r="CJ281" i="1"/>
  <c r="BO355" i="1"/>
  <c r="CK355" i="1" s="1"/>
  <c r="CJ355" i="1"/>
  <c r="CF339" i="1"/>
  <c r="DB339" i="1" s="1"/>
  <c r="DA339" i="1"/>
  <c r="BO365" i="1"/>
  <c r="CK365" i="1" s="1"/>
  <c r="CJ365" i="1"/>
  <c r="BO402" i="1"/>
  <c r="CK402" i="1" s="1"/>
  <c r="CJ402" i="1"/>
  <c r="CF394" i="1"/>
  <c r="DB394" i="1" s="1"/>
  <c r="DA394" i="1"/>
  <c r="CF359" i="1"/>
  <c r="DB359" i="1" s="1"/>
  <c r="DA359" i="1"/>
  <c r="BO129" i="1"/>
  <c r="CJ129" i="1"/>
  <c r="BO199" i="1"/>
  <c r="CK199" i="1" s="1"/>
  <c r="CJ199" i="1"/>
  <c r="BO266" i="1"/>
  <c r="CK266" i="1" s="1"/>
  <c r="CJ266" i="1"/>
  <c r="BO340" i="1"/>
  <c r="CK340" i="1" s="1"/>
  <c r="CJ340" i="1"/>
  <c r="BO379" i="1"/>
  <c r="CK379" i="1" s="1"/>
  <c r="CJ379" i="1"/>
  <c r="BO357" i="1"/>
  <c r="CK357" i="1" s="1"/>
  <c r="CJ357" i="1"/>
  <c r="BO128" i="1"/>
  <c r="CK128" i="1" s="1"/>
  <c r="CJ128" i="1"/>
  <c r="BO271" i="1"/>
  <c r="CK271" i="1" s="1"/>
  <c r="CJ271" i="1"/>
  <c r="BO260" i="1"/>
  <c r="CK260" i="1" s="1"/>
  <c r="CJ260" i="1"/>
  <c r="BO334" i="1"/>
  <c r="CK334" i="1" s="1"/>
  <c r="CJ334" i="1"/>
  <c r="BO378" i="1"/>
  <c r="CK378" i="1" s="1"/>
  <c r="CJ378" i="1"/>
  <c r="BO277" i="1"/>
  <c r="CK277" i="1" s="1"/>
  <c r="CJ277" i="1"/>
  <c r="BO171" i="1"/>
  <c r="CK171" i="1" s="1"/>
  <c r="CJ171" i="1"/>
  <c r="CF177" i="1"/>
  <c r="DB177" i="1" s="1"/>
  <c r="DA177" i="1"/>
  <c r="CF202" i="1"/>
  <c r="DB202" i="1" s="1"/>
  <c r="DA202" i="1"/>
  <c r="BO170" i="1"/>
  <c r="CK170" i="1" s="1"/>
  <c r="CJ170" i="1"/>
  <c r="BO239" i="1"/>
  <c r="CK239" i="1" s="1"/>
  <c r="CJ239" i="1"/>
  <c r="BO282" i="1"/>
  <c r="CK282" i="1" s="1"/>
  <c r="CJ282" i="1"/>
  <c r="BO395" i="1"/>
  <c r="CK395" i="1" s="1"/>
  <c r="CJ395" i="1"/>
  <c r="CF410" i="1"/>
  <c r="DB410" i="1" s="1"/>
  <c r="DA410" i="1"/>
  <c r="BO197" i="1"/>
  <c r="CK197" i="1" s="1"/>
  <c r="CJ197" i="1"/>
  <c r="BO263" i="1"/>
  <c r="CK263" i="1" s="1"/>
  <c r="CJ263" i="1"/>
  <c r="BO337" i="1"/>
  <c r="CK337" i="1" s="1"/>
  <c r="CJ337" i="1"/>
  <c r="BO39" i="1"/>
  <c r="CK39" i="1" s="1"/>
  <c r="CJ39" i="1"/>
  <c r="BO115" i="1"/>
  <c r="CK115" i="1" s="1"/>
  <c r="CJ115" i="1"/>
  <c r="BO183" i="1"/>
  <c r="CK183" i="1" s="1"/>
  <c r="CJ183" i="1"/>
  <c r="BO360" i="1"/>
  <c r="CK360" i="1" s="1"/>
  <c r="CJ360" i="1"/>
  <c r="BO269" i="1"/>
  <c r="CK269" i="1" s="1"/>
  <c r="CJ269" i="1"/>
  <c r="CF396" i="1"/>
  <c r="DB396" i="1" s="1"/>
  <c r="DA396" i="1"/>
  <c r="BO317" i="1"/>
  <c r="CK317" i="1" s="1"/>
  <c r="CJ317" i="1"/>
  <c r="BO223" i="1"/>
  <c r="CK223" i="1" s="1"/>
  <c r="CJ223" i="1"/>
  <c r="BO180" i="1"/>
  <c r="CK180" i="1" s="1"/>
  <c r="CJ180" i="1"/>
  <c r="BO250" i="1"/>
  <c r="CK250" i="1" s="1"/>
  <c r="CJ250" i="1"/>
  <c r="BO412" i="1"/>
  <c r="CK412" i="1" s="1"/>
  <c r="CJ412" i="1"/>
  <c r="CO38" i="1"/>
  <c r="BO221" i="1"/>
  <c r="CK221" i="1" s="1"/>
  <c r="CJ221" i="1"/>
  <c r="BO363" i="1"/>
  <c r="CK363" i="1" s="1"/>
  <c r="CJ363" i="1"/>
  <c r="BO74" i="1"/>
  <c r="CK74" i="1" s="1"/>
  <c r="CJ74" i="1"/>
  <c r="BO141" i="1"/>
  <c r="CK141" i="1" s="1"/>
  <c r="CJ141" i="1"/>
  <c r="BO212" i="1"/>
  <c r="CK212" i="1" s="1"/>
  <c r="CJ212" i="1"/>
  <c r="BO362" i="1"/>
  <c r="CK362" i="1" s="1"/>
  <c r="CJ362" i="1"/>
  <c r="BO410" i="1"/>
  <c r="CK410" i="1" s="1"/>
  <c r="CJ410" i="1"/>
  <c r="CO28" i="1"/>
  <c r="BO302" i="1"/>
  <c r="CK302" i="1" s="1"/>
  <c r="CJ302" i="1"/>
  <c r="BO377" i="1"/>
  <c r="CK377" i="1" s="1"/>
  <c r="CJ377" i="1"/>
  <c r="CF414" i="1"/>
  <c r="DB414" i="1" s="1"/>
  <c r="DA414" i="1"/>
  <c r="BO70" i="1"/>
  <c r="CK70" i="1" s="1"/>
  <c r="CJ70" i="1"/>
  <c r="BO397" i="1"/>
  <c r="CK397" i="1" s="1"/>
  <c r="CJ397" i="1"/>
  <c r="BO253" i="1"/>
  <c r="CK253" i="1" s="1"/>
  <c r="CJ253" i="1"/>
  <c r="BO257" i="1"/>
  <c r="CK257" i="1" s="1"/>
  <c r="CJ257" i="1"/>
  <c r="CF126" i="1"/>
  <c r="DB126" i="1" s="1"/>
  <c r="DA126" i="1"/>
  <c r="BO270" i="1"/>
  <c r="CK270" i="1" s="1"/>
  <c r="CJ270" i="1"/>
  <c r="BO13" i="1"/>
  <c r="CK13" i="1" s="1"/>
  <c r="CJ13" i="1"/>
  <c r="BO41" i="1"/>
  <c r="CK41" i="1" s="1"/>
  <c r="CJ41" i="1"/>
  <c r="BO185" i="1"/>
  <c r="CJ185" i="1"/>
  <c r="BO414" i="1"/>
  <c r="CK414" i="1" s="1"/>
  <c r="CJ414" i="1"/>
  <c r="BO127" i="1"/>
  <c r="CK127" i="1" s="1"/>
  <c r="CJ127" i="1"/>
  <c r="BO240" i="1"/>
  <c r="CK240" i="1" s="1"/>
  <c r="CJ240" i="1"/>
  <c r="BO107" i="1"/>
  <c r="CK107" i="1" s="1"/>
  <c r="CJ107" i="1"/>
  <c r="BO276" i="1"/>
  <c r="CK276" i="1" s="1"/>
  <c r="CJ276" i="1"/>
  <c r="BO219" i="1"/>
  <c r="CK219" i="1" s="1"/>
  <c r="CJ219" i="1"/>
  <c r="CF169" i="1"/>
  <c r="DB169" i="1" s="1"/>
  <c r="DA169" i="1"/>
  <c r="CF211" i="1"/>
  <c r="DB211" i="1" s="1"/>
  <c r="DA211" i="1"/>
  <c r="BO84" i="1"/>
  <c r="CK84" i="1" s="1"/>
  <c r="CJ84" i="1"/>
  <c r="BO265" i="1"/>
  <c r="CK265" i="1" s="1"/>
  <c r="CJ265" i="1"/>
  <c r="BO162" i="1"/>
  <c r="CK162" i="1" s="1"/>
  <c r="CJ162" i="1"/>
  <c r="AVD458" i="1" l="1"/>
  <c r="DE16" i="15"/>
  <c r="AVL458" i="1"/>
  <c r="AVK458" i="1"/>
  <c r="BL290" i="1"/>
  <c r="DF21" i="15"/>
  <c r="BL6" i="1"/>
  <c r="BL50" i="1"/>
  <c r="Q9" i="2"/>
  <c r="O9" i="2" s="1"/>
  <c r="BC458" i="1"/>
  <c r="BC459" i="1" s="1"/>
  <c r="M20" i="19"/>
  <c r="BK21" i="15"/>
  <c r="O20" i="2"/>
  <c r="BG458" i="1"/>
  <c r="BG459" i="1" s="1"/>
  <c r="O12" i="12"/>
  <c r="BL65" i="1"/>
  <c r="O39" i="12"/>
  <c r="BF458" i="1"/>
  <c r="BF459" i="1" s="1"/>
  <c r="AW457" i="1"/>
  <c r="CE384" i="1"/>
  <c r="CF384" i="1" s="1"/>
  <c r="AVM384" i="1"/>
  <c r="AVN384" i="1" s="1"/>
  <c r="AVO384" i="1" s="1"/>
  <c r="CE353" i="1"/>
  <c r="DA353" i="1" s="1"/>
  <c r="CZ353" i="1"/>
  <c r="AVM353" i="1"/>
  <c r="AVN353" i="1" s="1"/>
  <c r="AVO353" i="1" s="1"/>
  <c r="CT4" i="1"/>
  <c r="BN353" i="1"/>
  <c r="CJ353" i="1" s="1"/>
  <c r="AUV353" i="1"/>
  <c r="AUW353" i="1" s="1"/>
  <c r="AUX353" i="1" s="1"/>
  <c r="CH353" i="1"/>
  <c r="CI353" i="1"/>
  <c r="AVM6" i="1"/>
  <c r="AVN6" i="1" s="1"/>
  <c r="AVO6" i="1" s="1"/>
  <c r="CE6" i="1"/>
  <c r="CF6" i="1" s="1"/>
  <c r="AUV384" i="1"/>
  <c r="AUW384" i="1" s="1"/>
  <c r="AUX384" i="1" s="1"/>
  <c r="BN384" i="1"/>
  <c r="BO384" i="1" s="1"/>
  <c r="CH384" i="1"/>
  <c r="AVQ384" i="1" s="1"/>
  <c r="AUV6" i="1"/>
  <c r="AUW6" i="1" s="1"/>
  <c r="AUX6" i="1" s="1"/>
  <c r="CH6" i="1"/>
  <c r="AVQ6" i="1" s="1"/>
  <c r="BN6" i="1"/>
  <c r="BO6" i="1" s="1"/>
  <c r="AUZ353" i="1"/>
  <c r="CM353" i="1"/>
  <c r="AUV383" i="1"/>
  <c r="AUW383" i="1" s="1"/>
  <c r="AUX383" i="1" s="1"/>
  <c r="BN383" i="1"/>
  <c r="BO383" i="1" s="1"/>
  <c r="CH383" i="1"/>
  <c r="AVQ383" i="1" s="1"/>
  <c r="AVM383" i="1"/>
  <c r="AVN383" i="1" s="1"/>
  <c r="AVO383" i="1" s="1"/>
  <c r="CE383" i="1"/>
  <c r="CF383" i="1" s="1"/>
  <c r="AUV96" i="1"/>
  <c r="AUW96" i="1" s="1"/>
  <c r="AUX96" i="1" s="1"/>
  <c r="BN96" i="1"/>
  <c r="BO96" i="1" s="1"/>
  <c r="P58" i="2"/>
  <c r="AVN172" i="1"/>
  <c r="AVO172" i="1" s="1"/>
  <c r="AVN392" i="1"/>
  <c r="AVO392" i="1" s="1"/>
  <c r="AVN195" i="1"/>
  <c r="AVO195" i="1" s="1"/>
  <c r="AVN102" i="1"/>
  <c r="AVO102" i="1" s="1"/>
  <c r="AVN254" i="1"/>
  <c r="AVO254" i="1" s="1"/>
  <c r="AVN121" i="1"/>
  <c r="AVO121" i="1" s="1"/>
  <c r="CL153" i="1"/>
  <c r="AUY153" i="1"/>
  <c r="CL103" i="1"/>
  <c r="AUY103" i="1"/>
  <c r="CL156" i="1"/>
  <c r="AUY156" i="1"/>
  <c r="CL293" i="1"/>
  <c r="AUY293" i="1"/>
  <c r="CH329" i="1"/>
  <c r="AVQ329" i="1" s="1"/>
  <c r="AUY329" i="1"/>
  <c r="AZ18" i="15"/>
  <c r="AUV413" i="1"/>
  <c r="AUW413" i="1" s="1"/>
  <c r="AUX413" i="1" s="1"/>
  <c r="AUW75" i="1"/>
  <c r="AUX75" i="1" s="1"/>
  <c r="CH332" i="1"/>
  <c r="AVQ332" i="1" s="1"/>
  <c r="AUY332" i="1"/>
  <c r="CH226" i="1"/>
  <c r="AVQ226" i="1" s="1"/>
  <c r="AUY226" i="1"/>
  <c r="CH18" i="1"/>
  <c r="AVQ18" i="1" s="1"/>
  <c r="AUY18" i="1"/>
  <c r="CH41" i="1"/>
  <c r="AVQ41" i="1" s="1"/>
  <c r="AUY41" i="1"/>
  <c r="AVN231" i="1"/>
  <c r="AVO231" i="1" s="1"/>
  <c r="AVN50" i="1"/>
  <c r="AVO50" i="1" s="1"/>
  <c r="AVN401" i="1"/>
  <c r="AVO401" i="1" s="1"/>
  <c r="AVN230" i="1"/>
  <c r="AVO230" i="1" s="1"/>
  <c r="AVN111" i="1"/>
  <c r="AVO111" i="1" s="1"/>
  <c r="AVN370" i="1"/>
  <c r="AVO370" i="1" s="1"/>
  <c r="AVN292" i="1"/>
  <c r="AVO292" i="1" s="1"/>
  <c r="AVN36" i="1"/>
  <c r="AVO36" i="1" s="1"/>
  <c r="AVN9" i="1"/>
  <c r="AVO9" i="1" s="1"/>
  <c r="AVN391" i="1"/>
  <c r="AVO391" i="1" s="1"/>
  <c r="AVN287" i="1"/>
  <c r="AVO287" i="1" s="1"/>
  <c r="AVN135" i="1"/>
  <c r="AVO135" i="1" s="1"/>
  <c r="AVN103" i="1"/>
  <c r="AVO103" i="1" s="1"/>
  <c r="AVN11" i="1"/>
  <c r="AVO11" i="1" s="1"/>
  <c r="CL215" i="1"/>
  <c r="AUY215" i="1"/>
  <c r="CL406" i="1"/>
  <c r="AUY406" i="1"/>
  <c r="CL295" i="1"/>
  <c r="AUY295" i="1"/>
  <c r="AVN346" i="1"/>
  <c r="AVO346" i="1" s="1"/>
  <c r="AVN75" i="1"/>
  <c r="AVO75" i="1" s="1"/>
  <c r="CH376" i="1"/>
  <c r="AUY376" i="1"/>
  <c r="CH326" i="1"/>
  <c r="AVQ326" i="1" s="1"/>
  <c r="AUY326" i="1"/>
  <c r="CH281" i="1"/>
  <c r="AVQ281" i="1" s="1"/>
  <c r="AUY281" i="1"/>
  <c r="CH420" i="1"/>
  <c r="AVQ420" i="1" s="1"/>
  <c r="AUY420" i="1"/>
  <c r="AVN323" i="1"/>
  <c r="AVO323" i="1" s="1"/>
  <c r="Z147" i="12"/>
  <c r="AVM145" i="1"/>
  <c r="AVN322" i="1"/>
  <c r="AVO322" i="1" s="1"/>
  <c r="AVN51" i="1"/>
  <c r="AVO51" i="1" s="1"/>
  <c r="CL145" i="1"/>
  <c r="AUY145" i="1"/>
  <c r="CL23" i="1"/>
  <c r="AUY23" i="1"/>
  <c r="CL207" i="1"/>
  <c r="AUY207" i="1"/>
  <c r="AVN325" i="1"/>
  <c r="AVO325" i="1" s="1"/>
  <c r="CL235" i="1"/>
  <c r="AUY235" i="1"/>
  <c r="AVN390" i="1"/>
  <c r="AVO390" i="1" s="1"/>
  <c r="AVN294" i="1"/>
  <c r="AVO294" i="1" s="1"/>
  <c r="AVN155" i="1"/>
  <c r="AVO155" i="1" s="1"/>
  <c r="AVN154" i="1"/>
  <c r="AVO154" i="1" s="1"/>
  <c r="AVN133" i="1"/>
  <c r="AVO133" i="1" s="1"/>
  <c r="AVN33" i="1"/>
  <c r="AVO33" i="1" s="1"/>
  <c r="AVN345" i="1"/>
  <c r="AVO345" i="1" s="1"/>
  <c r="AVN289" i="1"/>
  <c r="AVO289" i="1" s="1"/>
  <c r="CH117" i="1"/>
  <c r="AVQ117" i="1" s="1"/>
  <c r="AUY117" i="1"/>
  <c r="CH90" i="1"/>
  <c r="AVQ90" i="1" s="1"/>
  <c r="AUY90" i="1"/>
  <c r="CH221" i="1"/>
  <c r="AVQ221" i="1" s="1"/>
  <c r="AUY221" i="1"/>
  <c r="CH84" i="1"/>
  <c r="AVQ84" i="1" s="1"/>
  <c r="AUY84" i="1"/>
  <c r="CH124" i="1"/>
  <c r="AVQ124" i="1" s="1"/>
  <c r="AUY124" i="1"/>
  <c r="CH167" i="1"/>
  <c r="AVQ167" i="1" s="1"/>
  <c r="AUY167" i="1"/>
  <c r="CH161" i="1"/>
  <c r="AVQ161" i="1" s="1"/>
  <c r="AUY161" i="1"/>
  <c r="CH20" i="1"/>
  <c r="AVQ20" i="1" s="1"/>
  <c r="AUY20" i="1"/>
  <c r="CH80" i="1"/>
  <c r="AVQ80" i="1" s="1"/>
  <c r="AUY80" i="1"/>
  <c r="CH107" i="1"/>
  <c r="AVQ107" i="1" s="1"/>
  <c r="AUY107" i="1"/>
  <c r="CH85" i="1"/>
  <c r="AVQ85" i="1" s="1"/>
  <c r="AUY85" i="1"/>
  <c r="CH104" i="1"/>
  <c r="AVQ104" i="1" s="1"/>
  <c r="AUY104" i="1"/>
  <c r="CH127" i="1"/>
  <c r="AVQ127" i="1" s="1"/>
  <c r="AUY127" i="1"/>
  <c r="CH48" i="1"/>
  <c r="AVQ48" i="1" s="1"/>
  <c r="AUY48" i="1"/>
  <c r="CH276" i="1"/>
  <c r="AVQ276" i="1" s="1"/>
  <c r="AUY276" i="1"/>
  <c r="CH130" i="1"/>
  <c r="AVQ130" i="1" s="1"/>
  <c r="AUY130" i="1"/>
  <c r="CH331" i="1"/>
  <c r="AVQ331" i="1" s="1"/>
  <c r="AUY331" i="1"/>
  <c r="CH241" i="1"/>
  <c r="AVQ241" i="1" s="1"/>
  <c r="AUY241" i="1"/>
  <c r="CH236" i="1"/>
  <c r="AVQ236" i="1" s="1"/>
  <c r="AUY236" i="1"/>
  <c r="CH143" i="1"/>
  <c r="AVQ143" i="1" s="1"/>
  <c r="AUY143" i="1"/>
  <c r="CH412" i="1"/>
  <c r="AVQ412" i="1" s="1"/>
  <c r="AUY412" i="1"/>
  <c r="CH162" i="1"/>
  <c r="AVQ162" i="1" s="1"/>
  <c r="AUY162" i="1"/>
  <c r="CH360" i="1"/>
  <c r="AVQ360" i="1" s="1"/>
  <c r="AUY360" i="1"/>
  <c r="CH209" i="1"/>
  <c r="AVQ209" i="1" s="1"/>
  <c r="AUY209" i="1"/>
  <c r="CH225" i="1"/>
  <c r="AVQ225" i="1" s="1"/>
  <c r="AUY225" i="1"/>
  <c r="CH377" i="1"/>
  <c r="AVQ377" i="1" s="1"/>
  <c r="AUY377" i="1"/>
  <c r="CH275" i="1"/>
  <c r="AVQ275" i="1" s="1"/>
  <c r="AUY275" i="1"/>
  <c r="CM389" i="1"/>
  <c r="AUZ389" i="1"/>
  <c r="CM101" i="1"/>
  <c r="AUZ101" i="1"/>
  <c r="CM407" i="1"/>
  <c r="AUZ407" i="1"/>
  <c r="CM291" i="1"/>
  <c r="AUZ291" i="1"/>
  <c r="CM97" i="1"/>
  <c r="AUZ97" i="1"/>
  <c r="CM406" i="1"/>
  <c r="AUZ406" i="1"/>
  <c r="CM349" i="1"/>
  <c r="AUZ349" i="1"/>
  <c r="CM288" i="1"/>
  <c r="AUZ288" i="1"/>
  <c r="CM215" i="1"/>
  <c r="AUZ215" i="1"/>
  <c r="CM155" i="1"/>
  <c r="AUZ155" i="1"/>
  <c r="CM79" i="1"/>
  <c r="AUZ79" i="1"/>
  <c r="CM12" i="1"/>
  <c r="AUZ12" i="1"/>
  <c r="CM324" i="1"/>
  <c r="AUZ324" i="1"/>
  <c r="CM49" i="1"/>
  <c r="AUZ49" i="1"/>
  <c r="CM174" i="1"/>
  <c r="AUZ174" i="1"/>
  <c r="CM371" i="1"/>
  <c r="AUZ371" i="1"/>
  <c r="CM234" i="1"/>
  <c r="AUZ234" i="1"/>
  <c r="CM145" i="1"/>
  <c r="AUZ145" i="1"/>
  <c r="CM22" i="1"/>
  <c r="AUZ22" i="1"/>
  <c r="CM235" i="1"/>
  <c r="AUZ235" i="1"/>
  <c r="CM346" i="1"/>
  <c r="AUZ346" i="1"/>
  <c r="CM284" i="1"/>
  <c r="AUZ284" i="1"/>
  <c r="CM400" i="1"/>
  <c r="AUZ400" i="1"/>
  <c r="CM205" i="1"/>
  <c r="AUZ205" i="1"/>
  <c r="CM98" i="1"/>
  <c r="AUZ98" i="1"/>
  <c r="CM8" i="1"/>
  <c r="AUZ8" i="1"/>
  <c r="CM35" i="1"/>
  <c r="AUZ35" i="1"/>
  <c r="AVN274" i="1"/>
  <c r="AVO274" i="1" s="1"/>
  <c r="CE431" i="1"/>
  <c r="CF431" i="1" s="1"/>
  <c r="AVM431" i="1"/>
  <c r="AVN83" i="1"/>
  <c r="AVO83" i="1" s="1"/>
  <c r="AVN237" i="1"/>
  <c r="AVO237" i="1" s="1"/>
  <c r="AVN385" i="1"/>
  <c r="AVO385" i="1" s="1"/>
  <c r="CM83" i="1"/>
  <c r="AUZ83" i="1"/>
  <c r="AVN31" i="1"/>
  <c r="AVO31" i="1" s="1"/>
  <c r="AVN173" i="1"/>
  <c r="AVO173" i="1" s="1"/>
  <c r="AVN320" i="1"/>
  <c r="AVO320" i="1" s="1"/>
  <c r="AVN285" i="1"/>
  <c r="AVO285" i="1" s="1"/>
  <c r="AVN134" i="1"/>
  <c r="AVO134" i="1" s="1"/>
  <c r="AVN344" i="1"/>
  <c r="AVO344" i="1" s="1"/>
  <c r="AVN194" i="1"/>
  <c r="AVO194" i="1" s="1"/>
  <c r="CL292" i="1"/>
  <c r="AUY292" i="1"/>
  <c r="CH397" i="1"/>
  <c r="AVQ397" i="1" s="1"/>
  <c r="AUY397" i="1"/>
  <c r="CH352" i="1"/>
  <c r="AVQ352" i="1" s="1"/>
  <c r="AUY352" i="1"/>
  <c r="CH199" i="1"/>
  <c r="AVQ199" i="1" s="1"/>
  <c r="AUY199" i="1"/>
  <c r="AVN235" i="1"/>
  <c r="AVO235" i="1" s="1"/>
  <c r="AVN393" i="1"/>
  <c r="AVO393" i="1" s="1"/>
  <c r="AVN295" i="1"/>
  <c r="AVO295" i="1" s="1"/>
  <c r="AVN214" i="1"/>
  <c r="AVO214" i="1" s="1"/>
  <c r="CL122" i="1"/>
  <c r="AUY122" i="1"/>
  <c r="CL285" i="1"/>
  <c r="AUY285" i="1"/>
  <c r="CL408" i="1"/>
  <c r="AUY408" i="1"/>
  <c r="CL97" i="1"/>
  <c r="AUY97" i="1"/>
  <c r="CL287" i="1"/>
  <c r="AUY287" i="1"/>
  <c r="CL388" i="1"/>
  <c r="AUY388" i="1"/>
  <c r="Z129" i="12"/>
  <c r="AVM423" i="1"/>
  <c r="AUW119" i="1"/>
  <c r="AUX119" i="1" s="1"/>
  <c r="CH409" i="1"/>
  <c r="AVQ409" i="1" s="1"/>
  <c r="AUY409" i="1"/>
  <c r="CH141" i="1"/>
  <c r="AVQ141" i="1" s="1"/>
  <c r="AUY141" i="1"/>
  <c r="CH204" i="1"/>
  <c r="AVQ204" i="1" s="1"/>
  <c r="AUY204" i="1"/>
  <c r="CH394" i="1"/>
  <c r="AVQ394" i="1" s="1"/>
  <c r="AUY394" i="1"/>
  <c r="CH258" i="1"/>
  <c r="AVQ258" i="1" s="1"/>
  <c r="AUY258" i="1"/>
  <c r="AVN234" i="1"/>
  <c r="AVO234" i="1" s="1"/>
  <c r="AVN232" i="1"/>
  <c r="AVO232" i="1" s="1"/>
  <c r="AVN146" i="1"/>
  <c r="AVO146" i="1" s="1"/>
  <c r="CL231" i="1"/>
  <c r="AUY231" i="1"/>
  <c r="CL205" i="1"/>
  <c r="AUY205" i="1"/>
  <c r="CL401" i="1"/>
  <c r="AUY401" i="1"/>
  <c r="AVN288" i="1"/>
  <c r="AVO288" i="1" s="1"/>
  <c r="AVN193" i="1"/>
  <c r="AVO193" i="1" s="1"/>
  <c r="AVN98" i="1"/>
  <c r="AVO98" i="1" s="1"/>
  <c r="AVN34" i="1"/>
  <c r="AVO34" i="1" s="1"/>
  <c r="AVN405" i="1"/>
  <c r="AVO405" i="1" s="1"/>
  <c r="AUW35" i="1"/>
  <c r="AUX35" i="1" s="1"/>
  <c r="CH66" i="1"/>
  <c r="AVQ66" i="1" s="1"/>
  <c r="AUY66" i="1"/>
  <c r="CH395" i="1"/>
  <c r="AVQ395" i="1" s="1"/>
  <c r="AUY395" i="1"/>
  <c r="CH42" i="1"/>
  <c r="AVQ42" i="1" s="1"/>
  <c r="AUY42" i="1"/>
  <c r="CH82" i="1"/>
  <c r="AVQ82" i="1" s="1"/>
  <c r="AUY82" i="1"/>
  <c r="CL120" i="1"/>
  <c r="AUY120" i="1"/>
  <c r="CL193" i="1"/>
  <c r="AUY193" i="1"/>
  <c r="CL349" i="1"/>
  <c r="AUY349" i="1"/>
  <c r="CL192" i="1"/>
  <c r="AUY192" i="1"/>
  <c r="CL291" i="1"/>
  <c r="AUY291" i="1"/>
  <c r="CH26" i="1"/>
  <c r="AVQ26" i="1" s="1"/>
  <c r="AUY26" i="1"/>
  <c r="CH74" i="1"/>
  <c r="AVQ74" i="1" s="1"/>
  <c r="AUY74" i="1"/>
  <c r="CH424" i="1"/>
  <c r="AVQ424" i="1" s="1"/>
  <c r="AUY424" i="1"/>
  <c r="AVN413" i="1"/>
  <c r="AVO413" i="1" s="1"/>
  <c r="CL323" i="1"/>
  <c r="AUY323" i="1"/>
  <c r="CL174" i="1"/>
  <c r="AUY174" i="1"/>
  <c r="CL319" i="1"/>
  <c r="AUY319" i="1"/>
  <c r="CH340" i="1"/>
  <c r="AVQ340" i="1" s="1"/>
  <c r="AUY340" i="1"/>
  <c r="CH148" i="1"/>
  <c r="AVQ148" i="1" s="1"/>
  <c r="AUY148" i="1"/>
  <c r="CL346" i="1"/>
  <c r="AUY346" i="1"/>
  <c r="AUW51" i="1"/>
  <c r="AUX51" i="1" s="1"/>
  <c r="CH17" i="1"/>
  <c r="AVQ17" i="1" s="1"/>
  <c r="AUY17" i="1"/>
  <c r="CH139" i="1"/>
  <c r="AVQ139" i="1" s="1"/>
  <c r="AUY139" i="1"/>
  <c r="CH171" i="1"/>
  <c r="AVQ171" i="1" s="1"/>
  <c r="AUY171" i="1"/>
  <c r="CH296" i="1"/>
  <c r="AVQ296" i="1" s="1"/>
  <c r="AUY296" i="1"/>
  <c r="CH240" i="1"/>
  <c r="AVQ240" i="1" s="1"/>
  <c r="AUY240" i="1"/>
  <c r="CH108" i="1"/>
  <c r="AVQ108" i="1" s="1"/>
  <c r="AUY108" i="1"/>
  <c r="CH265" i="1"/>
  <c r="AVQ265" i="1" s="1"/>
  <c r="AUY265" i="1"/>
  <c r="CH140" i="1"/>
  <c r="AVQ140" i="1" s="1"/>
  <c r="AUY140" i="1"/>
  <c r="CH257" i="1"/>
  <c r="AVQ257" i="1" s="1"/>
  <c r="AUY257" i="1"/>
  <c r="CH203" i="1"/>
  <c r="AVQ203" i="1" s="1"/>
  <c r="AUY203" i="1"/>
  <c r="CH138" i="1"/>
  <c r="AVQ138" i="1" s="1"/>
  <c r="AUY138" i="1"/>
  <c r="CH223" i="1"/>
  <c r="AVQ223" i="1" s="1"/>
  <c r="AUY223" i="1"/>
  <c r="CH81" i="1"/>
  <c r="AVQ81" i="1" s="1"/>
  <c r="AUY81" i="1"/>
  <c r="CH73" i="1"/>
  <c r="AVQ73" i="1" s="1"/>
  <c r="AUY73" i="1"/>
  <c r="CH414" i="1"/>
  <c r="AVQ414" i="1" s="1"/>
  <c r="AUY414" i="1"/>
  <c r="CH176" i="1"/>
  <c r="AVQ176" i="1" s="1"/>
  <c r="AUY176" i="1"/>
  <c r="CH211" i="1"/>
  <c r="AVQ211" i="1" s="1"/>
  <c r="AUY211" i="1"/>
  <c r="CH273" i="1"/>
  <c r="AVQ273" i="1" s="1"/>
  <c r="AUY273" i="1"/>
  <c r="CH364" i="1"/>
  <c r="AVQ364" i="1" s="1"/>
  <c r="AUY364" i="1"/>
  <c r="CH43" i="1"/>
  <c r="AVQ43" i="1" s="1"/>
  <c r="AUY43" i="1"/>
  <c r="CH200" i="1"/>
  <c r="AVQ200" i="1" s="1"/>
  <c r="AUY200" i="1"/>
  <c r="CH299" i="1"/>
  <c r="AVQ299" i="1" s="1"/>
  <c r="AUY299" i="1"/>
  <c r="CH259" i="1"/>
  <c r="AVQ259" i="1" s="1"/>
  <c r="AUY259" i="1"/>
  <c r="CH404" i="1"/>
  <c r="AVQ404" i="1" s="1"/>
  <c r="AUY404" i="1"/>
  <c r="CH188" i="1"/>
  <c r="AVQ188" i="1" s="1"/>
  <c r="AUY188" i="1"/>
  <c r="CH249" i="1"/>
  <c r="AVQ249" i="1" s="1"/>
  <c r="AUY249" i="1"/>
  <c r="CH115" i="1"/>
  <c r="AVQ115" i="1" s="1"/>
  <c r="AUY115" i="1"/>
  <c r="CH114" i="1"/>
  <c r="AVQ114" i="1" s="1"/>
  <c r="AUY114" i="1"/>
  <c r="CH304" i="1"/>
  <c r="AVQ304" i="1" s="1"/>
  <c r="AUY304" i="1"/>
  <c r="CH374" i="1"/>
  <c r="AVQ374" i="1" s="1"/>
  <c r="AUY374" i="1"/>
  <c r="CH242" i="1"/>
  <c r="AVQ242" i="1" s="1"/>
  <c r="AUY242" i="1"/>
  <c r="CH327" i="1"/>
  <c r="AVQ327" i="1" s="1"/>
  <c r="AUY327" i="1"/>
  <c r="CH316" i="1"/>
  <c r="AVQ316" i="1" s="1"/>
  <c r="AUY316" i="1"/>
  <c r="CH125" i="1"/>
  <c r="AVQ125" i="1" s="1"/>
  <c r="AUY125" i="1"/>
  <c r="CH302" i="1"/>
  <c r="AVQ302" i="1" s="1"/>
  <c r="AUY302" i="1"/>
  <c r="CH128" i="1"/>
  <c r="AVQ128" i="1" s="1"/>
  <c r="AUY128" i="1"/>
  <c r="CH264" i="1"/>
  <c r="AVQ264" i="1" s="1"/>
  <c r="AUY264" i="1"/>
  <c r="CH417" i="1"/>
  <c r="AVQ417" i="1" s="1"/>
  <c r="AUY417" i="1"/>
  <c r="CH92" i="1"/>
  <c r="AVQ92" i="1" s="1"/>
  <c r="AUY92" i="1"/>
  <c r="CH147" i="1"/>
  <c r="AVQ147" i="1" s="1"/>
  <c r="AUY147" i="1"/>
  <c r="CH357" i="1"/>
  <c r="AVQ357" i="1" s="1"/>
  <c r="AUY357" i="1"/>
  <c r="CH314" i="1"/>
  <c r="AVQ314" i="1" s="1"/>
  <c r="AUY314" i="1"/>
  <c r="CH87" i="1"/>
  <c r="AVQ87" i="1" s="1"/>
  <c r="AUY87" i="1"/>
  <c r="CH222" i="1"/>
  <c r="AVQ222" i="1" s="1"/>
  <c r="AUY222" i="1"/>
  <c r="CH40" i="1"/>
  <c r="AVQ40" i="1" s="1"/>
  <c r="AUY40" i="1"/>
  <c r="CH64" i="1"/>
  <c r="AVQ64" i="1" s="1"/>
  <c r="AUY64" i="1"/>
  <c r="CH61" i="1"/>
  <c r="AVQ61" i="1" s="1"/>
  <c r="AUY61" i="1"/>
  <c r="CH19" i="1"/>
  <c r="AVQ19" i="1" s="1"/>
  <c r="AUY19" i="1"/>
  <c r="CH184" i="1"/>
  <c r="AVQ184" i="1" s="1"/>
  <c r="AUY184" i="1"/>
  <c r="CM393" i="1"/>
  <c r="AUZ393" i="1"/>
  <c r="CM293" i="1"/>
  <c r="AUZ293" i="1"/>
  <c r="CM154" i="1"/>
  <c r="AUZ154" i="1"/>
  <c r="CM121" i="1"/>
  <c r="AUZ121" i="1"/>
  <c r="CM33" i="1"/>
  <c r="AUZ33" i="1"/>
  <c r="CM295" i="1"/>
  <c r="AUZ295" i="1"/>
  <c r="CM218" i="1"/>
  <c r="AUZ218" i="1"/>
  <c r="CM135" i="1"/>
  <c r="AUZ135" i="1"/>
  <c r="CM103" i="1"/>
  <c r="AUZ103" i="1"/>
  <c r="CM408" i="1"/>
  <c r="AUZ408" i="1"/>
  <c r="CM388" i="1"/>
  <c r="AUZ388" i="1"/>
  <c r="CM292" i="1"/>
  <c r="AUZ292" i="1"/>
  <c r="CM217" i="1"/>
  <c r="AUZ217" i="1"/>
  <c r="CM134" i="1"/>
  <c r="AUZ134" i="1"/>
  <c r="CM102" i="1"/>
  <c r="AUZ102" i="1"/>
  <c r="CM34" i="1"/>
  <c r="AUZ34" i="1"/>
  <c r="CM372" i="1"/>
  <c r="AUZ372" i="1"/>
  <c r="CM146" i="1"/>
  <c r="AUZ146" i="1"/>
  <c r="CM230" i="1"/>
  <c r="AUZ230" i="1"/>
  <c r="CM373" i="1"/>
  <c r="AUZ373" i="1"/>
  <c r="CM321" i="1"/>
  <c r="AUZ321" i="1"/>
  <c r="CM173" i="1"/>
  <c r="AUZ173" i="1"/>
  <c r="CM24" i="1"/>
  <c r="AUZ24" i="1"/>
  <c r="CM370" i="1"/>
  <c r="AUZ370" i="1"/>
  <c r="CM229" i="1"/>
  <c r="AUZ229" i="1"/>
  <c r="CM289" i="1"/>
  <c r="AUZ289" i="1"/>
  <c r="CM345" i="1"/>
  <c r="AUZ345" i="1"/>
  <c r="AVN386" i="1"/>
  <c r="AVO386" i="1" s="1"/>
  <c r="CM418" i="1"/>
  <c r="AUZ418" i="1"/>
  <c r="CM47" i="1"/>
  <c r="AUZ47" i="1"/>
  <c r="AVN19" i="1"/>
  <c r="AVO19" i="1" s="1"/>
  <c r="AVN418" i="1"/>
  <c r="AVO418" i="1" s="1"/>
  <c r="CM365" i="1"/>
  <c r="AUZ365" i="1"/>
  <c r="CM81" i="1"/>
  <c r="AUZ81" i="1"/>
  <c r="AVN301" i="1"/>
  <c r="AVO301" i="1" s="1"/>
  <c r="BT457" i="1"/>
  <c r="AVC123" i="1"/>
  <c r="AVB123" i="1" s="1"/>
  <c r="AVB274" i="1"/>
  <c r="CH180" i="1"/>
  <c r="AVQ180" i="1" s="1"/>
  <c r="AUY180" i="1"/>
  <c r="CH109" i="1"/>
  <c r="AVQ109" i="1" s="1"/>
  <c r="AUY109" i="1"/>
  <c r="CL230" i="1"/>
  <c r="AUY230" i="1"/>
  <c r="AVN123" i="1"/>
  <c r="AVO123" i="1" s="1"/>
  <c r="AVN373" i="1"/>
  <c r="AVO373" i="1" s="1"/>
  <c r="AVN321" i="1"/>
  <c r="AVO321" i="1" s="1"/>
  <c r="AVN324" i="1"/>
  <c r="AVO324" i="1" s="1"/>
  <c r="AVN49" i="1"/>
  <c r="AVO49" i="1" s="1"/>
  <c r="AVN408" i="1"/>
  <c r="AVO408" i="1" s="1"/>
  <c r="AVN388" i="1"/>
  <c r="AVO388" i="1" s="1"/>
  <c r="AVN217" i="1"/>
  <c r="AVO217" i="1" s="1"/>
  <c r="AVN191" i="1"/>
  <c r="AVO191" i="1" s="1"/>
  <c r="AVN122" i="1"/>
  <c r="AVO122" i="1" s="1"/>
  <c r="AVN79" i="1"/>
  <c r="AVO79" i="1" s="1"/>
  <c r="AVN293" i="1"/>
  <c r="AVO293" i="1" s="1"/>
  <c r="AVN216" i="1"/>
  <c r="AVO216" i="1" s="1"/>
  <c r="AVN150" i="1"/>
  <c r="AVO150" i="1" s="1"/>
  <c r="CL79" i="1"/>
  <c r="AUY79" i="1"/>
  <c r="CL217" i="1"/>
  <c r="AUY217" i="1"/>
  <c r="CL392" i="1"/>
  <c r="AUY392" i="1"/>
  <c r="CL135" i="1"/>
  <c r="AUY135" i="1"/>
  <c r="CL391" i="1"/>
  <c r="AUY391" i="1"/>
  <c r="AVN387" i="1"/>
  <c r="AVO387" i="1" s="1"/>
  <c r="CH247" i="1"/>
  <c r="AVQ247" i="1" s="1"/>
  <c r="AUY247" i="1"/>
  <c r="AUW123" i="1"/>
  <c r="AUX123" i="1" s="1"/>
  <c r="CH410" i="1"/>
  <c r="AVQ410" i="1" s="1"/>
  <c r="AUY410" i="1"/>
  <c r="CH271" i="1"/>
  <c r="AVQ271" i="1" s="1"/>
  <c r="AUY271" i="1"/>
  <c r="CH126" i="1"/>
  <c r="AVQ126" i="1" s="1"/>
  <c r="AUY126" i="1"/>
  <c r="CH262" i="1"/>
  <c r="AVQ262" i="1" s="1"/>
  <c r="AUY262" i="1"/>
  <c r="CH298" i="1"/>
  <c r="AVQ298" i="1" s="1"/>
  <c r="AUY298" i="1"/>
  <c r="CL173" i="1"/>
  <c r="AUY173" i="1"/>
  <c r="CL111" i="1"/>
  <c r="AUY111" i="1"/>
  <c r="CL324" i="1"/>
  <c r="AUY324" i="1"/>
  <c r="AVN291" i="1"/>
  <c r="AVO291" i="1" s="1"/>
  <c r="AVN218" i="1"/>
  <c r="AVO218" i="1" s="1"/>
  <c r="AVN192" i="1"/>
  <c r="AVO192" i="1" s="1"/>
  <c r="AVN119" i="1"/>
  <c r="AVO119" i="1" s="1"/>
  <c r="AVN283" i="1"/>
  <c r="AVO283" i="1" s="1"/>
  <c r="AVN152" i="1"/>
  <c r="AVO152" i="1" s="1"/>
  <c r="CH212" i="1"/>
  <c r="AVQ212" i="1" s="1"/>
  <c r="AUY212" i="1"/>
  <c r="CH363" i="1"/>
  <c r="AVQ363" i="1" s="1"/>
  <c r="AUY363" i="1"/>
  <c r="CH159" i="1"/>
  <c r="AVQ159" i="1" s="1"/>
  <c r="AUY159" i="1"/>
  <c r="AVN112" i="1"/>
  <c r="AVO112" i="1" s="1"/>
  <c r="AVN22" i="1"/>
  <c r="AVO22" i="1" s="1"/>
  <c r="AVN272" i="1"/>
  <c r="AVO272" i="1" s="1"/>
  <c r="AVN205" i="1"/>
  <c r="AVO205" i="1" s="1"/>
  <c r="AVN319" i="1"/>
  <c r="AVO319" i="1" s="1"/>
  <c r="AVN347" i="1"/>
  <c r="AVO347" i="1" s="1"/>
  <c r="AVN153" i="1"/>
  <c r="AVO153" i="1" s="1"/>
  <c r="AVN32" i="1"/>
  <c r="AVO32" i="1" s="1"/>
  <c r="AVN407" i="1"/>
  <c r="AVO407" i="1" s="1"/>
  <c r="AVN350" i="1"/>
  <c r="AVO350" i="1" s="1"/>
  <c r="AVN156" i="1"/>
  <c r="AVO156" i="1" s="1"/>
  <c r="AVN97" i="1"/>
  <c r="AVO97" i="1" s="1"/>
  <c r="AVN35" i="1"/>
  <c r="AVO35" i="1" s="1"/>
  <c r="CL98" i="1"/>
  <c r="AUY98" i="1"/>
  <c r="CL155" i="1"/>
  <c r="AUY155" i="1"/>
  <c r="CL101" i="1"/>
  <c r="AUY101" i="1"/>
  <c r="CL154" i="1"/>
  <c r="AUY154" i="1"/>
  <c r="CL256" i="1"/>
  <c r="AUY256" i="1"/>
  <c r="CL390" i="1"/>
  <c r="AUY390" i="1"/>
  <c r="AVN151" i="1"/>
  <c r="AVO151" i="1" s="1"/>
  <c r="AVN284" i="1"/>
  <c r="AVO284" i="1" s="1"/>
  <c r="CH177" i="1"/>
  <c r="AVQ177" i="1" s="1"/>
  <c r="AUY177" i="1"/>
  <c r="CH238" i="1"/>
  <c r="AVQ238" i="1" s="1"/>
  <c r="AUY238" i="1"/>
  <c r="CH185" i="1"/>
  <c r="AVQ185" i="1" s="1"/>
  <c r="AUY185" i="1"/>
  <c r="AVN371" i="1"/>
  <c r="AVO371" i="1" s="1"/>
  <c r="AVN206" i="1"/>
  <c r="AVO206" i="1" s="1"/>
  <c r="AVN372" i="1"/>
  <c r="AVO372" i="1" s="1"/>
  <c r="AVN174" i="1"/>
  <c r="AVO174" i="1" s="1"/>
  <c r="AVN23" i="1"/>
  <c r="AVO23" i="1" s="1"/>
  <c r="CL234" i="1"/>
  <c r="AUY234" i="1"/>
  <c r="CL146" i="1"/>
  <c r="AUY146" i="1"/>
  <c r="CL371" i="1"/>
  <c r="AUY371" i="1"/>
  <c r="AVN229" i="1"/>
  <c r="AVO229" i="1" s="1"/>
  <c r="AVN406" i="1"/>
  <c r="AVO406" i="1" s="1"/>
  <c r="AVN349" i="1"/>
  <c r="AVO349" i="1" s="1"/>
  <c r="AVN255" i="1"/>
  <c r="AVO255" i="1" s="1"/>
  <c r="AVN348" i="1"/>
  <c r="AVO348" i="1" s="1"/>
  <c r="AVN137" i="1"/>
  <c r="AVO137" i="1" s="1"/>
  <c r="AVN101" i="1"/>
  <c r="AVO101" i="1" s="1"/>
  <c r="AVN37" i="1"/>
  <c r="AVO37" i="1" s="1"/>
  <c r="AVN8" i="1"/>
  <c r="AVO8" i="1" s="1"/>
  <c r="AVN290" i="1"/>
  <c r="AVO290" i="1" s="1"/>
  <c r="AVN95" i="1"/>
  <c r="AVO95" i="1" s="1"/>
  <c r="CH274" i="1"/>
  <c r="AVQ274" i="1" s="1"/>
  <c r="AUY274" i="1"/>
  <c r="CH163" i="1"/>
  <c r="AVQ163" i="1" s="1"/>
  <c r="AUY163" i="1"/>
  <c r="CH280" i="1"/>
  <c r="AVQ280" i="1" s="1"/>
  <c r="AUY280" i="1"/>
  <c r="CH362" i="1"/>
  <c r="AVQ362" i="1" s="1"/>
  <c r="AUY362" i="1"/>
  <c r="CH269" i="1"/>
  <c r="AVQ269" i="1" s="1"/>
  <c r="AUY269" i="1"/>
  <c r="CH260" i="1"/>
  <c r="AVQ260" i="1" s="1"/>
  <c r="AUY260" i="1"/>
  <c r="CH31" i="1"/>
  <c r="AVQ31" i="1" s="1"/>
  <c r="AUY31" i="1"/>
  <c r="CH39" i="1"/>
  <c r="AVQ39" i="1" s="1"/>
  <c r="AUY39" i="1"/>
  <c r="CH399" i="1"/>
  <c r="AVQ399" i="1" s="1"/>
  <c r="AUY399" i="1"/>
  <c r="CH315" i="1"/>
  <c r="AVQ315" i="1" s="1"/>
  <c r="AUY315" i="1"/>
  <c r="CH13" i="1"/>
  <c r="AVQ13" i="1" s="1"/>
  <c r="AUY13" i="1"/>
  <c r="CH359" i="1"/>
  <c r="AVQ359" i="1" s="1"/>
  <c r="AUY359" i="1"/>
  <c r="CH158" i="1"/>
  <c r="AVQ158" i="1" s="1"/>
  <c r="AUY158" i="1"/>
  <c r="CH190" i="1"/>
  <c r="AVQ190" i="1" s="1"/>
  <c r="AUY190" i="1"/>
  <c r="CH338" i="1"/>
  <c r="AVQ338" i="1" s="1"/>
  <c r="AUY338" i="1"/>
  <c r="CH178" i="1"/>
  <c r="AVQ178" i="1" s="1"/>
  <c r="AUY178" i="1"/>
  <c r="CH175" i="1"/>
  <c r="AVQ175" i="1" s="1"/>
  <c r="AUY175" i="1"/>
  <c r="CH358" i="1"/>
  <c r="AUY358" i="1"/>
  <c r="CH268" i="1"/>
  <c r="AVQ268" i="1" s="1"/>
  <c r="AUY268" i="1"/>
  <c r="CH261" i="1"/>
  <c r="AVQ261" i="1" s="1"/>
  <c r="AUY261" i="1"/>
  <c r="CH106" i="1"/>
  <c r="AVQ106" i="1" s="1"/>
  <c r="AUY106" i="1"/>
  <c r="CH196" i="1"/>
  <c r="AVQ196" i="1" s="1"/>
  <c r="AUY196" i="1"/>
  <c r="CH179" i="1"/>
  <c r="AVQ179" i="1" s="1"/>
  <c r="AUY179" i="1"/>
  <c r="CH27" i="1"/>
  <c r="AVQ27" i="1" s="1"/>
  <c r="AUY27" i="1"/>
  <c r="CH63" i="1"/>
  <c r="AVQ63" i="1" s="1"/>
  <c r="AUY63" i="1"/>
  <c r="CH277" i="1"/>
  <c r="AVQ277" i="1" s="1"/>
  <c r="AUY277" i="1"/>
  <c r="CH239" i="1"/>
  <c r="AVQ239" i="1" s="1"/>
  <c r="AUY239" i="1"/>
  <c r="CH116" i="1"/>
  <c r="AVQ116" i="1" s="1"/>
  <c r="AUY116" i="1"/>
  <c r="CM344" i="1"/>
  <c r="AUZ344" i="1"/>
  <c r="CM194" i="1"/>
  <c r="AUZ194" i="1"/>
  <c r="CM133" i="1"/>
  <c r="AUZ133" i="1"/>
  <c r="CM37" i="1"/>
  <c r="AUZ37" i="1"/>
  <c r="CM350" i="1"/>
  <c r="AUZ350" i="1"/>
  <c r="CM256" i="1"/>
  <c r="AUZ256" i="1"/>
  <c r="CM156" i="1"/>
  <c r="AUZ156" i="1"/>
  <c r="CM11" i="1"/>
  <c r="AUZ11" i="1"/>
  <c r="CM390" i="1"/>
  <c r="AUZ390" i="1"/>
  <c r="CM294" i="1"/>
  <c r="AUZ294" i="1"/>
  <c r="CM255" i="1"/>
  <c r="AUZ255" i="1"/>
  <c r="CM193" i="1"/>
  <c r="AUZ193" i="1"/>
  <c r="CM136" i="1"/>
  <c r="AUZ136" i="1"/>
  <c r="CM120" i="1"/>
  <c r="AUZ120" i="1"/>
  <c r="CM36" i="1"/>
  <c r="AUZ36" i="1"/>
  <c r="CM401" i="1"/>
  <c r="AUZ401" i="1"/>
  <c r="CM172" i="1"/>
  <c r="AUZ172" i="1"/>
  <c r="CM272" i="1"/>
  <c r="AUZ272" i="1"/>
  <c r="CM23" i="1"/>
  <c r="AUZ23" i="1"/>
  <c r="CM323" i="1"/>
  <c r="AUZ323" i="1"/>
  <c r="CM206" i="1"/>
  <c r="AUZ206" i="1"/>
  <c r="CM110" i="1"/>
  <c r="AUZ110" i="1"/>
  <c r="CM320" i="1"/>
  <c r="AUZ320" i="1"/>
  <c r="CM319" i="1"/>
  <c r="AUZ319" i="1"/>
  <c r="CM152" i="1"/>
  <c r="AUZ152" i="1"/>
  <c r="CM151" i="1"/>
  <c r="AUZ151" i="1"/>
  <c r="AUW31" i="1"/>
  <c r="AUX31" i="1" s="1"/>
  <c r="CM385" i="1"/>
  <c r="AUZ385" i="1"/>
  <c r="CM237" i="1"/>
  <c r="AUZ237" i="1"/>
  <c r="CM113" i="1"/>
  <c r="AUZ113" i="1"/>
  <c r="CM62" i="1"/>
  <c r="AUZ62" i="1"/>
  <c r="CM51" i="1"/>
  <c r="AUZ51" i="1"/>
  <c r="CM19" i="1"/>
  <c r="AUZ19" i="1"/>
  <c r="AUW47" i="1"/>
  <c r="AUX47" i="1" s="1"/>
  <c r="AUW19" i="1"/>
  <c r="AUX19" i="1" s="1"/>
  <c r="AVN67" i="1"/>
  <c r="AVO67" i="1" s="1"/>
  <c r="CH169" i="1"/>
  <c r="AVQ169" i="1" s="1"/>
  <c r="AUY169" i="1"/>
  <c r="CL400" i="1"/>
  <c r="AUY400" i="1"/>
  <c r="AVN256" i="1"/>
  <c r="AVO256" i="1" s="1"/>
  <c r="CL36" i="1"/>
  <c r="AUY36" i="1"/>
  <c r="CL347" i="1"/>
  <c r="AUY347" i="1"/>
  <c r="CL35" i="1"/>
  <c r="AUY35" i="1"/>
  <c r="CL216" i="1"/>
  <c r="AUY216" i="1"/>
  <c r="CL350" i="1"/>
  <c r="AUY350" i="1"/>
  <c r="CH328" i="1"/>
  <c r="AVQ328" i="1" s="1"/>
  <c r="AUY328" i="1"/>
  <c r="CH270" i="1"/>
  <c r="AVQ270" i="1" s="1"/>
  <c r="AUY270" i="1"/>
  <c r="CH313" i="1"/>
  <c r="AVQ313" i="1" s="1"/>
  <c r="AUY313" i="1"/>
  <c r="CH142" i="1"/>
  <c r="AVQ142" i="1" s="1"/>
  <c r="AUY142" i="1"/>
  <c r="CH305" i="1"/>
  <c r="AVQ305" i="1" s="1"/>
  <c r="AUY305" i="1"/>
  <c r="CH15" i="1"/>
  <c r="AVQ15" i="1" s="1"/>
  <c r="AUY15" i="1"/>
  <c r="AVN400" i="1"/>
  <c r="AVO400" i="1" s="1"/>
  <c r="AVN110" i="1"/>
  <c r="AVO110" i="1" s="1"/>
  <c r="AVN207" i="1"/>
  <c r="AVO207" i="1" s="1"/>
  <c r="CL112" i="1"/>
  <c r="AUY112" i="1"/>
  <c r="CL49" i="1"/>
  <c r="AUY49" i="1"/>
  <c r="CL272" i="1"/>
  <c r="AUY272" i="1"/>
  <c r="AVN368" i="1"/>
  <c r="AVO368" i="1" s="1"/>
  <c r="CL325" i="1"/>
  <c r="AUY325" i="1"/>
  <c r="AVN215" i="1"/>
  <c r="AVO215" i="1" s="1"/>
  <c r="AVN136" i="1"/>
  <c r="AVO136" i="1" s="1"/>
  <c r="AVN120" i="1"/>
  <c r="AVO120" i="1" s="1"/>
  <c r="AVN77" i="1"/>
  <c r="AVO77" i="1" s="1"/>
  <c r="AVN12" i="1"/>
  <c r="AVO12" i="1" s="1"/>
  <c r="AVN389" i="1"/>
  <c r="AVO389" i="1" s="1"/>
  <c r="AVN69" i="1"/>
  <c r="AVO69" i="1" s="1"/>
  <c r="AUW11" i="1"/>
  <c r="AUX11" i="1" s="1"/>
  <c r="CL152" i="1"/>
  <c r="AUY152" i="1"/>
  <c r="CH386" i="1"/>
  <c r="AVQ386" i="1" s="1"/>
  <c r="AUY386" i="1"/>
  <c r="CH25" i="1"/>
  <c r="AVQ25" i="1" s="1"/>
  <c r="AUY25" i="1"/>
  <c r="CH168" i="1"/>
  <c r="AVQ168" i="1" s="1"/>
  <c r="AUY168" i="1"/>
  <c r="CH263" i="1"/>
  <c r="AVQ263" i="1" s="1"/>
  <c r="AUY263" i="1"/>
  <c r="CL77" i="1"/>
  <c r="AUY77" i="1"/>
  <c r="CL136" i="1"/>
  <c r="AUY136" i="1"/>
  <c r="CL288" i="1"/>
  <c r="AUY288" i="1"/>
  <c r="CL8" i="1"/>
  <c r="AUY8" i="1"/>
  <c r="CL133" i="1"/>
  <c r="AUY133" i="1"/>
  <c r="CL218" i="1"/>
  <c r="AUY218" i="1"/>
  <c r="CH210" i="1"/>
  <c r="AVQ210" i="1" s="1"/>
  <c r="AUY210" i="1"/>
  <c r="CH337" i="1"/>
  <c r="AVQ337" i="1" s="1"/>
  <c r="AUY337" i="1"/>
  <c r="CH213" i="1"/>
  <c r="AVQ213" i="1" s="1"/>
  <c r="AUY213" i="1"/>
  <c r="CH186" i="1"/>
  <c r="AVQ186" i="1" s="1"/>
  <c r="AUY186" i="1"/>
  <c r="AVN24" i="1"/>
  <c r="AVO24" i="1" s="1"/>
  <c r="CL206" i="1"/>
  <c r="AUY206" i="1"/>
  <c r="CL51" i="1"/>
  <c r="AUY51" i="1"/>
  <c r="CH403" i="1"/>
  <c r="AVQ403" i="1" s="1"/>
  <c r="AUY403" i="1"/>
  <c r="AUW23" i="1"/>
  <c r="AUX23" i="1" s="1"/>
  <c r="CH224" i="1"/>
  <c r="AVQ224" i="1" s="1"/>
  <c r="AUY224" i="1"/>
  <c r="CH361" i="1"/>
  <c r="AVQ361" i="1" s="1"/>
  <c r="AUY361" i="1"/>
  <c r="CH396" i="1"/>
  <c r="AVQ396" i="1" s="1"/>
  <c r="AUY396" i="1"/>
  <c r="CH318" i="1"/>
  <c r="AVQ318" i="1" s="1"/>
  <c r="AUY318" i="1"/>
  <c r="CH105" i="1"/>
  <c r="AVQ105" i="1" s="1"/>
  <c r="AUY105" i="1"/>
  <c r="CH266" i="1"/>
  <c r="AVQ266" i="1" s="1"/>
  <c r="AUY266" i="1"/>
  <c r="CH251" i="1"/>
  <c r="AVQ251" i="1" s="1"/>
  <c r="AUY251" i="1"/>
  <c r="CH21" i="1"/>
  <c r="AVQ21" i="1" s="1"/>
  <c r="AUY21" i="1"/>
  <c r="CH297" i="1"/>
  <c r="AVQ297" i="1" s="1"/>
  <c r="AUY297" i="1"/>
  <c r="CH252" i="1"/>
  <c r="AVQ252" i="1" s="1"/>
  <c r="AUY252" i="1"/>
  <c r="CH47" i="1"/>
  <c r="AVQ47" i="1" s="1"/>
  <c r="AUY47" i="1"/>
  <c r="CH351" i="1"/>
  <c r="AVQ351" i="1" s="1"/>
  <c r="AUY351" i="1"/>
  <c r="CH416" i="1"/>
  <c r="AVQ416" i="1" s="1"/>
  <c r="AUY416" i="1"/>
  <c r="CH181" i="1"/>
  <c r="AVQ181" i="1" s="1"/>
  <c r="AUY181" i="1"/>
  <c r="CH336" i="1"/>
  <c r="AVQ336" i="1" s="1"/>
  <c r="AUY336" i="1"/>
  <c r="CH29" i="1"/>
  <c r="AUY29" i="1"/>
  <c r="CH248" i="1"/>
  <c r="AVQ248" i="1" s="1"/>
  <c r="AUY248" i="1"/>
  <c r="CH317" i="1"/>
  <c r="AVQ317" i="1" s="1"/>
  <c r="AUY317" i="1"/>
  <c r="CH44" i="1"/>
  <c r="AVQ44" i="1" s="1"/>
  <c r="AUY44" i="1"/>
  <c r="CH166" i="1"/>
  <c r="AVQ166" i="1" s="1"/>
  <c r="AUY166" i="1"/>
  <c r="CH157" i="1"/>
  <c r="AUY157" i="1"/>
  <c r="CH253" i="1"/>
  <c r="AVQ253" i="1" s="1"/>
  <c r="AUY253" i="1"/>
  <c r="CH282" i="1"/>
  <c r="AVQ282" i="1" s="1"/>
  <c r="AUY282" i="1"/>
  <c r="CH402" i="1"/>
  <c r="AVQ402" i="1" s="1"/>
  <c r="AUY402" i="1"/>
  <c r="CH379" i="1"/>
  <c r="AVQ379" i="1" s="1"/>
  <c r="AUY379" i="1"/>
  <c r="CH70" i="1"/>
  <c r="AVQ70" i="1" s="1"/>
  <c r="AUY70" i="1"/>
  <c r="CH113" i="1"/>
  <c r="AVQ113" i="1" s="1"/>
  <c r="AUY113" i="1"/>
  <c r="CH250" i="1"/>
  <c r="AVQ250" i="1" s="1"/>
  <c r="AUY250" i="1"/>
  <c r="CH45" i="1"/>
  <c r="AVQ45" i="1" s="1"/>
  <c r="AUY45" i="1"/>
  <c r="CH202" i="1"/>
  <c r="AVQ202" i="1" s="1"/>
  <c r="AUY202" i="1"/>
  <c r="CH46" i="1"/>
  <c r="AVQ46" i="1" s="1"/>
  <c r="AUY46" i="1"/>
  <c r="CH300" i="1"/>
  <c r="AVQ300" i="1" s="1"/>
  <c r="AUY300" i="1"/>
  <c r="CH149" i="1"/>
  <c r="AVQ149" i="1" s="1"/>
  <c r="AUY149" i="1"/>
  <c r="CH30" i="1"/>
  <c r="AVQ30" i="1" s="1"/>
  <c r="AUY30" i="1"/>
  <c r="CH243" i="1"/>
  <c r="AVQ243" i="1" s="1"/>
  <c r="AUY243" i="1"/>
  <c r="CH330" i="1"/>
  <c r="AVQ330" i="1" s="1"/>
  <c r="AUY330" i="1"/>
  <c r="CH339" i="1"/>
  <c r="AVQ339" i="1" s="1"/>
  <c r="AUY339" i="1"/>
  <c r="CH86" i="1"/>
  <c r="AVQ86" i="1" s="1"/>
  <c r="AUY86" i="1"/>
  <c r="CH227" i="1"/>
  <c r="AVQ227" i="1" s="1"/>
  <c r="AUY227" i="1"/>
  <c r="CH16" i="1"/>
  <c r="AUY16" i="1"/>
  <c r="CH197" i="1"/>
  <c r="AVQ197" i="1" s="1"/>
  <c r="AUY197" i="1"/>
  <c r="CH68" i="1"/>
  <c r="AVQ68" i="1" s="1"/>
  <c r="AUY68" i="1"/>
  <c r="CH71" i="1"/>
  <c r="AVQ71" i="1" s="1"/>
  <c r="AUY71" i="1"/>
  <c r="CH244" i="1"/>
  <c r="AVQ244" i="1" s="1"/>
  <c r="AUY244" i="1"/>
  <c r="CH356" i="1"/>
  <c r="AVQ356" i="1" s="1"/>
  <c r="AUY356" i="1"/>
  <c r="CH183" i="1"/>
  <c r="AVQ183" i="1" s="1"/>
  <c r="AUY183" i="1"/>
  <c r="CM348" i="1"/>
  <c r="AUZ348" i="1"/>
  <c r="CM216" i="1"/>
  <c r="AUZ216" i="1"/>
  <c r="CM137" i="1"/>
  <c r="AUZ137" i="1"/>
  <c r="CM391" i="1"/>
  <c r="AUZ391" i="1"/>
  <c r="CM287" i="1"/>
  <c r="AUZ287" i="1"/>
  <c r="CM192" i="1"/>
  <c r="AUZ192" i="1"/>
  <c r="CM392" i="1"/>
  <c r="AUZ392" i="1"/>
  <c r="CM347" i="1"/>
  <c r="AUZ347" i="1"/>
  <c r="CM285" i="1"/>
  <c r="AUZ285" i="1"/>
  <c r="CM195" i="1"/>
  <c r="AUZ195" i="1"/>
  <c r="CM153" i="1"/>
  <c r="AUZ153" i="1"/>
  <c r="CM122" i="1"/>
  <c r="AUZ122" i="1"/>
  <c r="CM77" i="1"/>
  <c r="AUZ77" i="1"/>
  <c r="CM9" i="1"/>
  <c r="AUZ9" i="1"/>
  <c r="CM413" i="1"/>
  <c r="AUZ413" i="1"/>
  <c r="CM232" i="1"/>
  <c r="AUZ232" i="1"/>
  <c r="CM322" i="1"/>
  <c r="AUZ322" i="1"/>
  <c r="CM111" i="1"/>
  <c r="AUZ111" i="1"/>
  <c r="CM231" i="1"/>
  <c r="AUZ231" i="1"/>
  <c r="CM112" i="1"/>
  <c r="AUZ112" i="1"/>
  <c r="CM368" i="1"/>
  <c r="AUZ368" i="1"/>
  <c r="CM325" i="1"/>
  <c r="AUZ325" i="1"/>
  <c r="CM290" i="1"/>
  <c r="AUZ290" i="1"/>
  <c r="AVN365" i="1"/>
  <c r="AVO365" i="1" s="1"/>
  <c r="CM301" i="1"/>
  <c r="AUZ301" i="1"/>
  <c r="CM386" i="1"/>
  <c r="AUZ386" i="1"/>
  <c r="CM207" i="1"/>
  <c r="AUZ207" i="1"/>
  <c r="CM50" i="1"/>
  <c r="AUZ50" i="1"/>
  <c r="CM31" i="1"/>
  <c r="AUZ31" i="1"/>
  <c r="AVN62" i="1"/>
  <c r="AVO62" i="1" s="1"/>
  <c r="AVN411" i="1"/>
  <c r="AVO411" i="1" s="1"/>
  <c r="AVN47" i="1"/>
  <c r="AVO47" i="1" s="1"/>
  <c r="AVN81" i="1"/>
  <c r="AVO81" i="1" s="1"/>
  <c r="CM411" i="1"/>
  <c r="AUZ411" i="1"/>
  <c r="CM67" i="1"/>
  <c r="AUZ67" i="1"/>
  <c r="AVN113" i="1"/>
  <c r="AVO113" i="1" s="1"/>
  <c r="BX456" i="1"/>
  <c r="BX458" i="1" s="1"/>
  <c r="BX459" i="1" s="1"/>
  <c r="AVG4" i="1"/>
  <c r="AVG458" i="1" s="1"/>
  <c r="AVB4" i="1"/>
  <c r="CH421" i="1"/>
  <c r="AVQ421" i="1" s="1"/>
  <c r="AUY421" i="1"/>
  <c r="CH422" i="1"/>
  <c r="AUY422" i="1"/>
  <c r="CH415" i="1"/>
  <c r="DD415" i="1" s="1"/>
  <c r="AUY415" i="1"/>
  <c r="CM398" i="1"/>
  <c r="AUZ398" i="1"/>
  <c r="CH398" i="1"/>
  <c r="DD398" i="1" s="1"/>
  <c r="AUY398" i="1"/>
  <c r="CH378" i="1"/>
  <c r="DD378" i="1" s="1"/>
  <c r="AUY378" i="1"/>
  <c r="CH375" i="1"/>
  <c r="DD375" i="1" s="1"/>
  <c r="AUY375" i="1"/>
  <c r="CM369" i="1"/>
  <c r="AUZ369" i="1"/>
  <c r="CL369" i="1"/>
  <c r="AUY369" i="1"/>
  <c r="CM355" i="1"/>
  <c r="AUZ355" i="1"/>
  <c r="CO355" i="1"/>
  <c r="AVB355" i="1"/>
  <c r="CH342" i="1"/>
  <c r="DD342" i="1" s="1"/>
  <c r="AUY342" i="1"/>
  <c r="CH341" i="1"/>
  <c r="DD341" i="1" s="1"/>
  <c r="AUY341" i="1"/>
  <c r="CH335" i="1"/>
  <c r="AUY335" i="1"/>
  <c r="CH334" i="1"/>
  <c r="DD334" i="1" s="1"/>
  <c r="AUY334" i="1"/>
  <c r="CH333" i="1"/>
  <c r="DD333" i="1" s="1"/>
  <c r="AUY333" i="1"/>
  <c r="CH303" i="1"/>
  <c r="DD303" i="1" s="1"/>
  <c r="AUY303" i="1"/>
  <c r="CH267" i="1"/>
  <c r="DD267" i="1" s="1"/>
  <c r="AUY267" i="1"/>
  <c r="CH245" i="1"/>
  <c r="DD245" i="1" s="1"/>
  <c r="AUY245" i="1"/>
  <c r="CM228" i="1"/>
  <c r="AUZ228" i="1"/>
  <c r="CH220" i="1"/>
  <c r="DD220" i="1" s="1"/>
  <c r="AUY220" i="1"/>
  <c r="CM220" i="1"/>
  <c r="AUZ220" i="1"/>
  <c r="CH219" i="1"/>
  <c r="DD219" i="1" s="1"/>
  <c r="AUY219" i="1"/>
  <c r="CH201" i="1"/>
  <c r="DD201" i="1" s="1"/>
  <c r="AUY201" i="1"/>
  <c r="CH187" i="1"/>
  <c r="AVQ187" i="1" s="1"/>
  <c r="CH170" i="1"/>
  <c r="DD170" i="1" s="1"/>
  <c r="AUY170" i="1"/>
  <c r="CL132" i="1"/>
  <c r="AUY132" i="1"/>
  <c r="CM132" i="1"/>
  <c r="AUZ132" i="1"/>
  <c r="CH129" i="1"/>
  <c r="AUY129" i="1"/>
  <c r="CH118" i="1"/>
  <c r="DD118" i="1" s="1"/>
  <c r="AUY118" i="1"/>
  <c r="CH94" i="1"/>
  <c r="DD94" i="1" s="1"/>
  <c r="AUY94" i="1"/>
  <c r="CH88" i="1"/>
  <c r="DD88" i="1" s="1"/>
  <c r="AUY88" i="1"/>
  <c r="CH91" i="1"/>
  <c r="DD91" i="1" s="1"/>
  <c r="AUY91" i="1"/>
  <c r="CM78" i="1"/>
  <c r="AUZ78" i="1"/>
  <c r="CL76" i="1"/>
  <c r="AUY76" i="1"/>
  <c r="CM76" i="1"/>
  <c r="AUZ76" i="1"/>
  <c r="CH72" i="1"/>
  <c r="DD72" i="1" s="1"/>
  <c r="AUY72" i="1"/>
  <c r="CO65" i="1"/>
  <c r="AVB65" i="1"/>
  <c r="CM65" i="1"/>
  <c r="AUZ65" i="1"/>
  <c r="P5" i="15"/>
  <c r="N5" i="15" s="1"/>
  <c r="M47" i="19"/>
  <c r="O47" i="15"/>
  <c r="BB458" i="1"/>
  <c r="BB459" i="1" s="1"/>
  <c r="BA458" i="1"/>
  <c r="BA459" i="1" s="1"/>
  <c r="O21" i="15"/>
  <c r="N58" i="18"/>
  <c r="N36" i="15"/>
  <c r="N49" i="15" s="1"/>
  <c r="BJ16" i="15"/>
  <c r="N16" i="15"/>
  <c r="W456" i="1"/>
  <c r="W458" i="1" s="1"/>
  <c r="W459" i="1" s="1"/>
  <c r="BD458" i="1"/>
  <c r="BD459" i="1" s="1"/>
  <c r="O93" i="12"/>
  <c r="N60" i="18"/>
  <c r="BL5" i="15"/>
  <c r="BL21" i="15" s="1"/>
  <c r="DG5" i="15"/>
  <c r="DG21" i="15" s="1"/>
  <c r="O156" i="12"/>
  <c r="P156" i="12"/>
  <c r="AY458" i="1"/>
  <c r="AY459" i="1" s="1"/>
  <c r="CH62" i="1"/>
  <c r="AVQ62" i="1" s="1"/>
  <c r="BL274" i="1"/>
  <c r="AM458" i="1"/>
  <c r="AM459" i="1" s="1"/>
  <c r="U460" i="1" s="1"/>
  <c r="AN456" i="1"/>
  <c r="AN458" i="1" s="1"/>
  <c r="AN459" i="1" s="1"/>
  <c r="BS457" i="1"/>
  <c r="AA458" i="1"/>
  <c r="AA459" i="1" s="1"/>
  <c r="L14" i="19"/>
  <c r="L14" i="18"/>
  <c r="L22" i="19"/>
  <c r="L22" i="18"/>
  <c r="BT456" i="1"/>
  <c r="O9" i="19"/>
  <c r="O9" i="18"/>
  <c r="M49" i="19"/>
  <c r="M59" i="19" s="1"/>
  <c r="O59" i="19"/>
  <c r="M20" i="18"/>
  <c r="R24" i="19"/>
  <c r="P24" i="19"/>
  <c r="K60" i="18"/>
  <c r="K58" i="18"/>
  <c r="N25" i="19"/>
  <c r="O60" i="18"/>
  <c r="M44" i="18"/>
  <c r="O58" i="18"/>
  <c r="I28" i="18"/>
  <c r="I30" i="18" s="1"/>
  <c r="L15" i="19"/>
  <c r="L15" i="18"/>
  <c r="L13" i="19"/>
  <c r="L13" i="18"/>
  <c r="L16" i="18"/>
  <c r="L16" i="19"/>
  <c r="L12" i="19"/>
  <c r="L12" i="18"/>
  <c r="L20" i="19"/>
  <c r="L20" i="18"/>
  <c r="L45" i="19"/>
  <c r="L45" i="18"/>
  <c r="L11" i="19"/>
  <c r="L11" i="18"/>
  <c r="L23" i="19"/>
  <c r="L23" i="18"/>
  <c r="L44" i="19"/>
  <c r="L44" i="18"/>
  <c r="CP123" i="1"/>
  <c r="L17" i="19"/>
  <c r="L17" i="18"/>
  <c r="I49" i="19"/>
  <c r="I49" i="18"/>
  <c r="N60" i="19"/>
  <c r="R24" i="18"/>
  <c r="P24" i="18"/>
  <c r="K60" i="19"/>
  <c r="K58" i="19"/>
  <c r="O60" i="19"/>
  <c r="M44" i="19"/>
  <c r="O58" i="19"/>
  <c r="I28" i="19"/>
  <c r="I30" i="19" s="1"/>
  <c r="L47" i="19"/>
  <c r="L47" i="18"/>
  <c r="L21" i="18"/>
  <c r="L21" i="19"/>
  <c r="L49" i="18"/>
  <c r="L49" i="19"/>
  <c r="I23" i="18"/>
  <c r="L19" i="19"/>
  <c r="L19" i="18"/>
  <c r="L10" i="19"/>
  <c r="L10" i="18"/>
  <c r="I46" i="19"/>
  <c r="I46" i="18"/>
  <c r="M49" i="18"/>
  <c r="M59" i="18" s="1"/>
  <c r="O59" i="18"/>
  <c r="N25" i="18"/>
  <c r="BM457" i="1"/>
  <c r="BJ123" i="1"/>
  <c r="BJ457" i="1" s="1"/>
  <c r="BI457" i="1"/>
  <c r="AS123" i="1"/>
  <c r="AS457" i="1" s="1"/>
  <c r="AR457" i="1"/>
  <c r="Z156" i="12"/>
  <c r="CD457" i="1"/>
  <c r="BP123" i="1"/>
  <c r="L39" i="12" s="1"/>
  <c r="AT457" i="1"/>
  <c r="BQ123" i="1"/>
  <c r="M39" i="12" s="1"/>
  <c r="AU457" i="1"/>
  <c r="AZ458" i="1"/>
  <c r="AZ459" i="1" s="1"/>
  <c r="BH458" i="1"/>
  <c r="BH459" i="1" s="1"/>
  <c r="BE458" i="1"/>
  <c r="BE459" i="1" s="1"/>
  <c r="V458" i="1"/>
  <c r="V459" i="1" s="1"/>
  <c r="AX458" i="1"/>
  <c r="AX459" i="1" s="1"/>
  <c r="CH237" i="1"/>
  <c r="CH228" i="1"/>
  <c r="DD228" i="1" s="1"/>
  <c r="CH301" i="1"/>
  <c r="AVQ301" i="1" s="1"/>
  <c r="CH385" i="1"/>
  <c r="AP456" i="1"/>
  <c r="AP458" i="1" s="1"/>
  <c r="AP459" i="1" s="1"/>
  <c r="BJ4" i="1"/>
  <c r="BI456" i="1"/>
  <c r="CA456" i="1"/>
  <c r="CA458" i="1" s="1"/>
  <c r="CA459" i="1" s="1"/>
  <c r="CW4" i="1"/>
  <c r="W3" i="12"/>
  <c r="BV456" i="1"/>
  <c r="BV458" i="1" s="1"/>
  <c r="BV459" i="1" s="1"/>
  <c r="CR4" i="1"/>
  <c r="R3" i="12"/>
  <c r="CB456" i="1"/>
  <c r="CB458" i="1" s="1"/>
  <c r="CB459" i="1" s="1"/>
  <c r="CX4" i="1"/>
  <c r="X3" i="12"/>
  <c r="AS4" i="1"/>
  <c r="BW456" i="1"/>
  <c r="BW458" i="1" s="1"/>
  <c r="BW459" i="1" s="1"/>
  <c r="S3" i="12"/>
  <c r="CS4" i="1"/>
  <c r="CC456" i="1"/>
  <c r="CC458" i="1" s="1"/>
  <c r="CC459" i="1" s="1"/>
  <c r="CY4" i="1"/>
  <c r="Y3" i="12"/>
  <c r="BY456" i="1"/>
  <c r="BY458" i="1" s="1"/>
  <c r="BY459" i="1" s="1"/>
  <c r="CU4" i="1"/>
  <c r="U3" i="12"/>
  <c r="BZ456" i="1"/>
  <c r="BZ458" i="1" s="1"/>
  <c r="BZ459" i="1" s="1"/>
  <c r="V3" i="12"/>
  <c r="CV4" i="1"/>
  <c r="BP4" i="1"/>
  <c r="AUY4" i="1" s="1"/>
  <c r="AT456" i="1"/>
  <c r="AU4" i="1"/>
  <c r="Y456" i="1"/>
  <c r="Y458" i="1" s="1"/>
  <c r="Y459" i="1" s="1"/>
  <c r="BS4" i="1"/>
  <c r="BS456" i="1" s="1"/>
  <c r="AW456" i="1"/>
  <c r="CQ4" i="1"/>
  <c r="BU456" i="1"/>
  <c r="BU458" i="1" s="1"/>
  <c r="BU459" i="1" s="1"/>
  <c r="Q3" i="12"/>
  <c r="CH67" i="1"/>
  <c r="O48" i="12"/>
  <c r="CH355" i="1"/>
  <c r="DD355" i="1" s="1"/>
  <c r="BL81" i="1"/>
  <c r="CH365" i="1"/>
  <c r="O120" i="12"/>
  <c r="CH65" i="1"/>
  <c r="DD65" i="1" s="1"/>
  <c r="O84" i="12"/>
  <c r="O75" i="12"/>
  <c r="CH411" i="1"/>
  <c r="AVQ411" i="1" s="1"/>
  <c r="BL355" i="1"/>
  <c r="CH83" i="1"/>
  <c r="M174" i="12"/>
  <c r="BL365" i="1"/>
  <c r="AZ12" i="15"/>
  <c r="BL67" i="1"/>
  <c r="CZ19" i="1"/>
  <c r="CE19" i="1"/>
  <c r="DA19" i="1" s="1"/>
  <c r="CZ418" i="1"/>
  <c r="CE418" i="1"/>
  <c r="BN47" i="1"/>
  <c r="CI47" i="1"/>
  <c r="BN19" i="1"/>
  <c r="CI19" i="1"/>
  <c r="CZ65" i="1"/>
  <c r="CE65" i="1"/>
  <c r="DA65" i="1" s="1"/>
  <c r="CZ301" i="1"/>
  <c r="CE301" i="1"/>
  <c r="DA301" i="1" s="1"/>
  <c r="BN237" i="1"/>
  <c r="CI237" i="1"/>
  <c r="CZ365" i="1"/>
  <c r="CE365" i="1"/>
  <c r="CZ274" i="1"/>
  <c r="CE274" i="1"/>
  <c r="DA274" i="1" s="1"/>
  <c r="BN301" i="1"/>
  <c r="CI301" i="1"/>
  <c r="CI386" i="1"/>
  <c r="BN386" i="1"/>
  <c r="BN431" i="1"/>
  <c r="BO431" i="1" s="1"/>
  <c r="CH431" i="1"/>
  <c r="AVQ431" i="1" s="1"/>
  <c r="CZ398" i="1"/>
  <c r="CE398" i="1"/>
  <c r="BL83" i="1"/>
  <c r="CZ228" i="1"/>
  <c r="CE228" i="1"/>
  <c r="DA228" i="1" s="1"/>
  <c r="CZ31" i="1"/>
  <c r="CE31" i="1"/>
  <c r="DA31" i="1" s="1"/>
  <c r="CI113" i="1"/>
  <c r="BN113" i="1"/>
  <c r="BA15" i="15"/>
  <c r="CI31" i="1"/>
  <c r="BN31" i="1"/>
  <c r="CZ62" i="1"/>
  <c r="CE62" i="1"/>
  <c r="DA62" i="1" s="1"/>
  <c r="CE411" i="1"/>
  <c r="DA411" i="1" s="1"/>
  <c r="CZ411" i="1"/>
  <c r="CZ47" i="1"/>
  <c r="CE47" i="1"/>
  <c r="DA47" i="1" s="1"/>
  <c r="CZ83" i="1"/>
  <c r="CE83" i="1"/>
  <c r="CZ237" i="1"/>
  <c r="CE237" i="1"/>
  <c r="DA237" i="1" s="1"/>
  <c r="CZ385" i="1"/>
  <c r="CE385" i="1"/>
  <c r="DA385" i="1" s="1"/>
  <c r="BL411" i="1"/>
  <c r="BN274" i="1"/>
  <c r="CI274" i="1"/>
  <c r="CZ113" i="1"/>
  <c r="CE113" i="1"/>
  <c r="DA113" i="1" s="1"/>
  <c r="CI398" i="1"/>
  <c r="BN398" i="1"/>
  <c r="CF93" i="1"/>
  <c r="DB93" i="1" s="1"/>
  <c r="DA93" i="1"/>
  <c r="CZ355" i="1"/>
  <c r="CE355" i="1"/>
  <c r="DA355" i="1" s="1"/>
  <c r="CZ386" i="1"/>
  <c r="CE386" i="1"/>
  <c r="BN62" i="1"/>
  <c r="CI62" i="1"/>
  <c r="CI220" i="1"/>
  <c r="BN220" i="1"/>
  <c r="CZ220" i="1"/>
  <c r="CE220" i="1"/>
  <c r="DA220" i="1" s="1"/>
  <c r="CZ81" i="1"/>
  <c r="CE81" i="1"/>
  <c r="DA81" i="1" s="1"/>
  <c r="CI228" i="1"/>
  <c r="BN228" i="1"/>
  <c r="BN385" i="1"/>
  <c r="CI385" i="1"/>
  <c r="CZ67" i="1"/>
  <c r="CE67" i="1"/>
  <c r="DA67" i="1" s="1"/>
  <c r="AD21" i="15"/>
  <c r="DU21" i="15"/>
  <c r="CH284" i="1"/>
  <c r="BZ21" i="15"/>
  <c r="AZ5" i="15"/>
  <c r="DS12" i="15"/>
  <c r="EA12" i="15" s="1"/>
  <c r="CA7" i="15"/>
  <c r="BY7" i="15" s="1"/>
  <c r="DV7" i="15"/>
  <c r="DT7" i="15" s="1"/>
  <c r="M33" i="15"/>
  <c r="K33" i="15" s="1"/>
  <c r="AE7" i="15"/>
  <c r="AC7" i="15" s="1"/>
  <c r="N44" i="2"/>
  <c r="I147" i="12"/>
  <c r="AB165" i="12"/>
  <c r="BX18" i="15"/>
  <c r="CF18" i="15" s="1"/>
  <c r="DS18" i="15"/>
  <c r="EA18" i="15" s="1"/>
  <c r="AB18" i="15"/>
  <c r="AJ18" i="15" s="1"/>
  <c r="M147" i="12"/>
  <c r="DV9" i="15"/>
  <c r="DT9" i="15" s="1"/>
  <c r="M34" i="15"/>
  <c r="K34" i="15" s="1"/>
  <c r="AE9" i="15"/>
  <c r="AC9" i="15" s="1"/>
  <c r="I156" i="12"/>
  <c r="N45" i="2"/>
  <c r="CA9" i="15"/>
  <c r="BY9" i="15" s="1"/>
  <c r="BA9" i="15"/>
  <c r="CH290" i="1"/>
  <c r="M19" i="15"/>
  <c r="K19" i="15" s="1"/>
  <c r="BI19" i="15"/>
  <c r="BG19" i="15" s="1"/>
  <c r="DD19" i="15"/>
  <c r="DB19" i="15" s="1"/>
  <c r="I129" i="12"/>
  <c r="N23" i="2"/>
  <c r="CH345" i="1"/>
  <c r="AZ15" i="15"/>
  <c r="CH206" i="1"/>
  <c r="AZ17" i="15"/>
  <c r="CB16" i="15"/>
  <c r="CB21" i="15" s="1"/>
  <c r="CD21" i="15"/>
  <c r="DW16" i="15"/>
  <c r="DW21" i="15" s="1"/>
  <c r="DY21" i="15"/>
  <c r="CA16" i="15"/>
  <c r="DV16" i="15"/>
  <c r="BI7" i="15"/>
  <c r="BG7" i="15" s="1"/>
  <c r="DD7" i="15"/>
  <c r="DB7" i="15" s="1"/>
  <c r="CY7" i="15"/>
  <c r="BF19" i="15"/>
  <c r="DA19" i="15"/>
  <c r="CJ19" i="15"/>
  <c r="EE19" i="15"/>
  <c r="AZ11" i="15"/>
  <c r="AZ16" i="15"/>
  <c r="BI15" i="15"/>
  <c r="BG15" i="15" s="1"/>
  <c r="DD15" i="15"/>
  <c r="DB15" i="15" s="1"/>
  <c r="CY15" i="15"/>
  <c r="DD18" i="15"/>
  <c r="DB18" i="15" s="1"/>
  <c r="BI18" i="15"/>
  <c r="BG18" i="15" s="1"/>
  <c r="CY18" i="15"/>
  <c r="BI11" i="15"/>
  <c r="BG11" i="15" s="1"/>
  <c r="DD11" i="15"/>
  <c r="DB11" i="15" s="1"/>
  <c r="CY11" i="15"/>
  <c r="DD9" i="15"/>
  <c r="DB9" i="15" s="1"/>
  <c r="BI9" i="15"/>
  <c r="BG9" i="15" s="1"/>
  <c r="CY9" i="15"/>
  <c r="DD17" i="15"/>
  <c r="DB17" i="15" s="1"/>
  <c r="BI17" i="15"/>
  <c r="BG17" i="15" s="1"/>
  <c r="CY17" i="15"/>
  <c r="DD10" i="15"/>
  <c r="DB10" i="15" s="1"/>
  <c r="BI10" i="15"/>
  <c r="BG10" i="15" s="1"/>
  <c r="CY10" i="15"/>
  <c r="BF20" i="15"/>
  <c r="DA20" i="15"/>
  <c r="CJ20" i="15"/>
  <c r="EE20" i="15"/>
  <c r="BX12" i="15"/>
  <c r="CF12" i="15" s="1"/>
  <c r="DD6" i="15"/>
  <c r="DB6" i="15" s="1"/>
  <c r="BI6" i="15"/>
  <c r="BG6" i="15" s="1"/>
  <c r="CY6" i="15"/>
  <c r="DD12" i="15"/>
  <c r="DB12" i="15" s="1"/>
  <c r="BI12" i="15"/>
  <c r="BG12" i="15" s="1"/>
  <c r="CY12" i="15"/>
  <c r="DD13" i="15"/>
  <c r="DB13" i="15" s="1"/>
  <c r="BI13" i="15"/>
  <c r="BG13" i="15" s="1"/>
  <c r="CY13" i="15"/>
  <c r="DD16" i="15"/>
  <c r="DB16" i="15" s="1"/>
  <c r="BI16" i="15"/>
  <c r="BG16" i="15" s="1"/>
  <c r="CY16" i="15"/>
  <c r="DD8" i="15"/>
  <c r="DB8" i="15" s="1"/>
  <c r="BI8" i="15"/>
  <c r="BG8" i="15" s="1"/>
  <c r="CY8" i="15"/>
  <c r="AY6" i="15"/>
  <c r="M6" i="15"/>
  <c r="K6" i="15" s="1"/>
  <c r="AY12" i="15"/>
  <c r="M12" i="15"/>
  <c r="K12" i="15" s="1"/>
  <c r="M38" i="15"/>
  <c r="AE38" i="15"/>
  <c r="AC38" i="15" s="1"/>
  <c r="J35" i="15"/>
  <c r="P49" i="15"/>
  <c r="P47" i="15"/>
  <c r="S42" i="15"/>
  <c r="N38" i="15"/>
  <c r="N48" i="15" s="1"/>
  <c r="P48" i="15"/>
  <c r="S40" i="15"/>
  <c r="S45" i="15"/>
  <c r="AZ9" i="15"/>
  <c r="AY7" i="15"/>
  <c r="BB7" i="15" s="1"/>
  <c r="BC7" i="15" s="1"/>
  <c r="M7" i="15"/>
  <c r="K7" i="15" s="1"/>
  <c r="AY16" i="15"/>
  <c r="M16" i="15"/>
  <c r="K16" i="15" s="1"/>
  <c r="AY8" i="15"/>
  <c r="M8" i="15"/>
  <c r="K8" i="15" s="1"/>
  <c r="J24" i="15"/>
  <c r="AN19" i="15"/>
  <c r="AN24" i="15"/>
  <c r="J19" i="15"/>
  <c r="S41" i="15"/>
  <c r="S37" i="15"/>
  <c r="S39" i="15"/>
  <c r="S46" i="15"/>
  <c r="S43" i="15"/>
  <c r="AY15" i="15"/>
  <c r="M15" i="15"/>
  <c r="K15" i="15" s="1"/>
  <c r="CH319" i="1"/>
  <c r="AZ13" i="15"/>
  <c r="M17" i="15"/>
  <c r="K17" i="15" s="1"/>
  <c r="AY17" i="15"/>
  <c r="M36" i="15"/>
  <c r="AE16" i="15"/>
  <c r="AL37" i="15"/>
  <c r="AO37" i="15"/>
  <c r="Z37" i="15"/>
  <c r="AZ8" i="15"/>
  <c r="AZ10" i="15"/>
  <c r="AN20" i="15"/>
  <c r="J25" i="15"/>
  <c r="J20" i="15"/>
  <c r="AN25" i="15"/>
  <c r="AB38" i="15"/>
  <c r="J38" i="15"/>
  <c r="J48" i="15" s="1"/>
  <c r="S44" i="15"/>
  <c r="AY18" i="15"/>
  <c r="M18" i="15"/>
  <c r="K18" i="15" s="1"/>
  <c r="AY11" i="15"/>
  <c r="M11" i="15"/>
  <c r="K11" i="15" s="1"/>
  <c r="M9" i="15"/>
  <c r="K9" i="15" s="1"/>
  <c r="AY9" i="15"/>
  <c r="AZ14" i="15"/>
  <c r="AY10" i="15"/>
  <c r="M10" i="15"/>
  <c r="K10" i="15" s="1"/>
  <c r="M13" i="15"/>
  <c r="K13" i="15" s="1"/>
  <c r="AY13" i="15"/>
  <c r="AZ6" i="15"/>
  <c r="AB12" i="15"/>
  <c r="AJ12" i="15" s="1"/>
  <c r="AF16" i="15"/>
  <c r="AH21" i="15"/>
  <c r="L49" i="15"/>
  <c r="L47" i="15"/>
  <c r="M93" i="12"/>
  <c r="CM254" i="1"/>
  <c r="M66" i="12"/>
  <c r="CM150" i="1"/>
  <c r="CM214" i="1"/>
  <c r="M48" i="12"/>
  <c r="CM131" i="1"/>
  <c r="M30" i="12"/>
  <c r="CM119" i="1"/>
  <c r="M21" i="12"/>
  <c r="CM191" i="1"/>
  <c r="M57" i="12"/>
  <c r="CM32" i="1"/>
  <c r="M102" i="12"/>
  <c r="M51" i="12"/>
  <c r="M24" i="12"/>
  <c r="CM405" i="1"/>
  <c r="M120" i="12"/>
  <c r="CM343" i="1"/>
  <c r="M84" i="12"/>
  <c r="CM75" i="1"/>
  <c r="M87" i="12"/>
  <c r="M6" i="12"/>
  <c r="M123" i="12"/>
  <c r="M90" i="12"/>
  <c r="M9" i="12"/>
  <c r="M96" i="12"/>
  <c r="M60" i="12"/>
  <c r="M99" i="12"/>
  <c r="M72" i="12"/>
  <c r="M45" i="12"/>
  <c r="M69" i="12"/>
  <c r="M42" i="12"/>
  <c r="M33" i="12"/>
  <c r="M105" i="12"/>
  <c r="M54" i="12"/>
  <c r="M36" i="12"/>
  <c r="M27" i="12"/>
  <c r="M63" i="12"/>
  <c r="M108" i="12"/>
  <c r="CM387" i="1"/>
  <c r="M111" i="12"/>
  <c r="CM283" i="1"/>
  <c r="M75" i="12"/>
  <c r="CM95" i="1"/>
  <c r="M12" i="12"/>
  <c r="M78" i="12"/>
  <c r="M15" i="12"/>
  <c r="M126" i="12"/>
  <c r="M114" i="12"/>
  <c r="M117" i="12"/>
  <c r="M81" i="12"/>
  <c r="M18" i="12"/>
  <c r="CH93" i="1"/>
  <c r="DD93" i="1" s="1"/>
  <c r="AD6" i="12"/>
  <c r="K28" i="2"/>
  <c r="CH152" i="1"/>
  <c r="CH370" i="1"/>
  <c r="CH255" i="1"/>
  <c r="CH37" i="1"/>
  <c r="CH8" i="1"/>
  <c r="CH371" i="1"/>
  <c r="CH137" i="1"/>
  <c r="CH389" i="1"/>
  <c r="CH348" i="1"/>
  <c r="CH151" i="1"/>
  <c r="CH155" i="1"/>
  <c r="CH78" i="1"/>
  <c r="DD78" i="1" s="1"/>
  <c r="CH33" i="1"/>
  <c r="CH154" i="1"/>
  <c r="CH413" i="1"/>
  <c r="CH405" i="1"/>
  <c r="AVQ405" i="1" s="1"/>
  <c r="CH133" i="1"/>
  <c r="CH288" i="1"/>
  <c r="CH289" i="1"/>
  <c r="CL157" i="1"/>
  <c r="CH173" i="1"/>
  <c r="CH292" i="1"/>
  <c r="CH50" i="1"/>
  <c r="CH207" i="1"/>
  <c r="CH153" i="1"/>
  <c r="CH150" i="1"/>
  <c r="AVQ150" i="1" s="1"/>
  <c r="CH97" i="1"/>
  <c r="CH387" i="1"/>
  <c r="AVQ387" i="1" s="1"/>
  <c r="CH390" i="1"/>
  <c r="CH121" i="1"/>
  <c r="CH35" i="1"/>
  <c r="CH254" i="1"/>
  <c r="AVQ254" i="1" s="1"/>
  <c r="CH194" i="1"/>
  <c r="CH232" i="1"/>
  <c r="CH146" i="1"/>
  <c r="CH195" i="1"/>
  <c r="CH102" i="1"/>
  <c r="CH287" i="1"/>
  <c r="CH103" i="1"/>
  <c r="CH76" i="1"/>
  <c r="DD76" i="1" s="1"/>
  <c r="CH75" i="1"/>
  <c r="AVQ75" i="1" s="1"/>
  <c r="CH69" i="1"/>
  <c r="AVQ69" i="1" s="1"/>
  <c r="CH406" i="1"/>
  <c r="CH349" i="1"/>
  <c r="CH393" i="1"/>
  <c r="CH295" i="1"/>
  <c r="CH256" i="1"/>
  <c r="CH320" i="1"/>
  <c r="CH423" i="1"/>
  <c r="CH110" i="1"/>
  <c r="CH36" i="1"/>
  <c r="CH32" i="1"/>
  <c r="AVQ32" i="1" s="1"/>
  <c r="CH407" i="1"/>
  <c r="CH350" i="1"/>
  <c r="CH131" i="1"/>
  <c r="CH235" i="1"/>
  <c r="BL283" i="1"/>
  <c r="BL76" i="1"/>
  <c r="CL28" i="1"/>
  <c r="CH28" i="1"/>
  <c r="CH272" i="1"/>
  <c r="CH49" i="1"/>
  <c r="CH215" i="1"/>
  <c r="CH120" i="1"/>
  <c r="CH230" i="1"/>
  <c r="CH172" i="1"/>
  <c r="CH193" i="1"/>
  <c r="CH136" i="1"/>
  <c r="CH95" i="1"/>
  <c r="AVQ95" i="1" s="1"/>
  <c r="CH347" i="1"/>
  <c r="CH216" i="1"/>
  <c r="CH156" i="1"/>
  <c r="CH368" i="1"/>
  <c r="CH373" i="1"/>
  <c r="CH321" i="1"/>
  <c r="CH112" i="1"/>
  <c r="CH401" i="1"/>
  <c r="CH111" i="1"/>
  <c r="CH34" i="1"/>
  <c r="CH101" i="1"/>
  <c r="CH323" i="1"/>
  <c r="CH174" i="1"/>
  <c r="CH23" i="1"/>
  <c r="CH408" i="1"/>
  <c r="CH388" i="1"/>
  <c r="CH217" i="1"/>
  <c r="CH122" i="1"/>
  <c r="BL98" i="1"/>
  <c r="BL101" i="1"/>
  <c r="CH98" i="1"/>
  <c r="CH291" i="1"/>
  <c r="CH218" i="1"/>
  <c r="CH346" i="1"/>
  <c r="CH283" i="1"/>
  <c r="AVQ283" i="1" s="1"/>
  <c r="CH79" i="1"/>
  <c r="CH9" i="1"/>
  <c r="CH391" i="1"/>
  <c r="CH293" i="1"/>
  <c r="CH229" i="1"/>
  <c r="BL153" i="1"/>
  <c r="BL217" i="1"/>
  <c r="BL401" i="1"/>
  <c r="CL38" i="1"/>
  <c r="CH38" i="1"/>
  <c r="CH400" i="1"/>
  <c r="CH234" i="1"/>
  <c r="CH344" i="1"/>
  <c r="CH205" i="1"/>
  <c r="CH119" i="1"/>
  <c r="AVQ119" i="1" s="1"/>
  <c r="CH325" i="1"/>
  <c r="CH135" i="1"/>
  <c r="CH343" i="1"/>
  <c r="CH369" i="1"/>
  <c r="DD369" i="1" s="1"/>
  <c r="CH231" i="1"/>
  <c r="CH324" i="1"/>
  <c r="CH132" i="1"/>
  <c r="DD132" i="1" s="1"/>
  <c r="CH77" i="1"/>
  <c r="CH192" i="1"/>
  <c r="CH145" i="1"/>
  <c r="CH372" i="1"/>
  <c r="CH51" i="1"/>
  <c r="CH392" i="1"/>
  <c r="CH285" i="1"/>
  <c r="CH134" i="1"/>
  <c r="CL89" i="1"/>
  <c r="CH89" i="1"/>
  <c r="DD89" i="1" s="1"/>
  <c r="CL14" i="1"/>
  <c r="CH14" i="1"/>
  <c r="BL256" i="1"/>
  <c r="BL32" i="1"/>
  <c r="BL218" i="1"/>
  <c r="BL95" i="1"/>
  <c r="K29" i="2"/>
  <c r="K24" i="2"/>
  <c r="CL179" i="1"/>
  <c r="CL27" i="1"/>
  <c r="CL63" i="1"/>
  <c r="BL406" i="1"/>
  <c r="BL230" i="1"/>
  <c r="CL70" i="1"/>
  <c r="CL65" i="1"/>
  <c r="CL113" i="1"/>
  <c r="CL250" i="1"/>
  <c r="CL201" i="1"/>
  <c r="CL45" i="1"/>
  <c r="CL202" i="1"/>
  <c r="CL46" i="1"/>
  <c r="CL300" i="1"/>
  <c r="CL149" i="1"/>
  <c r="CL30" i="1"/>
  <c r="CL243" i="1"/>
  <c r="DD243" i="1"/>
  <c r="CL333" i="1"/>
  <c r="CL330" i="1"/>
  <c r="CL339" i="1"/>
  <c r="CL86" i="1"/>
  <c r="CL227" i="1"/>
  <c r="CL16" i="1"/>
  <c r="CL197" i="1"/>
  <c r="CL68" i="1"/>
  <c r="CL71" i="1"/>
  <c r="CL93" i="1"/>
  <c r="CL244" i="1"/>
  <c r="CL356" i="1"/>
  <c r="CL183" i="1"/>
  <c r="BL207" i="1"/>
  <c r="BL287" i="1"/>
  <c r="BL35" i="1"/>
  <c r="CL377" i="1"/>
  <c r="CL275" i="1"/>
  <c r="CL219" i="1"/>
  <c r="CL190" i="1"/>
  <c r="CL338" i="1"/>
  <c r="CL178" i="1"/>
  <c r="CL175" i="1"/>
  <c r="CL358" i="1"/>
  <c r="CL268" i="1"/>
  <c r="CL88" i="1"/>
  <c r="CL261" i="1"/>
  <c r="CL106" i="1"/>
  <c r="CL196" i="1"/>
  <c r="L138" i="12"/>
  <c r="CL416" i="1"/>
  <c r="CL181" i="1"/>
  <c r="CL336" i="1"/>
  <c r="CL29" i="1"/>
  <c r="CL248" i="1"/>
  <c r="CL170" i="1"/>
  <c r="CL317" i="1"/>
  <c r="CL44" i="1"/>
  <c r="CL166" i="1"/>
  <c r="CL253" i="1"/>
  <c r="CL282" i="1"/>
  <c r="CL375" i="1"/>
  <c r="CL402" i="1"/>
  <c r="CL379" i="1"/>
  <c r="BL49" i="1"/>
  <c r="BL152" i="1"/>
  <c r="BL371" i="1"/>
  <c r="BL347" i="1"/>
  <c r="BL350" i="1"/>
  <c r="BL193" i="1"/>
  <c r="BL272" i="1"/>
  <c r="BL349" i="1"/>
  <c r="BL154" i="1"/>
  <c r="BL405" i="1"/>
  <c r="BL122" i="1"/>
  <c r="BL231" i="1"/>
  <c r="BL390" i="1"/>
  <c r="BL174" i="1"/>
  <c r="K23" i="2"/>
  <c r="BL77" i="1"/>
  <c r="BL192" i="1"/>
  <c r="BL400" i="1"/>
  <c r="BL146" i="1"/>
  <c r="BL36" i="1"/>
  <c r="BL156" i="1"/>
  <c r="BL343" i="1"/>
  <c r="BL369" i="1"/>
  <c r="BL288" i="1"/>
  <c r="BL4" i="1"/>
  <c r="BL119" i="1"/>
  <c r="BL234" i="1"/>
  <c r="BL131" i="1"/>
  <c r="BL23" i="1"/>
  <c r="BL120" i="1"/>
  <c r="CL378" i="1"/>
  <c r="CL334" i="1"/>
  <c r="CL209" i="1"/>
  <c r="CL225" i="1"/>
  <c r="BL205" i="1"/>
  <c r="BL215" i="1"/>
  <c r="BL133" i="1"/>
  <c r="BL319" i="1"/>
  <c r="BL392" i="1"/>
  <c r="BL112" i="1"/>
  <c r="BL408" i="1"/>
  <c r="BL387" i="1"/>
  <c r="CL72" i="1"/>
  <c r="CL374" i="1"/>
  <c r="CL242" i="1"/>
  <c r="CL327" i="1"/>
  <c r="CL316" i="1"/>
  <c r="CL125" i="1"/>
  <c r="CL302" i="1"/>
  <c r="CL128" i="1"/>
  <c r="CL264" i="1"/>
  <c r="CL342" i="1"/>
  <c r="CL417" i="1"/>
  <c r="L129" i="12"/>
  <c r="CL415" i="1"/>
  <c r="CL92" i="1"/>
  <c r="CL147" i="1"/>
  <c r="CL357" i="1"/>
  <c r="CL314" i="1"/>
  <c r="CL398" i="1"/>
  <c r="CL87" i="1"/>
  <c r="CL222" i="1"/>
  <c r="CL40" i="1"/>
  <c r="L147" i="12"/>
  <c r="CL129" i="1"/>
  <c r="CL187" i="1"/>
  <c r="CL64" i="1"/>
  <c r="CL61" i="1"/>
  <c r="CL19" i="1"/>
  <c r="CL184" i="1"/>
  <c r="BL123" i="1"/>
  <c r="BL206" i="1"/>
  <c r="BL292" i="1"/>
  <c r="BL135" i="1"/>
  <c r="CL277" i="1"/>
  <c r="CL239" i="1"/>
  <c r="CL116" i="1"/>
  <c r="BL51" i="1"/>
  <c r="CL130" i="1"/>
  <c r="CL331" i="1"/>
  <c r="CL335" i="1"/>
  <c r="CL241" i="1"/>
  <c r="CL236" i="1"/>
  <c r="CL143" i="1"/>
  <c r="CL412" i="1"/>
  <c r="CL162" i="1"/>
  <c r="CL360" i="1"/>
  <c r="CL81" i="1"/>
  <c r="CL73" i="1"/>
  <c r="CL414" i="1"/>
  <c r="CL176" i="1"/>
  <c r="CL211" i="1"/>
  <c r="CL273" i="1"/>
  <c r="CL364" i="1"/>
  <c r="CL43" i="1"/>
  <c r="CL200" i="1"/>
  <c r="CL299" i="1"/>
  <c r="CL259" i="1"/>
  <c r="CL404" i="1"/>
  <c r="CL188" i="1"/>
  <c r="CL249" i="1"/>
  <c r="CL115" i="1"/>
  <c r="CL114" i="1"/>
  <c r="CL304" i="1"/>
  <c r="CL418" i="1"/>
  <c r="BL324" i="1"/>
  <c r="BL132" i="1"/>
  <c r="BL295" i="1"/>
  <c r="BL346" i="1"/>
  <c r="BL79" i="1"/>
  <c r="BL103" i="1"/>
  <c r="BL325" i="1"/>
  <c r="BL235" i="1"/>
  <c r="BL111" i="1"/>
  <c r="BL155" i="1"/>
  <c r="BL323" i="1"/>
  <c r="BL285" i="1"/>
  <c r="BL293" i="1"/>
  <c r="BL136" i="1"/>
  <c r="BL145" i="1"/>
  <c r="AB7" i="15" s="1"/>
  <c r="BL388" i="1"/>
  <c r="BL69" i="1"/>
  <c r="BL173" i="1"/>
  <c r="BL291" i="1"/>
  <c r="BL391" i="1"/>
  <c r="BL97" i="1"/>
  <c r="BL8" i="1"/>
  <c r="BL216" i="1"/>
  <c r="CL361" i="1"/>
  <c r="CL139" i="1"/>
  <c r="CL396" i="1"/>
  <c r="CL171" i="1"/>
  <c r="CL318" i="1"/>
  <c r="CL296" i="1"/>
  <c r="CL341" i="1"/>
  <c r="CL161" i="1"/>
  <c r="CL267" i="1"/>
  <c r="CL20" i="1"/>
  <c r="CL39" i="1"/>
  <c r="CL164" i="1"/>
  <c r="DD164" i="1"/>
  <c r="CL399" i="1"/>
  <c r="CL107" i="1"/>
  <c r="CL315" i="1"/>
  <c r="CL85" i="1"/>
  <c r="CL13" i="1"/>
  <c r="CL104" i="1"/>
  <c r="CL203" i="1"/>
  <c r="CL47" i="1"/>
  <c r="CL138" i="1"/>
  <c r="CL351" i="1"/>
  <c r="CL223" i="1"/>
  <c r="CL362" i="1"/>
  <c r="CL84" i="1"/>
  <c r="CL269" i="1"/>
  <c r="CL124" i="1"/>
  <c r="CL260" i="1"/>
  <c r="CL167" i="1"/>
  <c r="CL31" i="1"/>
  <c r="CL240" i="1"/>
  <c r="CL105" i="1"/>
  <c r="CL108" i="1"/>
  <c r="CL266" i="1"/>
  <c r="CL265" i="1"/>
  <c r="CL80" i="1"/>
  <c r="CL251" i="1"/>
  <c r="CL303" i="1"/>
  <c r="CL21" i="1"/>
  <c r="CL140" i="1"/>
  <c r="CL297" i="1"/>
  <c r="CL257" i="1"/>
  <c r="CL276" i="1"/>
  <c r="CL252" i="1"/>
  <c r="CL359" i="1"/>
  <c r="CL127" i="1"/>
  <c r="CL365" i="1"/>
  <c r="CL48" i="1"/>
  <c r="CL158" i="1"/>
  <c r="K46" i="2"/>
  <c r="L108" i="12"/>
  <c r="L36" i="12"/>
  <c r="L24" i="12"/>
  <c r="L63" i="12"/>
  <c r="L33" i="12"/>
  <c r="L60" i="12"/>
  <c r="L69" i="12"/>
  <c r="L99" i="12"/>
  <c r="L45" i="12"/>
  <c r="I177" i="12"/>
  <c r="CL32" i="1"/>
  <c r="L102" i="12"/>
  <c r="CZ343" i="1"/>
  <c r="Z84" i="12"/>
  <c r="CE343" i="1"/>
  <c r="Z18" i="12"/>
  <c r="CL247" i="1"/>
  <c r="L132" i="12"/>
  <c r="L135" i="12"/>
  <c r="CZ423" i="1"/>
  <c r="Z192" i="12"/>
  <c r="CE423" i="1"/>
  <c r="AA129" i="12" s="1"/>
  <c r="CI173" i="1"/>
  <c r="BN173" i="1"/>
  <c r="CI22" i="1"/>
  <c r="BN22" i="1"/>
  <c r="CJ22" i="1" s="1"/>
  <c r="CI230" i="1"/>
  <c r="BN230" i="1"/>
  <c r="CI172" i="1"/>
  <c r="BN172" i="1"/>
  <c r="CI288" i="1"/>
  <c r="BN288" i="1"/>
  <c r="CI215" i="1"/>
  <c r="BN215" i="1"/>
  <c r="CI155" i="1"/>
  <c r="BN155" i="1"/>
  <c r="CI120" i="1"/>
  <c r="BN120" i="1"/>
  <c r="I93" i="12"/>
  <c r="N19" i="2"/>
  <c r="CI389" i="1"/>
  <c r="BN389" i="1"/>
  <c r="CI154" i="1"/>
  <c r="BN154" i="1"/>
  <c r="CI123" i="1"/>
  <c r="BN123" i="1"/>
  <c r="I21" i="12"/>
  <c r="CI119" i="1"/>
  <c r="BN119" i="1"/>
  <c r="N11" i="2"/>
  <c r="CI37" i="1"/>
  <c r="BN37" i="1"/>
  <c r="CI8" i="1"/>
  <c r="BN8" i="1"/>
  <c r="I54" i="12"/>
  <c r="I42" i="12"/>
  <c r="I63" i="12"/>
  <c r="CI345" i="1"/>
  <c r="BN345" i="1"/>
  <c r="I12" i="12"/>
  <c r="CI95" i="1"/>
  <c r="BN95" i="1"/>
  <c r="N10" i="2"/>
  <c r="CI152" i="1"/>
  <c r="BN152" i="1"/>
  <c r="I9" i="12"/>
  <c r="CL180" i="1"/>
  <c r="CL328" i="1"/>
  <c r="CL410" i="1"/>
  <c r="CL409" i="1"/>
  <c r="CL397" i="1"/>
  <c r="CL270" i="1"/>
  <c r="CL228" i="1"/>
  <c r="CL141" i="1"/>
  <c r="CL109" i="1"/>
  <c r="CL313" i="1"/>
  <c r="CL271" i="1"/>
  <c r="CL204" i="1"/>
  <c r="CL169" i="1"/>
  <c r="CL142" i="1"/>
  <c r="CL126" i="1"/>
  <c r="CL394" i="1"/>
  <c r="CL352" i="1"/>
  <c r="CL305" i="1"/>
  <c r="CL262" i="1"/>
  <c r="CL258" i="1"/>
  <c r="CL199" i="1"/>
  <c r="CL15" i="1"/>
  <c r="CL298" i="1"/>
  <c r="CL83" i="1"/>
  <c r="CI370" i="1"/>
  <c r="BN370" i="1"/>
  <c r="I198" i="12"/>
  <c r="CZ400" i="1"/>
  <c r="CE400" i="1"/>
  <c r="CZ234" i="1"/>
  <c r="CE234" i="1"/>
  <c r="DA234" i="1" s="1"/>
  <c r="CZ110" i="1"/>
  <c r="CE110" i="1"/>
  <c r="CZ232" i="1"/>
  <c r="CE232" i="1"/>
  <c r="DA232" i="1" s="1"/>
  <c r="CZ207" i="1"/>
  <c r="CE207" i="1"/>
  <c r="DA207" i="1" s="1"/>
  <c r="CZ146" i="1"/>
  <c r="CE146" i="1"/>
  <c r="DA146" i="1" s="1"/>
  <c r="CZ368" i="1"/>
  <c r="CE368" i="1"/>
  <c r="DA368" i="1" s="1"/>
  <c r="CZ389" i="1"/>
  <c r="CE389" i="1"/>
  <c r="DA389" i="1" s="1"/>
  <c r="Z96" i="12"/>
  <c r="CZ405" i="1"/>
  <c r="Z120" i="12"/>
  <c r="CE405" i="1"/>
  <c r="CL245" i="1"/>
  <c r="CL237" i="1"/>
  <c r="CL329" i="1"/>
  <c r="Z195" i="12"/>
  <c r="CO69" i="1"/>
  <c r="O174" i="12"/>
  <c r="CI400" i="1"/>
  <c r="BN400" i="1"/>
  <c r="CI234" i="1"/>
  <c r="BN234" i="1"/>
  <c r="CI24" i="1"/>
  <c r="BN24" i="1"/>
  <c r="CJ24" i="1" s="1"/>
  <c r="CI322" i="1"/>
  <c r="BN322" i="1"/>
  <c r="CI207" i="1"/>
  <c r="BN207" i="1"/>
  <c r="CI292" i="1"/>
  <c r="BN292" i="1"/>
  <c r="CI195" i="1"/>
  <c r="BN195" i="1"/>
  <c r="CJ195" i="1" s="1"/>
  <c r="I57" i="12"/>
  <c r="N15" i="2"/>
  <c r="CI191" i="1"/>
  <c r="BN191" i="1"/>
  <c r="CI102" i="1"/>
  <c r="BN102" i="1"/>
  <c r="CJ102" i="1" s="1"/>
  <c r="CI287" i="1"/>
  <c r="BN287" i="1"/>
  <c r="I66" i="12"/>
  <c r="N16" i="2"/>
  <c r="BN254" i="1"/>
  <c r="CI254" i="1"/>
  <c r="CI194" i="1"/>
  <c r="BN194" i="1"/>
  <c r="CI121" i="1"/>
  <c r="BN121" i="1"/>
  <c r="CI97" i="1"/>
  <c r="BN97" i="1"/>
  <c r="CI35" i="1"/>
  <c r="BN35" i="1"/>
  <c r="CI11" i="1"/>
  <c r="BN11" i="1"/>
  <c r="I72" i="12"/>
  <c r="I111" i="12"/>
  <c r="N21" i="2"/>
  <c r="BN387" i="1"/>
  <c r="CI387" i="1"/>
  <c r="I78" i="12"/>
  <c r="I15" i="12"/>
  <c r="I81" i="12"/>
  <c r="L114" i="12"/>
  <c r="CL343" i="1"/>
  <c r="L84" i="12"/>
  <c r="CL405" i="1"/>
  <c r="L120" i="12"/>
  <c r="CI368" i="1"/>
  <c r="BN368" i="1"/>
  <c r="I51" i="12"/>
  <c r="BN75" i="1"/>
  <c r="BO75" i="1" s="1"/>
  <c r="CI75" i="1"/>
  <c r="L15" i="12"/>
  <c r="L87" i="12"/>
  <c r="CL95" i="1"/>
  <c r="CL283" i="1"/>
  <c r="I174" i="12"/>
  <c r="CI69" i="1"/>
  <c r="BN69" i="1"/>
  <c r="BO69" i="1" s="1"/>
  <c r="N47" i="2"/>
  <c r="L228" i="12"/>
  <c r="L210" i="12"/>
  <c r="L246" i="12"/>
  <c r="L201" i="12"/>
  <c r="CL421" i="1"/>
  <c r="L150" i="12"/>
  <c r="L159" i="12"/>
  <c r="L168" i="12"/>
  <c r="L195" i="12"/>
  <c r="L222" i="12"/>
  <c r="L231" i="12"/>
  <c r="L258" i="12"/>
  <c r="L270" i="12"/>
  <c r="L216" i="12"/>
  <c r="L234" i="12"/>
  <c r="L261" i="12"/>
  <c r="L267" i="12"/>
  <c r="L249" i="12"/>
  <c r="L243" i="12"/>
  <c r="CZ231" i="1"/>
  <c r="CE231" i="1"/>
  <c r="DA231" i="1" s="1"/>
  <c r="CE112" i="1"/>
  <c r="DA112" i="1" s="1"/>
  <c r="CZ112" i="1"/>
  <c r="CZ50" i="1"/>
  <c r="CE50" i="1"/>
  <c r="DA50" i="1" s="1"/>
  <c r="CZ22" i="1"/>
  <c r="CE22" i="1"/>
  <c r="DA22" i="1" s="1"/>
  <c r="CZ401" i="1"/>
  <c r="CE401" i="1"/>
  <c r="DA401" i="1" s="1"/>
  <c r="CZ272" i="1"/>
  <c r="CE272" i="1"/>
  <c r="DA272" i="1" s="1"/>
  <c r="CZ230" i="1"/>
  <c r="CE230" i="1"/>
  <c r="DA230" i="1" s="1"/>
  <c r="CZ205" i="1"/>
  <c r="CE205" i="1"/>
  <c r="DA205" i="1" s="1"/>
  <c r="CZ111" i="1"/>
  <c r="CE111" i="1"/>
  <c r="DA111" i="1" s="1"/>
  <c r="CZ319" i="1"/>
  <c r="CE319" i="1"/>
  <c r="DA319" i="1" s="1"/>
  <c r="CZ370" i="1"/>
  <c r="CE370" i="1"/>
  <c r="DA370" i="1" s="1"/>
  <c r="CZ347" i="1"/>
  <c r="CE347" i="1"/>
  <c r="CZ292" i="1"/>
  <c r="CE292" i="1"/>
  <c r="DA292" i="1" s="1"/>
  <c r="CZ153" i="1"/>
  <c r="CE153" i="1"/>
  <c r="DA153" i="1" s="1"/>
  <c r="CZ36" i="1"/>
  <c r="CE36" i="1"/>
  <c r="DA36" i="1" s="1"/>
  <c r="CZ32" i="1"/>
  <c r="Z102" i="12"/>
  <c r="CE32" i="1"/>
  <c r="CF32" i="1" s="1"/>
  <c r="CZ9" i="1"/>
  <c r="CE9" i="1"/>
  <c r="DA9" i="1" s="1"/>
  <c r="CE407" i="1"/>
  <c r="DA407" i="1" s="1"/>
  <c r="CZ407" i="1"/>
  <c r="CZ391" i="1"/>
  <c r="CE391" i="1"/>
  <c r="DA391" i="1" s="1"/>
  <c r="CZ350" i="1"/>
  <c r="CE350" i="1"/>
  <c r="DA350" i="1" s="1"/>
  <c r="CZ287" i="1"/>
  <c r="CE287" i="1"/>
  <c r="DA287" i="1" s="1"/>
  <c r="CZ156" i="1"/>
  <c r="CE156" i="1"/>
  <c r="DA156" i="1" s="1"/>
  <c r="CZ135" i="1"/>
  <c r="CE135" i="1"/>
  <c r="DA135" i="1" s="1"/>
  <c r="CZ131" i="1"/>
  <c r="Z30" i="12"/>
  <c r="CE131" i="1"/>
  <c r="CF131" i="1" s="1"/>
  <c r="CZ103" i="1"/>
  <c r="CE103" i="1"/>
  <c r="DA103" i="1" s="1"/>
  <c r="CZ97" i="1"/>
  <c r="CE97" i="1"/>
  <c r="DA97" i="1" s="1"/>
  <c r="CZ76" i="1"/>
  <c r="CE76" i="1"/>
  <c r="DA76" i="1" s="1"/>
  <c r="CZ35" i="1"/>
  <c r="CE35" i="1"/>
  <c r="DA35" i="1" s="1"/>
  <c r="CZ11" i="1"/>
  <c r="CE11" i="1"/>
  <c r="DA11" i="1" s="1"/>
  <c r="Z72" i="12"/>
  <c r="Z24" i="12"/>
  <c r="L54" i="12"/>
  <c r="L105" i="12"/>
  <c r="L96" i="12"/>
  <c r="L51" i="12"/>
  <c r="Z126" i="12"/>
  <c r="CL376" i="1"/>
  <c r="CL210" i="1"/>
  <c r="CL177" i="1"/>
  <c r="CL26" i="1"/>
  <c r="CL326" i="1"/>
  <c r="CL337" i="1"/>
  <c r="CL238" i="1"/>
  <c r="Z198" i="12"/>
  <c r="CI373" i="1"/>
  <c r="BN373" i="1"/>
  <c r="CI321" i="1"/>
  <c r="BN321" i="1"/>
  <c r="CI112" i="1"/>
  <c r="BN112" i="1"/>
  <c r="CI50" i="1"/>
  <c r="BN50" i="1"/>
  <c r="CJ50" i="1" s="1"/>
  <c r="CI324" i="1"/>
  <c r="BN324" i="1"/>
  <c r="CI111" i="1"/>
  <c r="BN111" i="1"/>
  <c r="CI406" i="1"/>
  <c r="BN406" i="1"/>
  <c r="CI349" i="1"/>
  <c r="BN349" i="1"/>
  <c r="CI294" i="1"/>
  <c r="BN294" i="1"/>
  <c r="CI295" i="1"/>
  <c r="BN295" i="1"/>
  <c r="CI256" i="1"/>
  <c r="BN256" i="1"/>
  <c r="CI137" i="1"/>
  <c r="BN137" i="1"/>
  <c r="CI101" i="1"/>
  <c r="BN101" i="1"/>
  <c r="I33" i="12"/>
  <c r="I75" i="12"/>
  <c r="CI283" i="1"/>
  <c r="N17" i="2"/>
  <c r="BN283" i="1"/>
  <c r="I87" i="12"/>
  <c r="I6" i="12"/>
  <c r="I117" i="12"/>
  <c r="I123" i="12"/>
  <c r="K49" i="2"/>
  <c r="I180" i="12"/>
  <c r="CL185" i="1"/>
  <c r="CL74" i="1"/>
  <c r="L174" i="12"/>
  <c r="CL281" i="1"/>
  <c r="L165" i="12"/>
  <c r="CL186" i="1"/>
  <c r="L255" i="12"/>
  <c r="L219" i="12"/>
  <c r="CL422" i="1"/>
  <c r="L264" i="12"/>
  <c r="L237" i="12"/>
  <c r="CL424" i="1"/>
  <c r="L192" i="12"/>
  <c r="CL420" i="1"/>
  <c r="L183" i="12"/>
  <c r="L177" i="12"/>
  <c r="L213" i="12"/>
  <c r="L240" i="12"/>
  <c r="L180" i="12"/>
  <c r="L198" i="12"/>
  <c r="L252" i="12"/>
  <c r="L186" i="12"/>
  <c r="L204" i="12"/>
  <c r="L153" i="12"/>
  <c r="L162" i="12"/>
  <c r="L171" i="12"/>
  <c r="L189" i="12"/>
  <c r="L225" i="12"/>
  <c r="CZ371" i="1"/>
  <c r="CE371" i="1"/>
  <c r="CZ323" i="1"/>
  <c r="CE323" i="1"/>
  <c r="DA323" i="1" s="1"/>
  <c r="CZ206" i="1"/>
  <c r="CE206" i="1"/>
  <c r="CE145" i="1"/>
  <c r="CZ145" i="1"/>
  <c r="CZ372" i="1"/>
  <c r="CE372" i="1"/>
  <c r="DA372" i="1" s="1"/>
  <c r="CZ322" i="1"/>
  <c r="CE322" i="1"/>
  <c r="DA322" i="1" s="1"/>
  <c r="CZ174" i="1"/>
  <c r="CE174" i="1"/>
  <c r="DA174" i="1" s="1"/>
  <c r="CZ51" i="1"/>
  <c r="CE51" i="1"/>
  <c r="DA51" i="1" s="1"/>
  <c r="CZ23" i="1"/>
  <c r="CE23" i="1"/>
  <c r="DA23" i="1" s="1"/>
  <c r="CZ325" i="1"/>
  <c r="CE325" i="1"/>
  <c r="DA325" i="1" s="1"/>
  <c r="CZ229" i="1"/>
  <c r="CE229" i="1"/>
  <c r="DA229" i="1" s="1"/>
  <c r="CZ290" i="1"/>
  <c r="CE290" i="1"/>
  <c r="DA290" i="1" s="1"/>
  <c r="Z117" i="12"/>
  <c r="Z9" i="12"/>
  <c r="CI323" i="1"/>
  <c r="BN323" i="1"/>
  <c r="CI174" i="1"/>
  <c r="BN174" i="1"/>
  <c r="CI23" i="1"/>
  <c r="BN23" i="1"/>
  <c r="CI408" i="1"/>
  <c r="BN408" i="1"/>
  <c r="CI388" i="1"/>
  <c r="BN388" i="1"/>
  <c r="CI217" i="1"/>
  <c r="BN217" i="1"/>
  <c r="CI122" i="1"/>
  <c r="BN122" i="1"/>
  <c r="CI79" i="1"/>
  <c r="BN79" i="1"/>
  <c r="CJ79" i="1" s="1"/>
  <c r="I102" i="12"/>
  <c r="N20" i="2"/>
  <c r="CI32" i="1"/>
  <c r="BN32" i="1"/>
  <c r="BO32" i="1" s="1"/>
  <c r="CI9" i="1"/>
  <c r="BN9" i="1"/>
  <c r="CJ9" i="1" s="1"/>
  <c r="CI407" i="1"/>
  <c r="BN407" i="1"/>
  <c r="CI350" i="1"/>
  <c r="BN350" i="1"/>
  <c r="I30" i="12"/>
  <c r="N12" i="2"/>
  <c r="BN131" i="1"/>
  <c r="CI131" i="1"/>
  <c r="I96" i="12"/>
  <c r="CL355" i="1"/>
  <c r="CL224" i="1"/>
  <c r="CL163" i="1"/>
  <c r="CL17" i="1"/>
  <c r="CL221" i="1"/>
  <c r="L123" i="12"/>
  <c r="L6" i="12"/>
  <c r="CI235" i="1"/>
  <c r="BN235" i="1"/>
  <c r="CK185" i="1"/>
  <c r="DB416" i="1"/>
  <c r="AB138" i="12"/>
  <c r="Z36" i="12"/>
  <c r="BP191" i="1"/>
  <c r="BP11" i="1"/>
  <c r="CL131" i="1"/>
  <c r="L30" i="12"/>
  <c r="CK129" i="1"/>
  <c r="CK281" i="1"/>
  <c r="K165" i="12"/>
  <c r="CK416" i="1"/>
  <c r="K138" i="12"/>
  <c r="CK417" i="1"/>
  <c r="I195" i="12"/>
  <c r="L207" i="12"/>
  <c r="CZ373" i="1"/>
  <c r="CE373" i="1"/>
  <c r="CZ369" i="1"/>
  <c r="CE369" i="1"/>
  <c r="CZ321" i="1"/>
  <c r="CE321" i="1"/>
  <c r="DA321" i="1" s="1"/>
  <c r="CZ173" i="1"/>
  <c r="CE173" i="1"/>
  <c r="DA173" i="1" s="1"/>
  <c r="CZ324" i="1"/>
  <c r="CE324" i="1"/>
  <c r="DA324" i="1" s="1"/>
  <c r="CZ172" i="1"/>
  <c r="CE172" i="1"/>
  <c r="DA172" i="1" s="1"/>
  <c r="CZ49" i="1"/>
  <c r="CE49" i="1"/>
  <c r="DA49" i="1" s="1"/>
  <c r="CZ320" i="1"/>
  <c r="CE320" i="1"/>
  <c r="DA320" i="1" s="1"/>
  <c r="CZ408" i="1"/>
  <c r="CE408" i="1"/>
  <c r="CZ392" i="1"/>
  <c r="CE392" i="1"/>
  <c r="CZ388" i="1"/>
  <c r="CE388" i="1"/>
  <c r="CZ285" i="1"/>
  <c r="CE285" i="1"/>
  <c r="DA285" i="1" s="1"/>
  <c r="CZ217" i="1"/>
  <c r="CE217" i="1"/>
  <c r="DA217" i="1" s="1"/>
  <c r="CZ195" i="1"/>
  <c r="CE195" i="1"/>
  <c r="CZ191" i="1"/>
  <c r="Z57" i="12"/>
  <c r="CE191" i="1"/>
  <c r="CF191" i="1" s="1"/>
  <c r="CZ134" i="1"/>
  <c r="CE134" i="1"/>
  <c r="CZ122" i="1"/>
  <c r="CE122" i="1"/>
  <c r="DA122" i="1" s="1"/>
  <c r="CZ102" i="1"/>
  <c r="CE102" i="1"/>
  <c r="CZ79" i="1"/>
  <c r="CE79" i="1"/>
  <c r="CZ344" i="1"/>
  <c r="CE344" i="1"/>
  <c r="DA344" i="1" s="1"/>
  <c r="CZ293" i="1"/>
  <c r="CE293" i="1"/>
  <c r="DA293" i="1" s="1"/>
  <c r="CZ254" i="1"/>
  <c r="Z66" i="12"/>
  <c r="CE254" i="1"/>
  <c r="CF254" i="1" s="1"/>
  <c r="CZ216" i="1"/>
  <c r="CE216" i="1"/>
  <c r="DA216" i="1" s="1"/>
  <c r="CZ194" i="1"/>
  <c r="CE194" i="1"/>
  <c r="DA194" i="1" s="1"/>
  <c r="CZ150" i="1"/>
  <c r="Z39" i="12"/>
  <c r="CE150" i="1"/>
  <c r="CF150" i="1" s="1"/>
  <c r="CZ121" i="1"/>
  <c r="CE121" i="1"/>
  <c r="DA121" i="1" s="1"/>
  <c r="Z99" i="12"/>
  <c r="Z60" i="12"/>
  <c r="L72" i="12"/>
  <c r="L27" i="12"/>
  <c r="CZ387" i="1"/>
  <c r="Z111" i="12"/>
  <c r="CE387" i="1"/>
  <c r="Z78" i="12"/>
  <c r="Z15" i="12"/>
  <c r="Z114" i="12"/>
  <c r="Z81" i="12"/>
  <c r="CI272" i="1"/>
  <c r="BN272" i="1"/>
  <c r="CI205" i="1"/>
  <c r="BN205" i="1"/>
  <c r="CI49" i="1"/>
  <c r="BN49" i="1"/>
  <c r="CI255" i="1"/>
  <c r="BN255" i="1"/>
  <c r="CI193" i="1"/>
  <c r="BN193" i="1"/>
  <c r="CI136" i="1"/>
  <c r="BN136" i="1"/>
  <c r="CI12" i="1"/>
  <c r="BN12" i="1"/>
  <c r="CJ12" i="1" s="1"/>
  <c r="CI78" i="1"/>
  <c r="BN78" i="1"/>
  <c r="CI33" i="1"/>
  <c r="BN33" i="1"/>
  <c r="I99" i="12"/>
  <c r="I69" i="12"/>
  <c r="I120" i="12"/>
  <c r="N22" i="2"/>
  <c r="CI405" i="1"/>
  <c r="BN405" i="1"/>
  <c r="I90" i="12"/>
  <c r="CI319" i="1"/>
  <c r="BN319" i="1"/>
  <c r="BP22" i="1"/>
  <c r="CZ235" i="1"/>
  <c r="CE235" i="1"/>
  <c r="DA235" i="1" s="1"/>
  <c r="CZ288" i="1"/>
  <c r="CE288" i="1"/>
  <c r="DA288" i="1" s="1"/>
  <c r="CZ215" i="1"/>
  <c r="CE215" i="1"/>
  <c r="DA215" i="1" s="1"/>
  <c r="CZ193" i="1"/>
  <c r="CE193" i="1"/>
  <c r="DA193" i="1" s="1"/>
  <c r="CZ136" i="1"/>
  <c r="CE136" i="1"/>
  <c r="DA136" i="1" s="1"/>
  <c r="CZ132" i="1"/>
  <c r="CE132" i="1"/>
  <c r="DA132" i="1" s="1"/>
  <c r="CE120" i="1"/>
  <c r="DA120" i="1" s="1"/>
  <c r="CZ120" i="1"/>
  <c r="CZ98" i="1"/>
  <c r="CE98" i="1"/>
  <c r="DA98" i="1" s="1"/>
  <c r="CZ77" i="1"/>
  <c r="CE77" i="1"/>
  <c r="DA77" i="1" s="1"/>
  <c r="CZ34" i="1"/>
  <c r="CE34" i="1"/>
  <c r="DA34" i="1" s="1"/>
  <c r="CZ12" i="1"/>
  <c r="CE12" i="1"/>
  <c r="DA12" i="1" s="1"/>
  <c r="Z93" i="12"/>
  <c r="CZ393" i="1"/>
  <c r="CE393" i="1"/>
  <c r="DA393" i="1" s="1"/>
  <c r="CZ295" i="1"/>
  <c r="CE295" i="1"/>
  <c r="DA295" i="1" s="1"/>
  <c r="CZ291" i="1"/>
  <c r="CE291" i="1"/>
  <c r="DA291" i="1" s="1"/>
  <c r="CZ256" i="1"/>
  <c r="CE256" i="1"/>
  <c r="DA256" i="1" s="1"/>
  <c r="CZ218" i="1"/>
  <c r="CE218" i="1"/>
  <c r="DA218" i="1" s="1"/>
  <c r="CZ214" i="1"/>
  <c r="Z48" i="12"/>
  <c r="CE214" i="1"/>
  <c r="CF214" i="1" s="1"/>
  <c r="CZ192" i="1"/>
  <c r="CE192" i="1"/>
  <c r="DA192" i="1" s="1"/>
  <c r="CZ123" i="1"/>
  <c r="CE123" i="1"/>
  <c r="CZ119" i="1"/>
  <c r="Z21" i="12"/>
  <c r="CE119" i="1"/>
  <c r="CF119" i="1" s="1"/>
  <c r="Z54" i="12"/>
  <c r="Z69" i="12"/>
  <c r="Z33" i="12"/>
  <c r="Z108" i="12"/>
  <c r="CZ283" i="1"/>
  <c r="Z75" i="12"/>
  <c r="CE283" i="1"/>
  <c r="CF283" i="1" s="1"/>
  <c r="CZ152" i="1"/>
  <c r="CE152" i="1"/>
  <c r="DA152" i="1" s="1"/>
  <c r="CZ69" i="1"/>
  <c r="Z174" i="12"/>
  <c r="CE69" i="1"/>
  <c r="CF69" i="1" s="1"/>
  <c r="O47" i="2"/>
  <c r="Q60" i="2"/>
  <c r="Q58" i="2"/>
  <c r="CI371" i="1"/>
  <c r="BN371" i="1"/>
  <c r="CI206" i="1"/>
  <c r="BN206" i="1"/>
  <c r="CI413" i="1"/>
  <c r="BN413" i="1"/>
  <c r="CI232" i="1"/>
  <c r="BN232" i="1"/>
  <c r="CI146" i="1"/>
  <c r="BN146" i="1"/>
  <c r="CI347" i="1"/>
  <c r="BN347" i="1"/>
  <c r="CJ347" i="1" s="1"/>
  <c r="CI153" i="1"/>
  <c r="BN153" i="1"/>
  <c r="CI344" i="1"/>
  <c r="BN344" i="1"/>
  <c r="CI216" i="1"/>
  <c r="BN216" i="1"/>
  <c r="CI156" i="1"/>
  <c r="BN156" i="1"/>
  <c r="I39" i="12"/>
  <c r="N13" i="2"/>
  <c r="BN150" i="1"/>
  <c r="CI150" i="1"/>
  <c r="CI103" i="1"/>
  <c r="BN103" i="1"/>
  <c r="CI76" i="1"/>
  <c r="BN76" i="1"/>
  <c r="I60" i="12"/>
  <c r="I45" i="12"/>
  <c r="CI290" i="1"/>
  <c r="BN290" i="1"/>
  <c r="CI151" i="1"/>
  <c r="BN151" i="1"/>
  <c r="CJ151" i="1" s="1"/>
  <c r="CI284" i="1"/>
  <c r="BN284" i="1"/>
  <c r="I126" i="12"/>
  <c r="L126" i="12"/>
  <c r="L90" i="12"/>
  <c r="L18" i="12"/>
  <c r="L78" i="12"/>
  <c r="CI325" i="1"/>
  <c r="BN325" i="1"/>
  <c r="CI135" i="1"/>
  <c r="BN135" i="1"/>
  <c r="I36" i="12"/>
  <c r="I24" i="12"/>
  <c r="CI343" i="1"/>
  <c r="BN343" i="1"/>
  <c r="I114" i="12"/>
  <c r="I18" i="12"/>
  <c r="CL386" i="1"/>
  <c r="CL212" i="1"/>
  <c r="CL66" i="1"/>
  <c r="CL332" i="1"/>
  <c r="CL25" i="1"/>
  <c r="CL411" i="1"/>
  <c r="CL395" i="1"/>
  <c r="CL226" i="1"/>
  <c r="CL168" i="1"/>
  <c r="CL363" i="1"/>
  <c r="CL42" i="1"/>
  <c r="CL18" i="1"/>
  <c r="CL301" i="1"/>
  <c r="CL220" i="1"/>
  <c r="CL82" i="1"/>
  <c r="CL41" i="1"/>
  <c r="CL263" i="1"/>
  <c r="CL159" i="1"/>
  <c r="L81" i="12"/>
  <c r="CL385" i="1"/>
  <c r="CL118" i="1"/>
  <c r="L141" i="12"/>
  <c r="M58" i="2"/>
  <c r="M60" i="2"/>
  <c r="K53" i="2"/>
  <c r="K51" i="2"/>
  <c r="K55" i="2"/>
  <c r="K50" i="2"/>
  <c r="Z105" i="12"/>
  <c r="Z45" i="12"/>
  <c r="Z51" i="12"/>
  <c r="O102" i="12"/>
  <c r="L42" i="12"/>
  <c r="BP12" i="1"/>
  <c r="BP294" i="1"/>
  <c r="CL119" i="1"/>
  <c r="L21" i="12"/>
  <c r="BP214" i="1"/>
  <c r="CZ346" i="1"/>
  <c r="CE346" i="1"/>
  <c r="DA346" i="1" s="1"/>
  <c r="CZ151" i="1"/>
  <c r="CE151" i="1"/>
  <c r="CZ75" i="1"/>
  <c r="CE75" i="1"/>
  <c r="CZ284" i="1"/>
  <c r="CE284" i="1"/>
  <c r="DA284" i="1" s="1"/>
  <c r="Z180" i="12"/>
  <c r="O49" i="2"/>
  <c r="O59" i="2" s="1"/>
  <c r="Q59" i="2"/>
  <c r="CI369" i="1"/>
  <c r="BN369" i="1"/>
  <c r="CI231" i="1"/>
  <c r="BN231" i="1"/>
  <c r="CI401" i="1"/>
  <c r="BN401" i="1"/>
  <c r="CI390" i="1"/>
  <c r="BN390" i="1"/>
  <c r="CI132" i="1"/>
  <c r="BN132" i="1"/>
  <c r="CJ132" i="1" s="1"/>
  <c r="CI98" i="1"/>
  <c r="BN98" i="1"/>
  <c r="CJ98" i="1" s="1"/>
  <c r="CI77" i="1"/>
  <c r="BN77" i="1"/>
  <c r="CJ77" i="1" s="1"/>
  <c r="CI34" i="1"/>
  <c r="BN34" i="1"/>
  <c r="CJ34" i="1" s="1"/>
  <c r="CI393" i="1"/>
  <c r="BN393" i="1"/>
  <c r="CI348" i="1"/>
  <c r="BN348" i="1"/>
  <c r="CI291" i="1"/>
  <c r="BN291" i="1"/>
  <c r="CI218" i="1"/>
  <c r="BN218" i="1"/>
  <c r="I48" i="12"/>
  <c r="N14" i="2"/>
  <c r="BN214" i="1"/>
  <c r="CI214" i="1"/>
  <c r="CI192" i="1"/>
  <c r="BN192" i="1"/>
  <c r="CI133" i="1"/>
  <c r="BN133" i="1"/>
  <c r="I27" i="12"/>
  <c r="I108" i="12"/>
  <c r="CI346" i="1"/>
  <c r="BN346" i="1"/>
  <c r="CI289" i="1"/>
  <c r="BN289" i="1"/>
  <c r="CI320" i="1"/>
  <c r="BN320" i="1"/>
  <c r="CL94" i="1"/>
  <c r="CL213" i="1"/>
  <c r="CL67" i="1"/>
  <c r="I192" i="12"/>
  <c r="BN423" i="1"/>
  <c r="CI423" i="1"/>
  <c r="N49" i="2"/>
  <c r="K56" i="2"/>
  <c r="K52" i="2"/>
  <c r="K57" i="2"/>
  <c r="K54" i="2"/>
  <c r="K48" i="2"/>
  <c r="CZ24" i="1"/>
  <c r="CE24" i="1"/>
  <c r="DA24" i="1" s="1"/>
  <c r="CE413" i="1"/>
  <c r="DA413" i="1" s="1"/>
  <c r="CZ413" i="1"/>
  <c r="BP24" i="1"/>
  <c r="BP322" i="1"/>
  <c r="CZ406" i="1"/>
  <c r="CE406" i="1"/>
  <c r="CZ390" i="1"/>
  <c r="CE390" i="1"/>
  <c r="CZ349" i="1"/>
  <c r="CE349" i="1"/>
  <c r="DA349" i="1" s="1"/>
  <c r="CZ294" i="1"/>
  <c r="CE294" i="1"/>
  <c r="DA294" i="1" s="1"/>
  <c r="CZ255" i="1"/>
  <c r="CE255" i="1"/>
  <c r="DA255" i="1" s="1"/>
  <c r="CZ155" i="1"/>
  <c r="CE155" i="1"/>
  <c r="DA155" i="1" s="1"/>
  <c r="CZ348" i="1"/>
  <c r="CE348" i="1"/>
  <c r="DA348" i="1" s="1"/>
  <c r="CZ154" i="1"/>
  <c r="CE154" i="1"/>
  <c r="DA154" i="1" s="1"/>
  <c r="CZ137" i="1"/>
  <c r="CE137" i="1"/>
  <c r="DA137" i="1" s="1"/>
  <c r="CZ133" i="1"/>
  <c r="CE133" i="1"/>
  <c r="DA133" i="1" s="1"/>
  <c r="CZ101" i="1"/>
  <c r="CE101" i="1"/>
  <c r="DA101" i="1" s="1"/>
  <c r="CZ78" i="1"/>
  <c r="CE78" i="1"/>
  <c r="DA78" i="1" s="1"/>
  <c r="CZ37" i="1"/>
  <c r="CE37" i="1"/>
  <c r="DA37" i="1" s="1"/>
  <c r="CZ33" i="1"/>
  <c r="CE33" i="1"/>
  <c r="DA33" i="1" s="1"/>
  <c r="CZ8" i="1"/>
  <c r="CE8" i="1"/>
  <c r="DA8" i="1" s="1"/>
  <c r="Z27" i="12"/>
  <c r="Z42" i="12"/>
  <c r="Z63" i="12"/>
  <c r="CZ345" i="1"/>
  <c r="CE345" i="1"/>
  <c r="DA345" i="1" s="1"/>
  <c r="CZ95" i="1"/>
  <c r="Z12" i="12"/>
  <c r="CE95" i="1"/>
  <c r="CF95" i="1" s="1"/>
  <c r="CZ289" i="1"/>
  <c r="CE289" i="1"/>
  <c r="DA289" i="1" s="1"/>
  <c r="Z87" i="12"/>
  <c r="Z6" i="12"/>
  <c r="Z123" i="12"/>
  <c r="Z90" i="12"/>
  <c r="CL340" i="1"/>
  <c r="CL117" i="1"/>
  <c r="CL403" i="1"/>
  <c r="CL274" i="1"/>
  <c r="CL148" i="1"/>
  <c r="CL90" i="1"/>
  <c r="CL62" i="1"/>
  <c r="CL91" i="1"/>
  <c r="Z177" i="12"/>
  <c r="CI145" i="1"/>
  <c r="BN145" i="1"/>
  <c r="J147" i="12" s="1"/>
  <c r="CI110" i="1"/>
  <c r="BN110" i="1"/>
  <c r="CJ110" i="1" s="1"/>
  <c r="CI372" i="1"/>
  <c r="BN372" i="1"/>
  <c r="CI51" i="1"/>
  <c r="BN51" i="1"/>
  <c r="CI392" i="1"/>
  <c r="BN392" i="1"/>
  <c r="CI285" i="1"/>
  <c r="BN285" i="1"/>
  <c r="CI134" i="1"/>
  <c r="BN134" i="1"/>
  <c r="CJ134" i="1" s="1"/>
  <c r="CI36" i="1"/>
  <c r="BN36" i="1"/>
  <c r="CJ36" i="1" s="1"/>
  <c r="CI391" i="1"/>
  <c r="BN391" i="1"/>
  <c r="CI293" i="1"/>
  <c r="BN293" i="1"/>
  <c r="I105" i="12"/>
  <c r="L117" i="12"/>
  <c r="L9" i="12"/>
  <c r="CL387" i="1"/>
  <c r="CI229" i="1"/>
  <c r="BN229" i="1"/>
  <c r="CL280" i="1"/>
  <c r="L144" i="12"/>
  <c r="Q25" i="2" l="1"/>
  <c r="DD297" i="1"/>
  <c r="DD223" i="1"/>
  <c r="AVC458" i="1"/>
  <c r="DD247" i="1"/>
  <c r="DD114" i="1"/>
  <c r="DD19" i="1"/>
  <c r="DD105" i="1"/>
  <c r="L156" i="12"/>
  <c r="DD394" i="1"/>
  <c r="DD178" i="1"/>
  <c r="DD141" i="1"/>
  <c r="DD64" i="1"/>
  <c r="BS458" i="1"/>
  <c r="BS459" i="1" s="1"/>
  <c r="O25" i="2"/>
  <c r="DD124" i="1"/>
  <c r="DD412" i="1"/>
  <c r="DD225" i="1"/>
  <c r="AO20" i="15"/>
  <c r="DD159" i="1"/>
  <c r="DD127" i="1"/>
  <c r="DD331" i="1"/>
  <c r="DD148" i="1"/>
  <c r="DD240" i="1"/>
  <c r="DD403" i="1"/>
  <c r="DD18" i="1"/>
  <c r="DD117" i="1"/>
  <c r="DD271" i="1"/>
  <c r="DD80" i="1"/>
  <c r="DD47" i="1"/>
  <c r="DD261" i="1"/>
  <c r="DD352" i="1"/>
  <c r="DD270" i="1"/>
  <c r="DD15" i="1"/>
  <c r="DD186" i="1"/>
  <c r="DD313" i="1"/>
  <c r="DD386" i="1"/>
  <c r="DD362" i="1"/>
  <c r="DD203" i="1"/>
  <c r="DD125" i="1"/>
  <c r="DD274" i="1"/>
  <c r="DD299" i="1"/>
  <c r="DD414" i="1"/>
  <c r="DD395" i="1"/>
  <c r="DD265" i="1"/>
  <c r="DD115" i="1"/>
  <c r="DD73" i="1"/>
  <c r="DD46" i="1"/>
  <c r="DD213" i="1"/>
  <c r="DD396" i="1"/>
  <c r="DD71" i="1"/>
  <c r="DD359" i="1"/>
  <c r="DD21" i="1"/>
  <c r="DD399" i="1"/>
  <c r="DD139" i="1"/>
  <c r="DD249" i="1"/>
  <c r="DD314" i="1"/>
  <c r="DD282" i="1"/>
  <c r="P21" i="15"/>
  <c r="DD336" i="1"/>
  <c r="EC12" i="15"/>
  <c r="DD108" i="1"/>
  <c r="DD364" i="1"/>
  <c r="DD116" i="1"/>
  <c r="DD329" i="1"/>
  <c r="DD251" i="1"/>
  <c r="DD351" i="1"/>
  <c r="DD318" i="1"/>
  <c r="DD241" i="1"/>
  <c r="DD242" i="1"/>
  <c r="DD227" i="1"/>
  <c r="DD63" i="1"/>
  <c r="EC18" i="15"/>
  <c r="DD301" i="1"/>
  <c r="DD238" i="1"/>
  <c r="DD39" i="1"/>
  <c r="DD259" i="1"/>
  <c r="DD44" i="1"/>
  <c r="DD138" i="1"/>
  <c r="DD162" i="1"/>
  <c r="DD87" i="1"/>
  <c r="DD302" i="1"/>
  <c r="DD374" i="1"/>
  <c r="DD300" i="1"/>
  <c r="DD113" i="1"/>
  <c r="DD27" i="1"/>
  <c r="DD326" i="1"/>
  <c r="DD262" i="1"/>
  <c r="DD296" i="1"/>
  <c r="DD43" i="1"/>
  <c r="DD128" i="1"/>
  <c r="DD197" i="1"/>
  <c r="Z25" i="15"/>
  <c r="EF20" i="15"/>
  <c r="DD212" i="1"/>
  <c r="DD421" i="1"/>
  <c r="DD409" i="1"/>
  <c r="DD85" i="1"/>
  <c r="CL4" i="1"/>
  <c r="DD41" i="1"/>
  <c r="DD169" i="1"/>
  <c r="DD20" i="1"/>
  <c r="DD356" i="1"/>
  <c r="CK20" i="15"/>
  <c r="AO25" i="15"/>
  <c r="Z20" i="15"/>
  <c r="BV20" i="15"/>
  <c r="DD62" i="1"/>
  <c r="DD221" i="1"/>
  <c r="DD187" i="1"/>
  <c r="DD275" i="1"/>
  <c r="DQ20" i="15"/>
  <c r="AW458" i="1"/>
  <c r="AW459" i="1" s="1"/>
  <c r="DD332" i="1"/>
  <c r="DD180" i="1"/>
  <c r="DD276" i="1"/>
  <c r="DD236" i="1"/>
  <c r="DD340" i="1"/>
  <c r="DD168" i="1"/>
  <c r="DD161" i="1"/>
  <c r="DD360" i="1"/>
  <c r="DD410" i="1"/>
  <c r="DD140" i="1"/>
  <c r="DD104" i="1"/>
  <c r="DD404" i="1"/>
  <c r="DD335" i="1"/>
  <c r="DD248" i="1"/>
  <c r="DD196" i="1"/>
  <c r="DD84" i="1"/>
  <c r="DD277" i="1"/>
  <c r="CH12" i="15"/>
  <c r="DD226" i="1"/>
  <c r="DD222" i="1"/>
  <c r="DD379" i="1"/>
  <c r="DD45" i="1"/>
  <c r="N21" i="15"/>
  <c r="DD258" i="1"/>
  <c r="DD143" i="1"/>
  <c r="DD163" i="1"/>
  <c r="DD74" i="1"/>
  <c r="DD142" i="1"/>
  <c r="DD130" i="1"/>
  <c r="DD147" i="1"/>
  <c r="DD190" i="1"/>
  <c r="DD339" i="1"/>
  <c r="DD149" i="1"/>
  <c r="DD363" i="1"/>
  <c r="DD209" i="1"/>
  <c r="DD42" i="1"/>
  <c r="DD224" i="1"/>
  <c r="DD210" i="1"/>
  <c r="DD298" i="1"/>
  <c r="DD109" i="1"/>
  <c r="DD260" i="1"/>
  <c r="DD315" i="1"/>
  <c r="DD176" i="1"/>
  <c r="DD327" i="1"/>
  <c r="DD305" i="1"/>
  <c r="DD328" i="1"/>
  <c r="DD13" i="1"/>
  <c r="DD317" i="1"/>
  <c r="DD183" i="1"/>
  <c r="DD68" i="1"/>
  <c r="DD81" i="1"/>
  <c r="DD181" i="1"/>
  <c r="DD199" i="1"/>
  <c r="AL12" i="15"/>
  <c r="DD361" i="1"/>
  <c r="DD239" i="1"/>
  <c r="DD184" i="1"/>
  <c r="DD167" i="1"/>
  <c r="DD211" i="1"/>
  <c r="DD30" i="1"/>
  <c r="DD202" i="1"/>
  <c r="DD158" i="1"/>
  <c r="DD171" i="1"/>
  <c r="DD280" i="1"/>
  <c r="DD263" i="1"/>
  <c r="DD25" i="1"/>
  <c r="DD252" i="1"/>
  <c r="I47" i="19"/>
  <c r="DD338" i="1"/>
  <c r="DD377" i="1"/>
  <c r="DD330" i="1"/>
  <c r="CF353" i="1"/>
  <c r="DB353" i="1" s="1"/>
  <c r="DD411" i="1"/>
  <c r="DD26" i="1"/>
  <c r="DD397" i="1"/>
  <c r="DD304" i="1"/>
  <c r="DD188" i="1"/>
  <c r="DD200" i="1"/>
  <c r="DD92" i="1"/>
  <c r="DD264" i="1"/>
  <c r="DD316" i="1"/>
  <c r="DD253" i="1"/>
  <c r="DD90" i="1"/>
  <c r="DD177" i="1"/>
  <c r="DD204" i="1"/>
  <c r="DD48" i="1"/>
  <c r="DD61" i="1"/>
  <c r="DD40" i="1"/>
  <c r="DD402" i="1"/>
  <c r="DD166" i="1"/>
  <c r="DD70" i="1"/>
  <c r="DD179" i="1"/>
  <c r="BT458" i="1"/>
  <c r="BT459" i="1" s="1"/>
  <c r="BO353" i="1"/>
  <c r="CK353" i="1" s="1"/>
  <c r="DD17" i="1"/>
  <c r="DD424" i="1"/>
  <c r="DD337" i="1"/>
  <c r="DD126" i="1"/>
  <c r="DD107" i="1"/>
  <c r="DD357" i="1"/>
  <c r="DD353" i="1"/>
  <c r="AVQ353" i="1"/>
  <c r="DD82" i="1"/>
  <c r="DD257" i="1"/>
  <c r="DD266" i="1"/>
  <c r="DD31" i="1"/>
  <c r="DD106" i="1"/>
  <c r="DD175" i="1"/>
  <c r="DD86" i="1"/>
  <c r="DD250" i="1"/>
  <c r="DD269" i="1"/>
  <c r="DD273" i="1"/>
  <c r="DD268" i="1"/>
  <c r="DD244" i="1"/>
  <c r="AL18" i="15"/>
  <c r="CH18" i="15"/>
  <c r="BB18" i="15"/>
  <c r="BC18" i="15" s="1"/>
  <c r="AVB458" i="1"/>
  <c r="CH24" i="1"/>
  <c r="AVQ24" i="1" s="1"/>
  <c r="AUY24" i="1"/>
  <c r="CL22" i="1"/>
  <c r="AUY22" i="1"/>
  <c r="DD285" i="1"/>
  <c r="AVQ285" i="1"/>
  <c r="DD145" i="1"/>
  <c r="AVQ145" i="1"/>
  <c r="DD324" i="1"/>
  <c r="AVQ324" i="1"/>
  <c r="DD135" i="1"/>
  <c r="AVQ135" i="1"/>
  <c r="DD344" i="1"/>
  <c r="AVQ344" i="1"/>
  <c r="DD229" i="1"/>
  <c r="AVQ229" i="1"/>
  <c r="DD79" i="1"/>
  <c r="AVQ79" i="1"/>
  <c r="DD291" i="1"/>
  <c r="AVQ291" i="1"/>
  <c r="DD122" i="1"/>
  <c r="AVQ122" i="1"/>
  <c r="DD23" i="1"/>
  <c r="AVQ23" i="1"/>
  <c r="DD34" i="1"/>
  <c r="AVQ34" i="1"/>
  <c r="DD321" i="1"/>
  <c r="AVQ321" i="1"/>
  <c r="DD216" i="1"/>
  <c r="AVQ216" i="1"/>
  <c r="DD193" i="1"/>
  <c r="AVQ193" i="1"/>
  <c r="DD215" i="1"/>
  <c r="AVQ215" i="1"/>
  <c r="DD36" i="1"/>
  <c r="AVQ36" i="1"/>
  <c r="DD256" i="1"/>
  <c r="AVQ256" i="1"/>
  <c r="DD406" i="1"/>
  <c r="AVQ406" i="1"/>
  <c r="DD103" i="1"/>
  <c r="AVQ103" i="1"/>
  <c r="DD146" i="1"/>
  <c r="AVQ146" i="1"/>
  <c r="DD35" i="1"/>
  <c r="AVQ35" i="1"/>
  <c r="DD97" i="1"/>
  <c r="AVQ97" i="1"/>
  <c r="DD50" i="1"/>
  <c r="AVQ50" i="1"/>
  <c r="DD289" i="1"/>
  <c r="AVQ289" i="1"/>
  <c r="DD413" i="1"/>
  <c r="AVQ413" i="1"/>
  <c r="DD155" i="1"/>
  <c r="AVQ155" i="1"/>
  <c r="DD137" i="1"/>
  <c r="AVQ137" i="1"/>
  <c r="DD255" i="1"/>
  <c r="AVQ255" i="1"/>
  <c r="DD83" i="1"/>
  <c r="AVQ83" i="1"/>
  <c r="DD157" i="1"/>
  <c r="AVQ157" i="1"/>
  <c r="DD376" i="1"/>
  <c r="AVQ376" i="1"/>
  <c r="CL322" i="1"/>
  <c r="AUY322" i="1"/>
  <c r="CH214" i="1"/>
  <c r="AVQ214" i="1" s="1"/>
  <c r="AUY214" i="1"/>
  <c r="CH12" i="1"/>
  <c r="AVQ12" i="1" s="1"/>
  <c r="AUY12" i="1"/>
  <c r="DD14" i="1"/>
  <c r="AVQ14" i="1"/>
  <c r="DD134" i="1"/>
  <c r="AVQ134" i="1"/>
  <c r="DD372" i="1"/>
  <c r="AVQ372" i="1"/>
  <c r="DD205" i="1"/>
  <c r="AVQ205" i="1"/>
  <c r="DD38" i="1"/>
  <c r="AVQ38" i="1"/>
  <c r="DD9" i="1"/>
  <c r="AVQ9" i="1"/>
  <c r="DD218" i="1"/>
  <c r="AVQ218" i="1"/>
  <c r="DD408" i="1"/>
  <c r="AVQ408" i="1"/>
  <c r="DD101" i="1"/>
  <c r="AVQ101" i="1"/>
  <c r="DD112" i="1"/>
  <c r="AVQ112" i="1"/>
  <c r="DD156" i="1"/>
  <c r="AVQ156" i="1"/>
  <c r="DD136" i="1"/>
  <c r="AVQ136" i="1"/>
  <c r="DD120" i="1"/>
  <c r="AVQ120" i="1"/>
  <c r="DD28" i="1"/>
  <c r="AVQ28" i="1"/>
  <c r="DD235" i="1"/>
  <c r="AVQ235" i="1"/>
  <c r="DD320" i="1"/>
  <c r="AVQ320" i="1"/>
  <c r="DD349" i="1"/>
  <c r="AVQ349" i="1"/>
  <c r="DD195" i="1"/>
  <c r="AVQ195" i="1"/>
  <c r="DD207" i="1"/>
  <c r="AVQ207" i="1"/>
  <c r="DD389" i="1"/>
  <c r="AVQ389" i="1"/>
  <c r="DD37" i="1"/>
  <c r="AVQ37" i="1"/>
  <c r="DD345" i="1"/>
  <c r="AVQ345" i="1"/>
  <c r="DD365" i="1"/>
  <c r="AVQ365" i="1"/>
  <c r="DD67" i="1"/>
  <c r="AVQ67" i="1"/>
  <c r="CH123" i="1"/>
  <c r="AL9" i="15" s="1"/>
  <c r="AUY123" i="1"/>
  <c r="DD358" i="1"/>
  <c r="AVQ358" i="1"/>
  <c r="AVN423" i="1"/>
  <c r="AVO423" i="1" s="1"/>
  <c r="AVN431" i="1"/>
  <c r="AVO431" i="1" s="1"/>
  <c r="CH191" i="1"/>
  <c r="AVQ191" i="1" s="1"/>
  <c r="AUY191" i="1"/>
  <c r="DD51" i="1"/>
  <c r="AVQ51" i="1"/>
  <c r="DD77" i="1"/>
  <c r="AVQ77" i="1"/>
  <c r="DD400" i="1"/>
  <c r="AVQ400" i="1"/>
  <c r="DD391" i="1"/>
  <c r="AVQ391" i="1"/>
  <c r="DD346" i="1"/>
  <c r="AVQ346" i="1"/>
  <c r="DD388" i="1"/>
  <c r="AVQ388" i="1"/>
  <c r="DD323" i="1"/>
  <c r="AVQ323" i="1"/>
  <c r="DD401" i="1"/>
  <c r="AVQ401" i="1"/>
  <c r="DD368" i="1"/>
  <c r="AVQ368" i="1"/>
  <c r="DD230" i="1"/>
  <c r="AVQ230" i="1"/>
  <c r="DD272" i="1"/>
  <c r="AVQ272" i="1"/>
  <c r="DD407" i="1"/>
  <c r="AVQ407" i="1"/>
  <c r="DQ19" i="15"/>
  <c r="AVQ423" i="1"/>
  <c r="DD393" i="1"/>
  <c r="AVQ393" i="1"/>
  <c r="DD102" i="1"/>
  <c r="AVQ102" i="1"/>
  <c r="DD194" i="1"/>
  <c r="AVQ194" i="1"/>
  <c r="DD390" i="1"/>
  <c r="AVQ390" i="1"/>
  <c r="DD153" i="1"/>
  <c r="AVQ153" i="1"/>
  <c r="DD173" i="1"/>
  <c r="AVQ173" i="1"/>
  <c r="DD133" i="1"/>
  <c r="AVQ133" i="1"/>
  <c r="DD33" i="1"/>
  <c r="AVQ33" i="1"/>
  <c r="DD348" i="1"/>
  <c r="AVQ348" i="1"/>
  <c r="DD8" i="1"/>
  <c r="AVQ8" i="1"/>
  <c r="DD152" i="1"/>
  <c r="AVQ152" i="1"/>
  <c r="DD319" i="1"/>
  <c r="AVQ319" i="1"/>
  <c r="DD284" i="1"/>
  <c r="AVQ284" i="1"/>
  <c r="DD385" i="1"/>
  <c r="AVQ385" i="1"/>
  <c r="DD237" i="1"/>
  <c r="AVQ237" i="1"/>
  <c r="DD16" i="1"/>
  <c r="AVQ16" i="1"/>
  <c r="DD29" i="1"/>
  <c r="AVQ29" i="1"/>
  <c r="CL294" i="1"/>
  <c r="AUY294" i="1"/>
  <c r="CL11" i="1"/>
  <c r="AUY11" i="1"/>
  <c r="DD392" i="1"/>
  <c r="AVQ392" i="1"/>
  <c r="DD192" i="1"/>
  <c r="AVQ192" i="1"/>
  <c r="DD231" i="1"/>
  <c r="AVQ231" i="1"/>
  <c r="DD325" i="1"/>
  <c r="AVQ325" i="1"/>
  <c r="DD234" i="1"/>
  <c r="AVQ234" i="1"/>
  <c r="DD293" i="1"/>
  <c r="AVQ293" i="1"/>
  <c r="DD98" i="1"/>
  <c r="AVQ98" i="1"/>
  <c r="DD217" i="1"/>
  <c r="AVQ217" i="1"/>
  <c r="DD174" i="1"/>
  <c r="AVQ174" i="1"/>
  <c r="DD111" i="1"/>
  <c r="AVQ111" i="1"/>
  <c r="DD373" i="1"/>
  <c r="AVQ373" i="1"/>
  <c r="DD347" i="1"/>
  <c r="AVQ347" i="1"/>
  <c r="DD172" i="1"/>
  <c r="AVQ172" i="1"/>
  <c r="DD49" i="1"/>
  <c r="AVQ49" i="1"/>
  <c r="DD350" i="1"/>
  <c r="AVQ350" i="1"/>
  <c r="DD110" i="1"/>
  <c r="AVQ110" i="1"/>
  <c r="DD295" i="1"/>
  <c r="AVQ295" i="1"/>
  <c r="DD287" i="1"/>
  <c r="AVQ287" i="1"/>
  <c r="DD232" i="1"/>
  <c r="AVQ232" i="1"/>
  <c r="DD121" i="1"/>
  <c r="AVQ121" i="1"/>
  <c r="DD292" i="1"/>
  <c r="AVQ292" i="1"/>
  <c r="DD288" i="1"/>
  <c r="AVQ288" i="1"/>
  <c r="DD154" i="1"/>
  <c r="AVQ154" i="1"/>
  <c r="DD151" i="1"/>
  <c r="AVQ151" i="1"/>
  <c r="DD371" i="1"/>
  <c r="AVQ371" i="1"/>
  <c r="DD370" i="1"/>
  <c r="AVQ370" i="1"/>
  <c r="DD206" i="1"/>
  <c r="AVQ206" i="1"/>
  <c r="DD290" i="1"/>
  <c r="AVQ290" i="1"/>
  <c r="M156" i="12"/>
  <c r="AUZ123" i="1"/>
  <c r="AVN145" i="1"/>
  <c r="AVO145" i="1" s="1"/>
  <c r="DE5" i="15"/>
  <c r="DE21" i="15" s="1"/>
  <c r="BJ5" i="15"/>
  <c r="BJ21" i="15" s="1"/>
  <c r="AJ7" i="15"/>
  <c r="BB15" i="15"/>
  <c r="BC15" i="15" s="1"/>
  <c r="BB17" i="15"/>
  <c r="BC17" i="15" s="1"/>
  <c r="CO4" i="1"/>
  <c r="CE457" i="1"/>
  <c r="I20" i="19"/>
  <c r="I19" i="19"/>
  <c r="I15" i="18"/>
  <c r="I22" i="19"/>
  <c r="I17" i="19"/>
  <c r="I16" i="18"/>
  <c r="I14" i="18"/>
  <c r="I10" i="19"/>
  <c r="I45" i="19"/>
  <c r="I45" i="18"/>
  <c r="I12" i="19"/>
  <c r="I12" i="18"/>
  <c r="I17" i="18"/>
  <c r="I10" i="18"/>
  <c r="J19" i="18"/>
  <c r="J49" i="18"/>
  <c r="J59" i="18" s="1"/>
  <c r="L59" i="18"/>
  <c r="J21" i="18"/>
  <c r="J17" i="19"/>
  <c r="L60" i="18"/>
  <c r="J44" i="18"/>
  <c r="L58" i="18"/>
  <c r="J11" i="18"/>
  <c r="J20" i="18"/>
  <c r="J16" i="19"/>
  <c r="J15" i="18"/>
  <c r="M58" i="18"/>
  <c r="M60" i="18"/>
  <c r="J22" i="19"/>
  <c r="J14" i="19"/>
  <c r="BJ456" i="1"/>
  <c r="BJ458" i="1" s="1"/>
  <c r="BJ459" i="1" s="1"/>
  <c r="J19" i="19"/>
  <c r="I44" i="18"/>
  <c r="J47" i="18"/>
  <c r="M60" i="19"/>
  <c r="M58" i="19"/>
  <c r="I59" i="18"/>
  <c r="L60" i="19"/>
  <c r="J44" i="19"/>
  <c r="L58" i="19"/>
  <c r="J11" i="19"/>
  <c r="J20" i="19"/>
  <c r="J16" i="18"/>
  <c r="J15" i="19"/>
  <c r="I16" i="19"/>
  <c r="I22" i="18"/>
  <c r="I47" i="18"/>
  <c r="I14" i="19"/>
  <c r="I11" i="19"/>
  <c r="I11" i="18"/>
  <c r="I9" i="19"/>
  <c r="I9" i="18"/>
  <c r="I21" i="18"/>
  <c r="I21" i="19"/>
  <c r="I13" i="19"/>
  <c r="I13" i="18"/>
  <c r="O3" i="12"/>
  <c r="R46" i="18"/>
  <c r="J10" i="18"/>
  <c r="I44" i="19"/>
  <c r="J47" i="19"/>
  <c r="I20" i="18"/>
  <c r="I59" i="19"/>
  <c r="I19" i="18"/>
  <c r="J23" i="18"/>
  <c r="P23" i="18" s="1"/>
  <c r="J45" i="18"/>
  <c r="J12" i="18"/>
  <c r="J13" i="18"/>
  <c r="O25" i="18"/>
  <c r="M9" i="18"/>
  <c r="M25" i="18" s="1"/>
  <c r="I15" i="19"/>
  <c r="R46" i="19"/>
  <c r="J10" i="19"/>
  <c r="J49" i="19"/>
  <c r="L59" i="19"/>
  <c r="J21" i="19"/>
  <c r="J17" i="18"/>
  <c r="J23" i="19"/>
  <c r="J45" i="19"/>
  <c r="J12" i="19"/>
  <c r="J13" i="19"/>
  <c r="O25" i="19"/>
  <c r="M9" i="19"/>
  <c r="M25" i="19" s="1"/>
  <c r="J22" i="18"/>
  <c r="J14" i="18"/>
  <c r="CL123" i="1"/>
  <c r="BP457" i="1"/>
  <c r="K45" i="2"/>
  <c r="BL457" i="1"/>
  <c r="BI458" i="1"/>
  <c r="BI459" i="1" s="1"/>
  <c r="CM123" i="1"/>
  <c r="BQ457" i="1"/>
  <c r="J156" i="12"/>
  <c r="BN457" i="1"/>
  <c r="AT458" i="1"/>
  <c r="AT459" i="1" s="1"/>
  <c r="BB12" i="15"/>
  <c r="BC12" i="15" s="1"/>
  <c r="K9" i="2"/>
  <c r="BP456" i="1"/>
  <c r="BQ4" i="1"/>
  <c r="AUZ4" i="1" s="1"/>
  <c r="AU456" i="1"/>
  <c r="AU458" i="1" s="1"/>
  <c r="AU459" i="1" s="1"/>
  <c r="L45" i="2"/>
  <c r="L44" i="2"/>
  <c r="CF411" i="1"/>
  <c r="DB411" i="1" s="1"/>
  <c r="AB9" i="15"/>
  <c r="AJ9" i="15" s="1"/>
  <c r="CF274" i="1"/>
  <c r="DB274" i="1" s="1"/>
  <c r="CF67" i="1"/>
  <c r="DB67" i="1" s="1"/>
  <c r="CF301" i="1"/>
  <c r="DB301" i="1" s="1"/>
  <c r="CF81" i="1"/>
  <c r="DB81" i="1" s="1"/>
  <c r="CF31" i="1"/>
  <c r="DB31" i="1" s="1"/>
  <c r="CF19" i="1"/>
  <c r="DB19" i="1" s="1"/>
  <c r="CF237" i="1"/>
  <c r="DB237" i="1" s="1"/>
  <c r="CF355" i="1"/>
  <c r="DB355" i="1" s="1"/>
  <c r="CF385" i="1"/>
  <c r="DB385" i="1" s="1"/>
  <c r="CF47" i="1"/>
  <c r="DB47" i="1" s="1"/>
  <c r="BO385" i="1"/>
  <c r="CK385" i="1" s="1"/>
  <c r="CJ385" i="1"/>
  <c r="BO62" i="1"/>
  <c r="CK62" i="1" s="1"/>
  <c r="CJ62" i="1"/>
  <c r="BO398" i="1"/>
  <c r="CK398" i="1" s="1"/>
  <c r="CJ398" i="1"/>
  <c r="CJ113" i="1"/>
  <c r="BO113" i="1"/>
  <c r="CK113" i="1" s="1"/>
  <c r="BO301" i="1"/>
  <c r="CK301" i="1" s="1"/>
  <c r="CJ301" i="1"/>
  <c r="CF365" i="1"/>
  <c r="DB365" i="1" s="1"/>
  <c r="DA365" i="1"/>
  <c r="BO228" i="1"/>
  <c r="CK228" i="1" s="1"/>
  <c r="CJ228" i="1"/>
  <c r="BO220" i="1"/>
  <c r="CK220" i="1" s="1"/>
  <c r="CJ220" i="1"/>
  <c r="CF386" i="1"/>
  <c r="DB386" i="1" s="1"/>
  <c r="DA386" i="1"/>
  <c r="CJ31" i="1"/>
  <c r="BO31" i="1"/>
  <c r="CK31" i="1" s="1"/>
  <c r="CF228" i="1"/>
  <c r="DB228" i="1" s="1"/>
  <c r="DA398" i="1"/>
  <c r="CF398" i="1"/>
  <c r="DB398" i="1" s="1"/>
  <c r="BO386" i="1"/>
  <c r="CK386" i="1" s="1"/>
  <c r="CJ386" i="1"/>
  <c r="BO47" i="1"/>
  <c r="CK47" i="1" s="1"/>
  <c r="CJ47" i="1"/>
  <c r="CF220" i="1"/>
  <c r="DB220" i="1" s="1"/>
  <c r="CF113" i="1"/>
  <c r="DB113" i="1" s="1"/>
  <c r="CJ274" i="1"/>
  <c r="BO274" i="1"/>
  <c r="CK274" i="1" s="1"/>
  <c r="CF83" i="1"/>
  <c r="DB83" i="1" s="1"/>
  <c r="DA83" i="1"/>
  <c r="CF62" i="1"/>
  <c r="DB62" i="1" s="1"/>
  <c r="CF418" i="1"/>
  <c r="DB418" i="1" s="1"/>
  <c r="DA418" i="1"/>
  <c r="CJ237" i="1"/>
  <c r="BO237" i="1"/>
  <c r="CK237" i="1" s="1"/>
  <c r="CF65" i="1"/>
  <c r="DB65" i="1" s="1"/>
  <c r="BO19" i="1"/>
  <c r="CK19" i="1" s="1"/>
  <c r="CJ19" i="1"/>
  <c r="L14" i="2"/>
  <c r="L13" i="2"/>
  <c r="L17" i="2"/>
  <c r="L21" i="2"/>
  <c r="L12" i="2"/>
  <c r="L16" i="2"/>
  <c r="L15" i="2"/>
  <c r="L11" i="2"/>
  <c r="L10" i="2"/>
  <c r="L19" i="2"/>
  <c r="L22" i="2"/>
  <c r="L20" i="2"/>
  <c r="L23" i="2"/>
  <c r="V23" i="2" s="1"/>
  <c r="BB16" i="15"/>
  <c r="BC16" i="15" s="1"/>
  <c r="J33" i="15"/>
  <c r="S33" i="15" s="1"/>
  <c r="CH7" i="15"/>
  <c r="AL7" i="15"/>
  <c r="BX7" i="15"/>
  <c r="CF7" i="15" s="1"/>
  <c r="K44" i="2"/>
  <c r="DS7" i="15"/>
  <c r="EA7" i="15" s="1"/>
  <c r="DA145" i="1"/>
  <c r="AA147" i="12"/>
  <c r="EC7" i="15"/>
  <c r="J34" i="15"/>
  <c r="S34" i="15" s="1"/>
  <c r="DA123" i="1"/>
  <c r="AA156" i="12"/>
  <c r="BX9" i="15"/>
  <c r="CF9" i="15" s="1"/>
  <c r="DS9" i="15"/>
  <c r="EA9" i="15" s="1"/>
  <c r="L111" i="12"/>
  <c r="L66" i="12"/>
  <c r="BB13" i="15"/>
  <c r="BC13" i="15" s="1"/>
  <c r="Z24" i="15"/>
  <c r="BV19" i="15"/>
  <c r="BO423" i="1"/>
  <c r="K129" i="12" s="1"/>
  <c r="J129" i="12"/>
  <c r="Z19" i="15"/>
  <c r="EF19" i="15"/>
  <c r="AO24" i="15"/>
  <c r="CK19" i="15"/>
  <c r="AO19" i="15"/>
  <c r="L12" i="12"/>
  <c r="L3" i="12"/>
  <c r="BB11" i="15"/>
  <c r="BC11" i="15" s="1"/>
  <c r="BF12" i="15"/>
  <c r="BU12" i="15" s="1"/>
  <c r="DA11" i="15"/>
  <c r="DH11" i="15" s="1"/>
  <c r="DM11" i="15" s="1"/>
  <c r="DN11" i="15" s="1"/>
  <c r="BB9" i="15"/>
  <c r="BC9" i="15" s="1"/>
  <c r="J26" i="15"/>
  <c r="CJ5" i="15"/>
  <c r="CJ9" i="15"/>
  <c r="CJ10" i="15"/>
  <c r="DQ10" i="15"/>
  <c r="BV10" i="15"/>
  <c r="EF10" i="15"/>
  <c r="CK10" i="15"/>
  <c r="BF17" i="15"/>
  <c r="EE17" i="15"/>
  <c r="CJ17" i="15"/>
  <c r="DA17" i="15"/>
  <c r="BF7" i="15"/>
  <c r="BO7" i="15" s="1"/>
  <c r="DA7" i="15"/>
  <c r="CJ7" i="15"/>
  <c r="EE7" i="15"/>
  <c r="BF18" i="15"/>
  <c r="BO18" i="15" s="1"/>
  <c r="DA18" i="15"/>
  <c r="CJ18" i="15"/>
  <c r="EE18" i="15"/>
  <c r="BV7" i="15"/>
  <c r="EF7" i="15"/>
  <c r="DQ7" i="15"/>
  <c r="CK7" i="15"/>
  <c r="BF13" i="15"/>
  <c r="EE13" i="15"/>
  <c r="CJ13" i="15"/>
  <c r="DA13" i="15"/>
  <c r="BF11" i="15"/>
  <c r="BM11" i="15" s="1"/>
  <c r="BR11" i="15" s="1"/>
  <c r="BS11" i="15" s="1"/>
  <c r="CJ12" i="15"/>
  <c r="DA10" i="15"/>
  <c r="DH10" i="15" s="1"/>
  <c r="DM10" i="15" s="1"/>
  <c r="DN10" i="15" s="1"/>
  <c r="DJ19" i="15"/>
  <c r="DL19" i="15" s="1"/>
  <c r="DP19" i="15"/>
  <c r="DH19" i="15"/>
  <c r="DM19" i="15" s="1"/>
  <c r="DN19" i="15" s="1"/>
  <c r="BF5" i="15"/>
  <c r="EE9" i="15"/>
  <c r="BF15" i="15"/>
  <c r="DA15" i="15"/>
  <c r="DH15" i="15" s="1"/>
  <c r="DM15" i="15" s="1"/>
  <c r="DN15" i="15" s="1"/>
  <c r="CJ15" i="15"/>
  <c r="EE15" i="15"/>
  <c r="BF6" i="15"/>
  <c r="DA6" i="15"/>
  <c r="EE6" i="15"/>
  <c r="CJ6" i="15"/>
  <c r="EF16" i="15"/>
  <c r="BV16" i="15"/>
  <c r="DQ16" i="15"/>
  <c r="CK16" i="15"/>
  <c r="DQ18" i="15"/>
  <c r="BV18" i="15"/>
  <c r="EF18" i="15"/>
  <c r="CK18" i="15"/>
  <c r="EE11" i="15"/>
  <c r="EE12" i="15"/>
  <c r="EE10" i="15"/>
  <c r="BU19" i="15"/>
  <c r="BO19" i="15"/>
  <c r="BQ19" i="15" s="1"/>
  <c r="BM19" i="15"/>
  <c r="BR19" i="15" s="1"/>
  <c r="BS19" i="15" s="1"/>
  <c r="EE5" i="15"/>
  <c r="BF9" i="15"/>
  <c r="DS16" i="15"/>
  <c r="BX16" i="15"/>
  <c r="BF8" i="15"/>
  <c r="EE8" i="15"/>
  <c r="DA8" i="15"/>
  <c r="DP8" i="15" s="1"/>
  <c r="CJ8" i="15"/>
  <c r="EF8" i="15"/>
  <c r="BV8" i="15"/>
  <c r="DQ8" i="15"/>
  <c r="CK8" i="15"/>
  <c r="CJ11" i="15"/>
  <c r="DA12" i="15"/>
  <c r="DJ20" i="15"/>
  <c r="DL20" i="15" s="1"/>
  <c r="DP20" i="15"/>
  <c r="DH20" i="15"/>
  <c r="DM20" i="15" s="1"/>
  <c r="DN20" i="15" s="1"/>
  <c r="BF10" i="15"/>
  <c r="DA5" i="15"/>
  <c r="DA9" i="15"/>
  <c r="DP9" i="15" s="1"/>
  <c r="DT16" i="15"/>
  <c r="DT21" i="15" s="1"/>
  <c r="DV21" i="15"/>
  <c r="BV11" i="15"/>
  <c r="EF11" i="15"/>
  <c r="DQ11" i="15"/>
  <c r="CK11" i="15"/>
  <c r="BF16" i="15"/>
  <c r="BO16" i="15" s="1"/>
  <c r="EE16" i="15"/>
  <c r="CJ16" i="15"/>
  <c r="DA16" i="15"/>
  <c r="AL16" i="15"/>
  <c r="CH16" i="15"/>
  <c r="EC16" i="15"/>
  <c r="BU20" i="15"/>
  <c r="BO20" i="15"/>
  <c r="BQ20" i="15" s="1"/>
  <c r="BM20" i="15"/>
  <c r="BR20" i="15" s="1"/>
  <c r="BS20" i="15" s="1"/>
  <c r="BY16" i="15"/>
  <c r="BY21" i="15" s="1"/>
  <c r="CA21" i="15"/>
  <c r="AN26" i="15"/>
  <c r="BB10" i="15"/>
  <c r="BC10" i="15" s="1"/>
  <c r="AN5" i="15"/>
  <c r="AN11" i="15"/>
  <c r="AN9" i="15"/>
  <c r="AN12" i="15"/>
  <c r="J10" i="15"/>
  <c r="S10" i="15" s="1"/>
  <c r="U10" i="15" s="1"/>
  <c r="Z10" i="15"/>
  <c r="AO10" i="15"/>
  <c r="AO11" i="15"/>
  <c r="Z11" i="15"/>
  <c r="AB16" i="15"/>
  <c r="J36" i="15"/>
  <c r="AN8" i="15"/>
  <c r="J8" i="15"/>
  <c r="AN6" i="15"/>
  <c r="J6" i="15"/>
  <c r="S6" i="15" s="1"/>
  <c r="U6" i="15" s="1"/>
  <c r="Z16" i="15"/>
  <c r="AO16" i="15"/>
  <c r="Q20" i="15"/>
  <c r="S20" i="15"/>
  <c r="U20" i="15" s="1"/>
  <c r="AN10" i="15"/>
  <c r="S19" i="15"/>
  <c r="U19" i="15" s="1"/>
  <c r="Q19" i="15"/>
  <c r="J5" i="15"/>
  <c r="BB8" i="15"/>
  <c r="S35" i="15"/>
  <c r="K38" i="15"/>
  <c r="M48" i="15"/>
  <c r="J11" i="15"/>
  <c r="Q11" i="15" s="1"/>
  <c r="AO8" i="15"/>
  <c r="Z8" i="15"/>
  <c r="AF21" i="15"/>
  <c r="J12" i="15"/>
  <c r="Q12" i="15" s="1"/>
  <c r="J9" i="15"/>
  <c r="Q9" i="15" s="1"/>
  <c r="N47" i="15"/>
  <c r="J17" i="15"/>
  <c r="AN17" i="15"/>
  <c r="J7" i="15"/>
  <c r="AN7" i="15"/>
  <c r="AN16" i="15"/>
  <c r="J16" i="15"/>
  <c r="S16" i="15" s="1"/>
  <c r="U16" i="15" s="1"/>
  <c r="AO18" i="15"/>
  <c r="Z18" i="15"/>
  <c r="AC16" i="15"/>
  <c r="AC21" i="15" s="1"/>
  <c r="AE21" i="15"/>
  <c r="BB6" i="15"/>
  <c r="J15" i="15"/>
  <c r="AN15" i="15"/>
  <c r="J18" i="15"/>
  <c r="AN18" i="15"/>
  <c r="AO7" i="15"/>
  <c r="Z7" i="15"/>
  <c r="AN13" i="15"/>
  <c r="J13" i="15"/>
  <c r="K36" i="15"/>
  <c r="M49" i="15"/>
  <c r="M47" i="15"/>
  <c r="V54" i="2"/>
  <c r="V52" i="2"/>
  <c r="V55" i="2"/>
  <c r="V46" i="2"/>
  <c r="V56" i="2"/>
  <c r="V50" i="2"/>
  <c r="V51" i="2"/>
  <c r="V53" i="2"/>
  <c r="V24" i="2"/>
  <c r="R24" i="2"/>
  <c r="K30" i="2"/>
  <c r="CH22" i="1"/>
  <c r="AVQ22" i="1" s="1"/>
  <c r="BO102" i="1"/>
  <c r="CK102" i="1" s="1"/>
  <c r="CH294" i="1"/>
  <c r="CH322" i="1"/>
  <c r="CH11" i="1"/>
  <c r="AVQ11" i="1" s="1"/>
  <c r="AD147" i="12"/>
  <c r="DD129" i="1"/>
  <c r="DD417" i="1"/>
  <c r="AD129" i="12"/>
  <c r="AD138" i="12"/>
  <c r="DD416" i="1"/>
  <c r="CF112" i="1"/>
  <c r="DB112" i="1" s="1"/>
  <c r="AD180" i="12"/>
  <c r="W181" i="12" s="1"/>
  <c r="DD66" i="1"/>
  <c r="S6" i="14"/>
  <c r="S10" i="14"/>
  <c r="CF407" i="1"/>
  <c r="DB407" i="1" s="1"/>
  <c r="T4" i="14"/>
  <c r="U5" i="14"/>
  <c r="U10" i="14"/>
  <c r="T6" i="14"/>
  <c r="T7" i="14"/>
  <c r="U6" i="14"/>
  <c r="T5" i="14"/>
  <c r="U4" i="14"/>
  <c r="T10" i="14"/>
  <c r="U7" i="14"/>
  <c r="BO110" i="1"/>
  <c r="CK110" i="1" s="1"/>
  <c r="BO34" i="1"/>
  <c r="CK34" i="1" s="1"/>
  <c r="BO77" i="1"/>
  <c r="CK77" i="1" s="1"/>
  <c r="CF120" i="1"/>
  <c r="DB120" i="1" s="1"/>
  <c r="CF145" i="1"/>
  <c r="V57" i="2"/>
  <c r="CF413" i="1"/>
  <c r="DB413" i="1" s="1"/>
  <c r="BO151" i="1"/>
  <c r="CK151" i="1" s="1"/>
  <c r="BO9" i="1"/>
  <c r="CK9" i="1" s="1"/>
  <c r="BO50" i="1"/>
  <c r="CK50" i="1" s="1"/>
  <c r="BO36" i="1"/>
  <c r="CK36" i="1" s="1"/>
  <c r="CF345" i="1"/>
  <c r="DB345" i="1" s="1"/>
  <c r="CF33" i="1"/>
  <c r="DB33" i="1" s="1"/>
  <c r="CF319" i="1"/>
  <c r="DB319" i="1" s="1"/>
  <c r="CF235" i="1"/>
  <c r="DB235" i="1" s="1"/>
  <c r="BO12" i="1"/>
  <c r="CK12" i="1" s="1"/>
  <c r="CF155" i="1"/>
  <c r="DB155" i="1" s="1"/>
  <c r="CF346" i="1"/>
  <c r="DB346" i="1" s="1"/>
  <c r="CF256" i="1"/>
  <c r="DB256" i="1" s="1"/>
  <c r="CF321" i="1"/>
  <c r="DB321" i="1" s="1"/>
  <c r="CF325" i="1"/>
  <c r="DB325" i="1" s="1"/>
  <c r="CF23" i="1"/>
  <c r="DB23" i="1" s="1"/>
  <c r="CF35" i="1"/>
  <c r="DB35" i="1" s="1"/>
  <c r="CF391" i="1"/>
  <c r="DB391" i="1" s="1"/>
  <c r="CF9" i="1"/>
  <c r="DB9" i="1" s="1"/>
  <c r="CF389" i="1"/>
  <c r="DB389" i="1" s="1"/>
  <c r="CF146" i="1"/>
  <c r="DB146" i="1" s="1"/>
  <c r="CF194" i="1"/>
  <c r="DB194" i="1" s="1"/>
  <c r="CF122" i="1"/>
  <c r="DB122" i="1" s="1"/>
  <c r="CF285" i="1"/>
  <c r="DB285" i="1" s="1"/>
  <c r="CF320" i="1"/>
  <c r="DB320" i="1" s="1"/>
  <c r="CF49" i="1"/>
  <c r="DB49" i="1" s="1"/>
  <c r="CF372" i="1"/>
  <c r="DB372" i="1" s="1"/>
  <c r="CF323" i="1"/>
  <c r="DB323" i="1" s="1"/>
  <c r="CF153" i="1"/>
  <c r="DB153" i="1" s="1"/>
  <c r="CF111" i="1"/>
  <c r="DB111" i="1" s="1"/>
  <c r="CF133" i="1"/>
  <c r="DB133" i="1" s="1"/>
  <c r="CF34" i="1"/>
  <c r="DB34" i="1" s="1"/>
  <c r="CF193" i="1"/>
  <c r="DB193" i="1" s="1"/>
  <c r="CF135" i="1"/>
  <c r="DB135" i="1" s="1"/>
  <c r="CF401" i="1"/>
  <c r="DB401" i="1" s="1"/>
  <c r="CF78" i="1"/>
  <c r="DB78" i="1" s="1"/>
  <c r="CF154" i="1"/>
  <c r="DB154" i="1" s="1"/>
  <c r="CF294" i="1"/>
  <c r="DB294" i="1" s="1"/>
  <c r="BO132" i="1"/>
  <c r="CK132" i="1" s="1"/>
  <c r="CF123" i="1"/>
  <c r="CF295" i="1"/>
  <c r="DB295" i="1" s="1"/>
  <c r="CF98" i="1"/>
  <c r="DB98" i="1" s="1"/>
  <c r="CF132" i="1"/>
  <c r="DB132" i="1" s="1"/>
  <c r="CF288" i="1"/>
  <c r="DB288" i="1" s="1"/>
  <c r="CF293" i="1"/>
  <c r="DB293" i="1" s="1"/>
  <c r="CF324" i="1"/>
  <c r="DB324" i="1" s="1"/>
  <c r="CF174" i="1"/>
  <c r="DB174" i="1" s="1"/>
  <c r="CF97" i="1"/>
  <c r="DB97" i="1" s="1"/>
  <c r="CF287" i="1"/>
  <c r="DB287" i="1" s="1"/>
  <c r="CF230" i="1"/>
  <c r="DB230" i="1" s="1"/>
  <c r="CF50" i="1"/>
  <c r="DB50" i="1" s="1"/>
  <c r="CF231" i="1"/>
  <c r="DB231" i="1" s="1"/>
  <c r="CF232" i="1"/>
  <c r="DB232" i="1" s="1"/>
  <c r="BO22" i="1"/>
  <c r="CK22" i="1" s="1"/>
  <c r="CK32" i="1"/>
  <c r="CK75" i="1"/>
  <c r="DB69" i="1"/>
  <c r="DB191" i="1"/>
  <c r="AB198" i="12"/>
  <c r="DB32" i="1"/>
  <c r="CJ229" i="1"/>
  <c r="BO229" i="1"/>
  <c r="CK229" i="1" s="1"/>
  <c r="J105" i="12"/>
  <c r="CJ293" i="1"/>
  <c r="BO293" i="1"/>
  <c r="CK293" i="1" s="1"/>
  <c r="CJ391" i="1"/>
  <c r="BO391" i="1"/>
  <c r="CK391" i="1" s="1"/>
  <c r="K20" i="2"/>
  <c r="BO51" i="1"/>
  <c r="CK51" i="1" s="1"/>
  <c r="CJ51" i="1"/>
  <c r="BO145" i="1"/>
  <c r="CJ145" i="1"/>
  <c r="AD144" i="12"/>
  <c r="BO134" i="1"/>
  <c r="CK134" i="1" s="1"/>
  <c r="BO285" i="1"/>
  <c r="CK285" i="1" s="1"/>
  <c r="CJ285" i="1"/>
  <c r="BO392" i="1"/>
  <c r="CK392" i="1" s="1"/>
  <c r="CJ392" i="1"/>
  <c r="BO372" i="1"/>
  <c r="CK372" i="1" s="1"/>
  <c r="CJ372" i="1"/>
  <c r="AA177" i="12"/>
  <c r="AA123" i="12"/>
  <c r="AA6" i="12"/>
  <c r="AB6" i="12" s="1"/>
  <c r="AA87" i="12"/>
  <c r="DB95" i="1"/>
  <c r="AA42" i="12"/>
  <c r="DA390" i="1"/>
  <c r="CF390" i="1"/>
  <c r="DB390" i="1" s="1"/>
  <c r="DA406" i="1"/>
  <c r="CF406" i="1"/>
  <c r="DB406" i="1" s="1"/>
  <c r="CL24" i="1"/>
  <c r="K59" i="2"/>
  <c r="V48" i="2"/>
  <c r="K192" i="12"/>
  <c r="DD423" i="1"/>
  <c r="AD192" i="12"/>
  <c r="J192" i="12"/>
  <c r="CJ423" i="1"/>
  <c r="K17" i="2"/>
  <c r="CJ346" i="1"/>
  <c r="BO346" i="1"/>
  <c r="CK346" i="1" s="1"/>
  <c r="AD108" i="12"/>
  <c r="CJ133" i="1"/>
  <c r="BO133" i="1"/>
  <c r="CK133" i="1" s="1"/>
  <c r="CJ218" i="1"/>
  <c r="BO218" i="1"/>
  <c r="CK218" i="1" s="1"/>
  <c r="K16" i="2"/>
  <c r="BO231" i="1"/>
  <c r="CK231" i="1" s="1"/>
  <c r="CJ231" i="1"/>
  <c r="AA180" i="12"/>
  <c r="DA75" i="1"/>
  <c r="CF75" i="1"/>
  <c r="CL214" i="1"/>
  <c r="L48" i="12"/>
  <c r="CL12" i="1"/>
  <c r="AA51" i="12"/>
  <c r="AD105" i="12"/>
  <c r="J18" i="12"/>
  <c r="J114" i="12"/>
  <c r="BO343" i="1"/>
  <c r="CJ343" i="1"/>
  <c r="DD343" i="1"/>
  <c r="J24" i="12"/>
  <c r="J36" i="12"/>
  <c r="J126" i="12"/>
  <c r="BO290" i="1"/>
  <c r="CK290" i="1" s="1"/>
  <c r="CJ290" i="1"/>
  <c r="AD45" i="12"/>
  <c r="BO76" i="1"/>
  <c r="CK76" i="1" s="1"/>
  <c r="CJ76" i="1"/>
  <c r="BO156" i="1"/>
  <c r="CK156" i="1" s="1"/>
  <c r="CJ156" i="1"/>
  <c r="BO216" i="1"/>
  <c r="CK216" i="1" s="1"/>
  <c r="CJ216" i="1"/>
  <c r="CJ344" i="1"/>
  <c r="BO344" i="1"/>
  <c r="CK344" i="1" s="1"/>
  <c r="BO347" i="1"/>
  <c r="CK347" i="1" s="1"/>
  <c r="BO232" i="1"/>
  <c r="CK232" i="1" s="1"/>
  <c r="CJ232" i="1"/>
  <c r="AD117" i="12"/>
  <c r="CF152" i="1"/>
  <c r="DB152" i="1" s="1"/>
  <c r="AA75" i="12"/>
  <c r="DA283" i="1"/>
  <c r="AA108" i="12"/>
  <c r="AA69" i="12"/>
  <c r="AA54" i="12"/>
  <c r="AA21" i="12"/>
  <c r="DA119" i="1"/>
  <c r="CF192" i="1"/>
  <c r="DB192" i="1" s="1"/>
  <c r="AA48" i="12"/>
  <c r="DA214" i="1"/>
  <c r="CF12" i="1"/>
  <c r="DB12" i="1" s="1"/>
  <c r="CF77" i="1"/>
  <c r="DB77" i="1" s="1"/>
  <c r="CF136" i="1"/>
  <c r="DB136" i="1" s="1"/>
  <c r="CF215" i="1"/>
  <c r="DB215" i="1" s="1"/>
  <c r="BO319" i="1"/>
  <c r="CK319" i="1" s="1"/>
  <c r="CJ319" i="1"/>
  <c r="J90" i="12"/>
  <c r="J69" i="12"/>
  <c r="BO78" i="1"/>
  <c r="CK78" i="1" s="1"/>
  <c r="CJ78" i="1"/>
  <c r="BO255" i="1"/>
  <c r="CK255" i="1" s="1"/>
  <c r="CJ255" i="1"/>
  <c r="CJ49" i="1"/>
  <c r="BO49" i="1"/>
  <c r="CK49" i="1" s="1"/>
  <c r="BO205" i="1"/>
  <c r="CK205" i="1" s="1"/>
  <c r="CJ205" i="1"/>
  <c r="CJ272" i="1"/>
  <c r="BO272" i="1"/>
  <c r="CK272" i="1" s="1"/>
  <c r="AA81" i="12"/>
  <c r="AA114" i="12"/>
  <c r="AA111" i="12"/>
  <c r="DA387" i="1"/>
  <c r="AA99" i="12"/>
  <c r="CF121" i="1"/>
  <c r="DB121" i="1" s="1"/>
  <c r="AA39" i="12"/>
  <c r="DA150" i="1"/>
  <c r="CF216" i="1"/>
  <c r="DB216" i="1" s="1"/>
  <c r="AA66" i="12"/>
  <c r="DA254" i="1"/>
  <c r="CF344" i="1"/>
  <c r="DB344" i="1" s="1"/>
  <c r="CF134" i="1"/>
  <c r="DB134" i="1" s="1"/>
  <c r="DA134" i="1"/>
  <c r="CF195" i="1"/>
  <c r="DB195" i="1" s="1"/>
  <c r="DA195" i="1"/>
  <c r="CF217" i="1"/>
  <c r="DB217" i="1" s="1"/>
  <c r="CF388" i="1"/>
  <c r="DB388" i="1" s="1"/>
  <c r="DA388" i="1"/>
  <c r="DA392" i="1"/>
  <c r="CF392" i="1"/>
  <c r="DB392" i="1" s="1"/>
  <c r="CF408" i="1"/>
  <c r="DB408" i="1" s="1"/>
  <c r="DA408" i="1"/>
  <c r="CF172" i="1"/>
  <c r="DB172" i="1" s="1"/>
  <c r="CF173" i="1"/>
  <c r="DB173" i="1" s="1"/>
  <c r="DA369" i="1"/>
  <c r="CF369" i="1"/>
  <c r="DB369" i="1" s="1"/>
  <c r="CF373" i="1"/>
  <c r="DB373" i="1" s="1"/>
  <c r="DA373" i="1"/>
  <c r="AD207" i="12"/>
  <c r="CL191" i="1"/>
  <c r="L57" i="12"/>
  <c r="AD96" i="12"/>
  <c r="AD30" i="12"/>
  <c r="DD131" i="1"/>
  <c r="J30" i="12"/>
  <c r="CJ131" i="1"/>
  <c r="BO131" i="1"/>
  <c r="BO407" i="1"/>
  <c r="CK407" i="1" s="1"/>
  <c r="CJ407" i="1"/>
  <c r="BO79" i="1"/>
  <c r="CK79" i="1" s="1"/>
  <c r="BO408" i="1"/>
  <c r="CK408" i="1" s="1"/>
  <c r="CJ408" i="1"/>
  <c r="AA117" i="12"/>
  <c r="CF290" i="1"/>
  <c r="DB290" i="1" s="1"/>
  <c r="CF229" i="1"/>
  <c r="DB229" i="1" s="1"/>
  <c r="CF51" i="1"/>
  <c r="DB51" i="1" s="1"/>
  <c r="CF322" i="1"/>
  <c r="DB322" i="1" s="1"/>
  <c r="DA371" i="1"/>
  <c r="CF371" i="1"/>
  <c r="DB371" i="1" s="1"/>
  <c r="AD225" i="12"/>
  <c r="AD171" i="12"/>
  <c r="AD153" i="12"/>
  <c r="N154" i="12" s="1"/>
  <c r="AD186" i="12"/>
  <c r="AD240" i="12"/>
  <c r="DD422" i="1"/>
  <c r="AD264" i="12"/>
  <c r="AD255" i="12"/>
  <c r="J180" i="12"/>
  <c r="J123" i="12"/>
  <c r="J6" i="12"/>
  <c r="K6" i="12" s="1"/>
  <c r="J87" i="12"/>
  <c r="J33" i="12"/>
  <c r="CJ101" i="1"/>
  <c r="BO101" i="1"/>
  <c r="CK101" i="1" s="1"/>
  <c r="CJ137" i="1"/>
  <c r="BO137" i="1"/>
  <c r="CK137" i="1" s="1"/>
  <c r="BO295" i="1"/>
  <c r="CK295" i="1" s="1"/>
  <c r="CJ295" i="1"/>
  <c r="BO294" i="1"/>
  <c r="CK294" i="1" s="1"/>
  <c r="CJ294" i="1"/>
  <c r="CJ112" i="1"/>
  <c r="BO112" i="1"/>
  <c r="CK112" i="1" s="1"/>
  <c r="BO321" i="1"/>
  <c r="CK321" i="1" s="1"/>
  <c r="CJ321" i="1"/>
  <c r="CJ373" i="1"/>
  <c r="BO373" i="1"/>
  <c r="CK373" i="1" s="1"/>
  <c r="AA24" i="12"/>
  <c r="CF11" i="1"/>
  <c r="DB11" i="1" s="1"/>
  <c r="CF76" i="1"/>
  <c r="DB76" i="1" s="1"/>
  <c r="CF103" i="1"/>
  <c r="DB103" i="1" s="1"/>
  <c r="AA30" i="12"/>
  <c r="DA131" i="1"/>
  <c r="CF156" i="1"/>
  <c r="DB156" i="1" s="1"/>
  <c r="CF350" i="1"/>
  <c r="DB350" i="1" s="1"/>
  <c r="CF36" i="1"/>
  <c r="DB36" i="1" s="1"/>
  <c r="CF292" i="1"/>
  <c r="DB292" i="1" s="1"/>
  <c r="CF370" i="1"/>
  <c r="DB370" i="1" s="1"/>
  <c r="CF205" i="1"/>
  <c r="DB205" i="1" s="1"/>
  <c r="CF272" i="1"/>
  <c r="DB272" i="1" s="1"/>
  <c r="CF22" i="1"/>
  <c r="DB22" i="1" s="1"/>
  <c r="AD243" i="12"/>
  <c r="AD267" i="12"/>
  <c r="AD234" i="12"/>
  <c r="AD270" i="12"/>
  <c r="AD231" i="12"/>
  <c r="AD159" i="12"/>
  <c r="AD201" i="12"/>
  <c r="AD210" i="12"/>
  <c r="CK69" i="1"/>
  <c r="J174" i="12"/>
  <c r="CJ69" i="1"/>
  <c r="AD174" i="12"/>
  <c r="DD69" i="1"/>
  <c r="L75" i="12"/>
  <c r="AD51" i="12"/>
  <c r="BO368" i="1"/>
  <c r="CK368" i="1" s="1"/>
  <c r="CJ368" i="1"/>
  <c r="AD15" i="12"/>
  <c r="J78" i="12"/>
  <c r="K21" i="2"/>
  <c r="DD387" i="1"/>
  <c r="J111" i="12"/>
  <c r="BO387" i="1"/>
  <c r="CJ387" i="1"/>
  <c r="J72" i="12"/>
  <c r="BO11" i="1"/>
  <c r="CK11" i="1" s="1"/>
  <c r="CJ11" i="1"/>
  <c r="BO121" i="1"/>
  <c r="CK121" i="1" s="1"/>
  <c r="CJ121" i="1"/>
  <c r="DD254" i="1"/>
  <c r="J66" i="12"/>
  <c r="BO254" i="1"/>
  <c r="CJ254" i="1"/>
  <c r="J57" i="12"/>
  <c r="CJ191" i="1"/>
  <c r="BO191" i="1"/>
  <c r="CJ292" i="1"/>
  <c r="BO292" i="1"/>
  <c r="CK292" i="1" s="1"/>
  <c r="CJ322" i="1"/>
  <c r="BO322" i="1"/>
  <c r="CK322" i="1" s="1"/>
  <c r="BO234" i="1"/>
  <c r="CK234" i="1" s="1"/>
  <c r="CJ234" i="1"/>
  <c r="AA120" i="12"/>
  <c r="DA405" i="1"/>
  <c r="AA96" i="12"/>
  <c r="CF400" i="1"/>
  <c r="DB400" i="1" s="1"/>
  <c r="DA400" i="1"/>
  <c r="J198" i="12"/>
  <c r="BO370" i="1"/>
  <c r="CK370" i="1" s="1"/>
  <c r="CJ370" i="1"/>
  <c r="AD9" i="12"/>
  <c r="BO152" i="1"/>
  <c r="CK152" i="1" s="1"/>
  <c r="CJ152" i="1"/>
  <c r="DD95" i="1"/>
  <c r="J12" i="12"/>
  <c r="BO95" i="1"/>
  <c r="CJ95" i="1"/>
  <c r="AD42" i="12"/>
  <c r="CJ8" i="1"/>
  <c r="BO8" i="1"/>
  <c r="CK8" i="1" s="1"/>
  <c r="BO37" i="1"/>
  <c r="CK37" i="1" s="1"/>
  <c r="CJ37" i="1"/>
  <c r="BO123" i="1"/>
  <c r="CJ123" i="1"/>
  <c r="BO154" i="1"/>
  <c r="CK154" i="1" s="1"/>
  <c r="CJ154" i="1"/>
  <c r="CJ389" i="1"/>
  <c r="BO389" i="1"/>
  <c r="CK389" i="1" s="1"/>
  <c r="J93" i="12"/>
  <c r="CJ172" i="1"/>
  <c r="BO172" i="1"/>
  <c r="CK172" i="1" s="1"/>
  <c r="BO230" i="1"/>
  <c r="CK230" i="1" s="1"/>
  <c r="CJ230" i="1"/>
  <c r="CJ173" i="1"/>
  <c r="BO173" i="1"/>
  <c r="CK173" i="1" s="1"/>
  <c r="AA192" i="12"/>
  <c r="DA423" i="1"/>
  <c r="AD132" i="12"/>
  <c r="AA18" i="12"/>
  <c r="J177" i="12"/>
  <c r="AA90" i="12"/>
  <c r="CF289" i="1"/>
  <c r="DB289" i="1" s="1"/>
  <c r="AA12" i="12"/>
  <c r="DA95" i="1"/>
  <c r="AA63" i="12"/>
  <c r="AA27" i="12"/>
  <c r="CF8" i="1"/>
  <c r="DB8" i="1" s="1"/>
  <c r="CF37" i="1"/>
  <c r="DB37" i="1" s="1"/>
  <c r="CF101" i="1"/>
  <c r="DB101" i="1" s="1"/>
  <c r="CF137" i="1"/>
  <c r="DB137" i="1" s="1"/>
  <c r="CF348" i="1"/>
  <c r="DB348" i="1" s="1"/>
  <c r="CF255" i="1"/>
  <c r="DB255" i="1" s="1"/>
  <c r="CF349" i="1"/>
  <c r="DB349" i="1" s="1"/>
  <c r="CF24" i="1"/>
  <c r="DB24" i="1" s="1"/>
  <c r="L49" i="2"/>
  <c r="L59" i="2" s="1"/>
  <c r="N59" i="2"/>
  <c r="BO320" i="1"/>
  <c r="CK320" i="1" s="1"/>
  <c r="CJ320" i="1"/>
  <c r="BO289" i="1"/>
  <c r="CK289" i="1" s="1"/>
  <c r="CJ289" i="1"/>
  <c r="J108" i="12"/>
  <c r="J27" i="12"/>
  <c r="BO192" i="1"/>
  <c r="CK192" i="1" s="1"/>
  <c r="CJ192" i="1"/>
  <c r="J48" i="12"/>
  <c r="BO214" i="1"/>
  <c r="CJ214" i="1"/>
  <c r="BO291" i="1"/>
  <c r="CK291" i="1" s="1"/>
  <c r="CJ291" i="1"/>
  <c r="CJ348" i="1"/>
  <c r="BO348" i="1"/>
  <c r="CK348" i="1" s="1"/>
  <c r="CJ393" i="1"/>
  <c r="BO393" i="1"/>
  <c r="CK393" i="1" s="1"/>
  <c r="BO98" i="1"/>
  <c r="CK98" i="1" s="1"/>
  <c r="CJ390" i="1"/>
  <c r="BO390" i="1"/>
  <c r="CK390" i="1" s="1"/>
  <c r="CJ401" i="1"/>
  <c r="BO401" i="1"/>
  <c r="CK401" i="1" s="1"/>
  <c r="BO369" i="1"/>
  <c r="CK369" i="1" s="1"/>
  <c r="CJ369" i="1"/>
  <c r="AD195" i="12"/>
  <c r="AD114" i="12"/>
  <c r="CF284" i="1"/>
  <c r="DB284" i="1" s="1"/>
  <c r="CF151" i="1"/>
  <c r="DB151" i="1" s="1"/>
  <c r="DA151" i="1"/>
  <c r="L93" i="12"/>
  <c r="K14" i="2"/>
  <c r="AD63" i="12"/>
  <c r="AA45" i="12"/>
  <c r="AA105" i="12"/>
  <c r="AD141" i="12"/>
  <c r="AD18" i="12"/>
  <c r="AD24" i="12"/>
  <c r="AD36" i="12"/>
  <c r="BO135" i="1"/>
  <c r="CK135" i="1" s="1"/>
  <c r="CJ135" i="1"/>
  <c r="K12" i="2"/>
  <c r="CJ325" i="1"/>
  <c r="BO325" i="1"/>
  <c r="CK325" i="1" s="1"/>
  <c r="BO284" i="1"/>
  <c r="CK284" i="1" s="1"/>
  <c r="CJ284" i="1"/>
  <c r="J45" i="12"/>
  <c r="AD60" i="12"/>
  <c r="J60" i="12"/>
  <c r="CJ103" i="1"/>
  <c r="BO103" i="1"/>
  <c r="CK103" i="1" s="1"/>
  <c r="DD150" i="1"/>
  <c r="J39" i="12"/>
  <c r="CJ150" i="1"/>
  <c r="BO150" i="1"/>
  <c r="BO153" i="1"/>
  <c r="CK153" i="1" s="1"/>
  <c r="CJ153" i="1"/>
  <c r="BO146" i="1"/>
  <c r="CK146" i="1" s="1"/>
  <c r="CJ146" i="1"/>
  <c r="CJ413" i="1"/>
  <c r="BO413" i="1"/>
  <c r="CK413" i="1" s="1"/>
  <c r="CJ206" i="1"/>
  <c r="BO206" i="1"/>
  <c r="CK206" i="1" s="1"/>
  <c r="BO371" i="1"/>
  <c r="CK371" i="1" s="1"/>
  <c r="CJ371" i="1"/>
  <c r="O60" i="2"/>
  <c r="O58" i="2"/>
  <c r="AA174" i="12"/>
  <c r="DA69" i="1"/>
  <c r="DB283" i="1"/>
  <c r="AA33" i="12"/>
  <c r="AD54" i="12"/>
  <c r="DB119" i="1"/>
  <c r="DB214" i="1"/>
  <c r="CF218" i="1"/>
  <c r="DB218" i="1" s="1"/>
  <c r="CF291" i="1"/>
  <c r="DB291" i="1" s="1"/>
  <c r="CF393" i="1"/>
  <c r="DB393" i="1" s="1"/>
  <c r="AA93" i="12"/>
  <c r="AD90" i="12"/>
  <c r="J120" i="12"/>
  <c r="BO405" i="1"/>
  <c r="CJ405" i="1"/>
  <c r="AD120" i="12"/>
  <c r="DD405" i="1"/>
  <c r="J99" i="12"/>
  <c r="BO33" i="1"/>
  <c r="CK33" i="1" s="1"/>
  <c r="CJ33" i="1"/>
  <c r="K11" i="2"/>
  <c r="BO136" i="1"/>
  <c r="CK136" i="1" s="1"/>
  <c r="CJ136" i="1"/>
  <c r="CJ193" i="1"/>
  <c r="BO193" i="1"/>
  <c r="CK193" i="1" s="1"/>
  <c r="AA15" i="12"/>
  <c r="AA78" i="12"/>
  <c r="CF387" i="1"/>
  <c r="AA60" i="12"/>
  <c r="AD99" i="12"/>
  <c r="DB150" i="1"/>
  <c r="DB254" i="1"/>
  <c r="DA79" i="1"/>
  <c r="CF79" i="1"/>
  <c r="DB79" i="1" s="1"/>
  <c r="DA102" i="1"/>
  <c r="CF102" i="1"/>
  <c r="DB102" i="1" s="1"/>
  <c r="AA57" i="12"/>
  <c r="DA191" i="1"/>
  <c r="J195" i="12"/>
  <c r="K19" i="2"/>
  <c r="K15" i="2"/>
  <c r="AA36" i="12"/>
  <c r="CJ235" i="1"/>
  <c r="BO235" i="1"/>
  <c r="CK235" i="1" s="1"/>
  <c r="J96" i="12"/>
  <c r="CJ350" i="1"/>
  <c r="BO350" i="1"/>
  <c r="CK350" i="1" s="1"/>
  <c r="J102" i="12"/>
  <c r="CJ32" i="1"/>
  <c r="AD102" i="12"/>
  <c r="DD32" i="1"/>
  <c r="CJ122" i="1"/>
  <c r="BO122" i="1"/>
  <c r="CK122" i="1" s="1"/>
  <c r="CJ217" i="1"/>
  <c r="BO217" i="1"/>
  <c r="CK217" i="1" s="1"/>
  <c r="BO388" i="1"/>
  <c r="CK388" i="1" s="1"/>
  <c r="CJ388" i="1"/>
  <c r="CJ23" i="1"/>
  <c r="BO23" i="1"/>
  <c r="CK23" i="1" s="1"/>
  <c r="BO174" i="1"/>
  <c r="CK174" i="1" s="1"/>
  <c r="CJ174" i="1"/>
  <c r="BO323" i="1"/>
  <c r="CK323" i="1" s="1"/>
  <c r="CJ323" i="1"/>
  <c r="AA9" i="12"/>
  <c r="DA206" i="1"/>
  <c r="CF206" i="1"/>
  <c r="DB206" i="1" s="1"/>
  <c r="AD189" i="12"/>
  <c r="AD162" i="12"/>
  <c r="AD204" i="12"/>
  <c r="AD252" i="12"/>
  <c r="AD213" i="12"/>
  <c r="AD183" i="12"/>
  <c r="DD420" i="1"/>
  <c r="AD237" i="12"/>
  <c r="AD219" i="12"/>
  <c r="AD165" i="12"/>
  <c r="DD281" i="1"/>
  <c r="DD185" i="1"/>
  <c r="AD123" i="12"/>
  <c r="J117" i="12"/>
  <c r="J75" i="12"/>
  <c r="CJ283" i="1"/>
  <c r="BO283" i="1"/>
  <c r="DD283" i="1"/>
  <c r="AD33" i="12"/>
  <c r="BO256" i="1"/>
  <c r="CK256" i="1" s="1"/>
  <c r="CJ256" i="1"/>
  <c r="BO349" i="1"/>
  <c r="CK349" i="1" s="1"/>
  <c r="CJ349" i="1"/>
  <c r="BO406" i="1"/>
  <c r="CK406" i="1" s="1"/>
  <c r="CJ406" i="1"/>
  <c r="CJ111" i="1"/>
  <c r="BO111" i="1"/>
  <c r="CK111" i="1" s="1"/>
  <c r="BO324" i="1"/>
  <c r="CK324" i="1" s="1"/>
  <c r="CJ324" i="1"/>
  <c r="AA198" i="12"/>
  <c r="AA126" i="12"/>
  <c r="AA72" i="12"/>
  <c r="DB131" i="1"/>
  <c r="AA102" i="12"/>
  <c r="DA32" i="1"/>
  <c r="DA347" i="1"/>
  <c r="CF347" i="1"/>
  <c r="DB347" i="1" s="1"/>
  <c r="AD249" i="12"/>
  <c r="AD261" i="12"/>
  <c r="AD216" i="12"/>
  <c r="AD258" i="12"/>
  <c r="AD222" i="12"/>
  <c r="AD168" i="12"/>
  <c r="AD150" i="12"/>
  <c r="AD246" i="12"/>
  <c r="AD228" i="12"/>
  <c r="L47" i="2"/>
  <c r="N58" i="2"/>
  <c r="N60" i="2"/>
  <c r="K47" i="2"/>
  <c r="AD87" i="12"/>
  <c r="DD75" i="1"/>
  <c r="CJ75" i="1"/>
  <c r="J51" i="12"/>
  <c r="J81" i="12"/>
  <c r="J15" i="12"/>
  <c r="AD78" i="12"/>
  <c r="AD72" i="12"/>
  <c r="CJ35" i="1"/>
  <c r="BO35" i="1"/>
  <c r="CK35" i="1" s="1"/>
  <c r="CJ97" i="1"/>
  <c r="BO97" i="1"/>
  <c r="CK97" i="1" s="1"/>
  <c r="BO194" i="1"/>
  <c r="CK194" i="1" s="1"/>
  <c r="CJ194" i="1"/>
  <c r="CJ287" i="1"/>
  <c r="BO287" i="1"/>
  <c r="CK287" i="1" s="1"/>
  <c r="K13" i="2"/>
  <c r="BO195" i="1"/>
  <c r="CK195" i="1" s="1"/>
  <c r="CJ207" i="1"/>
  <c r="BO207" i="1"/>
  <c r="CK207" i="1" s="1"/>
  <c r="BO24" i="1"/>
  <c r="CK24" i="1" s="1"/>
  <c r="BO400" i="1"/>
  <c r="CK400" i="1" s="1"/>
  <c r="CJ400" i="1"/>
  <c r="AA195" i="12"/>
  <c r="CF405" i="1"/>
  <c r="CF368" i="1"/>
  <c r="DB368" i="1" s="1"/>
  <c r="CF207" i="1"/>
  <c r="DB207" i="1" s="1"/>
  <c r="CF110" i="1"/>
  <c r="DB110" i="1" s="1"/>
  <c r="DA110" i="1"/>
  <c r="CF234" i="1"/>
  <c r="DB234" i="1" s="1"/>
  <c r="AD198" i="12"/>
  <c r="J9" i="12"/>
  <c r="K22" i="2"/>
  <c r="BO345" i="1"/>
  <c r="CK345" i="1" s="1"/>
  <c r="CJ345" i="1"/>
  <c r="J63" i="12"/>
  <c r="J42" i="12"/>
  <c r="J54" i="12"/>
  <c r="AD21" i="12"/>
  <c r="DD119" i="1"/>
  <c r="J21" i="12"/>
  <c r="BO119" i="1"/>
  <c r="CJ119" i="1"/>
  <c r="BO120" i="1"/>
  <c r="CK120" i="1" s="1"/>
  <c r="CJ120" i="1"/>
  <c r="BO155" i="1"/>
  <c r="CK155" i="1" s="1"/>
  <c r="CJ155" i="1"/>
  <c r="CJ215" i="1"/>
  <c r="BO215" i="1"/>
  <c r="CK215" i="1" s="1"/>
  <c r="CJ288" i="1"/>
  <c r="BO288" i="1"/>
  <c r="CK288" i="1" s="1"/>
  <c r="CF423" i="1"/>
  <c r="AB129" i="12" s="1"/>
  <c r="AD135" i="12"/>
  <c r="AA84" i="12"/>
  <c r="DA343" i="1"/>
  <c r="CF343" i="1"/>
  <c r="AD177" i="12"/>
  <c r="AD27" i="12"/>
  <c r="AD69" i="12"/>
  <c r="AD81" i="12"/>
  <c r="AD126" i="12"/>
  <c r="K10" i="2"/>
  <c r="AUZ458" i="1" l="1"/>
  <c r="AD111" i="12"/>
  <c r="W112" i="12" s="1"/>
  <c r="BV17" i="15"/>
  <c r="R45" i="18"/>
  <c r="S7" i="14"/>
  <c r="DD24" i="1"/>
  <c r="AO9" i="15"/>
  <c r="AD39" i="12"/>
  <c r="N40" i="12" s="1"/>
  <c r="Z26" i="15"/>
  <c r="CK423" i="1"/>
  <c r="AO26" i="15"/>
  <c r="CH9" i="15"/>
  <c r="CH21" i="15" s="1"/>
  <c r="P17" i="18"/>
  <c r="DQ9" i="15"/>
  <c r="DD12" i="1"/>
  <c r="AO17" i="15"/>
  <c r="EC9" i="15"/>
  <c r="EC21" i="15" s="1"/>
  <c r="Z17" i="15"/>
  <c r="AD156" i="12"/>
  <c r="N157" i="12" s="1"/>
  <c r="Z9" i="15"/>
  <c r="CK9" i="15"/>
  <c r="CK17" i="15"/>
  <c r="BV9" i="15"/>
  <c r="EF17" i="15"/>
  <c r="DQ17" i="15"/>
  <c r="EF9" i="15"/>
  <c r="P14" i="18"/>
  <c r="R47" i="19"/>
  <c r="AUY458" i="1"/>
  <c r="DD294" i="1"/>
  <c r="AVQ294" i="1"/>
  <c r="DD123" i="1"/>
  <c r="AVQ123" i="1"/>
  <c r="DD322" i="1"/>
  <c r="AVQ322" i="1"/>
  <c r="R45" i="19"/>
  <c r="V45" i="2"/>
  <c r="P20" i="19"/>
  <c r="P19" i="19"/>
  <c r="P16" i="18"/>
  <c r="P17" i="19"/>
  <c r="R10" i="19"/>
  <c r="P15" i="18"/>
  <c r="R49" i="18"/>
  <c r="R59" i="18" s="1"/>
  <c r="BO457" i="1"/>
  <c r="P22" i="19"/>
  <c r="P22" i="18"/>
  <c r="R20" i="18"/>
  <c r="I58" i="19"/>
  <c r="R44" i="19"/>
  <c r="I60" i="19"/>
  <c r="R13" i="18"/>
  <c r="P13" i="18"/>
  <c r="R14" i="19"/>
  <c r="P14" i="19"/>
  <c r="P19" i="18"/>
  <c r="R12" i="19"/>
  <c r="P12" i="19"/>
  <c r="R15" i="18"/>
  <c r="R19" i="19"/>
  <c r="R20" i="19"/>
  <c r="R49" i="19"/>
  <c r="R59" i="19" s="1"/>
  <c r="J59" i="19"/>
  <c r="R19" i="18"/>
  <c r="R23" i="18"/>
  <c r="P13" i="19"/>
  <c r="R13" i="19"/>
  <c r="R47" i="18"/>
  <c r="P15" i="19"/>
  <c r="P20" i="18"/>
  <c r="P10" i="18"/>
  <c r="R10" i="18"/>
  <c r="P10" i="19"/>
  <c r="R22" i="19"/>
  <c r="P23" i="19"/>
  <c r="R23" i="19"/>
  <c r="R15" i="19"/>
  <c r="P21" i="19"/>
  <c r="R21" i="19"/>
  <c r="R11" i="18"/>
  <c r="P11" i="18"/>
  <c r="R22" i="18"/>
  <c r="J60" i="19"/>
  <c r="J58" i="19"/>
  <c r="J60" i="18"/>
  <c r="J58" i="18"/>
  <c r="R17" i="18"/>
  <c r="R16" i="18"/>
  <c r="R14" i="18"/>
  <c r="R21" i="18"/>
  <c r="P11" i="19"/>
  <c r="R11" i="19"/>
  <c r="R16" i="19"/>
  <c r="R44" i="18"/>
  <c r="I60" i="18"/>
  <c r="I58" i="18"/>
  <c r="P16" i="19"/>
  <c r="P21" i="18"/>
  <c r="R12" i="18"/>
  <c r="P12" i="18"/>
  <c r="R17" i="19"/>
  <c r="CF457" i="1"/>
  <c r="BP458" i="1"/>
  <c r="BP459" i="1" s="1"/>
  <c r="BQ456" i="1"/>
  <c r="BQ458" i="1" s="1"/>
  <c r="BQ459" i="1" s="1"/>
  <c r="M3" i="12"/>
  <c r="CM4" i="1"/>
  <c r="V44" i="2"/>
  <c r="AB21" i="15"/>
  <c r="R23" i="2"/>
  <c r="J49" i="15"/>
  <c r="DS21" i="15"/>
  <c r="AL21" i="15"/>
  <c r="K174" i="12"/>
  <c r="K175" i="12" s="1"/>
  <c r="AB174" i="12"/>
  <c r="AB175" i="12" s="1"/>
  <c r="CK145" i="1"/>
  <c r="K147" i="12"/>
  <c r="K148" i="12" s="1"/>
  <c r="DB145" i="1"/>
  <c r="AB147" i="12"/>
  <c r="AB148" i="12" s="1"/>
  <c r="CK123" i="1"/>
  <c r="K156" i="12"/>
  <c r="DB123" i="1"/>
  <c r="AB156" i="12"/>
  <c r="AO12" i="15"/>
  <c r="AD12" i="12"/>
  <c r="M13" i="12" s="1"/>
  <c r="AD66" i="12"/>
  <c r="J67" i="12" s="1"/>
  <c r="CK12" i="15"/>
  <c r="DQ12" i="15"/>
  <c r="Z12" i="15"/>
  <c r="BV12" i="15"/>
  <c r="EF12" i="15"/>
  <c r="Z6" i="15"/>
  <c r="AO6" i="15"/>
  <c r="EF6" i="15"/>
  <c r="BV6" i="15"/>
  <c r="DQ6" i="15"/>
  <c r="CK6" i="15"/>
  <c r="DO19" i="15"/>
  <c r="J47" i="15"/>
  <c r="DJ11" i="15"/>
  <c r="DL11" i="15" s="1"/>
  <c r="BO12" i="15"/>
  <c r="CN12" i="15" s="1"/>
  <c r="BM12" i="15"/>
  <c r="BR12" i="15" s="1"/>
  <c r="BS12" i="15" s="1"/>
  <c r="Q10" i="15"/>
  <c r="DP11" i="15"/>
  <c r="EJ11" i="15" s="1"/>
  <c r="Z15" i="15"/>
  <c r="BT19" i="15"/>
  <c r="EF15" i="15"/>
  <c r="BQ16" i="15"/>
  <c r="CN16" i="15"/>
  <c r="BT20" i="15"/>
  <c r="DQ13" i="15"/>
  <c r="DJ9" i="15"/>
  <c r="DL9" i="15" s="1"/>
  <c r="DH9" i="15"/>
  <c r="DM9" i="15" s="1"/>
  <c r="DN9" i="15" s="1"/>
  <c r="DP12" i="15"/>
  <c r="DH12" i="15"/>
  <c r="DM12" i="15" s="1"/>
  <c r="DN12" i="15" s="1"/>
  <c r="DJ12" i="15"/>
  <c r="DL12" i="15" s="1"/>
  <c r="CF16" i="15"/>
  <c r="CF21" i="15" s="1"/>
  <c r="EJ19" i="15"/>
  <c r="EG19" i="15"/>
  <c r="CN18" i="15"/>
  <c r="BQ18" i="15"/>
  <c r="BV15" i="15"/>
  <c r="BO13" i="15"/>
  <c r="BU13" i="15"/>
  <c r="BM13" i="15"/>
  <c r="BR13" i="15" s="1"/>
  <c r="BS13" i="15" s="1"/>
  <c r="BM18" i="15"/>
  <c r="BR18" i="15" s="1"/>
  <c r="BS18" i="15" s="1"/>
  <c r="BT18" i="15" s="1"/>
  <c r="BU18" i="15"/>
  <c r="BU7" i="15"/>
  <c r="BM7" i="15"/>
  <c r="BR7" i="15" s="1"/>
  <c r="BS7" i="15" s="1"/>
  <c r="BT7" i="15" s="1"/>
  <c r="BM17" i="15"/>
  <c r="BR17" i="15" s="1"/>
  <c r="BS17" i="15" s="1"/>
  <c r="BO17" i="15"/>
  <c r="BU17" i="15"/>
  <c r="AO15" i="15"/>
  <c r="BV13" i="15"/>
  <c r="BM16" i="15"/>
  <c r="BR16" i="15" s="1"/>
  <c r="BS16" i="15" s="1"/>
  <c r="BT16" i="15" s="1"/>
  <c r="BU16" i="15"/>
  <c r="DO20" i="15"/>
  <c r="DJ8" i="15"/>
  <c r="DL8" i="15" s="1"/>
  <c r="DH8" i="15"/>
  <c r="DM8" i="15" s="1"/>
  <c r="DN8" i="15" s="1"/>
  <c r="EA16" i="15"/>
  <c r="EA21" i="15" s="1"/>
  <c r="BQ7" i="15"/>
  <c r="CN7" i="15"/>
  <c r="BU11" i="15"/>
  <c r="BO11" i="15"/>
  <c r="CK15" i="15"/>
  <c r="DP13" i="15"/>
  <c r="DH13" i="15"/>
  <c r="DM13" i="15" s="1"/>
  <c r="DN13" i="15" s="1"/>
  <c r="DJ13" i="15"/>
  <c r="DL13" i="15" s="1"/>
  <c r="DP17" i="15"/>
  <c r="DJ17" i="15"/>
  <c r="DL17" i="15" s="1"/>
  <c r="DH17" i="15"/>
  <c r="DM17" i="15" s="1"/>
  <c r="DN17" i="15" s="1"/>
  <c r="CL20" i="15"/>
  <c r="CO20" i="15"/>
  <c r="CK13" i="15"/>
  <c r="DP16" i="15"/>
  <c r="DJ16" i="15"/>
  <c r="DL16" i="15" s="1"/>
  <c r="DH16" i="15"/>
  <c r="DM16" i="15" s="1"/>
  <c r="DN16" i="15" s="1"/>
  <c r="EG20" i="15"/>
  <c r="EJ20" i="15"/>
  <c r="BM9" i="15"/>
  <c r="BR9" i="15" s="1"/>
  <c r="BS9" i="15" s="1"/>
  <c r="BU9" i="15"/>
  <c r="BO9" i="15"/>
  <c r="CL19" i="15"/>
  <c r="CO19" i="15"/>
  <c r="DJ6" i="15"/>
  <c r="DL6" i="15" s="1"/>
  <c r="DP6" i="15"/>
  <c r="DH6" i="15"/>
  <c r="DM6" i="15" s="1"/>
  <c r="DN6" i="15" s="1"/>
  <c r="DJ15" i="15"/>
  <c r="DL15" i="15" s="1"/>
  <c r="DP15" i="15"/>
  <c r="BX21" i="15"/>
  <c r="DP10" i="15"/>
  <c r="DJ10" i="15"/>
  <c r="DL10" i="15" s="1"/>
  <c r="DQ15" i="15"/>
  <c r="CO12" i="15"/>
  <c r="EJ9" i="15"/>
  <c r="EF13" i="15"/>
  <c r="BO10" i="15"/>
  <c r="BM10" i="15"/>
  <c r="BR10" i="15" s="1"/>
  <c r="BS10" i="15" s="1"/>
  <c r="BU10" i="15"/>
  <c r="EJ8" i="15"/>
  <c r="BO8" i="15"/>
  <c r="BM8" i="15"/>
  <c r="BR8" i="15" s="1"/>
  <c r="BS8" i="15" s="1"/>
  <c r="BU8" i="15"/>
  <c r="BU6" i="15"/>
  <c r="CO6" i="15" s="1"/>
  <c r="BO6" i="15"/>
  <c r="BM6" i="15"/>
  <c r="BR6" i="15" s="1"/>
  <c r="BS6" i="15" s="1"/>
  <c r="BO15" i="15"/>
  <c r="BM15" i="15"/>
  <c r="BR15" i="15" s="1"/>
  <c r="BS15" i="15" s="1"/>
  <c r="BU15" i="15"/>
  <c r="DJ18" i="15"/>
  <c r="DL18" i="15" s="1"/>
  <c r="DP18" i="15"/>
  <c r="DH18" i="15"/>
  <c r="DM18" i="15" s="1"/>
  <c r="DN18" i="15" s="1"/>
  <c r="DH7" i="15"/>
  <c r="DM7" i="15" s="1"/>
  <c r="DN7" i="15" s="1"/>
  <c r="DP7" i="15"/>
  <c r="DJ7" i="15"/>
  <c r="DL7" i="15" s="1"/>
  <c r="X181" i="12"/>
  <c r="S13" i="15"/>
  <c r="U13" i="15" s="1"/>
  <c r="Q13" i="15"/>
  <c r="S18" i="15"/>
  <c r="U18" i="15" s="1"/>
  <c r="S7" i="15"/>
  <c r="U7" i="15" s="1"/>
  <c r="S12" i="15"/>
  <c r="U12" i="15" s="1"/>
  <c r="S11" i="15"/>
  <c r="U11" i="15" s="1"/>
  <c r="Q8" i="15"/>
  <c r="S8" i="15"/>
  <c r="U8" i="15" s="1"/>
  <c r="K49" i="15"/>
  <c r="K47" i="15"/>
  <c r="Q7" i="15"/>
  <c r="AO13" i="15"/>
  <c r="S9" i="15"/>
  <c r="U9" i="15" s="1"/>
  <c r="Q18" i="15"/>
  <c r="AJ16" i="15"/>
  <c r="AJ21" i="15" s="1"/>
  <c r="BC8" i="15"/>
  <c r="Q15" i="15"/>
  <c r="Z13" i="15"/>
  <c r="S17" i="15"/>
  <c r="U17" i="15" s="1"/>
  <c r="S15" i="15"/>
  <c r="U15" i="15" s="1"/>
  <c r="S38" i="15"/>
  <c r="S48" i="15" s="1"/>
  <c r="K48" i="15"/>
  <c r="Q6" i="15"/>
  <c r="S36" i="15"/>
  <c r="S49" i="15" s="1"/>
  <c r="BC6" i="15"/>
  <c r="Q16" i="15"/>
  <c r="Q17" i="15"/>
  <c r="V10" i="2"/>
  <c r="R10" i="2"/>
  <c r="V22" i="2"/>
  <c r="R22" i="2"/>
  <c r="V13" i="2"/>
  <c r="R13" i="2"/>
  <c r="V15" i="2"/>
  <c r="R15" i="2"/>
  <c r="V19" i="2"/>
  <c r="R19" i="2"/>
  <c r="V11" i="2"/>
  <c r="R11" i="2"/>
  <c r="V12" i="2"/>
  <c r="R12" i="2"/>
  <c r="V17" i="2"/>
  <c r="R17" i="2"/>
  <c r="V14" i="2"/>
  <c r="R14" i="2"/>
  <c r="V21" i="2"/>
  <c r="R21" i="2"/>
  <c r="V16" i="2"/>
  <c r="R16" i="2"/>
  <c r="V20" i="2"/>
  <c r="R20" i="2"/>
  <c r="AD34" i="12"/>
  <c r="N70" i="12"/>
  <c r="M70" i="12"/>
  <c r="N238" i="12"/>
  <c r="M238" i="12"/>
  <c r="M25" i="12"/>
  <c r="N25" i="12"/>
  <c r="M19" i="12"/>
  <c r="N19" i="12"/>
  <c r="M142" i="12"/>
  <c r="N142" i="12"/>
  <c r="N115" i="12"/>
  <c r="M115" i="12"/>
  <c r="N16" i="12"/>
  <c r="M16" i="12"/>
  <c r="N271" i="12"/>
  <c r="M271" i="12"/>
  <c r="N244" i="12"/>
  <c r="M244" i="12"/>
  <c r="M256" i="12"/>
  <c r="N256" i="12"/>
  <c r="N241" i="12"/>
  <c r="M241" i="12"/>
  <c r="M172" i="12"/>
  <c r="N172" i="12"/>
  <c r="N139" i="12"/>
  <c r="M139" i="12"/>
  <c r="N148" i="12"/>
  <c r="M148" i="12"/>
  <c r="N229" i="12"/>
  <c r="M229" i="12"/>
  <c r="N262" i="12"/>
  <c r="M262" i="12"/>
  <c r="M61" i="12"/>
  <c r="N61" i="12"/>
  <c r="M223" i="12"/>
  <c r="N223" i="12"/>
  <c r="N217" i="12"/>
  <c r="M217" i="12"/>
  <c r="M124" i="12"/>
  <c r="N124" i="12"/>
  <c r="N166" i="12"/>
  <c r="M166" i="12"/>
  <c r="N214" i="12"/>
  <c r="M214" i="12"/>
  <c r="M205" i="12"/>
  <c r="N205" i="12"/>
  <c r="M103" i="12"/>
  <c r="N103" i="12"/>
  <c r="M121" i="12"/>
  <c r="N121" i="12"/>
  <c r="M37" i="12"/>
  <c r="N37" i="12"/>
  <c r="N133" i="12"/>
  <c r="M133" i="12"/>
  <c r="N10" i="12"/>
  <c r="M10" i="12"/>
  <c r="N211" i="12"/>
  <c r="M211" i="12"/>
  <c r="M160" i="12"/>
  <c r="N160" i="12"/>
  <c r="M268" i="12"/>
  <c r="N268" i="12"/>
  <c r="N187" i="12"/>
  <c r="M187" i="12"/>
  <c r="M154" i="12"/>
  <c r="N118" i="12"/>
  <c r="M118" i="12"/>
  <c r="M46" i="12"/>
  <c r="N46" i="12"/>
  <c r="M193" i="12"/>
  <c r="N193" i="12"/>
  <c r="N181" i="12"/>
  <c r="M181" i="12"/>
  <c r="M130" i="12"/>
  <c r="N130" i="12"/>
  <c r="N22" i="12"/>
  <c r="M22" i="12"/>
  <c r="M151" i="12"/>
  <c r="N151" i="12"/>
  <c r="M100" i="12"/>
  <c r="N100" i="12"/>
  <c r="M136" i="12"/>
  <c r="N136" i="12"/>
  <c r="M127" i="12"/>
  <c r="N127" i="12"/>
  <c r="N28" i="12"/>
  <c r="M28" i="12"/>
  <c r="M199" i="12"/>
  <c r="N199" i="12"/>
  <c r="M247" i="12"/>
  <c r="N247" i="12"/>
  <c r="M259" i="12"/>
  <c r="N259" i="12"/>
  <c r="N250" i="12"/>
  <c r="M250" i="12"/>
  <c r="M220" i="12"/>
  <c r="N220" i="12"/>
  <c r="M253" i="12"/>
  <c r="N253" i="12"/>
  <c r="N190" i="12"/>
  <c r="M190" i="12"/>
  <c r="N91" i="12"/>
  <c r="M91" i="12"/>
  <c r="N64" i="12"/>
  <c r="M64" i="12"/>
  <c r="M175" i="12"/>
  <c r="N175" i="12"/>
  <c r="M7" i="12"/>
  <c r="N7" i="12"/>
  <c r="N265" i="12"/>
  <c r="M265" i="12"/>
  <c r="N31" i="12"/>
  <c r="M31" i="12"/>
  <c r="M97" i="12"/>
  <c r="N97" i="12"/>
  <c r="M145" i="12"/>
  <c r="N145" i="12"/>
  <c r="N79" i="12"/>
  <c r="M79" i="12"/>
  <c r="M184" i="12"/>
  <c r="N184" i="12"/>
  <c r="M82" i="12"/>
  <c r="N82" i="12"/>
  <c r="M178" i="12"/>
  <c r="N178" i="12"/>
  <c r="N73" i="12"/>
  <c r="M73" i="12"/>
  <c r="M88" i="12"/>
  <c r="N88" i="12"/>
  <c r="M169" i="12"/>
  <c r="N169" i="12"/>
  <c r="N34" i="12"/>
  <c r="M34" i="12"/>
  <c r="M163" i="12"/>
  <c r="N163" i="12"/>
  <c r="N55" i="12"/>
  <c r="M55" i="12"/>
  <c r="N196" i="12"/>
  <c r="M196" i="12"/>
  <c r="M43" i="12"/>
  <c r="N43" i="12"/>
  <c r="N52" i="12"/>
  <c r="M52" i="12"/>
  <c r="N202" i="12"/>
  <c r="M202" i="12"/>
  <c r="M232" i="12"/>
  <c r="N232" i="12"/>
  <c r="N235" i="12"/>
  <c r="M235" i="12"/>
  <c r="N226" i="12"/>
  <c r="M226" i="12"/>
  <c r="M208" i="12"/>
  <c r="N208" i="12"/>
  <c r="M106" i="12"/>
  <c r="N106" i="12"/>
  <c r="N109" i="12"/>
  <c r="M109" i="12"/>
  <c r="Z70" i="12"/>
  <c r="Z79" i="12"/>
  <c r="I61" i="12"/>
  <c r="I25" i="12"/>
  <c r="Z115" i="12"/>
  <c r="I16" i="12"/>
  <c r="L271" i="12"/>
  <c r="L244" i="12"/>
  <c r="L256" i="12"/>
  <c r="L241" i="12"/>
  <c r="L172" i="12"/>
  <c r="L139" i="12"/>
  <c r="Z22" i="12"/>
  <c r="L166" i="12"/>
  <c r="L103" i="12"/>
  <c r="I121" i="12"/>
  <c r="L133" i="12"/>
  <c r="L10" i="12"/>
  <c r="L160" i="12"/>
  <c r="L187" i="12"/>
  <c r="L154" i="12"/>
  <c r="L118" i="12"/>
  <c r="I193" i="12"/>
  <c r="Z181" i="12"/>
  <c r="AB130" i="12"/>
  <c r="L73" i="12"/>
  <c r="L190" i="12"/>
  <c r="I64" i="12"/>
  <c r="I97" i="12"/>
  <c r="Z196" i="12"/>
  <c r="Z43" i="12"/>
  <c r="L202" i="12"/>
  <c r="L226" i="12"/>
  <c r="Z106" i="12"/>
  <c r="L181" i="12"/>
  <c r="AA46" i="12"/>
  <c r="I181" i="12"/>
  <c r="Y181" i="12"/>
  <c r="AA181" i="12"/>
  <c r="T181" i="12"/>
  <c r="J181" i="12"/>
  <c r="U181" i="12"/>
  <c r="AD181" i="12"/>
  <c r="O181" i="12"/>
  <c r="V181" i="12"/>
  <c r="Z193" i="12"/>
  <c r="L106" i="12"/>
  <c r="AB139" i="12"/>
  <c r="K130" i="12"/>
  <c r="T148" i="12"/>
  <c r="V148" i="12"/>
  <c r="O148" i="12"/>
  <c r="I148" i="12"/>
  <c r="AD148" i="12"/>
  <c r="W148" i="12"/>
  <c r="Z148" i="12"/>
  <c r="AA148" i="12"/>
  <c r="J148" i="12"/>
  <c r="Y148" i="12"/>
  <c r="L148" i="12"/>
  <c r="X148" i="12"/>
  <c r="U148" i="12"/>
  <c r="V139" i="12"/>
  <c r="Y139" i="12"/>
  <c r="O139" i="12"/>
  <c r="I139" i="12"/>
  <c r="W139" i="12"/>
  <c r="X139" i="12"/>
  <c r="J139" i="12"/>
  <c r="T139" i="12"/>
  <c r="AD139" i="12"/>
  <c r="U139" i="12"/>
  <c r="Z139" i="12"/>
  <c r="AA139" i="12"/>
  <c r="W130" i="12"/>
  <c r="O130" i="12"/>
  <c r="AA130" i="12"/>
  <c r="I130" i="12"/>
  <c r="Y130" i="12"/>
  <c r="J130" i="12"/>
  <c r="Z130" i="12"/>
  <c r="T130" i="12"/>
  <c r="U130" i="12"/>
  <c r="X130" i="12"/>
  <c r="L130" i="12"/>
  <c r="V130" i="12"/>
  <c r="AD130" i="12"/>
  <c r="K139" i="12"/>
  <c r="Z109" i="12"/>
  <c r="J109" i="12"/>
  <c r="AA109" i="12"/>
  <c r="I118" i="12"/>
  <c r="J31" i="12"/>
  <c r="J46" i="12"/>
  <c r="J97" i="12"/>
  <c r="AA97" i="12"/>
  <c r="L31" i="12"/>
  <c r="AA106" i="12"/>
  <c r="J118" i="12"/>
  <c r="Z31" i="12"/>
  <c r="Z25" i="12"/>
  <c r="AA31" i="12"/>
  <c r="AA118" i="12"/>
  <c r="J22" i="12"/>
  <c r="J16" i="12"/>
  <c r="Z118" i="12"/>
  <c r="L16" i="12"/>
  <c r="DD22" i="1"/>
  <c r="S5" i="14"/>
  <c r="Z19" i="12"/>
  <c r="J55" i="12"/>
  <c r="Z16" i="12"/>
  <c r="J43" i="12"/>
  <c r="J52" i="12"/>
  <c r="AA16" i="12"/>
  <c r="Z52" i="12"/>
  <c r="V47" i="2"/>
  <c r="J61" i="12"/>
  <c r="I10" i="12"/>
  <c r="I136" i="12"/>
  <c r="Z97" i="12"/>
  <c r="L97" i="12"/>
  <c r="AB30" i="12"/>
  <c r="AB31" i="12" s="1"/>
  <c r="AB39" i="12"/>
  <c r="AA196" i="12"/>
  <c r="AA103" i="12"/>
  <c r="I103" i="12"/>
  <c r="AB75" i="12"/>
  <c r="J196" i="12"/>
  <c r="I55" i="12"/>
  <c r="J10" i="12"/>
  <c r="AA10" i="12"/>
  <c r="I196" i="12"/>
  <c r="AA61" i="12"/>
  <c r="L19" i="12"/>
  <c r="I52" i="12"/>
  <c r="K7" i="12"/>
  <c r="I127" i="12"/>
  <c r="L22" i="12"/>
  <c r="J178" i="12"/>
  <c r="J73" i="12"/>
  <c r="L196" i="12"/>
  <c r="AA25" i="12"/>
  <c r="Z127" i="12"/>
  <c r="Z61" i="12"/>
  <c r="J70" i="12"/>
  <c r="AA52" i="12"/>
  <c r="I22" i="12"/>
  <c r="I73" i="12"/>
  <c r="AA73" i="12"/>
  <c r="AA127" i="12"/>
  <c r="AA37" i="12"/>
  <c r="J28" i="12"/>
  <c r="AA19" i="12"/>
  <c r="Z10" i="12"/>
  <c r="I31" i="12"/>
  <c r="AA70" i="12"/>
  <c r="J25" i="12"/>
  <c r="AD82" i="12"/>
  <c r="W82" i="12"/>
  <c r="R82" i="12"/>
  <c r="V82" i="12"/>
  <c r="Q82" i="12"/>
  <c r="S82" i="12"/>
  <c r="U82" i="12"/>
  <c r="Y82" i="12"/>
  <c r="X82" i="12"/>
  <c r="P82" i="12"/>
  <c r="T82" i="12"/>
  <c r="O82" i="12"/>
  <c r="AD136" i="12"/>
  <c r="X136" i="12"/>
  <c r="Y136" i="12"/>
  <c r="U136" i="12"/>
  <c r="V136" i="12"/>
  <c r="W136" i="12"/>
  <c r="T136" i="12"/>
  <c r="Z136" i="12"/>
  <c r="O136" i="12"/>
  <c r="AA136" i="12"/>
  <c r="J136" i="12"/>
  <c r="AB136" i="12"/>
  <c r="K136" i="12"/>
  <c r="K93" i="12"/>
  <c r="CK119" i="1"/>
  <c r="K21" i="12"/>
  <c r="K22" i="12" s="1"/>
  <c r="K9" i="12"/>
  <c r="K10" i="12" s="1"/>
  <c r="J82" i="12"/>
  <c r="K81" i="12"/>
  <c r="K82" i="12" s="1"/>
  <c r="AD88" i="12"/>
  <c r="W88" i="12"/>
  <c r="X88" i="12"/>
  <c r="U88" i="12"/>
  <c r="S88" i="12"/>
  <c r="Q88" i="12"/>
  <c r="R88" i="12"/>
  <c r="V88" i="12"/>
  <c r="Y88" i="12"/>
  <c r="P88" i="12"/>
  <c r="O88" i="12"/>
  <c r="T88" i="12"/>
  <c r="L60" i="2"/>
  <c r="L58" i="2"/>
  <c r="AD247" i="12"/>
  <c r="AA247" i="12"/>
  <c r="W247" i="12"/>
  <c r="V247" i="12"/>
  <c r="T247" i="12"/>
  <c r="U247" i="12"/>
  <c r="Y247" i="12"/>
  <c r="I247" i="12"/>
  <c r="X247" i="12"/>
  <c r="Z247" i="12"/>
  <c r="J247" i="12"/>
  <c r="O247" i="12"/>
  <c r="AB247" i="12"/>
  <c r="K247" i="12"/>
  <c r="AD223" i="12"/>
  <c r="W223" i="12"/>
  <c r="V223" i="12"/>
  <c r="X223" i="12"/>
  <c r="Y223" i="12"/>
  <c r="U223" i="12"/>
  <c r="T223" i="12"/>
  <c r="Z223" i="12"/>
  <c r="I223" i="12"/>
  <c r="AA223" i="12"/>
  <c r="K223" i="12"/>
  <c r="J223" i="12"/>
  <c r="AB223" i="12"/>
  <c r="O223" i="12"/>
  <c r="AD262" i="12"/>
  <c r="Y262" i="12"/>
  <c r="U262" i="12"/>
  <c r="X262" i="12"/>
  <c r="V262" i="12"/>
  <c r="W262" i="12"/>
  <c r="I262" i="12"/>
  <c r="O262" i="12"/>
  <c r="T262" i="12"/>
  <c r="Z262" i="12"/>
  <c r="AA262" i="12"/>
  <c r="AB262" i="12"/>
  <c r="J262" i="12"/>
  <c r="K262" i="12"/>
  <c r="AD250" i="12"/>
  <c r="Y250" i="12"/>
  <c r="V250" i="12"/>
  <c r="W250" i="12"/>
  <c r="X250" i="12"/>
  <c r="T250" i="12"/>
  <c r="U250" i="12"/>
  <c r="O250" i="12"/>
  <c r="I250" i="12"/>
  <c r="Z250" i="12"/>
  <c r="AA250" i="12"/>
  <c r="J250" i="12"/>
  <c r="K250" i="12"/>
  <c r="AB250" i="12"/>
  <c r="AB72" i="12"/>
  <c r="AB73" i="12" s="1"/>
  <c r="AB126" i="12"/>
  <c r="AB127" i="12" s="1"/>
  <c r="X34" i="12"/>
  <c r="U34" i="12"/>
  <c r="V34" i="12"/>
  <c r="Y34" i="12"/>
  <c r="R34" i="12"/>
  <c r="Q34" i="12"/>
  <c r="S34" i="12"/>
  <c r="W34" i="12"/>
  <c r="L34" i="12"/>
  <c r="T34" i="12"/>
  <c r="P34" i="12"/>
  <c r="O34" i="12"/>
  <c r="AD75" i="12"/>
  <c r="AD124" i="12"/>
  <c r="U124" i="12"/>
  <c r="V124" i="12"/>
  <c r="Y124" i="12"/>
  <c r="W124" i="12"/>
  <c r="X124" i="12"/>
  <c r="O124" i="12"/>
  <c r="T124" i="12"/>
  <c r="AD238" i="12"/>
  <c r="T238" i="12"/>
  <c r="W238" i="12"/>
  <c r="V238" i="12"/>
  <c r="U238" i="12"/>
  <c r="Y238" i="12"/>
  <c r="X238" i="12"/>
  <c r="I238" i="12"/>
  <c r="O238" i="12"/>
  <c r="Z238" i="12"/>
  <c r="J238" i="12"/>
  <c r="AA238" i="12"/>
  <c r="AB238" i="12"/>
  <c r="K238" i="12"/>
  <c r="AD214" i="12"/>
  <c r="U214" i="12"/>
  <c r="Y214" i="12"/>
  <c r="X214" i="12"/>
  <c r="W214" i="12"/>
  <c r="V214" i="12"/>
  <c r="T214" i="12"/>
  <c r="Z214" i="12"/>
  <c r="AA214" i="12"/>
  <c r="O214" i="12"/>
  <c r="I214" i="12"/>
  <c r="AB214" i="12"/>
  <c r="J214" i="12"/>
  <c r="K214" i="12"/>
  <c r="AD163" i="12"/>
  <c r="X163" i="12"/>
  <c r="Y163" i="12"/>
  <c r="U163" i="12"/>
  <c r="V163" i="12"/>
  <c r="W163" i="12"/>
  <c r="T163" i="12"/>
  <c r="Z163" i="12"/>
  <c r="I163" i="12"/>
  <c r="AA163" i="12"/>
  <c r="J163" i="12"/>
  <c r="AB163" i="12"/>
  <c r="O163" i="12"/>
  <c r="K163" i="12"/>
  <c r="K96" i="12"/>
  <c r="K97" i="12" s="1"/>
  <c r="K195" i="12"/>
  <c r="K196" i="12" s="1"/>
  <c r="AD100" i="12"/>
  <c r="U100" i="12"/>
  <c r="Y100" i="12"/>
  <c r="X100" i="12"/>
  <c r="W100" i="12"/>
  <c r="V100" i="12"/>
  <c r="T100" i="12"/>
  <c r="L100" i="12"/>
  <c r="O100" i="12"/>
  <c r="Z100" i="12"/>
  <c r="I100" i="12"/>
  <c r="AD91" i="12"/>
  <c r="W91" i="12"/>
  <c r="X91" i="12"/>
  <c r="U91" i="12"/>
  <c r="V91" i="12"/>
  <c r="Y91" i="12"/>
  <c r="T91" i="12"/>
  <c r="O91" i="12"/>
  <c r="AB48" i="12"/>
  <c r="AD37" i="12"/>
  <c r="U37" i="12"/>
  <c r="Y37" i="12"/>
  <c r="R37" i="12"/>
  <c r="X37" i="12"/>
  <c r="S37" i="12"/>
  <c r="W37" i="12"/>
  <c r="V37" i="12"/>
  <c r="Q37" i="12"/>
  <c r="T37" i="12"/>
  <c r="L37" i="12"/>
  <c r="O37" i="12"/>
  <c r="P37" i="12"/>
  <c r="AD64" i="12"/>
  <c r="V64" i="12"/>
  <c r="Q64" i="12"/>
  <c r="U64" i="12"/>
  <c r="Y64" i="12"/>
  <c r="X64" i="12"/>
  <c r="S64" i="12"/>
  <c r="W64" i="12"/>
  <c r="P64" i="12"/>
  <c r="L64" i="12"/>
  <c r="R64" i="12"/>
  <c r="T64" i="12"/>
  <c r="O64" i="12"/>
  <c r="K27" i="12"/>
  <c r="K28" i="12" s="1"/>
  <c r="K108" i="12"/>
  <c r="K109" i="12" s="1"/>
  <c r="Z124" i="12"/>
  <c r="AD145" i="12"/>
  <c r="X145" i="12"/>
  <c r="Y145" i="12"/>
  <c r="U145" i="12"/>
  <c r="V145" i="12"/>
  <c r="T145" i="12"/>
  <c r="W145" i="12"/>
  <c r="Z145" i="12"/>
  <c r="O145" i="12"/>
  <c r="AA145" i="12"/>
  <c r="I145" i="12"/>
  <c r="AB145" i="12"/>
  <c r="J145" i="12"/>
  <c r="K145" i="12"/>
  <c r="J106" i="12"/>
  <c r="K105" i="12"/>
  <c r="K106" i="12" s="1"/>
  <c r="K102" i="12"/>
  <c r="K103" i="12" s="1"/>
  <c r="K54" i="12"/>
  <c r="K55" i="12" s="1"/>
  <c r="AD199" i="12"/>
  <c r="X199" i="12"/>
  <c r="U199" i="12"/>
  <c r="Y199" i="12"/>
  <c r="V199" i="12"/>
  <c r="W199" i="12"/>
  <c r="O199" i="12"/>
  <c r="T199" i="12"/>
  <c r="DB405" i="1"/>
  <c r="AB120" i="12"/>
  <c r="AB121" i="12" s="1"/>
  <c r="AD79" i="12"/>
  <c r="S79" i="12"/>
  <c r="Q79" i="12"/>
  <c r="V79" i="12"/>
  <c r="Y79" i="12"/>
  <c r="X79" i="12"/>
  <c r="W79" i="12"/>
  <c r="U79" i="12"/>
  <c r="O79" i="12"/>
  <c r="R79" i="12"/>
  <c r="T79" i="12"/>
  <c r="P79" i="12"/>
  <c r="K51" i="12"/>
  <c r="K52" i="12" s="1"/>
  <c r="AD169" i="12"/>
  <c r="X169" i="12"/>
  <c r="Y169" i="12"/>
  <c r="U169" i="12"/>
  <c r="V169" i="12"/>
  <c r="W169" i="12"/>
  <c r="T169" i="12"/>
  <c r="Z169" i="12"/>
  <c r="O169" i="12"/>
  <c r="I169" i="12"/>
  <c r="AA169" i="12"/>
  <c r="J169" i="12"/>
  <c r="AB169" i="12"/>
  <c r="K169" i="12"/>
  <c r="AD259" i="12"/>
  <c r="X259" i="12"/>
  <c r="V259" i="12"/>
  <c r="W259" i="12"/>
  <c r="Y259" i="12"/>
  <c r="U259" i="12"/>
  <c r="Z259" i="12"/>
  <c r="I259" i="12"/>
  <c r="T259" i="12"/>
  <c r="O259" i="12"/>
  <c r="J259" i="12"/>
  <c r="AA259" i="12"/>
  <c r="K259" i="12"/>
  <c r="AB259" i="12"/>
  <c r="K117" i="12"/>
  <c r="K118" i="12" s="1"/>
  <c r="AD184" i="12"/>
  <c r="U184" i="12"/>
  <c r="X184" i="12"/>
  <c r="W184" i="12"/>
  <c r="Y184" i="12"/>
  <c r="V184" i="12"/>
  <c r="I184" i="12"/>
  <c r="T184" i="12"/>
  <c r="AA184" i="12"/>
  <c r="Z184" i="12"/>
  <c r="J184" i="12"/>
  <c r="O184" i="12"/>
  <c r="K184" i="12"/>
  <c r="AB184" i="12"/>
  <c r="AD253" i="12"/>
  <c r="Y253" i="12"/>
  <c r="V253" i="12"/>
  <c r="W253" i="12"/>
  <c r="U253" i="12"/>
  <c r="X253" i="12"/>
  <c r="T253" i="12"/>
  <c r="O253" i="12"/>
  <c r="Z253" i="12"/>
  <c r="I253" i="12"/>
  <c r="AA253" i="12"/>
  <c r="J253" i="12"/>
  <c r="K253" i="12"/>
  <c r="AB253" i="12"/>
  <c r="AD205" i="12"/>
  <c r="T205" i="12"/>
  <c r="W205" i="12"/>
  <c r="V205" i="12"/>
  <c r="Y205" i="12"/>
  <c r="X205" i="12"/>
  <c r="U205" i="12"/>
  <c r="AB205" i="12"/>
  <c r="AA205" i="12"/>
  <c r="Z205" i="12"/>
  <c r="O205" i="12"/>
  <c r="I205" i="12"/>
  <c r="J205" i="12"/>
  <c r="K205" i="12"/>
  <c r="AB36" i="12"/>
  <c r="AB37" i="12" s="1"/>
  <c r="AD121" i="12"/>
  <c r="Y121" i="12"/>
  <c r="U121" i="12"/>
  <c r="W121" i="12"/>
  <c r="X121" i="12"/>
  <c r="V121" i="12"/>
  <c r="O121" i="12"/>
  <c r="T121" i="12"/>
  <c r="CK405" i="1"/>
  <c r="K120" i="12"/>
  <c r="K121" i="12" s="1"/>
  <c r="K45" i="12"/>
  <c r="K46" i="12" s="1"/>
  <c r="AB45" i="12"/>
  <c r="AB46" i="12" s="1"/>
  <c r="AD115" i="12"/>
  <c r="W115" i="12"/>
  <c r="V115" i="12"/>
  <c r="X115" i="12"/>
  <c r="Y115" i="12"/>
  <c r="U115" i="12"/>
  <c r="T115" i="12"/>
  <c r="O115" i="12"/>
  <c r="AB180" i="12"/>
  <c r="AB181" i="12" s="1"/>
  <c r="K177" i="12"/>
  <c r="K178" i="12" s="1"/>
  <c r="AB18" i="12"/>
  <c r="AB19" i="12" s="1"/>
  <c r="AD43" i="12"/>
  <c r="Y43" i="12"/>
  <c r="R43" i="12"/>
  <c r="X43" i="12"/>
  <c r="U43" i="12"/>
  <c r="S43" i="12"/>
  <c r="W43" i="12"/>
  <c r="V43" i="12"/>
  <c r="Q43" i="12"/>
  <c r="O43" i="12"/>
  <c r="T43" i="12"/>
  <c r="P43" i="12"/>
  <c r="K42" i="12"/>
  <c r="K43" i="12" s="1"/>
  <c r="CK95" i="1"/>
  <c r="K12" i="12"/>
  <c r="J199" i="12"/>
  <c r="K198" i="12"/>
  <c r="K199" i="12" s="1"/>
  <c r="CK191" i="1"/>
  <c r="K57" i="12"/>
  <c r="CK254" i="1"/>
  <c r="K66" i="12"/>
  <c r="Y112" i="12"/>
  <c r="X112" i="12"/>
  <c r="O112" i="12"/>
  <c r="J79" i="12"/>
  <c r="K78" i="12"/>
  <c r="K79" i="12" s="1"/>
  <c r="L88" i="12"/>
  <c r="AD175" i="12"/>
  <c r="V175" i="12"/>
  <c r="U175" i="12"/>
  <c r="Y175" i="12"/>
  <c r="W175" i="12"/>
  <c r="X175" i="12"/>
  <c r="T175" i="12"/>
  <c r="J175" i="12"/>
  <c r="AD211" i="12"/>
  <c r="V211" i="12"/>
  <c r="T211" i="12"/>
  <c r="U211" i="12"/>
  <c r="Y211" i="12"/>
  <c r="AA211" i="12"/>
  <c r="X211" i="12"/>
  <c r="W211" i="12"/>
  <c r="Z211" i="12"/>
  <c r="I211" i="12"/>
  <c r="O211" i="12"/>
  <c r="AB211" i="12"/>
  <c r="J211" i="12"/>
  <c r="K211" i="12"/>
  <c r="L247" i="12"/>
  <c r="AD232" i="12"/>
  <c r="U232" i="12"/>
  <c r="X232" i="12"/>
  <c r="Y232" i="12"/>
  <c r="V232" i="12"/>
  <c r="W232" i="12"/>
  <c r="T232" i="12"/>
  <c r="O232" i="12"/>
  <c r="Z232" i="12"/>
  <c r="I232" i="12"/>
  <c r="AA232" i="12"/>
  <c r="J232" i="12"/>
  <c r="AB232" i="12"/>
  <c r="K232" i="12"/>
  <c r="L259" i="12"/>
  <c r="AD235" i="12"/>
  <c r="Y235" i="12"/>
  <c r="X235" i="12"/>
  <c r="W235" i="12"/>
  <c r="U235" i="12"/>
  <c r="V235" i="12"/>
  <c r="T235" i="12"/>
  <c r="I235" i="12"/>
  <c r="Z235" i="12"/>
  <c r="O235" i="12"/>
  <c r="J235" i="12"/>
  <c r="AA235" i="12"/>
  <c r="AB235" i="12"/>
  <c r="K235" i="12"/>
  <c r="L262" i="12"/>
  <c r="AD268" i="12"/>
  <c r="Y268" i="12"/>
  <c r="V268" i="12"/>
  <c r="W268" i="12"/>
  <c r="U268" i="12"/>
  <c r="X268" i="12"/>
  <c r="T268" i="12"/>
  <c r="Z268" i="12"/>
  <c r="O268" i="12"/>
  <c r="AA268" i="12"/>
  <c r="I268" i="12"/>
  <c r="AB268" i="12"/>
  <c r="J268" i="12"/>
  <c r="K268" i="12"/>
  <c r="L250" i="12"/>
  <c r="AB24" i="12"/>
  <c r="AB25" i="12" s="1"/>
  <c r="I34" i="12"/>
  <c r="J88" i="12"/>
  <c r="K87" i="12"/>
  <c r="K88" i="12" s="1"/>
  <c r="AD7" i="12"/>
  <c r="W7" i="12"/>
  <c r="X7" i="12"/>
  <c r="S7" i="12"/>
  <c r="U7" i="12"/>
  <c r="R7" i="12"/>
  <c r="V7" i="12"/>
  <c r="Q7" i="12"/>
  <c r="Y7" i="12"/>
  <c r="P7" i="12"/>
  <c r="O7" i="12"/>
  <c r="T7" i="12"/>
  <c r="J124" i="12"/>
  <c r="K123" i="12"/>
  <c r="K124" i="12" s="1"/>
  <c r="AD265" i="12"/>
  <c r="V265" i="12"/>
  <c r="W265" i="12"/>
  <c r="X265" i="12"/>
  <c r="T265" i="12"/>
  <c r="U265" i="12"/>
  <c r="Y265" i="12"/>
  <c r="I265" i="12"/>
  <c r="Z265" i="12"/>
  <c r="O265" i="12"/>
  <c r="J265" i="12"/>
  <c r="AA265" i="12"/>
  <c r="AB265" i="12"/>
  <c r="K265" i="12"/>
  <c r="L238" i="12"/>
  <c r="L184" i="12"/>
  <c r="AD241" i="12"/>
  <c r="U241" i="12"/>
  <c r="V241" i="12"/>
  <c r="X241" i="12"/>
  <c r="Y241" i="12"/>
  <c r="W241" i="12"/>
  <c r="T241" i="12"/>
  <c r="O241" i="12"/>
  <c r="Z241" i="12"/>
  <c r="I241" i="12"/>
  <c r="AB241" i="12"/>
  <c r="J241" i="12"/>
  <c r="AA241" i="12"/>
  <c r="K241" i="12"/>
  <c r="L199" i="12"/>
  <c r="AD187" i="12"/>
  <c r="W187" i="12"/>
  <c r="X187" i="12"/>
  <c r="V187" i="12"/>
  <c r="Y187" i="12"/>
  <c r="U187" i="12"/>
  <c r="O187" i="12"/>
  <c r="Z187" i="12"/>
  <c r="T187" i="12"/>
  <c r="I187" i="12"/>
  <c r="AA187" i="12"/>
  <c r="J187" i="12"/>
  <c r="AB187" i="12"/>
  <c r="K187" i="12"/>
  <c r="L205" i="12"/>
  <c r="AD172" i="12"/>
  <c r="U172" i="12"/>
  <c r="Y172" i="12"/>
  <c r="X172" i="12"/>
  <c r="W172" i="12"/>
  <c r="V172" i="12"/>
  <c r="Z172" i="12"/>
  <c r="O172" i="12"/>
  <c r="I172" i="12"/>
  <c r="T172" i="12"/>
  <c r="AA172" i="12"/>
  <c r="AB172" i="12"/>
  <c r="J172" i="12"/>
  <c r="K172" i="12"/>
  <c r="AD208" i="12"/>
  <c r="X208" i="12"/>
  <c r="W208" i="12"/>
  <c r="O208" i="12"/>
  <c r="V208" i="12"/>
  <c r="Y208" i="12"/>
  <c r="U208" i="12"/>
  <c r="T208" i="12"/>
  <c r="I208" i="12"/>
  <c r="Z208" i="12"/>
  <c r="J208" i="12"/>
  <c r="AA208" i="12"/>
  <c r="K208" i="12"/>
  <c r="AB208" i="12"/>
  <c r="AA112" i="12"/>
  <c r="AA82" i="12"/>
  <c r="AB81" i="12"/>
  <c r="AB82" i="12" s="1"/>
  <c r="K69" i="12"/>
  <c r="K70" i="12" s="1"/>
  <c r="J91" i="12"/>
  <c r="K90" i="12"/>
  <c r="K91" i="12" s="1"/>
  <c r="AB69" i="12"/>
  <c r="AB70" i="12" s="1"/>
  <c r="AB108" i="12"/>
  <c r="AB109" i="12" s="1"/>
  <c r="Z175" i="12"/>
  <c r="AD46" i="12"/>
  <c r="Y46" i="12"/>
  <c r="V46" i="12"/>
  <c r="Q46" i="12"/>
  <c r="S46" i="12"/>
  <c r="R46" i="12"/>
  <c r="X46" i="12"/>
  <c r="U46" i="12"/>
  <c r="W46" i="12"/>
  <c r="L46" i="12"/>
  <c r="T46" i="12"/>
  <c r="P46" i="12"/>
  <c r="O46" i="12"/>
  <c r="L79" i="12"/>
  <c r="I37" i="12"/>
  <c r="K24" i="12"/>
  <c r="K25" i="12" s="1"/>
  <c r="J115" i="12"/>
  <c r="K114" i="12"/>
  <c r="K115" i="12" s="1"/>
  <c r="K18" i="12"/>
  <c r="K19" i="12" s="1"/>
  <c r="AB51" i="12"/>
  <c r="AB52" i="12" s="1"/>
  <c r="L43" i="12"/>
  <c r="AD109" i="12"/>
  <c r="V109" i="12"/>
  <c r="U109" i="12"/>
  <c r="Y109" i="12"/>
  <c r="X109" i="12"/>
  <c r="W109" i="12"/>
  <c r="O109" i="12"/>
  <c r="T109" i="12"/>
  <c r="L109" i="12"/>
  <c r="AD193" i="12"/>
  <c r="X193" i="12"/>
  <c r="U193" i="12"/>
  <c r="Y193" i="12"/>
  <c r="V193" i="12"/>
  <c r="W193" i="12"/>
  <c r="T193" i="12"/>
  <c r="O193" i="12"/>
  <c r="K193" i="12"/>
  <c r="K60" i="2"/>
  <c r="AA43" i="12"/>
  <c r="AB42" i="12"/>
  <c r="AB43" i="12" s="1"/>
  <c r="AB7" i="12"/>
  <c r="Z7" i="12"/>
  <c r="Z91" i="12"/>
  <c r="AD127" i="12"/>
  <c r="X127" i="12"/>
  <c r="U127" i="12"/>
  <c r="W127" i="12"/>
  <c r="V127" i="12"/>
  <c r="Y127" i="12"/>
  <c r="T127" i="12"/>
  <c r="O127" i="12"/>
  <c r="AD70" i="12"/>
  <c r="V70" i="12"/>
  <c r="Q70" i="12"/>
  <c r="R70" i="12"/>
  <c r="U70" i="12"/>
  <c r="Y70" i="12"/>
  <c r="X70" i="12"/>
  <c r="S70" i="12"/>
  <c r="W70" i="12"/>
  <c r="L70" i="12"/>
  <c r="O70" i="12"/>
  <c r="P70" i="12"/>
  <c r="T70" i="12"/>
  <c r="AD28" i="12"/>
  <c r="R28" i="12"/>
  <c r="X28" i="12"/>
  <c r="U28" i="12"/>
  <c r="W28" i="12"/>
  <c r="Y28" i="12"/>
  <c r="V28" i="12"/>
  <c r="Q28" i="12"/>
  <c r="S28" i="12"/>
  <c r="T28" i="12"/>
  <c r="P28" i="12"/>
  <c r="O28" i="12"/>
  <c r="AD178" i="12"/>
  <c r="W178" i="12"/>
  <c r="X178" i="12"/>
  <c r="V178" i="12"/>
  <c r="U178" i="12"/>
  <c r="Y178" i="12"/>
  <c r="O178" i="12"/>
  <c r="T178" i="12"/>
  <c r="DB343" i="1"/>
  <c r="AB84" i="12"/>
  <c r="DB423" i="1"/>
  <c r="AB192" i="12"/>
  <c r="AB193" i="12" s="1"/>
  <c r="AD22" i="12"/>
  <c r="Y22" i="12"/>
  <c r="Q22" i="12"/>
  <c r="W22" i="12"/>
  <c r="V22" i="12"/>
  <c r="X22" i="12"/>
  <c r="R22" i="12"/>
  <c r="U22" i="12"/>
  <c r="S22" i="12"/>
  <c r="P22" i="12"/>
  <c r="O22" i="12"/>
  <c r="T22" i="12"/>
  <c r="J64" i="12"/>
  <c r="K63" i="12"/>
  <c r="K64" i="12" s="1"/>
  <c r="I199" i="12"/>
  <c r="Z121" i="12"/>
  <c r="AB195" i="12"/>
  <c r="AB196" i="12" s="1"/>
  <c r="DD11" i="1"/>
  <c r="AD73" i="12"/>
  <c r="Y73" i="12"/>
  <c r="R73" i="12"/>
  <c r="X73" i="12"/>
  <c r="Q73" i="12"/>
  <c r="S73" i="12"/>
  <c r="W73" i="12"/>
  <c r="V73" i="12"/>
  <c r="U73" i="12"/>
  <c r="O73" i="12"/>
  <c r="T73" i="12"/>
  <c r="P73" i="12"/>
  <c r="K72" i="12"/>
  <c r="K73" i="12" s="1"/>
  <c r="K15" i="12"/>
  <c r="K16" i="12" s="1"/>
  <c r="I82" i="12"/>
  <c r="L115" i="12"/>
  <c r="L121" i="12"/>
  <c r="AD229" i="12"/>
  <c r="X229" i="12"/>
  <c r="U229" i="12"/>
  <c r="Y229" i="12"/>
  <c r="V229" i="12"/>
  <c r="T229" i="12"/>
  <c r="W229" i="12"/>
  <c r="J229" i="12"/>
  <c r="Z229" i="12"/>
  <c r="AA229" i="12"/>
  <c r="I229" i="12"/>
  <c r="O229" i="12"/>
  <c r="K229" i="12"/>
  <c r="AB229" i="12"/>
  <c r="L211" i="12"/>
  <c r="AD151" i="12"/>
  <c r="V151" i="12"/>
  <c r="W151" i="12"/>
  <c r="X151" i="12"/>
  <c r="Y151" i="12"/>
  <c r="U151" i="12"/>
  <c r="O151" i="12"/>
  <c r="T151" i="12"/>
  <c r="I151" i="12"/>
  <c r="J151" i="12"/>
  <c r="Z151" i="12"/>
  <c r="AA151" i="12"/>
  <c r="K151" i="12"/>
  <c r="AB151" i="12"/>
  <c r="L232" i="12"/>
  <c r="AD217" i="12"/>
  <c r="X217" i="12"/>
  <c r="U217" i="12"/>
  <c r="W217" i="12"/>
  <c r="V217" i="12"/>
  <c r="Y217" i="12"/>
  <c r="T217" i="12"/>
  <c r="O217" i="12"/>
  <c r="Z217" i="12"/>
  <c r="AA217" i="12"/>
  <c r="AB217" i="12"/>
  <c r="I217" i="12"/>
  <c r="J217" i="12"/>
  <c r="K217" i="12"/>
  <c r="L235" i="12"/>
  <c r="AA199" i="12"/>
  <c r="CK283" i="1"/>
  <c r="K75" i="12"/>
  <c r="I124" i="12"/>
  <c r="AD166" i="12"/>
  <c r="V166" i="12"/>
  <c r="U166" i="12"/>
  <c r="Y166" i="12"/>
  <c r="X166" i="12"/>
  <c r="W166" i="12"/>
  <c r="T166" i="12"/>
  <c r="I166" i="12"/>
  <c r="Z166" i="12"/>
  <c r="J166" i="12"/>
  <c r="AA166" i="12"/>
  <c r="O166" i="12"/>
  <c r="AB166" i="12"/>
  <c r="AD220" i="12"/>
  <c r="T220" i="12"/>
  <c r="X220" i="12"/>
  <c r="U220" i="12"/>
  <c r="Y220" i="12"/>
  <c r="V220" i="12"/>
  <c r="I220" i="12"/>
  <c r="W220" i="12"/>
  <c r="Z220" i="12"/>
  <c r="J220" i="12"/>
  <c r="AA220" i="12"/>
  <c r="K220" i="12"/>
  <c r="AB220" i="12"/>
  <c r="O220" i="12"/>
  <c r="L265" i="12"/>
  <c r="L214" i="12"/>
  <c r="AD190" i="12"/>
  <c r="W190" i="12"/>
  <c r="X190" i="12"/>
  <c r="T190" i="12"/>
  <c r="U190" i="12"/>
  <c r="Y190" i="12"/>
  <c r="V190" i="12"/>
  <c r="O190" i="12"/>
  <c r="Z190" i="12"/>
  <c r="I190" i="12"/>
  <c r="AA190" i="12"/>
  <c r="AB190" i="12"/>
  <c r="J190" i="12"/>
  <c r="K190" i="12"/>
  <c r="AB117" i="12"/>
  <c r="AB118" i="12" s="1"/>
  <c r="AB9" i="12"/>
  <c r="AB10" i="12" s="1"/>
  <c r="AD103" i="12"/>
  <c r="U103" i="12"/>
  <c r="Y103" i="12"/>
  <c r="V103" i="12"/>
  <c r="X103" i="12"/>
  <c r="W103" i="12"/>
  <c r="T103" i="12"/>
  <c r="J103" i="12"/>
  <c r="L124" i="12"/>
  <c r="K166" i="12"/>
  <c r="L208" i="12"/>
  <c r="AB66" i="12"/>
  <c r="AB60" i="12"/>
  <c r="AB61" i="12" s="1"/>
  <c r="DB387" i="1"/>
  <c r="AB111" i="12"/>
  <c r="AB112" i="12" s="1"/>
  <c r="AA79" i="12"/>
  <c r="Z82" i="12"/>
  <c r="J100" i="12"/>
  <c r="K99" i="12"/>
  <c r="K100" i="12" s="1"/>
  <c r="J121" i="12"/>
  <c r="AB21" i="12"/>
  <c r="AB22" i="12" s="1"/>
  <c r="AD55" i="12"/>
  <c r="Q55" i="12"/>
  <c r="V55" i="12"/>
  <c r="U55" i="12"/>
  <c r="Y55" i="12"/>
  <c r="R55" i="12"/>
  <c r="X55" i="12"/>
  <c r="S55" i="12"/>
  <c r="W55" i="12"/>
  <c r="T55" i="12"/>
  <c r="P55" i="12"/>
  <c r="O55" i="12"/>
  <c r="Z55" i="12"/>
  <c r="AA34" i="12"/>
  <c r="AB33" i="12"/>
  <c r="AB34" i="12" s="1"/>
  <c r="AA175" i="12"/>
  <c r="CK150" i="1"/>
  <c r="K39" i="12"/>
  <c r="AD61" i="12"/>
  <c r="V61" i="12"/>
  <c r="R61" i="12"/>
  <c r="U61" i="12"/>
  <c r="Y61" i="12"/>
  <c r="X61" i="12"/>
  <c r="S61" i="12"/>
  <c r="W61" i="12"/>
  <c r="O61" i="12"/>
  <c r="L61" i="12"/>
  <c r="Q61" i="12"/>
  <c r="T61" i="12"/>
  <c r="P61" i="12"/>
  <c r="I46" i="12"/>
  <c r="K126" i="12"/>
  <c r="K127" i="12" s="1"/>
  <c r="L127" i="12"/>
  <c r="AD25" i="12"/>
  <c r="Y25" i="12"/>
  <c r="R25" i="12"/>
  <c r="V25" i="12"/>
  <c r="Q25" i="12"/>
  <c r="S25" i="12"/>
  <c r="X25" i="12"/>
  <c r="U25" i="12"/>
  <c r="W25" i="12"/>
  <c r="P25" i="12"/>
  <c r="O25" i="12"/>
  <c r="T25" i="12"/>
  <c r="L25" i="12"/>
  <c r="AD19" i="12"/>
  <c r="S19" i="12"/>
  <c r="W19" i="12"/>
  <c r="Q19" i="12"/>
  <c r="R19" i="12"/>
  <c r="V19" i="12"/>
  <c r="Y19" i="12"/>
  <c r="X19" i="12"/>
  <c r="U19" i="12"/>
  <c r="T19" i="12"/>
  <c r="O19" i="12"/>
  <c r="P19" i="12"/>
  <c r="L82" i="12"/>
  <c r="AD142" i="12"/>
  <c r="X142" i="12"/>
  <c r="V142" i="12"/>
  <c r="Y142" i="12"/>
  <c r="U142" i="12"/>
  <c r="W142" i="12"/>
  <c r="Z142" i="12"/>
  <c r="I142" i="12"/>
  <c r="T142" i="12"/>
  <c r="O142" i="12"/>
  <c r="J142" i="12"/>
  <c r="AA142" i="12"/>
  <c r="AB142" i="12"/>
  <c r="K142" i="12"/>
  <c r="AB105" i="12"/>
  <c r="AB106" i="12" s="1"/>
  <c r="AD196" i="12"/>
  <c r="V196" i="12"/>
  <c r="W196" i="12"/>
  <c r="X196" i="12"/>
  <c r="U196" i="12"/>
  <c r="Y196" i="12"/>
  <c r="T196" i="12"/>
  <c r="O196" i="12"/>
  <c r="CK214" i="1"/>
  <c r="K48" i="12"/>
  <c r="AD48" i="12"/>
  <c r="DD214" i="1"/>
  <c r="I28" i="12"/>
  <c r="I109" i="12"/>
  <c r="AA28" i="12"/>
  <c r="AB27" i="12"/>
  <c r="AB28" i="12" s="1"/>
  <c r="AA64" i="12"/>
  <c r="AB63" i="12"/>
  <c r="AB64" i="12" s="1"/>
  <c r="Z88" i="12"/>
  <c r="AA91" i="12"/>
  <c r="AB90" i="12"/>
  <c r="AB91" i="12" s="1"/>
  <c r="I178" i="12"/>
  <c r="AD133" i="12"/>
  <c r="W133" i="12"/>
  <c r="Y133" i="12"/>
  <c r="U133" i="12"/>
  <c r="X133" i="12"/>
  <c r="V133" i="12"/>
  <c r="T133" i="12"/>
  <c r="O133" i="12"/>
  <c r="Z133" i="12"/>
  <c r="I133" i="12"/>
  <c r="K133" i="12"/>
  <c r="AA133" i="12"/>
  <c r="J133" i="12"/>
  <c r="AB133" i="12"/>
  <c r="L136" i="12"/>
  <c r="AA193" i="12"/>
  <c r="AD93" i="12"/>
  <c r="I43" i="12"/>
  <c r="AD10" i="12"/>
  <c r="S10" i="12"/>
  <c r="U10" i="12"/>
  <c r="Y10" i="12"/>
  <c r="X10" i="12"/>
  <c r="W10" i="12"/>
  <c r="R10" i="12"/>
  <c r="V10" i="12"/>
  <c r="Q10" i="12"/>
  <c r="O10" i="12"/>
  <c r="T10" i="12"/>
  <c r="P10" i="12"/>
  <c r="AB96" i="12"/>
  <c r="AB97" i="12" s="1"/>
  <c r="AA121" i="12"/>
  <c r="O175" i="12"/>
  <c r="AD57" i="12"/>
  <c r="DD191" i="1"/>
  <c r="CK387" i="1"/>
  <c r="K111" i="12"/>
  <c r="I79" i="12"/>
  <c r="AD16" i="12"/>
  <c r="W16" i="12"/>
  <c r="R16" i="12"/>
  <c r="Q16" i="12"/>
  <c r="V16" i="12"/>
  <c r="S16" i="12"/>
  <c r="U16" i="12"/>
  <c r="Y16" i="12"/>
  <c r="X16" i="12"/>
  <c r="T16" i="12"/>
  <c r="P16" i="12"/>
  <c r="O16" i="12"/>
  <c r="AD52" i="12"/>
  <c r="U52" i="12"/>
  <c r="Y52" i="12"/>
  <c r="X52" i="12"/>
  <c r="S52" i="12"/>
  <c r="W52" i="12"/>
  <c r="V52" i="12"/>
  <c r="Q52" i="12"/>
  <c r="R52" i="12"/>
  <c r="T52" i="12"/>
  <c r="O52" i="12"/>
  <c r="P52" i="12"/>
  <c r="I175" i="12"/>
  <c r="L229" i="12"/>
  <c r="AD202" i="12"/>
  <c r="U202" i="12"/>
  <c r="Y202" i="12"/>
  <c r="Z202" i="12"/>
  <c r="V202" i="12"/>
  <c r="T202" i="12"/>
  <c r="W202" i="12"/>
  <c r="X202" i="12"/>
  <c r="AA202" i="12"/>
  <c r="I202" i="12"/>
  <c r="O202" i="12"/>
  <c r="J202" i="12"/>
  <c r="AB202" i="12"/>
  <c r="K202" i="12"/>
  <c r="L151" i="12"/>
  <c r="AD160" i="12"/>
  <c r="X160" i="12"/>
  <c r="T160" i="12"/>
  <c r="U160" i="12"/>
  <c r="Y160" i="12"/>
  <c r="V160" i="12"/>
  <c r="W160" i="12"/>
  <c r="O160" i="12"/>
  <c r="I160" i="12"/>
  <c r="Z160" i="12"/>
  <c r="K160" i="12"/>
  <c r="J160" i="12"/>
  <c r="AA160" i="12"/>
  <c r="AB160" i="12"/>
  <c r="L169" i="12"/>
  <c r="L223" i="12"/>
  <c r="AD271" i="12"/>
  <c r="Z271" i="12"/>
  <c r="X271" i="12"/>
  <c r="U271" i="12"/>
  <c r="W271" i="12"/>
  <c r="V271" i="12"/>
  <c r="Y271" i="12"/>
  <c r="O271" i="12"/>
  <c r="AA271" i="12"/>
  <c r="T271" i="12"/>
  <c r="I271" i="12"/>
  <c r="AB271" i="12"/>
  <c r="J271" i="12"/>
  <c r="K271" i="12"/>
  <c r="L217" i="12"/>
  <c r="L268" i="12"/>
  <c r="AD244" i="12"/>
  <c r="W244" i="12"/>
  <c r="V244" i="12"/>
  <c r="Y244" i="12"/>
  <c r="X244" i="12"/>
  <c r="O244" i="12"/>
  <c r="U244" i="12"/>
  <c r="Z244" i="12"/>
  <c r="T244" i="12"/>
  <c r="I244" i="12"/>
  <c r="AA244" i="12"/>
  <c r="J244" i="12"/>
  <c r="K244" i="12"/>
  <c r="AB244" i="12"/>
  <c r="Z103" i="12"/>
  <c r="Z73" i="12"/>
  <c r="L55" i="12"/>
  <c r="L52" i="12"/>
  <c r="Z199" i="12"/>
  <c r="J34" i="12"/>
  <c r="K33" i="12"/>
  <c r="K34" i="12" s="1"/>
  <c r="I88" i="12"/>
  <c r="I7" i="12"/>
  <c r="J7" i="12"/>
  <c r="V49" i="2"/>
  <c r="V59" i="2" s="1"/>
  <c r="K180" i="12"/>
  <c r="K181" i="12" s="1"/>
  <c r="L175" i="12"/>
  <c r="AD256" i="12"/>
  <c r="X256" i="12"/>
  <c r="I256" i="12"/>
  <c r="T256" i="12"/>
  <c r="U256" i="12"/>
  <c r="Y256" i="12"/>
  <c r="V256" i="12"/>
  <c r="W256" i="12"/>
  <c r="J256" i="12"/>
  <c r="O256" i="12"/>
  <c r="Z256" i="12"/>
  <c r="AA256" i="12"/>
  <c r="K256" i="12"/>
  <c r="AB256" i="12"/>
  <c r="L220" i="12"/>
  <c r="L193" i="12"/>
  <c r="L178" i="12"/>
  <c r="L253" i="12"/>
  <c r="AD154" i="12"/>
  <c r="X154" i="12"/>
  <c r="T154" i="12"/>
  <c r="W154" i="12"/>
  <c r="U154" i="12"/>
  <c r="Y154" i="12"/>
  <c r="V154" i="12"/>
  <c r="O154" i="12"/>
  <c r="Z154" i="12"/>
  <c r="AA154" i="12"/>
  <c r="I154" i="12"/>
  <c r="J154" i="12"/>
  <c r="AB154" i="12"/>
  <c r="K154" i="12"/>
  <c r="L163" i="12"/>
  <c r="AD226" i="12"/>
  <c r="Y226" i="12"/>
  <c r="X226" i="12"/>
  <c r="V226" i="12"/>
  <c r="W226" i="12"/>
  <c r="U226" i="12"/>
  <c r="T226" i="12"/>
  <c r="I226" i="12"/>
  <c r="Z226" i="12"/>
  <c r="J226" i="12"/>
  <c r="AA226" i="12"/>
  <c r="AB226" i="12"/>
  <c r="K226" i="12"/>
  <c r="O226" i="12"/>
  <c r="CK131" i="1"/>
  <c r="K30" i="12"/>
  <c r="K31" i="12" s="1"/>
  <c r="AD31" i="12"/>
  <c r="R31" i="12"/>
  <c r="Q31" i="12"/>
  <c r="Y31" i="12"/>
  <c r="X31" i="12"/>
  <c r="W31" i="12"/>
  <c r="U31" i="12"/>
  <c r="V31" i="12"/>
  <c r="S31" i="12"/>
  <c r="O31" i="12"/>
  <c r="P31" i="12"/>
  <c r="T31" i="12"/>
  <c r="AD97" i="12"/>
  <c r="U97" i="12"/>
  <c r="Y97" i="12"/>
  <c r="V97" i="12"/>
  <c r="X97" i="12"/>
  <c r="W97" i="12"/>
  <c r="T97" i="12"/>
  <c r="O97" i="12"/>
  <c r="L7" i="12"/>
  <c r="Z37" i="12"/>
  <c r="AA100" i="12"/>
  <c r="AB99" i="12"/>
  <c r="AB100" i="12" s="1"/>
  <c r="L28" i="12"/>
  <c r="AB78" i="12"/>
  <c r="AB79" i="12" s="1"/>
  <c r="AB15" i="12"/>
  <c r="AB16" i="12" s="1"/>
  <c r="AA115" i="12"/>
  <c r="AB114" i="12"/>
  <c r="AB115" i="12" s="1"/>
  <c r="I70" i="12"/>
  <c r="I91" i="12"/>
  <c r="AB93" i="12"/>
  <c r="AA22" i="12"/>
  <c r="AA55" i="12"/>
  <c r="AB54" i="12"/>
  <c r="AB55" i="12" s="1"/>
  <c r="Z34" i="12"/>
  <c r="AD118" i="12"/>
  <c r="U118" i="12"/>
  <c r="Y118" i="12"/>
  <c r="X118" i="12"/>
  <c r="W118" i="12"/>
  <c r="V118" i="12"/>
  <c r="T118" i="12"/>
  <c r="O118" i="12"/>
  <c r="J127" i="12"/>
  <c r="L91" i="12"/>
  <c r="J37" i="12"/>
  <c r="K36" i="12"/>
  <c r="K37" i="12" s="1"/>
  <c r="CK343" i="1"/>
  <c r="I115" i="12"/>
  <c r="I19" i="12"/>
  <c r="J19" i="12"/>
  <c r="L142" i="12"/>
  <c r="AD106" i="12"/>
  <c r="U106" i="12"/>
  <c r="X106" i="12"/>
  <c r="W106" i="12"/>
  <c r="Y106" i="12"/>
  <c r="V106" i="12"/>
  <c r="T106" i="12"/>
  <c r="O106" i="12"/>
  <c r="Z46" i="12"/>
  <c r="O103" i="12"/>
  <c r="DB75" i="1"/>
  <c r="J193" i="12"/>
  <c r="K58" i="2"/>
  <c r="Z28" i="12"/>
  <c r="Z64" i="12"/>
  <c r="AB12" i="12"/>
  <c r="AA88" i="12"/>
  <c r="AB87" i="12"/>
  <c r="AB88" i="12" s="1"/>
  <c r="AA7" i="12"/>
  <c r="AA124" i="12"/>
  <c r="AB123" i="12"/>
  <c r="AB124" i="12" s="1"/>
  <c r="AA178" i="12"/>
  <c r="AB177" i="12"/>
  <c r="AB178" i="12" s="1"/>
  <c r="L112" i="12"/>
  <c r="Z178" i="12"/>
  <c r="I106" i="12"/>
  <c r="L145" i="12"/>
  <c r="AB102" i="12"/>
  <c r="AB103" i="12" s="1"/>
  <c r="AB199" i="12"/>
  <c r="AB57" i="12"/>
  <c r="K60" i="12"/>
  <c r="K61" i="12" s="1"/>
  <c r="U112" i="12" l="1"/>
  <c r="V112" i="12"/>
  <c r="AD112" i="12"/>
  <c r="N112" i="12"/>
  <c r="J112" i="12"/>
  <c r="K112" i="12"/>
  <c r="I112" i="12"/>
  <c r="T112" i="12"/>
  <c r="Z112" i="12"/>
  <c r="M112" i="12"/>
  <c r="Z40" i="12"/>
  <c r="X40" i="12"/>
  <c r="Y40" i="12"/>
  <c r="M40" i="12"/>
  <c r="R40" i="12"/>
  <c r="K40" i="12"/>
  <c r="I157" i="12"/>
  <c r="AB40" i="12"/>
  <c r="AA40" i="12"/>
  <c r="Q40" i="12"/>
  <c r="I40" i="12"/>
  <c r="O40" i="12"/>
  <c r="S40" i="12"/>
  <c r="P40" i="12"/>
  <c r="V40" i="12"/>
  <c r="T40" i="12"/>
  <c r="U40" i="12"/>
  <c r="L40" i="12"/>
  <c r="M157" i="12"/>
  <c r="W40" i="12"/>
  <c r="AD40" i="12"/>
  <c r="J40" i="12"/>
  <c r="K157" i="12"/>
  <c r="X157" i="12"/>
  <c r="U157" i="12"/>
  <c r="AA157" i="12"/>
  <c r="V157" i="12"/>
  <c r="J157" i="12"/>
  <c r="Y157" i="12"/>
  <c r="T157" i="12"/>
  <c r="W157" i="12"/>
  <c r="O157" i="12"/>
  <c r="AD157" i="12"/>
  <c r="L157" i="12"/>
  <c r="Z157" i="12"/>
  <c r="AB157" i="12"/>
  <c r="R60" i="19"/>
  <c r="R58" i="19"/>
  <c r="R58" i="18"/>
  <c r="R60" i="18"/>
  <c r="V60" i="2"/>
  <c r="O67" i="12"/>
  <c r="L67" i="12"/>
  <c r="U67" i="12"/>
  <c r="Q67" i="12"/>
  <c r="K67" i="12"/>
  <c r="Q13" i="12"/>
  <c r="N13" i="12"/>
  <c r="P67" i="12"/>
  <c r="W67" i="12"/>
  <c r="R67" i="12"/>
  <c r="S67" i="12"/>
  <c r="X67" i="12"/>
  <c r="AD67" i="12"/>
  <c r="T67" i="12"/>
  <c r="V67" i="12"/>
  <c r="Y67" i="12"/>
  <c r="M67" i="12"/>
  <c r="AB67" i="12"/>
  <c r="Z67" i="12"/>
  <c r="I67" i="12"/>
  <c r="V13" i="12"/>
  <c r="O13" i="12"/>
  <c r="I13" i="12"/>
  <c r="AA13" i="12"/>
  <c r="L13" i="12"/>
  <c r="T13" i="12"/>
  <c r="X13" i="12"/>
  <c r="S13" i="12"/>
  <c r="K13" i="12"/>
  <c r="AB13" i="12"/>
  <c r="P13" i="12"/>
  <c r="U13" i="12"/>
  <c r="W13" i="12"/>
  <c r="J13" i="12"/>
  <c r="Y13" i="12"/>
  <c r="R13" i="12"/>
  <c r="AD13" i="12"/>
  <c r="Z13" i="12"/>
  <c r="N67" i="12"/>
  <c r="AA67" i="12"/>
  <c r="BQ12" i="15"/>
  <c r="EG11" i="15"/>
  <c r="BT12" i="15"/>
  <c r="DO11" i="15"/>
  <c r="DO16" i="15"/>
  <c r="CL12" i="15"/>
  <c r="EG9" i="15"/>
  <c r="DO13" i="15"/>
  <c r="DO7" i="15"/>
  <c r="DO18" i="15"/>
  <c r="BT15" i="15"/>
  <c r="BT8" i="15"/>
  <c r="BT10" i="15"/>
  <c r="DO17" i="15"/>
  <c r="BT13" i="15"/>
  <c r="DO9" i="15"/>
  <c r="EG18" i="15"/>
  <c r="EJ18" i="15"/>
  <c r="CO10" i="15"/>
  <c r="CL10" i="15"/>
  <c r="EJ15" i="15"/>
  <c r="EG15" i="15"/>
  <c r="CL9" i="15"/>
  <c r="CO9" i="15"/>
  <c r="BT11" i="15"/>
  <c r="CN11" i="15"/>
  <c r="BQ11" i="15"/>
  <c r="BQ17" i="15"/>
  <c r="CN17" i="15"/>
  <c r="EG12" i="15"/>
  <c r="EJ12" i="15"/>
  <c r="BQ15" i="15"/>
  <c r="CN15" i="15"/>
  <c r="CL8" i="15"/>
  <c r="CO8" i="15"/>
  <c r="BQ8" i="15"/>
  <c r="CN8" i="15"/>
  <c r="BT9" i="15"/>
  <c r="EJ13" i="15"/>
  <c r="EG13" i="15"/>
  <c r="CO11" i="15"/>
  <c r="CL11" i="15"/>
  <c r="CL16" i="15"/>
  <c r="CO16" i="15"/>
  <c r="BT17" i="15"/>
  <c r="CL13" i="15"/>
  <c r="CO13" i="15"/>
  <c r="DO10" i="15"/>
  <c r="EG7" i="15"/>
  <c r="EJ7" i="15"/>
  <c r="BT6" i="15"/>
  <c r="EG8" i="15"/>
  <c r="CN10" i="15"/>
  <c r="BQ10" i="15"/>
  <c r="DO6" i="15"/>
  <c r="EJ16" i="15"/>
  <c r="EG16" i="15"/>
  <c r="DO15" i="15"/>
  <c r="EG17" i="15"/>
  <c r="EJ17" i="15"/>
  <c r="DO8" i="15"/>
  <c r="CO18" i="15"/>
  <c r="CL18" i="15"/>
  <c r="CN13" i="15"/>
  <c r="BQ13" i="15"/>
  <c r="CO15" i="15"/>
  <c r="CL15" i="15"/>
  <c r="CL6" i="15"/>
  <c r="BQ6" i="15"/>
  <c r="CN6" i="15"/>
  <c r="EJ10" i="15"/>
  <c r="EG10" i="15"/>
  <c r="EJ6" i="15"/>
  <c r="EG6" i="15"/>
  <c r="BQ9" i="15"/>
  <c r="CN9" i="15"/>
  <c r="CL17" i="15"/>
  <c r="CO17" i="15"/>
  <c r="CO7" i="15"/>
  <c r="CL7" i="15"/>
  <c r="DO12" i="15"/>
  <c r="S47" i="15"/>
  <c r="AC64" i="12"/>
  <c r="AC34" i="12"/>
  <c r="AC73" i="12"/>
  <c r="AC46" i="12"/>
  <c r="AC100" i="12"/>
  <c r="AC139" i="12"/>
  <c r="AC199" i="12"/>
  <c r="AC37" i="12"/>
  <c r="AC256" i="12"/>
  <c r="AC160" i="12"/>
  <c r="AC133" i="12"/>
  <c r="AC166" i="12"/>
  <c r="AC121" i="12"/>
  <c r="AC241" i="12"/>
  <c r="AC217" i="12"/>
  <c r="AC154" i="12"/>
  <c r="AC178" i="12"/>
  <c r="AC28" i="12"/>
  <c r="AC226" i="12"/>
  <c r="AC103" i="12"/>
  <c r="AC202" i="12"/>
  <c r="AC88" i="12"/>
  <c r="AC142" i="12"/>
  <c r="AC55" i="12"/>
  <c r="AC82" i="12"/>
  <c r="AC190" i="12"/>
  <c r="AC220" i="12"/>
  <c r="AC151" i="12"/>
  <c r="AC7" i="12"/>
  <c r="AC175" i="12"/>
  <c r="AC208" i="12"/>
  <c r="AC232" i="12"/>
  <c r="AC253" i="12"/>
  <c r="AC169" i="12"/>
  <c r="AC145" i="12"/>
  <c r="AC124" i="12"/>
  <c r="AC136" i="12"/>
  <c r="AC10" i="12"/>
  <c r="AC61" i="12"/>
  <c r="AC127" i="12"/>
  <c r="AC25" i="12"/>
  <c r="AC109" i="12"/>
  <c r="AC43" i="12"/>
  <c r="AC181" i="12"/>
  <c r="AC22" i="12"/>
  <c r="AC115" i="12"/>
  <c r="AC70" i="12"/>
  <c r="AC244" i="12"/>
  <c r="AC271" i="12"/>
  <c r="AC229" i="12"/>
  <c r="AC91" i="12"/>
  <c r="AC172" i="12"/>
  <c r="AC187" i="12"/>
  <c r="AC265" i="12"/>
  <c r="AC268" i="12"/>
  <c r="AC235" i="12"/>
  <c r="AC211" i="12"/>
  <c r="AC205" i="12"/>
  <c r="AC184" i="12"/>
  <c r="AC259" i="12"/>
  <c r="AC163" i="12"/>
  <c r="AC214" i="12"/>
  <c r="AC238" i="12"/>
  <c r="AC250" i="12"/>
  <c r="AC262" i="12"/>
  <c r="AC223" i="12"/>
  <c r="AC247" i="12"/>
  <c r="AC97" i="12"/>
  <c r="AC52" i="12"/>
  <c r="AC16" i="12"/>
  <c r="AC19" i="12"/>
  <c r="AC118" i="12"/>
  <c r="AC31" i="12"/>
  <c r="AC130" i="12"/>
  <c r="AC148" i="12"/>
  <c r="AC193" i="12"/>
  <c r="AC106" i="12"/>
  <c r="AC196" i="12"/>
  <c r="AC79" i="12"/>
  <c r="M94" i="12"/>
  <c r="N94" i="12"/>
  <c r="N76" i="12"/>
  <c r="M76" i="12"/>
  <c r="N58" i="12"/>
  <c r="M58" i="12"/>
  <c r="M49" i="12"/>
  <c r="N49" i="12"/>
  <c r="L76" i="12"/>
  <c r="V58" i="2"/>
  <c r="J76" i="12"/>
  <c r="AB94" i="12"/>
  <c r="AB76" i="12"/>
  <c r="K76" i="12"/>
  <c r="AA76" i="12"/>
  <c r="AD58" i="12"/>
  <c r="V58" i="12"/>
  <c r="X58" i="12"/>
  <c r="U58" i="12"/>
  <c r="S58" i="12"/>
  <c r="W58" i="12"/>
  <c r="Q58" i="12"/>
  <c r="Y58" i="12"/>
  <c r="R58" i="12"/>
  <c r="O58" i="12"/>
  <c r="T58" i="12"/>
  <c r="P58" i="12"/>
  <c r="Z58" i="12"/>
  <c r="I58" i="12"/>
  <c r="AD94" i="12"/>
  <c r="U94" i="12"/>
  <c r="V94" i="12"/>
  <c r="W94" i="12"/>
  <c r="Y94" i="12"/>
  <c r="X94" i="12"/>
  <c r="O94" i="12"/>
  <c r="T94" i="12"/>
  <c r="Z94" i="12"/>
  <c r="I94" i="12"/>
  <c r="AD49" i="12"/>
  <c r="Q49" i="12"/>
  <c r="V49" i="12"/>
  <c r="X49" i="12"/>
  <c r="R49" i="12"/>
  <c r="S49" i="12"/>
  <c r="U49" i="12"/>
  <c r="Y49" i="12"/>
  <c r="W49" i="12"/>
  <c r="P49" i="12"/>
  <c r="T49" i="12"/>
  <c r="O49" i="12"/>
  <c r="I49" i="12"/>
  <c r="Z49" i="12"/>
  <c r="L94" i="12"/>
  <c r="AB58" i="12"/>
  <c r="L49" i="12"/>
  <c r="J94" i="12"/>
  <c r="K49" i="12"/>
  <c r="AA94" i="12"/>
  <c r="AA58" i="12"/>
  <c r="L58" i="12"/>
  <c r="J58" i="12"/>
  <c r="AB49" i="12"/>
  <c r="AD76" i="12"/>
  <c r="R76" i="12"/>
  <c r="U76" i="12"/>
  <c r="X76" i="12"/>
  <c r="Q76" i="12"/>
  <c r="Y76" i="12"/>
  <c r="S76" i="12"/>
  <c r="V76" i="12"/>
  <c r="W76" i="12"/>
  <c r="O76" i="12"/>
  <c r="T76" i="12"/>
  <c r="P76" i="12"/>
  <c r="Z76" i="12"/>
  <c r="I76" i="12"/>
  <c r="AA49" i="12"/>
  <c r="K58" i="12"/>
  <c r="J49" i="12"/>
  <c r="K94" i="12"/>
  <c r="AC112" i="12" l="1"/>
  <c r="AC40" i="12"/>
  <c r="AC157" i="12"/>
  <c r="W63" i="18"/>
  <c r="R67" i="18"/>
  <c r="R65" i="18"/>
  <c r="R63" i="18"/>
  <c r="R65" i="19"/>
  <c r="W63" i="19"/>
  <c r="R63" i="19"/>
  <c r="R67" i="19"/>
  <c r="V65" i="2"/>
  <c r="V63" i="2"/>
  <c r="V67" i="2"/>
  <c r="AA63" i="2"/>
  <c r="AC67" i="12"/>
  <c r="AC13" i="12"/>
  <c r="CV3" i="15"/>
  <c r="EQ13" i="15"/>
  <c r="EQ9" i="15"/>
  <c r="EQ7" i="15"/>
  <c r="EQ18" i="15"/>
  <c r="EQ6" i="15"/>
  <c r="EQ14" i="15"/>
  <c r="EQ5" i="15"/>
  <c r="EQ8" i="15"/>
  <c r="EQ12" i="15"/>
  <c r="EQ16" i="15"/>
  <c r="EQ15" i="15"/>
  <c r="EQ10" i="15"/>
  <c r="EQ17" i="15"/>
  <c r="EQ11" i="15"/>
  <c r="S52" i="15"/>
  <c r="Y52" i="15"/>
  <c r="AC76" i="12"/>
  <c r="AC49" i="12"/>
  <c r="AC94" i="12"/>
  <c r="AC58" i="12"/>
  <c r="K43" i="13"/>
  <c r="U51" i="19" l="1"/>
  <c r="U57" i="19"/>
  <c r="U48" i="19"/>
  <c r="U56" i="19"/>
  <c r="U55" i="19"/>
  <c r="U50" i="19"/>
  <c r="U53" i="19"/>
  <c r="W56" i="19"/>
  <c r="U52" i="19"/>
  <c r="W55" i="19"/>
  <c r="W48" i="19"/>
  <c r="W51" i="19"/>
  <c r="W50" i="19"/>
  <c r="W53" i="19"/>
  <c r="W57" i="19"/>
  <c r="U54" i="19"/>
  <c r="W54" i="19"/>
  <c r="W52" i="19"/>
  <c r="U46" i="19"/>
  <c r="U45" i="19"/>
  <c r="U47" i="19"/>
  <c r="U44" i="19"/>
  <c r="W46" i="19"/>
  <c r="U49" i="19"/>
  <c r="W44" i="19"/>
  <c r="W45" i="19"/>
  <c r="W47" i="19"/>
  <c r="W49" i="19"/>
  <c r="U51" i="18"/>
  <c r="U56" i="18"/>
  <c r="U50" i="18"/>
  <c r="U55" i="18"/>
  <c r="U57" i="18"/>
  <c r="U48" i="18"/>
  <c r="W50" i="18"/>
  <c r="W48" i="18"/>
  <c r="W51" i="18"/>
  <c r="W54" i="18"/>
  <c r="W56" i="18"/>
  <c r="U54" i="18"/>
  <c r="U53" i="18"/>
  <c r="W52" i="18"/>
  <c r="W57" i="18"/>
  <c r="U52" i="18"/>
  <c r="W55" i="18"/>
  <c r="W53" i="18"/>
  <c r="U46" i="18"/>
  <c r="U49" i="18"/>
  <c r="U47" i="18"/>
  <c r="W49" i="18"/>
  <c r="W46" i="18"/>
  <c r="U45" i="18"/>
  <c r="U44" i="18"/>
  <c r="W45" i="18"/>
  <c r="W47" i="18"/>
  <c r="W44" i="18"/>
  <c r="AA52" i="2"/>
  <c r="AI52" i="2" s="1"/>
  <c r="C41" i="13" s="1"/>
  <c r="Y53" i="2"/>
  <c r="Y56" i="2"/>
  <c r="Y54" i="2"/>
  <c r="Y48" i="2"/>
  <c r="Y55" i="2"/>
  <c r="Y52" i="2"/>
  <c r="Y50" i="2"/>
  <c r="Y51" i="2"/>
  <c r="Y57" i="2"/>
  <c r="Y46" i="2"/>
  <c r="Y44" i="2"/>
  <c r="Y45" i="2"/>
  <c r="Y47" i="2"/>
  <c r="Y49" i="2"/>
  <c r="AA45" i="2"/>
  <c r="AE156" i="12" s="1"/>
  <c r="AF156" i="12" s="1"/>
  <c r="AA44" i="2"/>
  <c r="AI44" i="2" s="1"/>
  <c r="C33" i="13" s="1"/>
  <c r="AA53" i="2"/>
  <c r="AE228" i="12" s="1"/>
  <c r="AF228" i="12" s="1"/>
  <c r="AA54" i="2"/>
  <c r="AB54" i="2" s="1"/>
  <c r="D43" i="13" s="1"/>
  <c r="AA47" i="2"/>
  <c r="AA51" i="2"/>
  <c r="AE210" i="12" s="1"/>
  <c r="AF210" i="12" s="1"/>
  <c r="AA49" i="2"/>
  <c r="AB49" i="2" s="1"/>
  <c r="D38" i="13" s="1"/>
  <c r="AA50" i="2"/>
  <c r="AB50" i="2" s="1"/>
  <c r="D39" i="13" s="1"/>
  <c r="AA56" i="2"/>
  <c r="AE255" i="12" s="1"/>
  <c r="AF255" i="12" s="1"/>
  <c r="AA46" i="2"/>
  <c r="AA48" i="2"/>
  <c r="AB48" i="2" s="1"/>
  <c r="D37" i="13" s="1"/>
  <c r="AA55" i="2"/>
  <c r="AI55" i="2" s="1"/>
  <c r="C44" i="13" s="1"/>
  <c r="AA57" i="2"/>
  <c r="AI57" i="2" s="1"/>
  <c r="C46" i="13" s="1"/>
  <c r="ES3" i="15"/>
  <c r="EV9" i="15"/>
  <c r="EV5" i="15"/>
  <c r="EV13" i="15"/>
  <c r="EV16" i="15"/>
  <c r="EV10" i="15"/>
  <c r="EV18" i="15"/>
  <c r="EV15" i="15"/>
  <c r="EV14" i="15"/>
  <c r="EV8" i="15"/>
  <c r="EV17" i="15"/>
  <c r="EV11" i="15"/>
  <c r="EV6" i="15"/>
  <c r="EV12" i="15"/>
  <c r="EV7" i="15"/>
  <c r="Y34" i="15"/>
  <c r="Y42" i="15"/>
  <c r="Y37" i="15"/>
  <c r="Y46" i="15"/>
  <c r="Y41" i="15"/>
  <c r="Y43" i="15"/>
  <c r="Y45" i="15"/>
  <c r="Y39" i="15"/>
  <c r="Y40" i="15"/>
  <c r="Y44" i="15"/>
  <c r="Y33" i="15"/>
  <c r="Y35" i="15"/>
  <c r="Y38" i="15"/>
  <c r="Y36" i="15"/>
  <c r="O10" i="14"/>
  <c r="O7" i="14"/>
  <c r="K40" i="13"/>
  <c r="Q10" i="14"/>
  <c r="Q7" i="14"/>
  <c r="P7" i="14"/>
  <c r="P10" i="14"/>
  <c r="K36" i="13"/>
  <c r="K46" i="13"/>
  <c r="K37" i="13"/>
  <c r="K33" i="13"/>
  <c r="K38" i="13"/>
  <c r="K35" i="13"/>
  <c r="K45" i="13"/>
  <c r="K39" i="13"/>
  <c r="K41" i="13"/>
  <c r="K42" i="13"/>
  <c r="K34" i="13"/>
  <c r="K44" i="13"/>
  <c r="AE135" i="12"/>
  <c r="AF135" i="12" s="1"/>
  <c r="AE132" i="12"/>
  <c r="AF132" i="12" s="1"/>
  <c r="AE63" i="12"/>
  <c r="AE108" i="12"/>
  <c r="AF108" i="12" s="1"/>
  <c r="AE90" i="12"/>
  <c r="AF90" i="12" s="1"/>
  <c r="AE6" i="12"/>
  <c r="AE51" i="12"/>
  <c r="AE15" i="12"/>
  <c r="AE24" i="12"/>
  <c r="AE78" i="12"/>
  <c r="AE87" i="12"/>
  <c r="AE42" i="12"/>
  <c r="AE141" i="12"/>
  <c r="AF141" i="12" s="1"/>
  <c r="L43" i="13"/>
  <c r="AE243" i="12"/>
  <c r="AF243" i="12" s="1"/>
  <c r="AE114" i="12"/>
  <c r="AF114" i="12" s="1"/>
  <c r="AE105" i="12"/>
  <c r="AF105" i="12" s="1"/>
  <c r="AE33" i="12"/>
  <c r="AE123" i="12"/>
  <c r="AF123" i="12" s="1"/>
  <c r="AE60" i="12"/>
  <c r="AE69" i="12"/>
  <c r="AE96" i="12"/>
  <c r="AF96" i="12" s="1"/>
  <c r="G33" i="13"/>
  <c r="G34" i="13"/>
  <c r="G35" i="13"/>
  <c r="G41" i="13"/>
  <c r="G42" i="13"/>
  <c r="G45" i="13"/>
  <c r="G46" i="13"/>
  <c r="G44" i="13"/>
  <c r="G39" i="13"/>
  <c r="G40" i="13"/>
  <c r="G43" i="13"/>
  <c r="G37" i="13"/>
  <c r="G36" i="13"/>
  <c r="G38" i="13"/>
  <c r="W60" i="18" l="1"/>
  <c r="X60" i="18" s="1"/>
  <c r="AE44" i="18"/>
  <c r="X44" i="18"/>
  <c r="W58" i="18"/>
  <c r="X58" i="18" s="1"/>
  <c r="AE48" i="18"/>
  <c r="X48" i="18"/>
  <c r="W59" i="18"/>
  <c r="X59" i="18" s="1"/>
  <c r="X49" i="19"/>
  <c r="AE49" i="19"/>
  <c r="AE51" i="19"/>
  <c r="X51" i="19"/>
  <c r="X56" i="19"/>
  <c r="AE56" i="19"/>
  <c r="X47" i="18"/>
  <c r="AE47" i="18"/>
  <c r="AE46" i="18"/>
  <c r="X46" i="18"/>
  <c r="AE57" i="18"/>
  <c r="X57" i="18"/>
  <c r="X56" i="18"/>
  <c r="AE56" i="18"/>
  <c r="AE50" i="18"/>
  <c r="X50" i="18"/>
  <c r="X47" i="19"/>
  <c r="AE47" i="19"/>
  <c r="AE46" i="19"/>
  <c r="X46" i="19"/>
  <c r="X57" i="19"/>
  <c r="AE57" i="19"/>
  <c r="AE48" i="19"/>
  <c r="X48" i="19"/>
  <c r="W59" i="19"/>
  <c r="X59" i="19" s="1"/>
  <c r="U59" i="19"/>
  <c r="X45" i="18"/>
  <c r="AE45" i="18"/>
  <c r="AE49" i="18"/>
  <c r="X49" i="18"/>
  <c r="X53" i="18"/>
  <c r="AE53" i="18"/>
  <c r="AE52" i="18"/>
  <c r="X52" i="18"/>
  <c r="X54" i="18"/>
  <c r="AE54" i="18"/>
  <c r="U59" i="18"/>
  <c r="AE45" i="19"/>
  <c r="X45" i="19"/>
  <c r="U58" i="19"/>
  <c r="U63" i="19" s="1"/>
  <c r="U60" i="19"/>
  <c r="AE52" i="19"/>
  <c r="X52" i="19"/>
  <c r="X53" i="19"/>
  <c r="AE53" i="19"/>
  <c r="X55" i="19"/>
  <c r="AE55" i="19"/>
  <c r="U58" i="18"/>
  <c r="U63" i="18" s="1"/>
  <c r="U60" i="18"/>
  <c r="X55" i="18"/>
  <c r="AE55" i="18"/>
  <c r="AE51" i="18"/>
  <c r="X51" i="18"/>
  <c r="X44" i="19"/>
  <c r="AE44" i="19"/>
  <c r="W58" i="19"/>
  <c r="X58" i="19" s="1"/>
  <c r="W60" i="19"/>
  <c r="X60" i="19" s="1"/>
  <c r="AE54" i="19"/>
  <c r="X54" i="19"/>
  <c r="X50" i="19"/>
  <c r="AE50" i="19"/>
  <c r="AI53" i="2"/>
  <c r="C42" i="13" s="1"/>
  <c r="AB52" i="2"/>
  <c r="D41" i="13" s="1"/>
  <c r="AB45" i="2"/>
  <c r="D34" i="13" s="1"/>
  <c r="AI45" i="2"/>
  <c r="C34" i="13" s="1"/>
  <c r="Y59" i="2"/>
  <c r="Y58" i="2"/>
  <c r="Y63" i="2" s="1"/>
  <c r="Y60" i="2"/>
  <c r="AB53" i="2"/>
  <c r="D42" i="13" s="1"/>
  <c r="AI49" i="2"/>
  <c r="C38" i="13" s="1"/>
  <c r="AB51" i="2"/>
  <c r="D40" i="13" s="1"/>
  <c r="AB44" i="2"/>
  <c r="D33" i="13" s="1"/>
  <c r="AE147" i="12"/>
  <c r="AF147" i="12" s="1"/>
  <c r="M149" i="12" s="1"/>
  <c r="AK149" i="12" s="1"/>
  <c r="AE183" i="12"/>
  <c r="AF183" i="12" s="1"/>
  <c r="M185" i="12" s="1"/>
  <c r="AK185" i="12" s="1"/>
  <c r="AE192" i="12"/>
  <c r="AF192" i="12" s="1"/>
  <c r="M194" i="12" s="1"/>
  <c r="AK194" i="12" s="1"/>
  <c r="AI48" i="2"/>
  <c r="C37" i="13" s="1"/>
  <c r="AE201" i="12"/>
  <c r="AF201" i="12" s="1"/>
  <c r="I203" i="12" s="1"/>
  <c r="AE246" i="12"/>
  <c r="AF246" i="12" s="1"/>
  <c r="N248" i="12" s="1"/>
  <c r="AL248" i="12" s="1"/>
  <c r="AB55" i="2"/>
  <c r="D44" i="13" s="1"/>
  <c r="AI50" i="2"/>
  <c r="C39" i="13" s="1"/>
  <c r="AB56" i="2"/>
  <c r="D45" i="13" s="1"/>
  <c r="AE264" i="12"/>
  <c r="AF264" i="12" s="1"/>
  <c r="W266" i="12" s="1"/>
  <c r="AQ266" i="12" s="1"/>
  <c r="AB57" i="2"/>
  <c r="D46" i="13" s="1"/>
  <c r="AA60" i="2"/>
  <c r="AB60" i="2" s="1"/>
  <c r="AI51" i="2"/>
  <c r="C40" i="13" s="1"/>
  <c r="AI46" i="2"/>
  <c r="C35" i="13" s="1"/>
  <c r="AA58" i="2"/>
  <c r="AB58" i="2" s="1"/>
  <c r="AA59" i="2"/>
  <c r="AB59" i="2" s="1"/>
  <c r="AE9" i="12"/>
  <c r="AF9" i="12" s="1"/>
  <c r="AE36" i="12"/>
  <c r="AE144" i="12"/>
  <c r="AF144" i="12" s="1"/>
  <c r="N146" i="12" s="1"/>
  <c r="AL146" i="12" s="1"/>
  <c r="AE126" i="12"/>
  <c r="AF126" i="12" s="1"/>
  <c r="T128" i="12" s="1"/>
  <c r="AN128" i="12" s="1"/>
  <c r="P13" i="14"/>
  <c r="AE45" i="12"/>
  <c r="P47" i="12" s="1"/>
  <c r="AV33" i="15"/>
  <c r="AQ33" i="15"/>
  <c r="AP33" i="15"/>
  <c r="AS33" i="15"/>
  <c r="AR33" i="15" s="1"/>
  <c r="Y47" i="15"/>
  <c r="Y49" i="15"/>
  <c r="AV45" i="15"/>
  <c r="AP45" i="15"/>
  <c r="AS45" i="15"/>
  <c r="AR45" i="15" s="1"/>
  <c r="AQ45" i="15"/>
  <c r="AV37" i="15"/>
  <c r="AP37" i="15"/>
  <c r="Y48" i="15"/>
  <c r="AS37" i="15"/>
  <c r="AR37" i="15" s="1"/>
  <c r="AQ37" i="15"/>
  <c r="AS36" i="15"/>
  <c r="AR36" i="15" s="1"/>
  <c r="AQ36" i="15"/>
  <c r="AV36" i="15"/>
  <c r="AP36" i="15"/>
  <c r="AV44" i="15"/>
  <c r="AP44" i="15"/>
  <c r="AS44" i="15"/>
  <c r="AR44" i="15" s="1"/>
  <c r="AQ44" i="15"/>
  <c r="AV43" i="15"/>
  <c r="AP43" i="15"/>
  <c r="AS43" i="15"/>
  <c r="AR43" i="15" s="1"/>
  <c r="AQ43" i="15"/>
  <c r="AQ42" i="15"/>
  <c r="AV42" i="15"/>
  <c r="AP42" i="15"/>
  <c r="AS42" i="15"/>
  <c r="AR42" i="15" s="1"/>
  <c r="AS38" i="15"/>
  <c r="AR38" i="15" s="1"/>
  <c r="AQ38" i="15"/>
  <c r="AV38" i="15"/>
  <c r="AP38" i="15"/>
  <c r="AS40" i="15"/>
  <c r="AR40" i="15" s="1"/>
  <c r="AQ40" i="15"/>
  <c r="AV40" i="15"/>
  <c r="AP40" i="15"/>
  <c r="AV41" i="15"/>
  <c r="AP41" i="15"/>
  <c r="AS41" i="15"/>
  <c r="AR41" i="15" s="1"/>
  <c r="AQ41" i="15"/>
  <c r="AQ34" i="15"/>
  <c r="AV34" i="15"/>
  <c r="AP34" i="15"/>
  <c r="AS34" i="15"/>
  <c r="AR34" i="15" s="1"/>
  <c r="AV35" i="15"/>
  <c r="AP35" i="15"/>
  <c r="AS35" i="15"/>
  <c r="AR35" i="15" s="1"/>
  <c r="AQ35" i="15"/>
  <c r="AV39" i="15"/>
  <c r="AP39" i="15"/>
  <c r="AS39" i="15"/>
  <c r="AR39" i="15" s="1"/>
  <c r="AQ39" i="15"/>
  <c r="AS46" i="15"/>
  <c r="AR46" i="15" s="1"/>
  <c r="AQ46" i="15"/>
  <c r="AV46" i="15"/>
  <c r="AP46" i="15"/>
  <c r="AE117" i="12"/>
  <c r="AF117" i="12" s="1"/>
  <c r="M119" i="12" s="1"/>
  <c r="AK119" i="12" s="1"/>
  <c r="L39" i="13"/>
  <c r="AE27" i="12"/>
  <c r="R29" i="12" s="1"/>
  <c r="AE18" i="12"/>
  <c r="Q20" i="12" s="1"/>
  <c r="AE72" i="12"/>
  <c r="S74" i="12" s="1"/>
  <c r="AE99" i="12"/>
  <c r="AF99" i="12" s="1"/>
  <c r="N101" i="12" s="1"/>
  <c r="AL101" i="12" s="1"/>
  <c r="AE54" i="12"/>
  <c r="R56" i="12" s="1"/>
  <c r="AE81" i="12"/>
  <c r="S83" i="12" s="1"/>
  <c r="L33" i="13"/>
  <c r="AB46" i="2"/>
  <c r="D35" i="13" s="1"/>
  <c r="AB47" i="2"/>
  <c r="D36" i="13" s="1"/>
  <c r="AI47" i="2"/>
  <c r="C36" i="13" s="1"/>
  <c r="AE165" i="12"/>
  <c r="AF165" i="12" s="1"/>
  <c r="M167" i="12" s="1"/>
  <c r="AK167" i="12" s="1"/>
  <c r="AE174" i="12"/>
  <c r="AF174" i="12" s="1"/>
  <c r="M176" i="12" s="1"/>
  <c r="AK176" i="12" s="1"/>
  <c r="AI56" i="2"/>
  <c r="C45" i="13" s="1"/>
  <c r="N212" i="12"/>
  <c r="AL212" i="12" s="1"/>
  <c r="M212" i="12"/>
  <c r="AK212" i="12" s="1"/>
  <c r="M230" i="12"/>
  <c r="AK230" i="12" s="1"/>
  <c r="N230" i="12"/>
  <c r="AL230" i="12" s="1"/>
  <c r="N143" i="12"/>
  <c r="AL143" i="12" s="1"/>
  <c r="M143" i="12"/>
  <c r="AK143" i="12" s="1"/>
  <c r="M137" i="12"/>
  <c r="AK137" i="12" s="1"/>
  <c r="N137" i="12"/>
  <c r="AL137" i="12" s="1"/>
  <c r="N98" i="12"/>
  <c r="AL98" i="12" s="1"/>
  <c r="M98" i="12"/>
  <c r="AK98" i="12" s="1"/>
  <c r="N125" i="12"/>
  <c r="AL125" i="12" s="1"/>
  <c r="M125" i="12"/>
  <c r="AK125" i="12" s="1"/>
  <c r="M245" i="12"/>
  <c r="AK245" i="12" s="1"/>
  <c r="N245" i="12"/>
  <c r="AL245" i="12" s="1"/>
  <c r="N110" i="12"/>
  <c r="AL110" i="12" s="1"/>
  <c r="M110" i="12"/>
  <c r="AK110" i="12" s="1"/>
  <c r="N116" i="12"/>
  <c r="AL116" i="12" s="1"/>
  <c r="M116" i="12"/>
  <c r="AK116" i="12" s="1"/>
  <c r="N158" i="12"/>
  <c r="AL158" i="12" s="1"/>
  <c r="M158" i="12"/>
  <c r="AK158" i="12" s="1"/>
  <c r="N134" i="12"/>
  <c r="AL134" i="12" s="1"/>
  <c r="M134" i="12"/>
  <c r="AK134" i="12" s="1"/>
  <c r="M257" i="12"/>
  <c r="AK257" i="12" s="1"/>
  <c r="N257" i="12"/>
  <c r="AL257" i="12" s="1"/>
  <c r="N107" i="12"/>
  <c r="AL107" i="12" s="1"/>
  <c r="M107" i="12"/>
  <c r="AK107" i="12" s="1"/>
  <c r="N92" i="12"/>
  <c r="AL92" i="12" s="1"/>
  <c r="M92" i="12"/>
  <c r="AK92" i="12" s="1"/>
  <c r="M128" i="12"/>
  <c r="AK128" i="12" s="1"/>
  <c r="M146" i="12"/>
  <c r="AK146" i="12" s="1"/>
  <c r="AE261" i="12"/>
  <c r="AF261" i="12" s="1"/>
  <c r="U263" i="12" s="1"/>
  <c r="AO263" i="12" s="1"/>
  <c r="L45" i="13"/>
  <c r="AE162" i="12"/>
  <c r="AF162" i="12" s="1"/>
  <c r="I164" i="12" s="1"/>
  <c r="L37" i="13"/>
  <c r="L34" i="13"/>
  <c r="AE189" i="12"/>
  <c r="AF189" i="12" s="1"/>
  <c r="Z191" i="12" s="1"/>
  <c r="AA191" i="12" s="1"/>
  <c r="AB191" i="12" s="1"/>
  <c r="AE219" i="12"/>
  <c r="AF219" i="12" s="1"/>
  <c r="I221" i="12" s="1"/>
  <c r="AI54" i="2"/>
  <c r="C43" i="13" s="1"/>
  <c r="AE237" i="12"/>
  <c r="AF237" i="12" s="1"/>
  <c r="L239" i="12" s="1"/>
  <c r="AJ239" i="12" s="1"/>
  <c r="L42" i="13"/>
  <c r="AE270" i="12"/>
  <c r="AF270" i="12" s="1"/>
  <c r="Z272" i="12" s="1"/>
  <c r="AA272" i="12" s="1"/>
  <c r="AB272" i="12" s="1"/>
  <c r="AE216" i="12"/>
  <c r="AF216" i="12" s="1"/>
  <c r="AE171" i="12"/>
  <c r="AF171" i="12" s="1"/>
  <c r="L46" i="13"/>
  <c r="L40" i="13"/>
  <c r="L35" i="13"/>
  <c r="AE234" i="12"/>
  <c r="AF234" i="12" s="1"/>
  <c r="AE198" i="12"/>
  <c r="AF198" i="12" s="1"/>
  <c r="V200" i="12" s="1"/>
  <c r="AP200" i="12" s="1"/>
  <c r="L38" i="13"/>
  <c r="AE180" i="12"/>
  <c r="AF180" i="12" s="1"/>
  <c r="AE207" i="12"/>
  <c r="AF207" i="12" s="1"/>
  <c r="AE252" i="12"/>
  <c r="AF252" i="12" s="1"/>
  <c r="AE254" i="12" s="1"/>
  <c r="AF254" i="12" s="1"/>
  <c r="L44" i="13"/>
  <c r="AE153" i="12"/>
  <c r="AF153" i="12" s="1"/>
  <c r="L155" i="12" s="1"/>
  <c r="AJ155" i="12" s="1"/>
  <c r="AE225" i="12"/>
  <c r="AF225" i="12" s="1"/>
  <c r="Y227" i="12" s="1"/>
  <c r="AS227" i="12" s="1"/>
  <c r="L41" i="13"/>
  <c r="L36" i="13"/>
  <c r="I137" i="12"/>
  <c r="AE137" i="12"/>
  <c r="AF137" i="12" s="1"/>
  <c r="H38" i="13"/>
  <c r="AE195" i="12"/>
  <c r="AF195" i="12" s="1"/>
  <c r="H40" i="13"/>
  <c r="AE213" i="12"/>
  <c r="AF213" i="12" s="1"/>
  <c r="H44" i="13"/>
  <c r="AE249" i="12"/>
  <c r="AF249" i="12" s="1"/>
  <c r="H41" i="13"/>
  <c r="AE222" i="12"/>
  <c r="AF222" i="12" s="1"/>
  <c r="H34" i="13"/>
  <c r="AE159" i="12"/>
  <c r="AF159" i="12" s="1"/>
  <c r="AE177" i="12"/>
  <c r="AF177" i="12" s="1"/>
  <c r="H36" i="13"/>
  <c r="H43" i="13"/>
  <c r="AE240" i="12"/>
  <c r="AF240" i="12" s="1"/>
  <c r="H39" i="13"/>
  <c r="AE204" i="12"/>
  <c r="AF204" i="12" s="1"/>
  <c r="H46" i="13"/>
  <c r="AE267" i="12"/>
  <c r="AF267" i="12" s="1"/>
  <c r="H42" i="13"/>
  <c r="AE231" i="12"/>
  <c r="AF231" i="12" s="1"/>
  <c r="H35" i="13"/>
  <c r="AE168" i="12"/>
  <c r="AF168" i="12" s="1"/>
  <c r="AE150" i="12"/>
  <c r="AF150" i="12" s="1"/>
  <c r="N152" i="12" s="1"/>
  <c r="AL152" i="12" s="1"/>
  <c r="H33" i="13"/>
  <c r="L98" i="12"/>
  <c r="AJ98" i="12" s="1"/>
  <c r="I98" i="12"/>
  <c r="AC98" i="12"/>
  <c r="AT98" i="12" s="1"/>
  <c r="Z98" i="12"/>
  <c r="AA98" i="12" s="1"/>
  <c r="AB98" i="12" s="1"/>
  <c r="Y98" i="12"/>
  <c r="AS98" i="12" s="1"/>
  <c r="AE98" i="12"/>
  <c r="AF98" i="12" s="1"/>
  <c r="O98" i="12"/>
  <c r="AM98" i="12" s="1"/>
  <c r="W98" i="12"/>
  <c r="AQ98" i="12" s="1"/>
  <c r="V98" i="12"/>
  <c r="AP98" i="12" s="1"/>
  <c r="U98" i="12"/>
  <c r="AO98" i="12" s="1"/>
  <c r="X98" i="12"/>
  <c r="AR98" i="12" s="1"/>
  <c r="T98" i="12"/>
  <c r="AN98" i="12" s="1"/>
  <c r="AF60" i="12"/>
  <c r="Q62" i="12"/>
  <c r="R62" i="12"/>
  <c r="P62" i="12"/>
  <c r="S62" i="12"/>
  <c r="S35" i="12"/>
  <c r="AF33" i="12"/>
  <c r="Q35" i="12"/>
  <c r="P35" i="12"/>
  <c r="R35" i="12"/>
  <c r="L116" i="12"/>
  <c r="AJ116" i="12" s="1"/>
  <c r="Y116" i="12"/>
  <c r="AS116" i="12" s="1"/>
  <c r="AE116" i="12"/>
  <c r="AF116" i="12" s="1"/>
  <c r="T116" i="12"/>
  <c r="AN116" i="12" s="1"/>
  <c r="W116" i="12"/>
  <c r="AQ116" i="12" s="1"/>
  <c r="V116" i="12"/>
  <c r="AP116" i="12" s="1"/>
  <c r="I116" i="12"/>
  <c r="U116" i="12"/>
  <c r="AO116" i="12" s="1"/>
  <c r="X116" i="12"/>
  <c r="AR116" i="12" s="1"/>
  <c r="AC116" i="12"/>
  <c r="AT116" i="12" s="1"/>
  <c r="Z116" i="12"/>
  <c r="AA116" i="12" s="1"/>
  <c r="AB116" i="12" s="1"/>
  <c r="O116" i="12"/>
  <c r="AM116" i="12" s="1"/>
  <c r="L212" i="12"/>
  <c r="AJ212" i="12" s="1"/>
  <c r="V212" i="12"/>
  <c r="AP212" i="12" s="1"/>
  <c r="U212" i="12"/>
  <c r="AO212" i="12" s="1"/>
  <c r="T212" i="12"/>
  <c r="AN212" i="12" s="1"/>
  <c r="AE212" i="12"/>
  <c r="AF212" i="12" s="1"/>
  <c r="O212" i="12"/>
  <c r="AM212" i="12" s="1"/>
  <c r="I212" i="12"/>
  <c r="Z212" i="12"/>
  <c r="AA212" i="12" s="1"/>
  <c r="AB212" i="12" s="1"/>
  <c r="AC212" i="12"/>
  <c r="AT212" i="12" s="1"/>
  <c r="Y212" i="12"/>
  <c r="AS212" i="12" s="1"/>
  <c r="X212" i="12"/>
  <c r="AR212" i="12" s="1"/>
  <c r="W212" i="12"/>
  <c r="AQ212" i="12" s="1"/>
  <c r="L230" i="12"/>
  <c r="AJ230" i="12" s="1"/>
  <c r="I230" i="12"/>
  <c r="AE230" i="12"/>
  <c r="AF230" i="12" s="1"/>
  <c r="T230" i="12"/>
  <c r="AN230" i="12" s="1"/>
  <c r="U230" i="12"/>
  <c r="AO230" i="12" s="1"/>
  <c r="W230" i="12"/>
  <c r="AQ230" i="12" s="1"/>
  <c r="AC230" i="12"/>
  <c r="AT230" i="12" s="1"/>
  <c r="X230" i="12"/>
  <c r="AR230" i="12" s="1"/>
  <c r="Z230" i="12"/>
  <c r="AA230" i="12" s="1"/>
  <c r="AB230" i="12" s="1"/>
  <c r="Y230" i="12"/>
  <c r="AS230" i="12" s="1"/>
  <c r="V230" i="12"/>
  <c r="AP230" i="12" s="1"/>
  <c r="O230" i="12"/>
  <c r="AM230" i="12" s="1"/>
  <c r="Y158" i="12"/>
  <c r="AS158" i="12" s="1"/>
  <c r="AE158" i="12"/>
  <c r="AF158" i="12" s="1"/>
  <c r="T158" i="12"/>
  <c r="AN158" i="12" s="1"/>
  <c r="W158" i="12"/>
  <c r="AQ158" i="12" s="1"/>
  <c r="V158" i="12"/>
  <c r="AP158" i="12" s="1"/>
  <c r="L158" i="12"/>
  <c r="AJ158" i="12" s="1"/>
  <c r="I158" i="12"/>
  <c r="U158" i="12"/>
  <c r="AO158" i="12" s="1"/>
  <c r="X158" i="12"/>
  <c r="AR158" i="12" s="1"/>
  <c r="AC158" i="12"/>
  <c r="AT158" i="12" s="1"/>
  <c r="Z158" i="12"/>
  <c r="AA158" i="12" s="1"/>
  <c r="AB158" i="12" s="1"/>
  <c r="O158" i="12"/>
  <c r="AM158" i="12" s="1"/>
  <c r="L146" i="12"/>
  <c r="AJ146" i="12" s="1"/>
  <c r="I146" i="12"/>
  <c r="U146" i="12"/>
  <c r="AO146" i="12" s="1"/>
  <c r="X146" i="12"/>
  <c r="AR146" i="12" s="1"/>
  <c r="AC146" i="12"/>
  <c r="AT146" i="12" s="1"/>
  <c r="Z146" i="12"/>
  <c r="AA146" i="12" s="1"/>
  <c r="AB146" i="12" s="1"/>
  <c r="O146" i="12"/>
  <c r="AM146" i="12" s="1"/>
  <c r="Y146" i="12"/>
  <c r="AS146" i="12" s="1"/>
  <c r="AE146" i="12"/>
  <c r="AF146" i="12" s="1"/>
  <c r="T146" i="12"/>
  <c r="AN146" i="12" s="1"/>
  <c r="W146" i="12"/>
  <c r="AQ146" i="12" s="1"/>
  <c r="V146" i="12"/>
  <c r="AP146" i="12" s="1"/>
  <c r="X137" i="12"/>
  <c r="AR137" i="12" s="1"/>
  <c r="AC137" i="12"/>
  <c r="AT137" i="12" s="1"/>
  <c r="Z137" i="12"/>
  <c r="AA137" i="12" s="1"/>
  <c r="AB137" i="12" s="1"/>
  <c r="Y137" i="12"/>
  <c r="AS137" i="12" s="1"/>
  <c r="O137" i="12"/>
  <c r="AM137" i="12" s="1"/>
  <c r="L137" i="12"/>
  <c r="AJ137" i="12" s="1"/>
  <c r="T137" i="12"/>
  <c r="AN137" i="12" s="1"/>
  <c r="W137" i="12"/>
  <c r="AQ137" i="12" s="1"/>
  <c r="V137" i="12"/>
  <c r="AP137" i="12" s="1"/>
  <c r="U137" i="12"/>
  <c r="AO137" i="12" s="1"/>
  <c r="S89" i="12"/>
  <c r="AF87" i="12"/>
  <c r="P89" i="12"/>
  <c r="R89" i="12"/>
  <c r="Q89" i="12"/>
  <c r="P80" i="12"/>
  <c r="AF78" i="12"/>
  <c r="S80" i="12"/>
  <c r="Q80" i="12"/>
  <c r="R80" i="12"/>
  <c r="P26" i="12"/>
  <c r="S26" i="12"/>
  <c r="AF24" i="12"/>
  <c r="R26" i="12"/>
  <c r="Q26" i="12"/>
  <c r="P53" i="12"/>
  <c r="Q53" i="12"/>
  <c r="AF51" i="12"/>
  <c r="R53" i="12"/>
  <c r="S53" i="12"/>
  <c r="T119" i="12"/>
  <c r="AN119" i="12" s="1"/>
  <c r="P38" i="12"/>
  <c r="AF36" i="12"/>
  <c r="S38" i="12"/>
  <c r="Q38" i="12"/>
  <c r="R38" i="12"/>
  <c r="AE186" i="12"/>
  <c r="AF186" i="12" s="1"/>
  <c r="H37" i="13"/>
  <c r="H45" i="13"/>
  <c r="AE258" i="12"/>
  <c r="AF258" i="12" s="1"/>
  <c r="L134" i="12"/>
  <c r="AJ134" i="12" s="1"/>
  <c r="I134" i="12"/>
  <c r="Y134" i="12"/>
  <c r="AS134" i="12" s="1"/>
  <c r="AE134" i="12"/>
  <c r="AF134" i="12" s="1"/>
  <c r="AC134" i="12"/>
  <c r="AT134" i="12" s="1"/>
  <c r="T134" i="12"/>
  <c r="AN134" i="12" s="1"/>
  <c r="V134" i="12"/>
  <c r="AP134" i="12" s="1"/>
  <c r="U134" i="12"/>
  <c r="AO134" i="12" s="1"/>
  <c r="X134" i="12"/>
  <c r="AR134" i="12" s="1"/>
  <c r="W134" i="12"/>
  <c r="AQ134" i="12" s="1"/>
  <c r="Z134" i="12"/>
  <c r="AA134" i="12" s="1"/>
  <c r="AB134" i="12" s="1"/>
  <c r="O134" i="12"/>
  <c r="AM134" i="12" s="1"/>
  <c r="Q71" i="12"/>
  <c r="P71" i="12"/>
  <c r="AF69" i="12"/>
  <c r="S71" i="12"/>
  <c r="R71" i="12"/>
  <c r="I125" i="12"/>
  <c r="L125" i="12"/>
  <c r="AJ125" i="12" s="1"/>
  <c r="Z125" i="12"/>
  <c r="AA125" i="12" s="1"/>
  <c r="AB125" i="12" s="1"/>
  <c r="Y125" i="12"/>
  <c r="AS125" i="12" s="1"/>
  <c r="AE125" i="12"/>
  <c r="AF125" i="12" s="1"/>
  <c r="T125" i="12"/>
  <c r="AN125" i="12" s="1"/>
  <c r="W125" i="12"/>
  <c r="AQ125" i="12" s="1"/>
  <c r="V125" i="12"/>
  <c r="AP125" i="12" s="1"/>
  <c r="U125" i="12"/>
  <c r="AO125" i="12" s="1"/>
  <c r="X125" i="12"/>
  <c r="AR125" i="12" s="1"/>
  <c r="AC125" i="12"/>
  <c r="AT125" i="12" s="1"/>
  <c r="O125" i="12"/>
  <c r="AM125" i="12" s="1"/>
  <c r="AE107" i="12"/>
  <c r="AF107" i="12" s="1"/>
  <c r="T107" i="12"/>
  <c r="AN107" i="12" s="1"/>
  <c r="W107" i="12"/>
  <c r="AQ107" i="12" s="1"/>
  <c r="V107" i="12"/>
  <c r="AP107" i="12" s="1"/>
  <c r="O107" i="12"/>
  <c r="AM107" i="12" s="1"/>
  <c r="I107" i="12"/>
  <c r="L107" i="12"/>
  <c r="AJ107" i="12" s="1"/>
  <c r="X107" i="12"/>
  <c r="AR107" i="12" s="1"/>
  <c r="AC107" i="12"/>
  <c r="AT107" i="12" s="1"/>
  <c r="Z107" i="12"/>
  <c r="AA107" i="12" s="1"/>
  <c r="AB107" i="12" s="1"/>
  <c r="U107" i="12"/>
  <c r="AO107" i="12" s="1"/>
  <c r="Y107" i="12"/>
  <c r="AS107" i="12" s="1"/>
  <c r="AC245" i="12"/>
  <c r="AT245" i="12" s="1"/>
  <c r="X245" i="12"/>
  <c r="AR245" i="12" s="1"/>
  <c r="V245" i="12"/>
  <c r="AP245" i="12" s="1"/>
  <c r="U245" i="12"/>
  <c r="AO245" i="12" s="1"/>
  <c r="O245" i="12"/>
  <c r="AM245" i="12" s="1"/>
  <c r="I245" i="12"/>
  <c r="L245" i="12"/>
  <c r="AJ245" i="12" s="1"/>
  <c r="W245" i="12"/>
  <c r="AQ245" i="12" s="1"/>
  <c r="AE245" i="12"/>
  <c r="AF245" i="12" s="1"/>
  <c r="Z245" i="12"/>
  <c r="AA245" i="12" s="1"/>
  <c r="AB245" i="12" s="1"/>
  <c r="T245" i="12"/>
  <c r="AN245" i="12" s="1"/>
  <c r="Y245" i="12"/>
  <c r="AS245" i="12" s="1"/>
  <c r="Z143" i="12"/>
  <c r="AA143" i="12" s="1"/>
  <c r="AB143" i="12" s="1"/>
  <c r="Y143" i="12"/>
  <c r="AS143" i="12" s="1"/>
  <c r="AE143" i="12"/>
  <c r="AF143" i="12" s="1"/>
  <c r="T143" i="12"/>
  <c r="AN143" i="12" s="1"/>
  <c r="O143" i="12"/>
  <c r="AM143" i="12" s="1"/>
  <c r="I143" i="12"/>
  <c r="L143" i="12"/>
  <c r="AJ143" i="12" s="1"/>
  <c r="V143" i="12"/>
  <c r="AP143" i="12" s="1"/>
  <c r="U143" i="12"/>
  <c r="AO143" i="12" s="1"/>
  <c r="X143" i="12"/>
  <c r="AR143" i="12" s="1"/>
  <c r="W143" i="12"/>
  <c r="AQ143" i="12" s="1"/>
  <c r="AC143" i="12"/>
  <c r="AT143" i="12" s="1"/>
  <c r="AF42" i="12"/>
  <c r="R44" i="12"/>
  <c r="S44" i="12"/>
  <c r="Q44" i="12"/>
  <c r="P44" i="12"/>
  <c r="P17" i="12"/>
  <c r="Q17" i="12"/>
  <c r="AF15" i="12"/>
  <c r="S17" i="12"/>
  <c r="R17" i="12"/>
  <c r="S8" i="12"/>
  <c r="R8" i="12"/>
  <c r="AF6" i="12"/>
  <c r="Q8" i="12"/>
  <c r="P8" i="12"/>
  <c r="I92" i="12"/>
  <c r="U92" i="12"/>
  <c r="AO92" i="12" s="1"/>
  <c r="X92" i="12"/>
  <c r="AR92" i="12" s="1"/>
  <c r="AC92" i="12"/>
  <c r="AT92" i="12" s="1"/>
  <c r="O92" i="12"/>
  <c r="AM92" i="12" s="1"/>
  <c r="V92" i="12"/>
  <c r="AP92" i="12" s="1"/>
  <c r="L92" i="12"/>
  <c r="AJ92" i="12" s="1"/>
  <c r="Y92" i="12"/>
  <c r="AS92" i="12" s="1"/>
  <c r="AE92" i="12"/>
  <c r="AF92" i="12" s="1"/>
  <c r="T92" i="12"/>
  <c r="AN92" i="12" s="1"/>
  <c r="W92" i="12"/>
  <c r="AQ92" i="12" s="1"/>
  <c r="Z92" i="12"/>
  <c r="AA92" i="12" s="1"/>
  <c r="AB92" i="12" s="1"/>
  <c r="AC110" i="12"/>
  <c r="AT110" i="12" s="1"/>
  <c r="Z110" i="12"/>
  <c r="AA110" i="12" s="1"/>
  <c r="AB110" i="12" s="1"/>
  <c r="Y110" i="12"/>
  <c r="AS110" i="12" s="1"/>
  <c r="AE110" i="12"/>
  <c r="AF110" i="12" s="1"/>
  <c r="T110" i="12"/>
  <c r="AN110" i="12" s="1"/>
  <c r="L110" i="12"/>
  <c r="AJ110" i="12" s="1"/>
  <c r="I110" i="12"/>
  <c r="W110" i="12"/>
  <c r="AQ110" i="12" s="1"/>
  <c r="V110" i="12"/>
  <c r="AP110" i="12" s="1"/>
  <c r="U110" i="12"/>
  <c r="AO110" i="12" s="1"/>
  <c r="X110" i="12"/>
  <c r="AR110" i="12" s="1"/>
  <c r="O110" i="12"/>
  <c r="AM110" i="12" s="1"/>
  <c r="Y128" i="12"/>
  <c r="AS128" i="12" s="1"/>
  <c r="AE128" i="12"/>
  <c r="AF128" i="12" s="1"/>
  <c r="O128" i="12"/>
  <c r="AM128" i="12" s="1"/>
  <c r="L128" i="12"/>
  <c r="AJ128" i="12" s="1"/>
  <c r="AC128" i="12"/>
  <c r="AT128" i="12" s="1"/>
  <c r="V128" i="12"/>
  <c r="AP128" i="12" s="1"/>
  <c r="S65" i="12"/>
  <c r="AF63" i="12"/>
  <c r="P65" i="12"/>
  <c r="R65" i="12"/>
  <c r="Q65" i="12"/>
  <c r="I257" i="12"/>
  <c r="L257" i="12"/>
  <c r="AJ257" i="12" s="1"/>
  <c r="AC257" i="12"/>
  <c r="AT257" i="12" s="1"/>
  <c r="Y257" i="12"/>
  <c r="AS257" i="12" s="1"/>
  <c r="X257" i="12"/>
  <c r="AR257" i="12" s="1"/>
  <c r="V257" i="12"/>
  <c r="AP257" i="12" s="1"/>
  <c r="U257" i="12"/>
  <c r="AO257" i="12" s="1"/>
  <c r="W257" i="12"/>
  <c r="AQ257" i="12" s="1"/>
  <c r="T257" i="12"/>
  <c r="AN257" i="12" s="1"/>
  <c r="AE257" i="12"/>
  <c r="AF257" i="12" s="1"/>
  <c r="Z257" i="12"/>
  <c r="AA257" i="12" s="1"/>
  <c r="AB257" i="12" s="1"/>
  <c r="O257" i="12"/>
  <c r="AM257" i="12" s="1"/>
  <c r="S11" i="12" l="1"/>
  <c r="Q47" i="12"/>
  <c r="R11" i="12"/>
  <c r="R47" i="12"/>
  <c r="Q11" i="12"/>
  <c r="S47" i="12"/>
  <c r="U194" i="12"/>
  <c r="AO194" i="12" s="1"/>
  <c r="O194" i="12"/>
  <c r="AM194" i="12" s="1"/>
  <c r="X194" i="12"/>
  <c r="AR194" i="12" s="1"/>
  <c r="Z194" i="12"/>
  <c r="AA194" i="12" s="1"/>
  <c r="AB194" i="12" s="1"/>
  <c r="L194" i="12"/>
  <c r="AJ194" i="12" s="1"/>
  <c r="T194" i="12"/>
  <c r="AN194" i="12" s="1"/>
  <c r="U149" i="12"/>
  <c r="AO149" i="12" s="1"/>
  <c r="V149" i="12"/>
  <c r="AP149" i="12" s="1"/>
  <c r="Y194" i="12"/>
  <c r="AS194" i="12" s="1"/>
  <c r="AC194" i="12"/>
  <c r="AT194" i="12" s="1"/>
  <c r="I194" i="12"/>
  <c r="J194" i="12" s="1"/>
  <c r="K194" i="12" s="1"/>
  <c r="W194" i="12"/>
  <c r="AQ194" i="12" s="1"/>
  <c r="V194" i="12"/>
  <c r="AP194" i="12" s="1"/>
  <c r="AE194" i="12"/>
  <c r="AF194" i="12" s="1"/>
  <c r="O149" i="12"/>
  <c r="AM149" i="12" s="1"/>
  <c r="Y149" i="12"/>
  <c r="AS149" i="12" s="1"/>
  <c r="T149" i="12"/>
  <c r="AN149" i="12" s="1"/>
  <c r="Z149" i="12"/>
  <c r="AA149" i="12" s="1"/>
  <c r="AB149" i="12" s="1"/>
  <c r="L149" i="12"/>
  <c r="AJ149" i="12" s="1"/>
  <c r="L185" i="12"/>
  <c r="AJ185" i="12" s="1"/>
  <c r="Y185" i="12"/>
  <c r="AS185" i="12" s="1"/>
  <c r="U185" i="12"/>
  <c r="AO185" i="12" s="1"/>
  <c r="N194" i="12"/>
  <c r="AL194" i="12" s="1"/>
  <c r="AC185" i="12"/>
  <c r="AT185" i="12" s="1"/>
  <c r="AE185" i="12"/>
  <c r="AF185" i="12" s="1"/>
  <c r="O185" i="12"/>
  <c r="AM185" i="12" s="1"/>
  <c r="W185" i="12"/>
  <c r="AQ185" i="12" s="1"/>
  <c r="Z185" i="12"/>
  <c r="AA185" i="12" s="1"/>
  <c r="AB185" i="12" s="1"/>
  <c r="I185" i="12"/>
  <c r="V185" i="12"/>
  <c r="AP185" i="12" s="1"/>
  <c r="AE248" i="12"/>
  <c r="AF248" i="12" s="1"/>
  <c r="X185" i="12"/>
  <c r="AR185" i="12" s="1"/>
  <c r="T185" i="12"/>
  <c r="AN185" i="12" s="1"/>
  <c r="V266" i="12"/>
  <c r="AP266" i="12" s="1"/>
  <c r="X248" i="12"/>
  <c r="AR248" i="12" s="1"/>
  <c r="N185" i="12"/>
  <c r="AL185" i="12" s="1"/>
  <c r="Z248" i="12"/>
  <c r="AA248" i="12" s="1"/>
  <c r="AB248" i="12" s="1"/>
  <c r="X149" i="12"/>
  <c r="AR149" i="12" s="1"/>
  <c r="AE149" i="12"/>
  <c r="AF149" i="12" s="1"/>
  <c r="N149" i="12"/>
  <c r="AL149" i="12" s="1"/>
  <c r="O248" i="12"/>
  <c r="AM248" i="12" s="1"/>
  <c r="L266" i="12"/>
  <c r="AJ266" i="12" s="1"/>
  <c r="AC149" i="12"/>
  <c r="AT149" i="12" s="1"/>
  <c r="W149" i="12"/>
  <c r="AQ149" i="12" s="1"/>
  <c r="I149" i="12"/>
  <c r="J149" i="12" s="1"/>
  <c r="K149" i="12" s="1"/>
  <c r="O266" i="12"/>
  <c r="AM266" i="12" s="1"/>
  <c r="V248" i="12"/>
  <c r="AP248" i="12" s="1"/>
  <c r="X266" i="12"/>
  <c r="AR266" i="12" s="1"/>
  <c r="U248" i="12"/>
  <c r="AO248" i="12" s="1"/>
  <c r="AC266" i="12"/>
  <c r="AT266" i="12" s="1"/>
  <c r="T266" i="12"/>
  <c r="AN266" i="12" s="1"/>
  <c r="M248" i="12"/>
  <c r="AK248" i="12" s="1"/>
  <c r="N266" i="12"/>
  <c r="AL266" i="12" s="1"/>
  <c r="V203" i="12"/>
  <c r="AP203" i="12" s="1"/>
  <c r="M203" i="12"/>
  <c r="AK203" i="12" s="1"/>
  <c r="O203" i="12"/>
  <c r="AM203" i="12" s="1"/>
  <c r="Y203" i="12"/>
  <c r="AS203" i="12" s="1"/>
  <c r="X203" i="12"/>
  <c r="AR203" i="12" s="1"/>
  <c r="W203" i="12"/>
  <c r="AQ203" i="12" s="1"/>
  <c r="U203" i="12"/>
  <c r="AO203" i="12" s="1"/>
  <c r="N203" i="12"/>
  <c r="AL203" i="12" s="1"/>
  <c r="Z203" i="12"/>
  <c r="AA203" i="12" s="1"/>
  <c r="AB203" i="12" s="1"/>
  <c r="AE203" i="12"/>
  <c r="AF203" i="12" s="1"/>
  <c r="L203" i="12"/>
  <c r="AJ203" i="12" s="1"/>
  <c r="AC203" i="12"/>
  <c r="AT203" i="12" s="1"/>
  <c r="T203" i="12"/>
  <c r="AN203" i="12" s="1"/>
  <c r="T248" i="12"/>
  <c r="AN248" i="12" s="1"/>
  <c r="W248" i="12"/>
  <c r="AQ248" i="12" s="1"/>
  <c r="I248" i="12"/>
  <c r="J248" i="12" s="1"/>
  <c r="K248" i="12" s="1"/>
  <c r="Y266" i="12"/>
  <c r="AS266" i="12" s="1"/>
  <c r="Z266" i="12"/>
  <c r="AA266" i="12" s="1"/>
  <c r="AB266" i="12" s="1"/>
  <c r="AE266" i="12"/>
  <c r="AF266" i="12" s="1"/>
  <c r="M266" i="12"/>
  <c r="AK266" i="12" s="1"/>
  <c r="AC248" i="12"/>
  <c r="AT248" i="12" s="1"/>
  <c r="L248" i="12"/>
  <c r="AJ248" i="12" s="1"/>
  <c r="Y248" i="12"/>
  <c r="AS248" i="12" s="1"/>
  <c r="U266" i="12"/>
  <c r="AO266" i="12" s="1"/>
  <c r="I266" i="12"/>
  <c r="O164" i="12"/>
  <c r="AM164" i="12" s="1"/>
  <c r="W128" i="12"/>
  <c r="AQ128" i="12" s="1"/>
  <c r="V191" i="12"/>
  <c r="AP191" i="12" s="1"/>
  <c r="P11" i="12"/>
  <c r="AF45" i="12"/>
  <c r="AC47" i="12" s="1"/>
  <c r="AT47" i="12" s="1"/>
  <c r="N128" i="12"/>
  <c r="AL128" i="12" s="1"/>
  <c r="Q13" i="14"/>
  <c r="S56" i="12"/>
  <c r="X128" i="12"/>
  <c r="AR128" i="12" s="1"/>
  <c r="I128" i="12"/>
  <c r="J128" i="12" s="1"/>
  <c r="K128" i="12" s="1"/>
  <c r="Z128" i="12"/>
  <c r="AA128" i="12" s="1"/>
  <c r="AB128" i="12" s="1"/>
  <c r="U128" i="12"/>
  <c r="AO128" i="12" s="1"/>
  <c r="O119" i="12"/>
  <c r="AM119" i="12" s="1"/>
  <c r="N176" i="12"/>
  <c r="AL176" i="12" s="1"/>
  <c r="AC119" i="12"/>
  <c r="AT119" i="12" s="1"/>
  <c r="L119" i="12"/>
  <c r="AJ119" i="12" s="1"/>
  <c r="N119" i="12"/>
  <c r="AL119" i="12" s="1"/>
  <c r="I119" i="12"/>
  <c r="J119" i="12" s="1"/>
  <c r="K119" i="12" s="1"/>
  <c r="V119" i="12"/>
  <c r="AP119" i="12" s="1"/>
  <c r="AS49" i="15"/>
  <c r="AR49" i="15" s="1"/>
  <c r="AP49" i="15"/>
  <c r="AS48" i="15"/>
  <c r="AR48" i="15" s="1"/>
  <c r="AP48" i="15"/>
  <c r="AV47" i="15"/>
  <c r="AS47" i="15"/>
  <c r="AR47" i="15" s="1"/>
  <c r="AP47" i="15"/>
  <c r="Z227" i="12"/>
  <c r="AA227" i="12" s="1"/>
  <c r="AB227" i="12" s="1"/>
  <c r="Y101" i="12"/>
  <c r="AS101" i="12" s="1"/>
  <c r="I272" i="12"/>
  <c r="J272" i="12" s="1"/>
  <c r="K272" i="12" s="1"/>
  <c r="P83" i="12"/>
  <c r="X101" i="12"/>
  <c r="AR101" i="12" s="1"/>
  <c r="S20" i="12"/>
  <c r="T191" i="12"/>
  <c r="AN191" i="12" s="1"/>
  <c r="Y191" i="12"/>
  <c r="AS191" i="12" s="1"/>
  <c r="U119" i="12"/>
  <c r="AO119" i="12" s="1"/>
  <c r="Z119" i="12"/>
  <c r="AA119" i="12" s="1"/>
  <c r="AB119" i="12" s="1"/>
  <c r="X119" i="12"/>
  <c r="AR119" i="12" s="1"/>
  <c r="Y119" i="12"/>
  <c r="AS119" i="12" s="1"/>
  <c r="W119" i="12"/>
  <c r="AQ119" i="12" s="1"/>
  <c r="AE119" i="12"/>
  <c r="AF119" i="12" s="1"/>
  <c r="R74" i="12"/>
  <c r="AC191" i="12"/>
  <c r="AT191" i="12" s="1"/>
  <c r="L191" i="12"/>
  <c r="AJ191" i="12" s="1"/>
  <c r="X191" i="12"/>
  <c r="AR191" i="12" s="1"/>
  <c r="O200" i="12"/>
  <c r="AM200" i="12" s="1"/>
  <c r="X227" i="12"/>
  <c r="AR227" i="12" s="1"/>
  <c r="I101" i="12"/>
  <c r="J101" i="12" s="1"/>
  <c r="K101" i="12" s="1"/>
  <c r="I263" i="12"/>
  <c r="J263" i="12" s="1"/>
  <c r="K263" i="12" s="1"/>
  <c r="AF18" i="12"/>
  <c r="N20" i="12" s="1"/>
  <c r="AL20" i="12" s="1"/>
  <c r="Q29" i="12"/>
  <c r="AD257" i="12"/>
  <c r="AD110" i="12"/>
  <c r="AD92" i="12"/>
  <c r="AD143" i="12"/>
  <c r="AD245" i="12"/>
  <c r="AD125" i="12"/>
  <c r="AD134" i="12"/>
  <c r="AD146" i="12"/>
  <c r="AD230" i="12"/>
  <c r="AD116" i="12"/>
  <c r="AD137" i="12"/>
  <c r="AD107" i="12"/>
  <c r="AD158" i="12"/>
  <c r="AD212" i="12"/>
  <c r="AD98" i="12"/>
  <c r="L227" i="12"/>
  <c r="AJ227" i="12" s="1"/>
  <c r="T272" i="12"/>
  <c r="AN272" i="12" s="1"/>
  <c r="AE272" i="12"/>
  <c r="AF272" i="12" s="1"/>
  <c r="R83" i="12"/>
  <c r="Q83" i="12"/>
  <c r="AC101" i="12"/>
  <c r="AT101" i="12" s="1"/>
  <c r="V101" i="12"/>
  <c r="AP101" i="12" s="1"/>
  <c r="T101" i="12"/>
  <c r="AN101" i="12" s="1"/>
  <c r="AC263" i="12"/>
  <c r="AT263" i="12" s="1"/>
  <c r="W263" i="12"/>
  <c r="AQ263" i="12" s="1"/>
  <c r="R20" i="12"/>
  <c r="M101" i="12"/>
  <c r="AK101" i="12" s="1"/>
  <c r="O191" i="12"/>
  <c r="AM191" i="12" s="1"/>
  <c r="AE191" i="12"/>
  <c r="AF191" i="12" s="1"/>
  <c r="U191" i="12"/>
  <c r="AO191" i="12" s="1"/>
  <c r="I191" i="12"/>
  <c r="W191" i="12"/>
  <c r="AQ191" i="12" s="1"/>
  <c r="P56" i="12"/>
  <c r="AF54" i="12"/>
  <c r="M56" i="12" s="1"/>
  <c r="AK56" i="12" s="1"/>
  <c r="X200" i="12"/>
  <c r="AR200" i="12" s="1"/>
  <c r="Q74" i="12"/>
  <c r="AF72" i="12"/>
  <c r="M74" i="12" s="1"/>
  <c r="AK74" i="12" s="1"/>
  <c r="AF27" i="12"/>
  <c r="M29" i="12" s="1"/>
  <c r="AK29" i="12" s="1"/>
  <c r="S29" i="12"/>
  <c r="AC176" i="12"/>
  <c r="AT176" i="12" s="1"/>
  <c r="N167" i="12"/>
  <c r="AL167" i="12" s="1"/>
  <c r="O176" i="12"/>
  <c r="AM176" i="12" s="1"/>
  <c r="V176" i="12"/>
  <c r="AP176" i="12" s="1"/>
  <c r="U176" i="12"/>
  <c r="AO176" i="12" s="1"/>
  <c r="X176" i="12"/>
  <c r="AR176" i="12" s="1"/>
  <c r="Z176" i="12"/>
  <c r="AA176" i="12" s="1"/>
  <c r="AB176" i="12" s="1"/>
  <c r="AC221" i="12"/>
  <c r="AT221" i="12" s="1"/>
  <c r="O167" i="12"/>
  <c r="AM167" i="12" s="1"/>
  <c r="I239" i="12"/>
  <c r="T176" i="12"/>
  <c r="AN176" i="12" s="1"/>
  <c r="W176" i="12"/>
  <c r="AQ176" i="12" s="1"/>
  <c r="L176" i="12"/>
  <c r="AJ176" i="12" s="1"/>
  <c r="Y176" i="12"/>
  <c r="AS176" i="12" s="1"/>
  <c r="AE176" i="12"/>
  <c r="AF176" i="12" s="1"/>
  <c r="I176" i="12"/>
  <c r="V221" i="12"/>
  <c r="AP221" i="12" s="1"/>
  <c r="U221" i="12"/>
  <c r="AO221" i="12" s="1"/>
  <c r="Y221" i="12"/>
  <c r="AS221" i="12" s="1"/>
  <c r="AE221" i="12"/>
  <c r="AF221" i="12" s="1"/>
  <c r="L221" i="12"/>
  <c r="AJ221" i="12" s="1"/>
  <c r="V167" i="12"/>
  <c r="AP167" i="12" s="1"/>
  <c r="Y167" i="12"/>
  <c r="AS167" i="12" s="1"/>
  <c r="T239" i="12"/>
  <c r="AN239" i="12" s="1"/>
  <c r="Y164" i="12"/>
  <c r="AS164" i="12" s="1"/>
  <c r="V164" i="12"/>
  <c r="AP164" i="12" s="1"/>
  <c r="X221" i="12"/>
  <c r="AR221" i="12" s="1"/>
  <c r="Z221" i="12"/>
  <c r="AA221" i="12" s="1"/>
  <c r="AB221" i="12" s="1"/>
  <c r="O221" i="12"/>
  <c r="AM221" i="12" s="1"/>
  <c r="T221" i="12"/>
  <c r="AN221" i="12" s="1"/>
  <c r="W221" i="12"/>
  <c r="AQ221" i="12" s="1"/>
  <c r="X167" i="12"/>
  <c r="AR167" i="12" s="1"/>
  <c r="U167" i="12"/>
  <c r="AO167" i="12" s="1"/>
  <c r="AC167" i="12"/>
  <c r="AT167" i="12" s="1"/>
  <c r="X239" i="12"/>
  <c r="AR239" i="12" s="1"/>
  <c r="AC239" i="12"/>
  <c r="AT239" i="12" s="1"/>
  <c r="V239" i="12"/>
  <c r="AP239" i="12" s="1"/>
  <c r="Y239" i="12"/>
  <c r="AS239" i="12" s="1"/>
  <c r="T167" i="12"/>
  <c r="AN167" i="12" s="1"/>
  <c r="W167" i="12"/>
  <c r="AQ167" i="12" s="1"/>
  <c r="I167" i="12"/>
  <c r="Z167" i="12"/>
  <c r="AA167" i="12" s="1"/>
  <c r="AB167" i="12" s="1"/>
  <c r="AE167" i="12"/>
  <c r="AF167" i="12" s="1"/>
  <c r="L167" i="12"/>
  <c r="AJ167" i="12" s="1"/>
  <c r="O239" i="12"/>
  <c r="AM239" i="12" s="1"/>
  <c r="AE239" i="12"/>
  <c r="AF239" i="12" s="1"/>
  <c r="U239" i="12"/>
  <c r="AO239" i="12" s="1"/>
  <c r="W239" i="12"/>
  <c r="AQ239" i="12" s="1"/>
  <c r="Z239" i="12"/>
  <c r="AA239" i="12" s="1"/>
  <c r="AB239" i="12" s="1"/>
  <c r="I254" i="12"/>
  <c r="J254" i="12" s="1"/>
  <c r="K254" i="12" s="1"/>
  <c r="AE227" i="12"/>
  <c r="AF227" i="12" s="1"/>
  <c r="V227" i="12"/>
  <c r="AP227" i="12" s="1"/>
  <c r="I227" i="12"/>
  <c r="W272" i="12"/>
  <c r="AQ272" i="12" s="1"/>
  <c r="Y272" i="12"/>
  <c r="AS272" i="12" s="1"/>
  <c r="L272" i="12"/>
  <c r="AJ272" i="12" s="1"/>
  <c r="Q56" i="12"/>
  <c r="X263" i="12"/>
  <c r="AR263" i="12" s="1"/>
  <c r="Y263" i="12"/>
  <c r="AS263" i="12" s="1"/>
  <c r="T263" i="12"/>
  <c r="AN263" i="12" s="1"/>
  <c r="P74" i="12"/>
  <c r="P29" i="12"/>
  <c r="W164" i="12"/>
  <c r="AQ164" i="12" s="1"/>
  <c r="Z164" i="12"/>
  <c r="AA164" i="12" s="1"/>
  <c r="AB164" i="12" s="1"/>
  <c r="T164" i="12"/>
  <c r="AN164" i="12" s="1"/>
  <c r="O254" i="12"/>
  <c r="AM254" i="12" s="1"/>
  <c r="O227" i="12"/>
  <c r="AM227" i="12" s="1"/>
  <c r="AC227" i="12"/>
  <c r="AT227" i="12" s="1"/>
  <c r="U227" i="12"/>
  <c r="AO227" i="12" s="1"/>
  <c r="T227" i="12"/>
  <c r="AN227" i="12" s="1"/>
  <c r="W227" i="12"/>
  <c r="AQ227" i="12" s="1"/>
  <c r="O272" i="12"/>
  <c r="AM272" i="12" s="1"/>
  <c r="U272" i="12"/>
  <c r="AO272" i="12" s="1"/>
  <c r="V272" i="12"/>
  <c r="AP272" i="12" s="1"/>
  <c r="X272" i="12"/>
  <c r="AR272" i="12" s="1"/>
  <c r="AC272" i="12"/>
  <c r="AT272" i="12" s="1"/>
  <c r="AF81" i="12"/>
  <c r="M83" i="12" s="1"/>
  <c r="AK83" i="12" s="1"/>
  <c r="W101" i="12"/>
  <c r="AQ101" i="12" s="1"/>
  <c r="U101" i="12"/>
  <c r="AO101" i="12" s="1"/>
  <c r="L101" i="12"/>
  <c r="AJ101" i="12" s="1"/>
  <c r="O101" i="12"/>
  <c r="AM101" i="12" s="1"/>
  <c r="AE101" i="12"/>
  <c r="AF101" i="12" s="1"/>
  <c r="Z101" i="12"/>
  <c r="AA101" i="12" s="1"/>
  <c r="AB101" i="12" s="1"/>
  <c r="Z263" i="12"/>
  <c r="AA263" i="12" s="1"/>
  <c r="AB263" i="12" s="1"/>
  <c r="AE263" i="12"/>
  <c r="AF263" i="12" s="1"/>
  <c r="L263" i="12"/>
  <c r="AJ263" i="12" s="1"/>
  <c r="O263" i="12"/>
  <c r="AM263" i="12" s="1"/>
  <c r="V263" i="12"/>
  <c r="AP263" i="12" s="1"/>
  <c r="P20" i="12"/>
  <c r="X164" i="12"/>
  <c r="AR164" i="12" s="1"/>
  <c r="AC164" i="12"/>
  <c r="AT164" i="12" s="1"/>
  <c r="L164" i="12"/>
  <c r="AJ164" i="12" s="1"/>
  <c r="AE164" i="12"/>
  <c r="AF164" i="12" s="1"/>
  <c r="U164" i="12"/>
  <c r="AO164" i="12" s="1"/>
  <c r="Y254" i="12"/>
  <c r="AS254" i="12" s="1"/>
  <c r="V254" i="12"/>
  <c r="AP254" i="12" s="1"/>
  <c r="T254" i="12"/>
  <c r="AN254" i="12" s="1"/>
  <c r="U254" i="12"/>
  <c r="AO254" i="12" s="1"/>
  <c r="W254" i="12"/>
  <c r="AQ254" i="12" s="1"/>
  <c r="Z254" i="12"/>
  <c r="AA254" i="12" s="1"/>
  <c r="AB254" i="12" s="1"/>
  <c r="N71" i="12"/>
  <c r="AL71" i="12" s="1"/>
  <c r="M71" i="12"/>
  <c r="AK71" i="12" s="1"/>
  <c r="N53" i="12"/>
  <c r="AL53" i="12" s="1"/>
  <c r="M53" i="12"/>
  <c r="AK53" i="12" s="1"/>
  <c r="N89" i="12"/>
  <c r="AL89" i="12" s="1"/>
  <c r="M89" i="12"/>
  <c r="AK89" i="12" s="1"/>
  <c r="N29" i="12"/>
  <c r="AL29" i="12" s="1"/>
  <c r="M35" i="12"/>
  <c r="AK35" i="12" s="1"/>
  <c r="N35" i="12"/>
  <c r="AL35" i="12" s="1"/>
  <c r="N161" i="12"/>
  <c r="AL161" i="12" s="1"/>
  <c r="M161" i="12"/>
  <c r="AK161" i="12" s="1"/>
  <c r="M251" i="12"/>
  <c r="AK251" i="12" s="1"/>
  <c r="N251" i="12"/>
  <c r="AL251" i="12" s="1"/>
  <c r="M197" i="12"/>
  <c r="AK197" i="12" s="1"/>
  <c r="N197" i="12"/>
  <c r="AL197" i="12" s="1"/>
  <c r="N182" i="12"/>
  <c r="AL182" i="12" s="1"/>
  <c r="M182" i="12"/>
  <c r="AK182" i="12" s="1"/>
  <c r="N218" i="12"/>
  <c r="AL218" i="12" s="1"/>
  <c r="M218" i="12"/>
  <c r="AK218" i="12" s="1"/>
  <c r="M221" i="12"/>
  <c r="AK221" i="12" s="1"/>
  <c r="N221" i="12"/>
  <c r="AL221" i="12" s="1"/>
  <c r="M65" i="12"/>
  <c r="AK65" i="12" s="1"/>
  <c r="N65" i="12"/>
  <c r="AL65" i="12" s="1"/>
  <c r="N8" i="12"/>
  <c r="AL8" i="12" s="1"/>
  <c r="M8" i="12"/>
  <c r="AK8" i="12" s="1"/>
  <c r="N44" i="12"/>
  <c r="AL44" i="12" s="1"/>
  <c r="M44" i="12"/>
  <c r="AK44" i="12" s="1"/>
  <c r="N26" i="12"/>
  <c r="AL26" i="12" s="1"/>
  <c r="M26" i="12"/>
  <c r="AK26" i="12" s="1"/>
  <c r="N233" i="12"/>
  <c r="AL233" i="12" s="1"/>
  <c r="M233" i="12"/>
  <c r="AK233" i="12" s="1"/>
  <c r="N206" i="12"/>
  <c r="AL206" i="12" s="1"/>
  <c r="M206" i="12"/>
  <c r="AK206" i="12" s="1"/>
  <c r="M227" i="12"/>
  <c r="AK227" i="12" s="1"/>
  <c r="N227" i="12"/>
  <c r="AL227" i="12" s="1"/>
  <c r="M254" i="12"/>
  <c r="AK254" i="12" s="1"/>
  <c r="N254" i="12"/>
  <c r="AL254" i="12" s="1"/>
  <c r="M272" i="12"/>
  <c r="AK272" i="12" s="1"/>
  <c r="N272" i="12"/>
  <c r="AL272" i="12" s="1"/>
  <c r="N164" i="12"/>
  <c r="AL164" i="12" s="1"/>
  <c r="M164" i="12"/>
  <c r="AK164" i="12" s="1"/>
  <c r="M17" i="12"/>
  <c r="AK17" i="12" s="1"/>
  <c r="N17" i="12"/>
  <c r="AL17" i="12" s="1"/>
  <c r="N11" i="12"/>
  <c r="AL11" i="12" s="1"/>
  <c r="M11" i="12"/>
  <c r="AK11" i="12" s="1"/>
  <c r="N260" i="12"/>
  <c r="AL260" i="12" s="1"/>
  <c r="M260" i="12"/>
  <c r="AK260" i="12" s="1"/>
  <c r="N188" i="12"/>
  <c r="AL188" i="12" s="1"/>
  <c r="M188" i="12"/>
  <c r="AK188" i="12" s="1"/>
  <c r="M62" i="12"/>
  <c r="AK62" i="12" s="1"/>
  <c r="N62" i="12"/>
  <c r="AL62" i="12" s="1"/>
  <c r="M152" i="12"/>
  <c r="AK152" i="12" s="1"/>
  <c r="N179" i="12"/>
  <c r="AL179" i="12" s="1"/>
  <c r="M179" i="12"/>
  <c r="AK179" i="12" s="1"/>
  <c r="N224" i="12"/>
  <c r="AL224" i="12" s="1"/>
  <c r="M224" i="12"/>
  <c r="AK224" i="12" s="1"/>
  <c r="M215" i="12"/>
  <c r="AK215" i="12" s="1"/>
  <c r="N215" i="12"/>
  <c r="AL215" i="12" s="1"/>
  <c r="N155" i="12"/>
  <c r="AL155" i="12" s="1"/>
  <c r="M155" i="12"/>
  <c r="AK155" i="12" s="1"/>
  <c r="N200" i="12"/>
  <c r="AL200" i="12" s="1"/>
  <c r="M200" i="12"/>
  <c r="AK200" i="12" s="1"/>
  <c r="M191" i="12"/>
  <c r="AK191" i="12" s="1"/>
  <c r="N191" i="12"/>
  <c r="AL191" i="12" s="1"/>
  <c r="N38" i="12"/>
  <c r="AL38" i="12" s="1"/>
  <c r="M38" i="12"/>
  <c r="AK38" i="12" s="1"/>
  <c r="M80" i="12"/>
  <c r="AK80" i="12" s="1"/>
  <c r="N80" i="12"/>
  <c r="AL80" i="12" s="1"/>
  <c r="N170" i="12"/>
  <c r="AL170" i="12" s="1"/>
  <c r="M170" i="12"/>
  <c r="AK170" i="12" s="1"/>
  <c r="M269" i="12"/>
  <c r="AK269" i="12" s="1"/>
  <c r="N269" i="12"/>
  <c r="AL269" i="12" s="1"/>
  <c r="N242" i="12"/>
  <c r="AL242" i="12" s="1"/>
  <c r="M242" i="12"/>
  <c r="AK242" i="12" s="1"/>
  <c r="N209" i="12"/>
  <c r="AL209" i="12" s="1"/>
  <c r="M209" i="12"/>
  <c r="AK209" i="12" s="1"/>
  <c r="M236" i="12"/>
  <c r="AK236" i="12" s="1"/>
  <c r="N236" i="12"/>
  <c r="AL236" i="12" s="1"/>
  <c r="N173" i="12"/>
  <c r="AL173" i="12" s="1"/>
  <c r="M173" i="12"/>
  <c r="AK173" i="12" s="1"/>
  <c r="M239" i="12"/>
  <c r="AK239" i="12" s="1"/>
  <c r="N239" i="12"/>
  <c r="AL239" i="12" s="1"/>
  <c r="M263" i="12"/>
  <c r="AK263" i="12" s="1"/>
  <c r="N263" i="12"/>
  <c r="AL263" i="12" s="1"/>
  <c r="X182" i="12"/>
  <c r="AR182" i="12" s="1"/>
  <c r="AE218" i="12"/>
  <c r="AF218" i="12" s="1"/>
  <c r="L254" i="12"/>
  <c r="AJ254" i="12" s="1"/>
  <c r="V155" i="12"/>
  <c r="AP155" i="12" s="1"/>
  <c r="T200" i="12"/>
  <c r="AN200" i="12" s="1"/>
  <c r="I209" i="12"/>
  <c r="I236" i="12"/>
  <c r="AC173" i="12"/>
  <c r="AT173" i="12" s="1"/>
  <c r="Y182" i="12"/>
  <c r="AS182" i="12" s="1"/>
  <c r="I182" i="12"/>
  <c r="J182" i="12" s="1"/>
  <c r="K182" i="12" s="1"/>
  <c r="W218" i="12"/>
  <c r="AQ218" i="12" s="1"/>
  <c r="W182" i="12"/>
  <c r="AQ182" i="12" s="1"/>
  <c r="Y209" i="12"/>
  <c r="AS209" i="12" s="1"/>
  <c r="Z218" i="12"/>
  <c r="AA218" i="12" s="1"/>
  <c r="AB218" i="12" s="1"/>
  <c r="I218" i="12"/>
  <c r="V182" i="12"/>
  <c r="AP182" i="12" s="1"/>
  <c r="AE182" i="12"/>
  <c r="AF182" i="12" s="1"/>
  <c r="AC182" i="12"/>
  <c r="AT182" i="12" s="1"/>
  <c r="O218" i="12"/>
  <c r="AM218" i="12" s="1"/>
  <c r="X218" i="12"/>
  <c r="AR218" i="12" s="1"/>
  <c r="V218" i="12"/>
  <c r="AP218" i="12" s="1"/>
  <c r="U182" i="12"/>
  <c r="AO182" i="12" s="1"/>
  <c r="L182" i="12"/>
  <c r="AJ182" i="12" s="1"/>
  <c r="Z182" i="12"/>
  <c r="AA182" i="12" s="1"/>
  <c r="AB182" i="12" s="1"/>
  <c r="AC218" i="12"/>
  <c r="AT218" i="12" s="1"/>
  <c r="L218" i="12"/>
  <c r="AJ218" i="12" s="1"/>
  <c r="T218" i="12"/>
  <c r="AN218" i="12" s="1"/>
  <c r="T182" i="12"/>
  <c r="AN182" i="12" s="1"/>
  <c r="O182" i="12"/>
  <c r="AM182" i="12" s="1"/>
  <c r="X254" i="12"/>
  <c r="AR254" i="12" s="1"/>
  <c r="AC254" i="12"/>
  <c r="AT254" i="12" s="1"/>
  <c r="Y218" i="12"/>
  <c r="AS218" i="12" s="1"/>
  <c r="U218" i="12"/>
  <c r="AO218" i="12" s="1"/>
  <c r="W236" i="12"/>
  <c r="AQ236" i="12" s="1"/>
  <c r="W173" i="12"/>
  <c r="AQ173" i="12" s="1"/>
  <c r="O236" i="12"/>
  <c r="AM236" i="12" s="1"/>
  <c r="V236" i="12"/>
  <c r="AP236" i="12" s="1"/>
  <c r="X173" i="12"/>
  <c r="AR173" i="12" s="1"/>
  <c r="O173" i="12"/>
  <c r="AM173" i="12" s="1"/>
  <c r="Y236" i="12"/>
  <c r="AS236" i="12" s="1"/>
  <c r="L236" i="12"/>
  <c r="AJ236" i="12" s="1"/>
  <c r="X236" i="12"/>
  <c r="AR236" i="12" s="1"/>
  <c r="V173" i="12"/>
  <c r="AP173" i="12" s="1"/>
  <c r="L173" i="12"/>
  <c r="AJ173" i="12" s="1"/>
  <c r="Y173" i="12"/>
  <c r="AS173" i="12" s="1"/>
  <c r="AC236" i="12"/>
  <c r="AT236" i="12" s="1"/>
  <c r="T236" i="12"/>
  <c r="AN236" i="12" s="1"/>
  <c r="Z236" i="12"/>
  <c r="AA236" i="12" s="1"/>
  <c r="AB236" i="12" s="1"/>
  <c r="T173" i="12"/>
  <c r="AN173" i="12" s="1"/>
  <c r="I173" i="12"/>
  <c r="Z173" i="12"/>
  <c r="AA173" i="12" s="1"/>
  <c r="AB173" i="12" s="1"/>
  <c r="U209" i="12"/>
  <c r="AO209" i="12" s="1"/>
  <c r="AE236" i="12"/>
  <c r="AF236" i="12" s="1"/>
  <c r="U236" i="12"/>
  <c r="AO236" i="12" s="1"/>
  <c r="U173" i="12"/>
  <c r="AO173" i="12" s="1"/>
  <c r="AE173" i="12"/>
  <c r="AF173" i="12" s="1"/>
  <c r="Y200" i="12"/>
  <c r="AS200" i="12" s="1"/>
  <c r="AC200" i="12"/>
  <c r="AT200" i="12" s="1"/>
  <c r="I200" i="12"/>
  <c r="U200" i="12"/>
  <c r="AO200" i="12" s="1"/>
  <c r="Z200" i="12"/>
  <c r="AA200" i="12" s="1"/>
  <c r="AB200" i="12" s="1"/>
  <c r="AE200" i="12"/>
  <c r="AF200" i="12" s="1"/>
  <c r="Y155" i="12"/>
  <c r="AS155" i="12" s="1"/>
  <c r="W200" i="12"/>
  <c r="AQ200" i="12" s="1"/>
  <c r="L200" i="12"/>
  <c r="AJ200" i="12" s="1"/>
  <c r="AC155" i="12"/>
  <c r="AT155" i="12" s="1"/>
  <c r="AE209" i="12"/>
  <c r="AF209" i="12" s="1"/>
  <c r="Z209" i="12"/>
  <c r="AA209" i="12" s="1"/>
  <c r="AB209" i="12" s="1"/>
  <c r="AC209" i="12"/>
  <c r="AT209" i="12" s="1"/>
  <c r="T209" i="12"/>
  <c r="AN209" i="12" s="1"/>
  <c r="V209" i="12"/>
  <c r="AP209" i="12" s="1"/>
  <c r="L209" i="12"/>
  <c r="AJ209" i="12" s="1"/>
  <c r="O209" i="12"/>
  <c r="AM209" i="12" s="1"/>
  <c r="W209" i="12"/>
  <c r="AQ209" i="12" s="1"/>
  <c r="X209" i="12"/>
  <c r="AR209" i="12" s="1"/>
  <c r="W155" i="12"/>
  <c r="AQ155" i="12" s="1"/>
  <c r="Z155" i="12"/>
  <c r="AA155" i="12" s="1"/>
  <c r="AB155" i="12" s="1"/>
  <c r="X155" i="12"/>
  <c r="AR155" i="12" s="1"/>
  <c r="I155" i="12"/>
  <c r="T155" i="12"/>
  <c r="AN155" i="12" s="1"/>
  <c r="U155" i="12"/>
  <c r="AO155" i="12" s="1"/>
  <c r="AE155" i="12"/>
  <c r="AF155" i="12" s="1"/>
  <c r="O155" i="12"/>
  <c r="AM155" i="12" s="1"/>
  <c r="O13" i="14"/>
  <c r="J257" i="12"/>
  <c r="K257" i="12" s="1"/>
  <c r="I65" i="12"/>
  <c r="L65" i="12"/>
  <c r="AJ65" i="12" s="1"/>
  <c r="V65" i="12"/>
  <c r="AP65" i="12" s="1"/>
  <c r="U65" i="12"/>
  <c r="AO65" i="12" s="1"/>
  <c r="X65" i="12"/>
  <c r="AR65" i="12" s="1"/>
  <c r="AC65" i="12"/>
  <c r="AT65" i="12" s="1"/>
  <c r="W65" i="12"/>
  <c r="AQ65" i="12" s="1"/>
  <c r="Z65" i="12"/>
  <c r="AA65" i="12" s="1"/>
  <c r="AB65" i="12" s="1"/>
  <c r="Y65" i="12"/>
  <c r="AS65" i="12" s="1"/>
  <c r="AE65" i="12"/>
  <c r="AF65" i="12" s="1"/>
  <c r="T65" i="12"/>
  <c r="AN65" i="12" s="1"/>
  <c r="O65" i="12"/>
  <c r="AM65" i="12" s="1"/>
  <c r="J110" i="12"/>
  <c r="K110" i="12" s="1"/>
  <c r="J92" i="12"/>
  <c r="K92" i="12" s="1"/>
  <c r="I17" i="12"/>
  <c r="V17" i="12"/>
  <c r="AP17" i="12" s="1"/>
  <c r="Y17" i="12"/>
  <c r="AS17" i="12" s="1"/>
  <c r="AC17" i="12"/>
  <c r="AT17" i="12" s="1"/>
  <c r="T17" i="12"/>
  <c r="AN17" i="12" s="1"/>
  <c r="W17" i="12"/>
  <c r="AQ17" i="12" s="1"/>
  <c r="L17" i="12"/>
  <c r="AJ17" i="12" s="1"/>
  <c r="Z17" i="12"/>
  <c r="AA17" i="12" s="1"/>
  <c r="AB17" i="12" s="1"/>
  <c r="AE17" i="12"/>
  <c r="AF17" i="12" s="1"/>
  <c r="U17" i="12"/>
  <c r="AO17" i="12" s="1"/>
  <c r="X17" i="12"/>
  <c r="AR17" i="12" s="1"/>
  <c r="O17" i="12"/>
  <c r="AM17" i="12" s="1"/>
  <c r="I44" i="12"/>
  <c r="AC44" i="12"/>
  <c r="AT44" i="12" s="1"/>
  <c r="T44" i="12"/>
  <c r="AN44" i="12" s="1"/>
  <c r="O44" i="12"/>
  <c r="AM44" i="12" s="1"/>
  <c r="V44" i="12"/>
  <c r="AP44" i="12" s="1"/>
  <c r="AE44" i="12"/>
  <c r="AF44" i="12" s="1"/>
  <c r="L44" i="12"/>
  <c r="AJ44" i="12" s="1"/>
  <c r="X44" i="12"/>
  <c r="AR44" i="12" s="1"/>
  <c r="W44" i="12"/>
  <c r="AQ44" i="12" s="1"/>
  <c r="Z44" i="12"/>
  <c r="AA44" i="12" s="1"/>
  <c r="AB44" i="12" s="1"/>
  <c r="U44" i="12"/>
  <c r="AO44" i="12" s="1"/>
  <c r="Y44" i="12"/>
  <c r="AS44" i="12" s="1"/>
  <c r="L11" i="12"/>
  <c r="AJ11" i="12" s="1"/>
  <c r="I11" i="12"/>
  <c r="Z11" i="12"/>
  <c r="AA11" i="12" s="1"/>
  <c r="AB11" i="12" s="1"/>
  <c r="O11" i="12"/>
  <c r="AM11" i="12" s="1"/>
  <c r="Y11" i="12"/>
  <c r="AS11" i="12" s="1"/>
  <c r="AC11" i="12"/>
  <c r="AT11" i="12" s="1"/>
  <c r="T11" i="12"/>
  <c r="AN11" i="12" s="1"/>
  <c r="V11" i="12"/>
  <c r="AP11" i="12" s="1"/>
  <c r="AE11" i="12"/>
  <c r="AF11" i="12" s="1"/>
  <c r="U11" i="12"/>
  <c r="AO11" i="12" s="1"/>
  <c r="X11" i="12"/>
  <c r="AR11" i="12" s="1"/>
  <c r="W11" i="12"/>
  <c r="AQ11" i="12" s="1"/>
  <c r="J107" i="12"/>
  <c r="K107" i="12" s="1"/>
  <c r="L71" i="12"/>
  <c r="AJ71" i="12" s="1"/>
  <c r="X71" i="12"/>
  <c r="AR71" i="12" s="1"/>
  <c r="AC71" i="12"/>
  <c r="AT71" i="12" s="1"/>
  <c r="Z71" i="12"/>
  <c r="AA71" i="12" s="1"/>
  <c r="AB71" i="12" s="1"/>
  <c r="O71" i="12"/>
  <c r="AM71" i="12" s="1"/>
  <c r="U71" i="12"/>
  <c r="AO71" i="12" s="1"/>
  <c r="I71" i="12"/>
  <c r="AE71" i="12"/>
  <c r="AF71" i="12" s="1"/>
  <c r="T71" i="12"/>
  <c r="AN71" i="12" s="1"/>
  <c r="W71" i="12"/>
  <c r="AQ71" i="12" s="1"/>
  <c r="V71" i="12"/>
  <c r="AP71" i="12" s="1"/>
  <c r="Y71" i="12"/>
  <c r="AS71" i="12" s="1"/>
  <c r="J134" i="12"/>
  <c r="K134" i="12" s="1"/>
  <c r="I260" i="12"/>
  <c r="Z260" i="12"/>
  <c r="AA260" i="12" s="1"/>
  <c r="AB260" i="12" s="1"/>
  <c r="AC260" i="12"/>
  <c r="AT260" i="12" s="1"/>
  <c r="Y260" i="12"/>
  <c r="AS260" i="12" s="1"/>
  <c r="X260" i="12"/>
  <c r="AR260" i="12" s="1"/>
  <c r="W260" i="12"/>
  <c r="AQ260" i="12" s="1"/>
  <c r="L260" i="12"/>
  <c r="AJ260" i="12" s="1"/>
  <c r="V260" i="12"/>
  <c r="AP260" i="12" s="1"/>
  <c r="U260" i="12"/>
  <c r="AO260" i="12" s="1"/>
  <c r="T260" i="12"/>
  <c r="AN260" i="12" s="1"/>
  <c r="AE260" i="12"/>
  <c r="AF260" i="12" s="1"/>
  <c r="O260" i="12"/>
  <c r="AM260" i="12" s="1"/>
  <c r="I188" i="12"/>
  <c r="Z188" i="12"/>
  <c r="AA188" i="12" s="1"/>
  <c r="AB188" i="12" s="1"/>
  <c r="X188" i="12"/>
  <c r="AR188" i="12" s="1"/>
  <c r="W188" i="12"/>
  <c r="AQ188" i="12" s="1"/>
  <c r="U188" i="12"/>
  <c r="AO188" i="12" s="1"/>
  <c r="O188" i="12"/>
  <c r="AM188" i="12" s="1"/>
  <c r="L188" i="12"/>
  <c r="AJ188" i="12" s="1"/>
  <c r="V188" i="12"/>
  <c r="AP188" i="12" s="1"/>
  <c r="AE188" i="12"/>
  <c r="AF188" i="12" s="1"/>
  <c r="AC188" i="12"/>
  <c r="AT188" i="12" s="1"/>
  <c r="T188" i="12"/>
  <c r="AN188" i="12" s="1"/>
  <c r="Y188" i="12"/>
  <c r="AS188" i="12" s="1"/>
  <c r="I53" i="12"/>
  <c r="L53" i="12"/>
  <c r="AJ53" i="12" s="1"/>
  <c r="AC53" i="12"/>
  <c r="AT53" i="12" s="1"/>
  <c r="Z53" i="12"/>
  <c r="AA53" i="12" s="1"/>
  <c r="AB53" i="12" s="1"/>
  <c r="Y53" i="12"/>
  <c r="AS53" i="12" s="1"/>
  <c r="X53" i="12"/>
  <c r="AR53" i="12" s="1"/>
  <c r="O53" i="12"/>
  <c r="AM53" i="12" s="1"/>
  <c r="W53" i="12"/>
  <c r="AQ53" i="12" s="1"/>
  <c r="V53" i="12"/>
  <c r="AP53" i="12" s="1"/>
  <c r="U53" i="12"/>
  <c r="AO53" i="12" s="1"/>
  <c r="T53" i="12"/>
  <c r="AN53" i="12" s="1"/>
  <c r="AE53" i="12"/>
  <c r="AF53" i="12" s="1"/>
  <c r="L26" i="12"/>
  <c r="AJ26" i="12" s="1"/>
  <c r="I26" i="12"/>
  <c r="Y26" i="12"/>
  <c r="AS26" i="12" s="1"/>
  <c r="AC26" i="12"/>
  <c r="AT26" i="12" s="1"/>
  <c r="T26" i="12"/>
  <c r="AN26" i="12" s="1"/>
  <c r="Z26" i="12"/>
  <c r="AA26" i="12" s="1"/>
  <c r="AB26" i="12" s="1"/>
  <c r="O26" i="12"/>
  <c r="AM26" i="12" s="1"/>
  <c r="AE26" i="12"/>
  <c r="AF26" i="12" s="1"/>
  <c r="U26" i="12"/>
  <c r="AO26" i="12" s="1"/>
  <c r="X26" i="12"/>
  <c r="AR26" i="12" s="1"/>
  <c r="W26" i="12"/>
  <c r="AQ26" i="12" s="1"/>
  <c r="V26" i="12"/>
  <c r="AP26" i="12" s="1"/>
  <c r="L80" i="12"/>
  <c r="AJ80" i="12" s="1"/>
  <c r="Y80" i="12"/>
  <c r="AS80" i="12" s="1"/>
  <c r="AE80" i="12"/>
  <c r="AF80" i="12" s="1"/>
  <c r="T80" i="12"/>
  <c r="AN80" i="12" s="1"/>
  <c r="W80" i="12"/>
  <c r="AQ80" i="12" s="1"/>
  <c r="O80" i="12"/>
  <c r="AM80" i="12" s="1"/>
  <c r="I80" i="12"/>
  <c r="U80" i="12"/>
  <c r="AO80" i="12" s="1"/>
  <c r="X80" i="12"/>
  <c r="AR80" i="12" s="1"/>
  <c r="AC80" i="12"/>
  <c r="AT80" i="12" s="1"/>
  <c r="V80" i="12"/>
  <c r="AP80" i="12" s="1"/>
  <c r="Z80" i="12"/>
  <c r="AA80" i="12" s="1"/>
  <c r="AB80" i="12" s="1"/>
  <c r="V89" i="12"/>
  <c r="AP89" i="12" s="1"/>
  <c r="U89" i="12"/>
  <c r="AO89" i="12" s="1"/>
  <c r="X89" i="12"/>
  <c r="AR89" i="12" s="1"/>
  <c r="AC89" i="12"/>
  <c r="AT89" i="12" s="1"/>
  <c r="O89" i="12"/>
  <c r="AM89" i="12" s="1"/>
  <c r="I89" i="12"/>
  <c r="L89" i="12"/>
  <c r="AJ89" i="12" s="1"/>
  <c r="Z89" i="12"/>
  <c r="AA89" i="12" s="1"/>
  <c r="AB89" i="12" s="1"/>
  <c r="Y89" i="12"/>
  <c r="AS89" i="12" s="1"/>
  <c r="AE89" i="12"/>
  <c r="AF89" i="12" s="1"/>
  <c r="T89" i="12"/>
  <c r="AN89" i="12" s="1"/>
  <c r="W89" i="12"/>
  <c r="AQ89" i="12" s="1"/>
  <c r="J137" i="12"/>
  <c r="G137" i="12" s="1"/>
  <c r="J146" i="12"/>
  <c r="K146" i="12" s="1"/>
  <c r="J158" i="12"/>
  <c r="K158" i="12" s="1"/>
  <c r="J203" i="12"/>
  <c r="K203" i="12" s="1"/>
  <c r="J212" i="12"/>
  <c r="K212" i="12" s="1"/>
  <c r="J116" i="12"/>
  <c r="K116" i="12" s="1"/>
  <c r="L152" i="12"/>
  <c r="AJ152" i="12" s="1"/>
  <c r="AC152" i="12"/>
  <c r="AT152" i="12" s="1"/>
  <c r="Z152" i="12"/>
  <c r="AA152" i="12" s="1"/>
  <c r="AB152" i="12" s="1"/>
  <c r="Y152" i="12"/>
  <c r="AS152" i="12" s="1"/>
  <c r="AE152" i="12"/>
  <c r="AF152" i="12" s="1"/>
  <c r="T152" i="12"/>
  <c r="AN152" i="12" s="1"/>
  <c r="I152" i="12"/>
  <c r="W152" i="12"/>
  <c r="AQ152" i="12" s="1"/>
  <c r="V152" i="12"/>
  <c r="AP152" i="12" s="1"/>
  <c r="U152" i="12"/>
  <c r="AO152" i="12" s="1"/>
  <c r="X152" i="12"/>
  <c r="AR152" i="12" s="1"/>
  <c r="O152" i="12"/>
  <c r="AM152" i="12" s="1"/>
  <c r="I179" i="12"/>
  <c r="Y179" i="12"/>
  <c r="AS179" i="12" s="1"/>
  <c r="X179" i="12"/>
  <c r="AR179" i="12" s="1"/>
  <c r="W179" i="12"/>
  <c r="AQ179" i="12" s="1"/>
  <c r="V179" i="12"/>
  <c r="AP179" i="12" s="1"/>
  <c r="T179" i="12"/>
  <c r="AN179" i="12" s="1"/>
  <c r="L179" i="12"/>
  <c r="AJ179" i="12" s="1"/>
  <c r="U179" i="12"/>
  <c r="AO179" i="12" s="1"/>
  <c r="AE179" i="12"/>
  <c r="AF179" i="12" s="1"/>
  <c r="AC179" i="12"/>
  <c r="AT179" i="12" s="1"/>
  <c r="Z179" i="12"/>
  <c r="AA179" i="12" s="1"/>
  <c r="AB179" i="12" s="1"/>
  <c r="O179" i="12"/>
  <c r="AM179" i="12" s="1"/>
  <c r="J164" i="12"/>
  <c r="K164" i="12" s="1"/>
  <c r="AC161" i="12"/>
  <c r="AT161" i="12" s="1"/>
  <c r="Y161" i="12"/>
  <c r="AS161" i="12" s="1"/>
  <c r="X161" i="12"/>
  <c r="AR161" i="12" s="1"/>
  <c r="V161" i="12"/>
  <c r="AP161" i="12" s="1"/>
  <c r="O161" i="12"/>
  <c r="AM161" i="12" s="1"/>
  <c r="I161" i="12"/>
  <c r="L161" i="12"/>
  <c r="AJ161" i="12" s="1"/>
  <c r="W161" i="12"/>
  <c r="AQ161" i="12" s="1"/>
  <c r="T161" i="12"/>
  <c r="AN161" i="12" s="1"/>
  <c r="AE161" i="12"/>
  <c r="AF161" i="12" s="1"/>
  <c r="Z161" i="12"/>
  <c r="AA161" i="12" s="1"/>
  <c r="AB161" i="12" s="1"/>
  <c r="U161" i="12"/>
  <c r="AO161" i="12" s="1"/>
  <c r="L224" i="12"/>
  <c r="AJ224" i="12" s="1"/>
  <c r="Z224" i="12"/>
  <c r="AA224" i="12" s="1"/>
  <c r="AB224" i="12" s="1"/>
  <c r="AE224" i="12"/>
  <c r="AF224" i="12" s="1"/>
  <c r="AC224" i="12"/>
  <c r="AT224" i="12" s="1"/>
  <c r="Y224" i="12"/>
  <c r="AS224" i="12" s="1"/>
  <c r="O224" i="12"/>
  <c r="AM224" i="12" s="1"/>
  <c r="I224" i="12"/>
  <c r="V224" i="12"/>
  <c r="AP224" i="12" s="1"/>
  <c r="W224" i="12"/>
  <c r="AQ224" i="12" s="1"/>
  <c r="U224" i="12"/>
  <c r="AO224" i="12" s="1"/>
  <c r="T224" i="12"/>
  <c r="AN224" i="12" s="1"/>
  <c r="X224" i="12"/>
  <c r="AR224" i="12" s="1"/>
  <c r="I251" i="12"/>
  <c r="L251" i="12"/>
  <c r="AJ251" i="12" s="1"/>
  <c r="Y251" i="12"/>
  <c r="AS251" i="12" s="1"/>
  <c r="AC251" i="12"/>
  <c r="AT251" i="12" s="1"/>
  <c r="Z251" i="12"/>
  <c r="AA251" i="12" s="1"/>
  <c r="AB251" i="12" s="1"/>
  <c r="X251" i="12"/>
  <c r="AR251" i="12" s="1"/>
  <c r="O251" i="12"/>
  <c r="AM251" i="12" s="1"/>
  <c r="U251" i="12"/>
  <c r="AO251" i="12" s="1"/>
  <c r="V251" i="12"/>
  <c r="AP251" i="12" s="1"/>
  <c r="T251" i="12"/>
  <c r="AN251" i="12" s="1"/>
  <c r="W251" i="12"/>
  <c r="AQ251" i="12" s="1"/>
  <c r="AE251" i="12"/>
  <c r="AF251" i="12" s="1"/>
  <c r="I215" i="12"/>
  <c r="Y215" i="12"/>
  <c r="AS215" i="12" s="1"/>
  <c r="AE215" i="12"/>
  <c r="AF215" i="12" s="1"/>
  <c r="AC215" i="12"/>
  <c r="AT215" i="12" s="1"/>
  <c r="Z215" i="12"/>
  <c r="AA215" i="12" s="1"/>
  <c r="AB215" i="12" s="1"/>
  <c r="X215" i="12"/>
  <c r="AR215" i="12" s="1"/>
  <c r="L215" i="12"/>
  <c r="AJ215" i="12" s="1"/>
  <c r="U215" i="12"/>
  <c r="AO215" i="12" s="1"/>
  <c r="W215" i="12"/>
  <c r="AQ215" i="12" s="1"/>
  <c r="V215" i="12"/>
  <c r="AP215" i="12" s="1"/>
  <c r="T215" i="12"/>
  <c r="AN215" i="12" s="1"/>
  <c r="O215" i="12"/>
  <c r="AM215" i="12" s="1"/>
  <c r="AC197" i="12"/>
  <c r="AT197" i="12" s="1"/>
  <c r="X197" i="12"/>
  <c r="AR197" i="12" s="1"/>
  <c r="V197" i="12"/>
  <c r="AP197" i="12" s="1"/>
  <c r="U197" i="12"/>
  <c r="AO197" i="12" s="1"/>
  <c r="T197" i="12"/>
  <c r="AN197" i="12" s="1"/>
  <c r="I197" i="12"/>
  <c r="L197" i="12"/>
  <c r="AJ197" i="12" s="1"/>
  <c r="W197" i="12"/>
  <c r="AQ197" i="12" s="1"/>
  <c r="AE197" i="12"/>
  <c r="AF197" i="12" s="1"/>
  <c r="Z197" i="12"/>
  <c r="AA197" i="12" s="1"/>
  <c r="AB197" i="12" s="1"/>
  <c r="Y197" i="12"/>
  <c r="AS197" i="12" s="1"/>
  <c r="O197" i="12"/>
  <c r="AM197" i="12" s="1"/>
  <c r="L8" i="12"/>
  <c r="AJ8" i="12" s="1"/>
  <c r="AC8" i="12"/>
  <c r="AT8" i="12" s="1"/>
  <c r="T8" i="12"/>
  <c r="AN8" i="12" s="1"/>
  <c r="O8" i="12"/>
  <c r="AM8" i="12" s="1"/>
  <c r="V8" i="12"/>
  <c r="AP8" i="12" s="1"/>
  <c r="U8" i="12"/>
  <c r="AO8" i="12" s="1"/>
  <c r="I8" i="12"/>
  <c r="X8" i="12"/>
  <c r="AR8" i="12" s="1"/>
  <c r="W8" i="12"/>
  <c r="AQ8" i="12" s="1"/>
  <c r="Z8" i="12"/>
  <c r="AA8" i="12" s="1"/>
  <c r="AB8" i="12" s="1"/>
  <c r="Y8" i="12"/>
  <c r="AS8" i="12" s="1"/>
  <c r="AE8" i="12"/>
  <c r="AF8" i="12" s="1"/>
  <c r="J143" i="12"/>
  <c r="K143" i="12" s="1"/>
  <c r="J245" i="12"/>
  <c r="K245" i="12" s="1"/>
  <c r="J125" i="12"/>
  <c r="K125" i="12" s="1"/>
  <c r="J221" i="12"/>
  <c r="K221" i="12" s="1"/>
  <c r="V47" i="12"/>
  <c r="AP47" i="12" s="1"/>
  <c r="Z38" i="12"/>
  <c r="AA38" i="12" s="1"/>
  <c r="AB38" i="12" s="1"/>
  <c r="AE38" i="12"/>
  <c r="AF38" i="12" s="1"/>
  <c r="U38" i="12"/>
  <c r="AO38" i="12" s="1"/>
  <c r="T38" i="12"/>
  <c r="AN38" i="12" s="1"/>
  <c r="AC38" i="12"/>
  <c r="AT38" i="12" s="1"/>
  <c r="L38" i="12"/>
  <c r="AJ38" i="12" s="1"/>
  <c r="I38" i="12"/>
  <c r="W38" i="12"/>
  <c r="AQ38" i="12" s="1"/>
  <c r="V38" i="12"/>
  <c r="AP38" i="12" s="1"/>
  <c r="Y38" i="12"/>
  <c r="AS38" i="12" s="1"/>
  <c r="X38" i="12"/>
  <c r="AR38" i="12" s="1"/>
  <c r="O38" i="12"/>
  <c r="AM38" i="12" s="1"/>
  <c r="J230" i="12"/>
  <c r="K230" i="12" s="1"/>
  <c r="W74" i="12"/>
  <c r="AQ74" i="12" s="1"/>
  <c r="AE20" i="12"/>
  <c r="AF20" i="12" s="1"/>
  <c r="L29" i="12"/>
  <c r="AJ29" i="12" s="1"/>
  <c r="U29" i="12"/>
  <c r="AO29" i="12" s="1"/>
  <c r="L35" i="12"/>
  <c r="AJ35" i="12" s="1"/>
  <c r="AE35" i="12"/>
  <c r="AF35" i="12" s="1"/>
  <c r="T35" i="12"/>
  <c r="AN35" i="12" s="1"/>
  <c r="AC35" i="12"/>
  <c r="AT35" i="12" s="1"/>
  <c r="Z35" i="12"/>
  <c r="AA35" i="12" s="1"/>
  <c r="AB35" i="12" s="1"/>
  <c r="Y35" i="12"/>
  <c r="AS35" i="12" s="1"/>
  <c r="I35" i="12"/>
  <c r="X35" i="12"/>
  <c r="AR35" i="12" s="1"/>
  <c r="O35" i="12"/>
  <c r="AM35" i="12" s="1"/>
  <c r="W35" i="12"/>
  <c r="AQ35" i="12" s="1"/>
  <c r="V35" i="12"/>
  <c r="AP35" i="12" s="1"/>
  <c r="U35" i="12"/>
  <c r="AO35" i="12" s="1"/>
  <c r="L62" i="12"/>
  <c r="AJ62" i="12" s="1"/>
  <c r="I62" i="12"/>
  <c r="AC62" i="12"/>
  <c r="AT62" i="12" s="1"/>
  <c r="Z62" i="12"/>
  <c r="AA62" i="12" s="1"/>
  <c r="AB62" i="12" s="1"/>
  <c r="Y62" i="12"/>
  <c r="AS62" i="12" s="1"/>
  <c r="AE62" i="12"/>
  <c r="AF62" i="12" s="1"/>
  <c r="T62" i="12"/>
  <c r="AN62" i="12" s="1"/>
  <c r="W62" i="12"/>
  <c r="AQ62" i="12" s="1"/>
  <c r="V62" i="12"/>
  <c r="AP62" i="12" s="1"/>
  <c r="U62" i="12"/>
  <c r="AO62" i="12" s="1"/>
  <c r="X62" i="12"/>
  <c r="AR62" i="12" s="1"/>
  <c r="O62" i="12"/>
  <c r="AM62" i="12" s="1"/>
  <c r="J98" i="12"/>
  <c r="K98" i="12" s="1"/>
  <c r="X170" i="12"/>
  <c r="AR170" i="12" s="1"/>
  <c r="Y170" i="12"/>
  <c r="AS170" i="12" s="1"/>
  <c r="AC170" i="12"/>
  <c r="AT170" i="12" s="1"/>
  <c r="Z170" i="12"/>
  <c r="AA170" i="12" s="1"/>
  <c r="AB170" i="12" s="1"/>
  <c r="O170" i="12"/>
  <c r="AM170" i="12" s="1"/>
  <c r="L170" i="12"/>
  <c r="AJ170" i="12" s="1"/>
  <c r="I170" i="12"/>
  <c r="AE170" i="12"/>
  <c r="AF170" i="12" s="1"/>
  <c r="T170" i="12"/>
  <c r="AN170" i="12" s="1"/>
  <c r="W170" i="12"/>
  <c r="AQ170" i="12" s="1"/>
  <c r="V170" i="12"/>
  <c r="AP170" i="12" s="1"/>
  <c r="U170" i="12"/>
  <c r="AO170" i="12" s="1"/>
  <c r="AC233" i="12"/>
  <c r="AT233" i="12" s="1"/>
  <c r="AE233" i="12"/>
  <c r="AF233" i="12" s="1"/>
  <c r="Z233" i="12"/>
  <c r="AA233" i="12" s="1"/>
  <c r="AB233" i="12" s="1"/>
  <c r="Y233" i="12"/>
  <c r="AS233" i="12" s="1"/>
  <c r="X233" i="12"/>
  <c r="AR233" i="12" s="1"/>
  <c r="I233" i="12"/>
  <c r="L233" i="12"/>
  <c r="AJ233" i="12" s="1"/>
  <c r="W233" i="12"/>
  <c r="AQ233" i="12" s="1"/>
  <c r="V233" i="12"/>
  <c r="AP233" i="12" s="1"/>
  <c r="U233" i="12"/>
  <c r="AO233" i="12" s="1"/>
  <c r="T233" i="12"/>
  <c r="AN233" i="12" s="1"/>
  <c r="O233" i="12"/>
  <c r="AM233" i="12" s="1"/>
  <c r="I269" i="12"/>
  <c r="L269" i="12"/>
  <c r="AJ269" i="12" s="1"/>
  <c r="W269" i="12"/>
  <c r="AQ269" i="12" s="1"/>
  <c r="U269" i="12"/>
  <c r="AO269" i="12" s="1"/>
  <c r="T269" i="12"/>
  <c r="AN269" i="12" s="1"/>
  <c r="AE269" i="12"/>
  <c r="AF269" i="12" s="1"/>
  <c r="O269" i="12"/>
  <c r="AM269" i="12" s="1"/>
  <c r="AC269" i="12"/>
  <c r="AT269" i="12" s="1"/>
  <c r="Z269" i="12"/>
  <c r="AA269" i="12" s="1"/>
  <c r="AB269" i="12" s="1"/>
  <c r="Y269" i="12"/>
  <c r="AS269" i="12" s="1"/>
  <c r="X269" i="12"/>
  <c r="AR269" i="12" s="1"/>
  <c r="V269" i="12"/>
  <c r="AP269" i="12" s="1"/>
  <c r="L206" i="12"/>
  <c r="AJ206" i="12" s="1"/>
  <c r="I206" i="12"/>
  <c r="X206" i="12"/>
  <c r="AR206" i="12" s="1"/>
  <c r="W206" i="12"/>
  <c r="AQ206" i="12" s="1"/>
  <c r="V206" i="12"/>
  <c r="AP206" i="12" s="1"/>
  <c r="U206" i="12"/>
  <c r="AO206" i="12" s="1"/>
  <c r="O206" i="12"/>
  <c r="AM206" i="12" s="1"/>
  <c r="AE206" i="12"/>
  <c r="AF206" i="12" s="1"/>
  <c r="T206" i="12"/>
  <c r="AN206" i="12" s="1"/>
  <c r="AC206" i="12"/>
  <c r="AT206" i="12" s="1"/>
  <c r="Z206" i="12"/>
  <c r="AA206" i="12" s="1"/>
  <c r="AB206" i="12" s="1"/>
  <c r="Y206" i="12"/>
  <c r="AS206" i="12" s="1"/>
  <c r="X242" i="12"/>
  <c r="AR242" i="12" s="1"/>
  <c r="AC242" i="12"/>
  <c r="AT242" i="12" s="1"/>
  <c r="Z242" i="12"/>
  <c r="AA242" i="12" s="1"/>
  <c r="AB242" i="12" s="1"/>
  <c r="Y242" i="12"/>
  <c r="AS242" i="12" s="1"/>
  <c r="O242" i="12"/>
  <c r="AM242" i="12" s="1"/>
  <c r="L242" i="12"/>
  <c r="AJ242" i="12" s="1"/>
  <c r="I242" i="12"/>
  <c r="AE242" i="12"/>
  <c r="AF242" i="12" s="1"/>
  <c r="T242" i="12"/>
  <c r="AN242" i="12" s="1"/>
  <c r="V242" i="12"/>
  <c r="AP242" i="12" s="1"/>
  <c r="U242" i="12"/>
  <c r="AO242" i="12" s="1"/>
  <c r="W242" i="12"/>
  <c r="AQ242" i="12" s="1"/>
  <c r="AD194" i="12" l="1"/>
  <c r="X29" i="12"/>
  <c r="AR29" i="12" s="1"/>
  <c r="Z29" i="12"/>
  <c r="AA29" i="12" s="1"/>
  <c r="AB29" i="12" s="1"/>
  <c r="I20" i="12"/>
  <c r="Y56" i="12"/>
  <c r="AS56" i="12" s="1"/>
  <c r="O29" i="12"/>
  <c r="AM29" i="12" s="1"/>
  <c r="O20" i="12"/>
  <c r="AM20" i="12" s="1"/>
  <c r="L20" i="12"/>
  <c r="AJ20" i="12" s="1"/>
  <c r="L56" i="12"/>
  <c r="AJ56" i="12" s="1"/>
  <c r="W29" i="12"/>
  <c r="AQ29" i="12" s="1"/>
  <c r="Y20" i="12"/>
  <c r="AS20" i="12" s="1"/>
  <c r="W20" i="12"/>
  <c r="AQ20" i="12" s="1"/>
  <c r="X56" i="12"/>
  <c r="AR56" i="12" s="1"/>
  <c r="AD185" i="12"/>
  <c r="J185" i="12"/>
  <c r="K185" i="12" s="1"/>
  <c r="AD149" i="12"/>
  <c r="AD203" i="12"/>
  <c r="AD266" i="12"/>
  <c r="J266" i="12"/>
  <c r="K266" i="12" s="1"/>
  <c r="H266" i="12" s="1"/>
  <c r="AD248" i="12"/>
  <c r="T47" i="12"/>
  <c r="AN47" i="12" s="1"/>
  <c r="O83" i="12"/>
  <c r="AM83" i="12" s="1"/>
  <c r="Z47" i="12"/>
  <c r="AA47" i="12" s="1"/>
  <c r="AB47" i="12" s="1"/>
  <c r="T83" i="12"/>
  <c r="AN83" i="12" s="1"/>
  <c r="AE47" i="12"/>
  <c r="AF47" i="12" s="1"/>
  <c r="N47" i="12"/>
  <c r="AL47" i="12" s="1"/>
  <c r="AD128" i="12"/>
  <c r="W47" i="12"/>
  <c r="AQ47" i="12" s="1"/>
  <c r="U47" i="12"/>
  <c r="AO47" i="12" s="1"/>
  <c r="X47" i="12"/>
  <c r="AR47" i="12" s="1"/>
  <c r="L47" i="12"/>
  <c r="AJ47" i="12" s="1"/>
  <c r="O47" i="12"/>
  <c r="AM47" i="12" s="1"/>
  <c r="M47" i="12"/>
  <c r="AK47" i="12" s="1"/>
  <c r="Y47" i="12"/>
  <c r="AS47" i="12" s="1"/>
  <c r="I47" i="12"/>
  <c r="J47" i="12" s="1"/>
  <c r="K47" i="12" s="1"/>
  <c r="X74" i="12"/>
  <c r="AR74" i="12" s="1"/>
  <c r="AE74" i="12"/>
  <c r="AF74" i="12" s="1"/>
  <c r="T29" i="12"/>
  <c r="AN29" i="12" s="1"/>
  <c r="V29" i="12"/>
  <c r="AP29" i="12" s="1"/>
  <c r="AE29" i="12"/>
  <c r="AF29" i="12" s="1"/>
  <c r="Y29" i="12"/>
  <c r="AS29" i="12" s="1"/>
  <c r="AC29" i="12"/>
  <c r="AT29" i="12" s="1"/>
  <c r="I29" i="12"/>
  <c r="V20" i="12"/>
  <c r="AP20" i="12" s="1"/>
  <c r="T20" i="12"/>
  <c r="AN20" i="12" s="1"/>
  <c r="U20" i="12"/>
  <c r="AO20" i="12" s="1"/>
  <c r="Z20" i="12"/>
  <c r="AA20" i="12" s="1"/>
  <c r="AB20" i="12" s="1"/>
  <c r="X20" i="12"/>
  <c r="AR20" i="12" s="1"/>
  <c r="AC20" i="12"/>
  <c r="AT20" i="12" s="1"/>
  <c r="L83" i="12"/>
  <c r="AJ83" i="12" s="1"/>
  <c r="AE56" i="12"/>
  <c r="AF56" i="12" s="1"/>
  <c r="T56" i="12"/>
  <c r="AN56" i="12" s="1"/>
  <c r="I56" i="12"/>
  <c r="N56" i="12"/>
  <c r="AL56" i="12" s="1"/>
  <c r="Z74" i="12"/>
  <c r="AA74" i="12" s="1"/>
  <c r="AB74" i="12" s="1"/>
  <c r="U74" i="12"/>
  <c r="AO74" i="12" s="1"/>
  <c r="L74" i="12"/>
  <c r="AJ74" i="12" s="1"/>
  <c r="AC83" i="12"/>
  <c r="AT83" i="12" s="1"/>
  <c r="V83" i="12"/>
  <c r="AP83" i="12" s="1"/>
  <c r="I83" i="12"/>
  <c r="J83" i="12" s="1"/>
  <c r="K83" i="12" s="1"/>
  <c r="O56" i="12"/>
  <c r="AM56" i="12" s="1"/>
  <c r="U56" i="12"/>
  <c r="AO56" i="12" s="1"/>
  <c r="Z56" i="12"/>
  <c r="AA56" i="12" s="1"/>
  <c r="AB56" i="12" s="1"/>
  <c r="W56" i="12"/>
  <c r="AQ56" i="12" s="1"/>
  <c r="AC56" i="12"/>
  <c r="AT56" i="12" s="1"/>
  <c r="V56" i="12"/>
  <c r="AP56" i="12" s="1"/>
  <c r="M20" i="12"/>
  <c r="AK20" i="12" s="1"/>
  <c r="N83" i="12"/>
  <c r="AL83" i="12" s="1"/>
  <c r="N74" i="12"/>
  <c r="AL74" i="12" s="1"/>
  <c r="AD119" i="12"/>
  <c r="AD242" i="12"/>
  <c r="AD269" i="12"/>
  <c r="AD170" i="12"/>
  <c r="AD62" i="12"/>
  <c r="AD206" i="12"/>
  <c r="AD233" i="12"/>
  <c r="AD35" i="12"/>
  <c r="AD38" i="12"/>
  <c r="AD8" i="12"/>
  <c r="AD197" i="12"/>
  <c r="AD161" i="12"/>
  <c r="AD179" i="12"/>
  <c r="AD152" i="12"/>
  <c r="AD89" i="12"/>
  <c r="AD26" i="12"/>
  <c r="AD188" i="12"/>
  <c r="AD260" i="12"/>
  <c r="AD71" i="12"/>
  <c r="AD11" i="12"/>
  <c r="AD65" i="12"/>
  <c r="J200" i="12"/>
  <c r="G200" i="12" s="1"/>
  <c r="AD200" i="12"/>
  <c r="J218" i="12"/>
  <c r="K218" i="12" s="1"/>
  <c r="H218" i="12" s="1"/>
  <c r="AD218" i="12"/>
  <c r="J236" i="12"/>
  <c r="G236" i="12" s="1"/>
  <c r="AD236" i="12"/>
  <c r="AD254" i="12"/>
  <c r="J176" i="12"/>
  <c r="K176" i="12" s="1"/>
  <c r="H176" i="12" s="1"/>
  <c r="AD176" i="12"/>
  <c r="J239" i="12"/>
  <c r="K239" i="12" s="1"/>
  <c r="H239" i="12" s="1"/>
  <c r="AD239" i="12"/>
  <c r="AD272" i="12"/>
  <c r="AD215" i="12"/>
  <c r="AD251" i="12"/>
  <c r="AD224" i="12"/>
  <c r="AD80" i="12"/>
  <c r="AD53" i="12"/>
  <c r="AD44" i="12"/>
  <c r="AD17" i="12"/>
  <c r="J155" i="12"/>
  <c r="K155" i="12" s="1"/>
  <c r="H155" i="12" s="1"/>
  <c r="AD155" i="12"/>
  <c r="J173" i="12"/>
  <c r="K173" i="12" s="1"/>
  <c r="H173" i="12" s="1"/>
  <c r="AD173" i="12"/>
  <c r="AD182" i="12"/>
  <c r="J209" i="12"/>
  <c r="K209" i="12" s="1"/>
  <c r="H209" i="12" s="1"/>
  <c r="AD209" i="12"/>
  <c r="J227" i="12"/>
  <c r="K227" i="12" s="1"/>
  <c r="AD227" i="12"/>
  <c r="J167" i="12"/>
  <c r="K167" i="12" s="1"/>
  <c r="H167" i="12" s="1"/>
  <c r="AD167" i="12"/>
  <c r="J191" i="12"/>
  <c r="G191" i="12" s="1"/>
  <c r="AD191" i="12"/>
  <c r="AD164" i="12"/>
  <c r="AD263" i="12"/>
  <c r="AD101" i="12"/>
  <c r="AD221" i="12"/>
  <c r="O74" i="12"/>
  <c r="AM74" i="12" s="1"/>
  <c r="Y74" i="12"/>
  <c r="AS74" i="12" s="1"/>
  <c r="AC74" i="12"/>
  <c r="AT74" i="12" s="1"/>
  <c r="T74" i="12"/>
  <c r="AN74" i="12" s="1"/>
  <c r="V74" i="12"/>
  <c r="AP74" i="12" s="1"/>
  <c r="I74" i="12"/>
  <c r="J74" i="12" s="1"/>
  <c r="K74" i="12" s="1"/>
  <c r="U83" i="12"/>
  <c r="AO83" i="12" s="1"/>
  <c r="Z83" i="12"/>
  <c r="AA83" i="12" s="1"/>
  <c r="AB83" i="12" s="1"/>
  <c r="X83" i="12"/>
  <c r="AR83" i="12" s="1"/>
  <c r="Y83" i="12"/>
  <c r="AS83" i="12" s="1"/>
  <c r="W83" i="12"/>
  <c r="AQ83" i="12" s="1"/>
  <c r="AE83" i="12"/>
  <c r="AF83" i="12" s="1"/>
  <c r="H254" i="12"/>
  <c r="H245" i="12"/>
  <c r="H227" i="12"/>
  <c r="H110" i="12"/>
  <c r="H119" i="12"/>
  <c r="H101" i="12"/>
  <c r="H164" i="12"/>
  <c r="H272" i="12"/>
  <c r="H92" i="12"/>
  <c r="H128" i="12"/>
  <c r="H146" i="12"/>
  <c r="H263" i="12"/>
  <c r="H143" i="12"/>
  <c r="H116" i="12"/>
  <c r="H134" i="12"/>
  <c r="H98" i="12"/>
  <c r="H125" i="12"/>
  <c r="H107" i="12"/>
  <c r="H149" i="12"/>
  <c r="H248" i="12"/>
  <c r="H257" i="12"/>
  <c r="H194" i="12"/>
  <c r="H212" i="12"/>
  <c r="H158" i="12"/>
  <c r="H230" i="12"/>
  <c r="H221" i="12"/>
  <c r="H203" i="12"/>
  <c r="H182" i="12"/>
  <c r="Q6" i="14"/>
  <c r="Q5" i="14"/>
  <c r="Q4" i="14"/>
  <c r="P5" i="14"/>
  <c r="P6" i="14"/>
  <c r="P4" i="14"/>
  <c r="K137" i="12"/>
  <c r="J206" i="12"/>
  <c r="K206" i="12" s="1"/>
  <c r="J269" i="12"/>
  <c r="K269" i="12" s="1"/>
  <c r="G119" i="12"/>
  <c r="J38" i="12"/>
  <c r="K38" i="12" s="1"/>
  <c r="G101" i="12"/>
  <c r="J8" i="12"/>
  <c r="K8" i="12" s="1"/>
  <c r="J215" i="12"/>
  <c r="K215" i="12" s="1"/>
  <c r="J179" i="12"/>
  <c r="K179" i="12" s="1"/>
  <c r="J152" i="12"/>
  <c r="K152" i="12" s="1"/>
  <c r="G116" i="12"/>
  <c r="G212" i="12"/>
  <c r="G158" i="12"/>
  <c r="G146" i="12"/>
  <c r="J89" i="12"/>
  <c r="K89" i="12" s="1"/>
  <c r="J80" i="12"/>
  <c r="K80" i="12" s="1"/>
  <c r="J260" i="12"/>
  <c r="K260" i="12" s="1"/>
  <c r="G263" i="12"/>
  <c r="J71" i="12"/>
  <c r="K71" i="12" s="1"/>
  <c r="J11" i="12"/>
  <c r="K11" i="12" s="1"/>
  <c r="G248" i="12"/>
  <c r="J44" i="12"/>
  <c r="K44" i="12" s="1"/>
  <c r="J17" i="12"/>
  <c r="K17" i="12" s="1"/>
  <c r="G110" i="12"/>
  <c r="J65" i="12"/>
  <c r="K65" i="12" s="1"/>
  <c r="G254" i="12"/>
  <c r="J242" i="12"/>
  <c r="K242" i="12" s="1"/>
  <c r="J233" i="12"/>
  <c r="K233" i="12" s="1"/>
  <c r="J170" i="12"/>
  <c r="K170" i="12" s="1"/>
  <c r="G98" i="12"/>
  <c r="J62" i="12"/>
  <c r="K62" i="12" s="1"/>
  <c r="J35" i="12"/>
  <c r="K35" i="12" s="1"/>
  <c r="J20" i="12"/>
  <c r="K20" i="12" s="1"/>
  <c r="G149" i="12"/>
  <c r="G230" i="12"/>
  <c r="G221" i="12"/>
  <c r="G125" i="12"/>
  <c r="G194" i="12"/>
  <c r="G245" i="12"/>
  <c r="G182" i="12"/>
  <c r="G143" i="12"/>
  <c r="J197" i="12"/>
  <c r="K197" i="12" s="1"/>
  <c r="J251" i="12"/>
  <c r="K251" i="12" s="1"/>
  <c r="J224" i="12"/>
  <c r="K224" i="12" s="1"/>
  <c r="J161" i="12"/>
  <c r="K161" i="12" s="1"/>
  <c r="G164" i="12"/>
  <c r="G203" i="12"/>
  <c r="J26" i="12"/>
  <c r="K26" i="12" s="1"/>
  <c r="J53" i="12"/>
  <c r="K53" i="12" s="1"/>
  <c r="J188" i="12"/>
  <c r="K188" i="12" s="1"/>
  <c r="G134" i="12"/>
  <c r="G107" i="12"/>
  <c r="J56" i="12"/>
  <c r="K56" i="12" s="1"/>
  <c r="G272" i="12"/>
  <c r="G92" i="12"/>
  <c r="G128" i="12"/>
  <c r="G257" i="12"/>
  <c r="G185" i="12" l="1"/>
  <c r="G266" i="12"/>
  <c r="F266" i="12" s="1"/>
  <c r="AG266" i="12" s="1"/>
  <c r="AD47" i="12"/>
  <c r="F107" i="12"/>
  <c r="AG107" i="12" s="1"/>
  <c r="AU107" i="12" s="1"/>
  <c r="F92" i="12"/>
  <c r="AG92" i="12" s="1"/>
  <c r="AH92" i="12" s="1"/>
  <c r="AI92" i="12" s="1"/>
  <c r="F128" i="12"/>
  <c r="AG128" i="12" s="1"/>
  <c r="AU128" i="12" s="1"/>
  <c r="G167" i="12"/>
  <c r="F167" i="12" s="1"/>
  <c r="AG167" i="12" s="1"/>
  <c r="F146" i="12"/>
  <c r="AG146" i="12" s="1"/>
  <c r="AH146" i="12" s="1"/>
  <c r="AI146" i="12" s="1"/>
  <c r="AD20" i="12"/>
  <c r="AD29" i="12"/>
  <c r="K191" i="12"/>
  <c r="H191" i="12" s="1"/>
  <c r="F191" i="12" s="1"/>
  <c r="AG191" i="12" s="1"/>
  <c r="F125" i="12"/>
  <c r="AG125" i="12" s="1"/>
  <c r="AU125" i="12" s="1"/>
  <c r="J29" i="12"/>
  <c r="K29" i="12" s="1"/>
  <c r="AD56" i="12"/>
  <c r="G176" i="12"/>
  <c r="F176" i="12" s="1"/>
  <c r="AG176" i="12" s="1"/>
  <c r="G155" i="12"/>
  <c r="F155" i="12" s="1"/>
  <c r="AG155" i="12" s="1"/>
  <c r="G173" i="12"/>
  <c r="F173" i="12" s="1"/>
  <c r="AG173" i="12" s="1"/>
  <c r="G227" i="12"/>
  <c r="F227" i="12" s="1"/>
  <c r="AG227" i="12" s="1"/>
  <c r="G239" i="12"/>
  <c r="F239" i="12" s="1"/>
  <c r="AG239" i="12" s="1"/>
  <c r="AH239" i="12" s="1"/>
  <c r="F119" i="12"/>
  <c r="AG119" i="12" s="1"/>
  <c r="AU119" i="12" s="1"/>
  <c r="F101" i="12"/>
  <c r="AG101" i="12" s="1"/>
  <c r="AH101" i="12" s="1"/>
  <c r="AI101" i="12" s="1"/>
  <c r="F110" i="12"/>
  <c r="AG110" i="12" s="1"/>
  <c r="AH110" i="12" s="1"/>
  <c r="AI110" i="12" s="1"/>
  <c r="G209" i="12"/>
  <c r="F209" i="12" s="1"/>
  <c r="AG209" i="12" s="1"/>
  <c r="AH107" i="12"/>
  <c r="AI107" i="12" s="1"/>
  <c r="K236" i="12"/>
  <c r="H236" i="12" s="1"/>
  <c r="F236" i="12" s="1"/>
  <c r="AG236" i="12" s="1"/>
  <c r="K200" i="12"/>
  <c r="H200" i="12" s="1"/>
  <c r="F200" i="12" s="1"/>
  <c r="AG200" i="12" s="1"/>
  <c r="G218" i="12"/>
  <c r="F218" i="12" s="1"/>
  <c r="AG218" i="12" s="1"/>
  <c r="AD74" i="12"/>
  <c r="AD83" i="12"/>
  <c r="AU92" i="12"/>
  <c r="F143" i="12"/>
  <c r="AG143" i="12" s="1"/>
  <c r="F98" i="12"/>
  <c r="AG98" i="12" s="1"/>
  <c r="F116" i="12"/>
  <c r="AG116" i="12" s="1"/>
  <c r="H83" i="12"/>
  <c r="H65" i="12"/>
  <c r="H11" i="12"/>
  <c r="H47" i="12"/>
  <c r="H137" i="12"/>
  <c r="F137" i="12" s="1"/>
  <c r="AG137" i="12" s="1"/>
  <c r="H74" i="12"/>
  <c r="H56" i="12"/>
  <c r="H29" i="12"/>
  <c r="H20" i="12"/>
  <c r="H38" i="12"/>
  <c r="H188" i="12"/>
  <c r="H53" i="12"/>
  <c r="H8" i="12"/>
  <c r="H161" i="12"/>
  <c r="H251" i="12"/>
  <c r="H35" i="12"/>
  <c r="H233" i="12"/>
  <c r="H17" i="12"/>
  <c r="H89" i="12"/>
  <c r="H179" i="12"/>
  <c r="H215" i="12"/>
  <c r="H269" i="12"/>
  <c r="H26" i="12"/>
  <c r="H71" i="12"/>
  <c r="H224" i="12"/>
  <c r="H197" i="12"/>
  <c r="H62" i="12"/>
  <c r="H170" i="12"/>
  <c r="H242" i="12"/>
  <c r="H44" i="12"/>
  <c r="H260" i="12"/>
  <c r="H80" i="12"/>
  <c r="H152" i="12"/>
  <c r="H206" i="12"/>
  <c r="H185" i="12"/>
  <c r="F134" i="12"/>
  <c r="AG134" i="12" s="1"/>
  <c r="F257" i="12"/>
  <c r="AG257" i="12" s="1"/>
  <c r="G188" i="12"/>
  <c r="G26" i="12"/>
  <c r="F203" i="12"/>
  <c r="AG203" i="12" s="1"/>
  <c r="F164" i="12"/>
  <c r="AG164" i="12" s="1"/>
  <c r="G161" i="12"/>
  <c r="G251" i="12"/>
  <c r="F182" i="12"/>
  <c r="AG182" i="12" s="1"/>
  <c r="F194" i="12"/>
  <c r="AG194" i="12" s="1"/>
  <c r="G83" i="12"/>
  <c r="F149" i="12"/>
  <c r="AG149" i="12" s="1"/>
  <c r="G74" i="12"/>
  <c r="G35" i="12"/>
  <c r="G170" i="12"/>
  <c r="G242" i="12"/>
  <c r="F254" i="12"/>
  <c r="AG254" i="12" s="1"/>
  <c r="G65" i="12"/>
  <c r="G17" i="12"/>
  <c r="G71" i="12"/>
  <c r="G260" i="12"/>
  <c r="G89" i="12"/>
  <c r="F158" i="12"/>
  <c r="AG158" i="12" s="1"/>
  <c r="F212" i="12"/>
  <c r="AG212" i="12" s="1"/>
  <c r="G152" i="12"/>
  <c r="G215" i="12"/>
  <c r="G8" i="12"/>
  <c r="G269" i="12"/>
  <c r="F272" i="12"/>
  <c r="AG272" i="12" s="1"/>
  <c r="G56" i="12"/>
  <c r="G53" i="12"/>
  <c r="G224" i="12"/>
  <c r="G197" i="12"/>
  <c r="F245" i="12"/>
  <c r="AG245" i="12" s="1"/>
  <c r="F221" i="12"/>
  <c r="AG221" i="12" s="1"/>
  <c r="F230" i="12"/>
  <c r="AG230" i="12" s="1"/>
  <c r="G20" i="12"/>
  <c r="G62" i="12"/>
  <c r="G233" i="12"/>
  <c r="G44" i="12"/>
  <c r="F248" i="12"/>
  <c r="AG248" i="12" s="1"/>
  <c r="G11" i="12"/>
  <c r="F263" i="12"/>
  <c r="AG263" i="12" s="1"/>
  <c r="G80" i="12"/>
  <c r="G179" i="12"/>
  <c r="G47" i="12"/>
  <c r="G38" i="12"/>
  <c r="G206" i="12"/>
  <c r="G29" i="12" l="1"/>
  <c r="AH128" i="12"/>
  <c r="AI128" i="12" s="1"/>
  <c r="AU146" i="12"/>
  <c r="F38" i="12"/>
  <c r="AG38" i="12" s="1"/>
  <c r="AU38" i="12" s="1"/>
  <c r="F56" i="12"/>
  <c r="AG56" i="12" s="1"/>
  <c r="AH56" i="12" s="1"/>
  <c r="AI56" i="12" s="1"/>
  <c r="AH125" i="12"/>
  <c r="AI125" i="12" s="1"/>
  <c r="AH119" i="12"/>
  <c r="AI119" i="12" s="1"/>
  <c r="F8" i="12"/>
  <c r="AU110" i="12"/>
  <c r="F80" i="12"/>
  <c r="AG80" i="12" s="1"/>
  <c r="AH80" i="12" s="1"/>
  <c r="AI80" i="12" s="1"/>
  <c r="F11" i="12"/>
  <c r="AG11" i="12" s="1"/>
  <c r="AH11" i="12" s="1"/>
  <c r="F44" i="12"/>
  <c r="AG44" i="12" s="1"/>
  <c r="AU44" i="12" s="1"/>
  <c r="F29" i="12"/>
  <c r="AG29" i="12" s="1"/>
  <c r="AH29" i="12" s="1"/>
  <c r="AI29" i="12" s="1"/>
  <c r="F47" i="12"/>
  <c r="AG47" i="12" s="1"/>
  <c r="AU47" i="12" s="1"/>
  <c r="F62" i="12"/>
  <c r="AG62" i="12" s="1"/>
  <c r="AH62" i="12" s="1"/>
  <c r="AI62" i="12" s="1"/>
  <c r="F65" i="12"/>
  <c r="AG65" i="12" s="1"/>
  <c r="AH65" i="12" s="1"/>
  <c r="AI65" i="12" s="1"/>
  <c r="F53" i="12"/>
  <c r="AG53" i="12" s="1"/>
  <c r="AH53" i="12" s="1"/>
  <c r="AI53" i="12" s="1"/>
  <c r="F17" i="12"/>
  <c r="AG17" i="12" s="1"/>
  <c r="AU17" i="12" s="1"/>
  <c r="F35" i="12"/>
  <c r="AG35" i="12" s="1"/>
  <c r="AH35" i="12" s="1"/>
  <c r="AI35" i="12" s="1"/>
  <c r="F83" i="12"/>
  <c r="AG83" i="12" s="1"/>
  <c r="AU83" i="12" s="1"/>
  <c r="F20" i="12"/>
  <c r="AG20" i="12" s="1"/>
  <c r="AH20" i="12" s="1"/>
  <c r="AI20" i="12" s="1"/>
  <c r="F74" i="12"/>
  <c r="AG74" i="12" s="1"/>
  <c r="AH74" i="12" s="1"/>
  <c r="AI74" i="12" s="1"/>
  <c r="AU101" i="12"/>
  <c r="AH236" i="12"/>
  <c r="AI236" i="12" s="1"/>
  <c r="AH230" i="12"/>
  <c r="AI230" i="12" s="1"/>
  <c r="AH266" i="12"/>
  <c r="AI266" i="12" s="1"/>
  <c r="AH272" i="12"/>
  <c r="AI272" i="12" s="1"/>
  <c r="AH200" i="12"/>
  <c r="AI200" i="12" s="1"/>
  <c r="AH218" i="12"/>
  <c r="AI218" i="12" s="1"/>
  <c r="AH158" i="12"/>
  <c r="AI158" i="12" s="1"/>
  <c r="AI239" i="12"/>
  <c r="AH167" i="12"/>
  <c r="AI167" i="12" s="1"/>
  <c r="AH149" i="12"/>
  <c r="AI149" i="12" s="1"/>
  <c r="AH182" i="12"/>
  <c r="AI182" i="12" s="1"/>
  <c r="AH203" i="12"/>
  <c r="AI203" i="12" s="1"/>
  <c r="AH257" i="12"/>
  <c r="AI257" i="12" s="1"/>
  <c r="AH134" i="12"/>
  <c r="AI134" i="12" s="1"/>
  <c r="AH137" i="12"/>
  <c r="AI137" i="12" s="1"/>
  <c r="AH116" i="12"/>
  <c r="AI116" i="12" s="1"/>
  <c r="AH143" i="12"/>
  <c r="AI143" i="12" s="1"/>
  <c r="AH209" i="12"/>
  <c r="AI209" i="12" s="1"/>
  <c r="AH263" i="12"/>
  <c r="AI263" i="12" s="1"/>
  <c r="AH248" i="12"/>
  <c r="AI248" i="12" s="1"/>
  <c r="AH221" i="12"/>
  <c r="AI221" i="12" s="1"/>
  <c r="AH245" i="12"/>
  <c r="AI245" i="12" s="1"/>
  <c r="AH191" i="12"/>
  <c r="AI191" i="12" s="1"/>
  <c r="AH212" i="12"/>
  <c r="AI212" i="12" s="1"/>
  <c r="AH227" i="12"/>
  <c r="AI227" i="12" s="1"/>
  <c r="AH254" i="12"/>
  <c r="AI254" i="12" s="1"/>
  <c r="AH173" i="12"/>
  <c r="AI173" i="12" s="1"/>
  <c r="AH194" i="12"/>
  <c r="AI194" i="12" s="1"/>
  <c r="AH164" i="12"/>
  <c r="AI164" i="12" s="1"/>
  <c r="AH155" i="12"/>
  <c r="AI155" i="12" s="1"/>
  <c r="AH176" i="12"/>
  <c r="AI176" i="12" s="1"/>
  <c r="AH98" i="12"/>
  <c r="AI98" i="12" s="1"/>
  <c r="F71" i="12"/>
  <c r="AG71" i="12" s="1"/>
  <c r="AU71" i="12" s="1"/>
  <c r="AU272" i="12"/>
  <c r="AU245" i="12"/>
  <c r="AU173" i="12"/>
  <c r="AU194" i="12"/>
  <c r="AU209" i="12"/>
  <c r="AU248" i="12"/>
  <c r="AU230" i="12"/>
  <c r="AU221" i="12"/>
  <c r="AU212" i="12"/>
  <c r="AU158" i="12"/>
  <c r="AU257" i="12"/>
  <c r="AU176" i="12"/>
  <c r="AU263" i="12"/>
  <c r="AU266" i="12"/>
  <c r="AU200" i="12"/>
  <c r="AU218" i="12"/>
  <c r="AU239" i="12"/>
  <c r="AU227" i="12"/>
  <c r="AU167" i="12"/>
  <c r="AU254" i="12"/>
  <c r="AU182" i="12"/>
  <c r="AU164" i="12"/>
  <c r="AU203" i="12"/>
  <c r="AU155" i="12"/>
  <c r="AU149" i="12"/>
  <c r="AU134" i="12"/>
  <c r="F89" i="12"/>
  <c r="AG89" i="12" s="1"/>
  <c r="F26" i="12"/>
  <c r="AG26" i="12" s="1"/>
  <c r="AU236" i="12"/>
  <c r="AU56" i="12"/>
  <c r="AU191" i="12"/>
  <c r="F185" i="12"/>
  <c r="AU137" i="12"/>
  <c r="O6" i="14"/>
  <c r="O5" i="14"/>
  <c r="F206" i="12"/>
  <c r="AG206" i="12" s="1"/>
  <c r="F179" i="12"/>
  <c r="AG179" i="12" s="1"/>
  <c r="F233" i="12"/>
  <c r="AG233" i="12" s="1"/>
  <c r="F197" i="12"/>
  <c r="AG197" i="12" s="1"/>
  <c r="F269" i="12"/>
  <c r="AG269" i="12" s="1"/>
  <c r="F260" i="12"/>
  <c r="AG260" i="12" s="1"/>
  <c r="F242" i="12"/>
  <c r="AG242" i="12" s="1"/>
  <c r="F170" i="12"/>
  <c r="AG170" i="12" s="1"/>
  <c r="F161" i="12"/>
  <c r="AG161" i="12" s="1"/>
  <c r="F224" i="12"/>
  <c r="AG224" i="12" s="1"/>
  <c r="F215" i="12"/>
  <c r="AG215" i="12" s="1"/>
  <c r="F152" i="12"/>
  <c r="AG152" i="12" s="1"/>
  <c r="F251" i="12"/>
  <c r="AG251" i="12" s="1"/>
  <c r="F188" i="12"/>
  <c r="AG188" i="12" s="1"/>
  <c r="AU11" i="12" l="1"/>
  <c r="AG8" i="12"/>
  <c r="AH8" i="12" s="1"/>
  <c r="AI8" i="12" s="1"/>
  <c r="AH17" i="12"/>
  <c r="AI17" i="12" s="1"/>
  <c r="AU8" i="12"/>
  <c r="AH83" i="12"/>
  <c r="AI83" i="12" s="1"/>
  <c r="AU53" i="12"/>
  <c r="AH38" i="12"/>
  <c r="AI38" i="12" s="1"/>
  <c r="AU74" i="12"/>
  <c r="AH47" i="12"/>
  <c r="AI47" i="12" s="1"/>
  <c r="AU35" i="12"/>
  <c r="AU29" i="12"/>
  <c r="AU62" i="12"/>
  <c r="AH44" i="12"/>
  <c r="AI44" i="12" s="1"/>
  <c r="AU65" i="12"/>
  <c r="AU80" i="12"/>
  <c r="AI11" i="12"/>
  <c r="AU20" i="12"/>
  <c r="AH188" i="12"/>
  <c r="AI188" i="12" s="1"/>
  <c r="AH242" i="12"/>
  <c r="AI242" i="12" s="1"/>
  <c r="AH197" i="12"/>
  <c r="AI197" i="12" s="1"/>
  <c r="AH233" i="12"/>
  <c r="AI233" i="12" s="1"/>
  <c r="AH206" i="12"/>
  <c r="AI206" i="12" s="1"/>
  <c r="AH89" i="12"/>
  <c r="AI89" i="12" s="1"/>
  <c r="AH152" i="12"/>
  <c r="AI152" i="12" s="1"/>
  <c r="AH269" i="12"/>
  <c r="AI269" i="12" s="1"/>
  <c r="AH251" i="12"/>
  <c r="AI251" i="12" s="1"/>
  <c r="AH215" i="12"/>
  <c r="AI215" i="12" s="1"/>
  <c r="AH224" i="12"/>
  <c r="AI224" i="12" s="1"/>
  <c r="AH161" i="12"/>
  <c r="AI161" i="12" s="1"/>
  <c r="AH170" i="12"/>
  <c r="AI170" i="12" s="1"/>
  <c r="AH260" i="12"/>
  <c r="AI260" i="12" s="1"/>
  <c r="AH179" i="12"/>
  <c r="AI179" i="12" s="1"/>
  <c r="AG185" i="12"/>
  <c r="AU185" i="12" s="1"/>
  <c r="AH26" i="12"/>
  <c r="AI26" i="12" s="1"/>
  <c r="AH71" i="12"/>
  <c r="AI71" i="12" s="1"/>
  <c r="AU116" i="12"/>
  <c r="AU269" i="12"/>
  <c r="AU251" i="12"/>
  <c r="AU152" i="12"/>
  <c r="AU224" i="12"/>
  <c r="AU188" i="12"/>
  <c r="AU215" i="12"/>
  <c r="AU170" i="12"/>
  <c r="AU197" i="12"/>
  <c r="AU233" i="12"/>
  <c r="AU179" i="12"/>
  <c r="AU206" i="12"/>
  <c r="AU161" i="12"/>
  <c r="AU242" i="12"/>
  <c r="AU260" i="12"/>
  <c r="AU143" i="12"/>
  <c r="AU98" i="12"/>
  <c r="AU26" i="12"/>
  <c r="AU89" i="12"/>
  <c r="AH185" i="12" l="1"/>
  <c r="AI185" i="12" s="1"/>
  <c r="AQ418" i="1"/>
  <c r="AQ456" i="1" l="1"/>
  <c r="AQ458" i="1" s="1"/>
  <c r="AQ459" i="1" s="1"/>
  <c r="AQ460" i="1" s="1"/>
  <c r="K18" i="19"/>
  <c r="K25" i="19" s="1"/>
  <c r="K18" i="18"/>
  <c r="K25" i="18" s="1"/>
  <c r="BM418" i="1"/>
  <c r="DC14" i="15"/>
  <c r="DC21" i="15" s="1"/>
  <c r="M18" i="2"/>
  <c r="M25" i="2" s="1"/>
  <c r="AR418" i="1"/>
  <c r="BH14" i="15"/>
  <c r="BH21" i="15" s="1"/>
  <c r="L14" i="15"/>
  <c r="L21" i="15" s="1"/>
  <c r="BL418" i="1"/>
  <c r="M14" i="15" l="1"/>
  <c r="K14" i="15" s="1"/>
  <c r="AUV418" i="1"/>
  <c r="AUW418" i="1" s="1"/>
  <c r="AUX418" i="1" s="1"/>
  <c r="AY14" i="15"/>
  <c r="BB14" i="15" s="1"/>
  <c r="BC14" i="15" s="1"/>
  <c r="CI418" i="1"/>
  <c r="L18" i="18"/>
  <c r="L18" i="19"/>
  <c r="BL456" i="1"/>
  <c r="BL458" i="1" s="1"/>
  <c r="BL459" i="1" s="1"/>
  <c r="I18" i="19"/>
  <c r="I18" i="18"/>
  <c r="CH418" i="1"/>
  <c r="AVQ418" i="1" s="1"/>
  <c r="I84" i="12"/>
  <c r="BN418" i="1"/>
  <c r="J84" i="12" s="1"/>
  <c r="DD14" i="15"/>
  <c r="DB14" i="15" s="1"/>
  <c r="BI14" i="15"/>
  <c r="N18" i="2"/>
  <c r="CY14" i="15"/>
  <c r="AS418" i="1"/>
  <c r="AS456" i="1" s="1"/>
  <c r="AS458" i="1" s="1"/>
  <c r="AS459" i="1" s="1"/>
  <c r="AR456" i="1"/>
  <c r="AR458" i="1" s="1"/>
  <c r="AR459" i="1" s="1"/>
  <c r="BF14" i="15"/>
  <c r="EE14" i="15"/>
  <c r="EE21" i="15" s="1"/>
  <c r="CJ14" i="15"/>
  <c r="CJ21" i="15" s="1"/>
  <c r="AN14" i="15"/>
  <c r="AN21" i="15" s="1"/>
  <c r="DA14" i="15"/>
  <c r="J14" i="15"/>
  <c r="K18" i="2"/>
  <c r="AO14" i="15" l="1"/>
  <c r="CJ418" i="1"/>
  <c r="DQ14" i="15"/>
  <c r="AD84" i="12"/>
  <c r="I85" i="12" s="1"/>
  <c r="CK14" i="15"/>
  <c r="Z14" i="15"/>
  <c r="EF14" i="15"/>
  <c r="BV14" i="15"/>
  <c r="DD418" i="1"/>
  <c r="J18" i="19"/>
  <c r="R18" i="19" s="1"/>
  <c r="I25" i="18"/>
  <c r="J18" i="18"/>
  <c r="R18" i="18" s="1"/>
  <c r="I25" i="19"/>
  <c r="L18" i="2"/>
  <c r="BG14" i="15"/>
  <c r="BO418" i="1"/>
  <c r="Q14" i="15"/>
  <c r="J21" i="15"/>
  <c r="S14" i="15"/>
  <c r="BF21" i="15"/>
  <c r="K25" i="2"/>
  <c r="DJ14" i="15"/>
  <c r="DA21" i="15"/>
  <c r="DH14" i="15"/>
  <c r="DM14" i="15" s="1"/>
  <c r="DP14" i="15"/>
  <c r="AA85" i="12" l="1"/>
  <c r="M85" i="12"/>
  <c r="L85" i="12"/>
  <c r="O85" i="12"/>
  <c r="X85" i="12"/>
  <c r="P85" i="12"/>
  <c r="V85" i="12"/>
  <c r="AD85" i="12"/>
  <c r="Q85" i="12"/>
  <c r="Z85" i="12"/>
  <c r="R85" i="12"/>
  <c r="N85" i="12"/>
  <c r="Y85" i="12"/>
  <c r="T85" i="12"/>
  <c r="W85" i="12"/>
  <c r="S85" i="12"/>
  <c r="AB85" i="12"/>
  <c r="U85" i="12"/>
  <c r="J85" i="12"/>
  <c r="P18" i="18"/>
  <c r="P18" i="19"/>
  <c r="V18" i="2"/>
  <c r="R18" i="2"/>
  <c r="K84" i="12"/>
  <c r="K85" i="12" s="1"/>
  <c r="CK418" i="1"/>
  <c r="BO14" i="15"/>
  <c r="BQ14" i="15" s="1"/>
  <c r="BM14" i="15"/>
  <c r="BR14" i="15" s="1"/>
  <c r="BS14" i="15" s="1"/>
  <c r="BU14" i="15"/>
  <c r="CO14" i="15" s="1"/>
  <c r="EG14" i="15"/>
  <c r="EJ14" i="15"/>
  <c r="U14" i="15"/>
  <c r="DN14" i="15"/>
  <c r="DL14" i="15"/>
  <c r="AC85" i="12" l="1"/>
  <c r="CN14" i="15"/>
  <c r="CL14" i="15"/>
  <c r="BT14" i="15"/>
  <c r="DO14" i="15"/>
  <c r="BM4" i="1"/>
  <c r="CD4" i="1"/>
  <c r="CI4" i="1" l="1"/>
  <c r="AUV4" i="1"/>
  <c r="CZ4" i="1"/>
  <c r="AVM4" i="1"/>
  <c r="Z3" i="12"/>
  <c r="CE4" i="1"/>
  <c r="CF4" i="1" s="1"/>
  <c r="DD5" i="15"/>
  <c r="DB5" i="15" s="1"/>
  <c r="DJ5" i="15" s="1"/>
  <c r="DL5" i="15" s="1"/>
  <c r="DL21" i="15" s="1"/>
  <c r="M5" i="15"/>
  <c r="K5" i="15" s="1"/>
  <c r="K21" i="15" s="1"/>
  <c r="Q21" i="15" s="1"/>
  <c r="Q23" i="15" s="1"/>
  <c r="V8" i="15" s="1"/>
  <c r="W8" i="15" s="1"/>
  <c r="X8" i="15" s="1"/>
  <c r="N9" i="2"/>
  <c r="L9" i="2" s="1"/>
  <c r="L25" i="2" s="1"/>
  <c r="AY5" i="15"/>
  <c r="BB5" i="15" s="1"/>
  <c r="BC5" i="15" s="1"/>
  <c r="I3" i="12"/>
  <c r="L9" i="18"/>
  <c r="L25" i="18" s="1"/>
  <c r="BI5" i="15"/>
  <c r="BG5" i="15" s="1"/>
  <c r="BO5" i="15" s="1"/>
  <c r="BQ5" i="15" s="1"/>
  <c r="BQ21" i="15" s="1"/>
  <c r="L9" i="19"/>
  <c r="L25" i="19" s="1"/>
  <c r="CY5" i="15"/>
  <c r="CD456" i="1"/>
  <c r="CD458" i="1" s="1"/>
  <c r="CD459" i="1" s="1"/>
  <c r="BN4" i="1"/>
  <c r="BO4" i="1" s="1"/>
  <c r="BM456" i="1"/>
  <c r="BM458" i="1" s="1"/>
  <c r="BM459" i="1" s="1"/>
  <c r="CH4" i="1"/>
  <c r="AVQ4" i="1" s="1"/>
  <c r="AVQ458" i="1" s="1"/>
  <c r="AUV458" i="1" l="1"/>
  <c r="AUW4" i="1"/>
  <c r="AUW458" i="1" s="1"/>
  <c r="AVM458" i="1"/>
  <c r="AVN4" i="1"/>
  <c r="AVN458" i="1" s="1"/>
  <c r="N25" i="2"/>
  <c r="DB21" i="15"/>
  <c r="DH21" i="15" s="1"/>
  <c r="DD21" i="15"/>
  <c r="DH5" i="15"/>
  <c r="DM5" i="15" s="1"/>
  <c r="DM21" i="15" s="1"/>
  <c r="CE456" i="1"/>
  <c r="CE458" i="1" s="1"/>
  <c r="CE459" i="1" s="1"/>
  <c r="DA4" i="1"/>
  <c r="AA3" i="12"/>
  <c r="DP5" i="15"/>
  <c r="EG5" i="15" s="1"/>
  <c r="EG21" i="15" s="1"/>
  <c r="V9" i="2"/>
  <c r="V25" i="2" s="1"/>
  <c r="V27" i="2" s="1"/>
  <c r="R9" i="2"/>
  <c r="R25" i="2" s="1"/>
  <c r="Q5" i="15"/>
  <c r="V5" i="15" s="1"/>
  <c r="W5" i="15" s="1"/>
  <c r="M21" i="15"/>
  <c r="DJ21" i="15"/>
  <c r="EI5" i="15"/>
  <c r="S5" i="15"/>
  <c r="S21" i="15" s="1"/>
  <c r="V13" i="15"/>
  <c r="W13" i="15" s="1"/>
  <c r="X13" i="15" s="1"/>
  <c r="V19" i="15"/>
  <c r="W19" i="15" s="1"/>
  <c r="X19" i="15" s="1"/>
  <c r="V9" i="15"/>
  <c r="W9" i="15" s="1"/>
  <c r="X9" i="15" s="1"/>
  <c r="V10" i="15"/>
  <c r="W10" i="15" s="1"/>
  <c r="X10" i="15" s="1"/>
  <c r="BM460" i="1"/>
  <c r="V20" i="15"/>
  <c r="W20" i="15" s="1"/>
  <c r="X20" i="15" s="1"/>
  <c r="V7" i="15"/>
  <c r="W7" i="15" s="1"/>
  <c r="X7" i="15" s="1"/>
  <c r="V12" i="15"/>
  <c r="W12" i="15" s="1"/>
  <c r="X12" i="15" s="1"/>
  <c r="V11" i="15"/>
  <c r="W11" i="15" s="1"/>
  <c r="X11" i="15" s="1"/>
  <c r="V15" i="15"/>
  <c r="W15" i="15" s="1"/>
  <c r="X15" i="15" s="1"/>
  <c r="V14" i="15"/>
  <c r="W14" i="15" s="1"/>
  <c r="X14" i="15" s="1"/>
  <c r="V6" i="15"/>
  <c r="W6" i="15" s="1"/>
  <c r="X6" i="15" s="1"/>
  <c r="V17" i="15"/>
  <c r="W17" i="15" s="1"/>
  <c r="X17" i="15" s="1"/>
  <c r="V18" i="15"/>
  <c r="W18" i="15" s="1"/>
  <c r="X18" i="15" s="1"/>
  <c r="V16" i="15"/>
  <c r="W16" i="15" s="1"/>
  <c r="X16" i="15" s="1"/>
  <c r="J9" i="18"/>
  <c r="J25" i="18" s="1"/>
  <c r="P25" i="18" s="1"/>
  <c r="BO21" i="15"/>
  <c r="BU5" i="15"/>
  <c r="CL5" i="15" s="1"/>
  <c r="CL21" i="15" s="1"/>
  <c r="J9" i="19"/>
  <c r="R9" i="19" s="1"/>
  <c r="R25" i="19" s="1"/>
  <c r="BI21" i="15"/>
  <c r="CN5" i="15"/>
  <c r="BM5" i="15"/>
  <c r="BR5" i="15" s="1"/>
  <c r="BR21" i="15" s="1"/>
  <c r="BG21" i="15"/>
  <c r="BM21" i="15" s="1"/>
  <c r="K3" i="12"/>
  <c r="CK4" i="1"/>
  <c r="BO456" i="1"/>
  <c r="BO458" i="1" s="1"/>
  <c r="BO459" i="1" s="1"/>
  <c r="AD3" i="12"/>
  <c r="Z5" i="15"/>
  <c r="Z21" i="15" s="1"/>
  <c r="DD4" i="1"/>
  <c r="BV5" i="15"/>
  <c r="BV21" i="15" s="1"/>
  <c r="CH456" i="1"/>
  <c r="CH458" i="1" s="1"/>
  <c r="CH459" i="1" s="1"/>
  <c r="AO5" i="15"/>
  <c r="AO21" i="15" s="1"/>
  <c r="EF5" i="15"/>
  <c r="EF21" i="15" s="1"/>
  <c r="DQ5" i="15"/>
  <c r="DQ21" i="15" s="1"/>
  <c r="CK5" i="15"/>
  <c r="CK21" i="15" s="1"/>
  <c r="S4" i="14"/>
  <c r="O4" i="14" s="1"/>
  <c r="AB3" i="12"/>
  <c r="DB4" i="1"/>
  <c r="CF456" i="1"/>
  <c r="CF458" i="1" s="1"/>
  <c r="CF459" i="1" s="1"/>
  <c r="J3" i="12"/>
  <c r="CJ4" i="1"/>
  <c r="BN456" i="1"/>
  <c r="BN458" i="1" s="1"/>
  <c r="BN459" i="1" s="1"/>
  <c r="R27" i="2" l="1"/>
  <c r="Y22" i="2" s="1"/>
  <c r="T27" i="2"/>
  <c r="R32" i="2"/>
  <c r="R34" i="2"/>
  <c r="AVO4" i="1"/>
  <c r="AVO458" i="1" s="1"/>
  <c r="AUX4" i="1"/>
  <c r="AUX458" i="1" s="1"/>
  <c r="DN5" i="15"/>
  <c r="DO5" i="15" s="1"/>
  <c r="DO21" i="15" s="1"/>
  <c r="EJ5" i="15"/>
  <c r="DP21" i="15"/>
  <c r="EJ21" i="15" s="1"/>
  <c r="J4" i="12"/>
  <c r="R9" i="18"/>
  <c r="R25" i="18" s="1"/>
  <c r="W27" i="18" s="1"/>
  <c r="AA27" i="2"/>
  <c r="AA20" i="2" s="1"/>
  <c r="V34" i="2"/>
  <c r="AR5" i="15"/>
  <c r="V32" i="2"/>
  <c r="W9" i="2"/>
  <c r="X9" i="2" s="1"/>
  <c r="P9" i="18"/>
  <c r="J25" i="19"/>
  <c r="P25" i="19" s="1"/>
  <c r="P34" i="19" s="1"/>
  <c r="U5" i="15"/>
  <c r="U21" i="15" s="1"/>
  <c r="V21" i="15"/>
  <c r="P9" i="19"/>
  <c r="BS5" i="15"/>
  <c r="BS21" i="15" s="1"/>
  <c r="BU21" i="15"/>
  <c r="CO21" i="15" s="1"/>
  <c r="CO5" i="15"/>
  <c r="AB4" i="12"/>
  <c r="Y11" i="2"/>
  <c r="W13" i="2"/>
  <c r="Y15" i="2"/>
  <c r="W17" i="2"/>
  <c r="Y19" i="2"/>
  <c r="W21" i="2"/>
  <c r="Y23" i="2"/>
  <c r="Y10" i="2"/>
  <c r="W12" i="2"/>
  <c r="Y14" i="2"/>
  <c r="W16" i="2"/>
  <c r="Y18" i="2"/>
  <c r="W20" i="2"/>
  <c r="W24" i="2"/>
  <c r="W10" i="2"/>
  <c r="W11" i="2"/>
  <c r="Y13" i="2"/>
  <c r="W15" i="2"/>
  <c r="Y17" i="2"/>
  <c r="W19" i="2"/>
  <c r="Y21" i="2"/>
  <c r="W23" i="2"/>
  <c r="Y20" i="2"/>
  <c r="W22" i="2"/>
  <c r="Y16" i="2"/>
  <c r="W18" i="2"/>
  <c r="Y12" i="2"/>
  <c r="W14" i="2"/>
  <c r="Y24" i="2"/>
  <c r="Y9" i="2"/>
  <c r="K4" i="12"/>
  <c r="N4" i="12"/>
  <c r="R4" i="12"/>
  <c r="V4" i="12"/>
  <c r="AD4" i="12"/>
  <c r="M4" i="12"/>
  <c r="Q4" i="12"/>
  <c r="U4" i="12"/>
  <c r="Y4" i="12"/>
  <c r="L4" i="12"/>
  <c r="P4" i="12"/>
  <c r="T4" i="12"/>
  <c r="X4" i="12"/>
  <c r="O4" i="12"/>
  <c r="S4" i="12"/>
  <c r="W4" i="12"/>
  <c r="AA4" i="12"/>
  <c r="Z4" i="12"/>
  <c r="I4" i="12"/>
  <c r="S23" i="15"/>
  <c r="Y23" i="15"/>
  <c r="R34" i="19"/>
  <c r="W27" i="19"/>
  <c r="R27" i="19"/>
  <c r="R32" i="19"/>
  <c r="P32" i="18"/>
  <c r="P34" i="18"/>
  <c r="P27" i="18"/>
  <c r="X5" i="15"/>
  <c r="X21" i="15" s="1"/>
  <c r="W21" i="15"/>
  <c r="DN21" i="15" l="1"/>
  <c r="EK5" i="15"/>
  <c r="EL5" i="15" s="1"/>
  <c r="EM5" i="15" s="1"/>
  <c r="R34" i="18"/>
  <c r="BD12" i="15"/>
  <c r="AA19" i="2"/>
  <c r="AI19" i="2" s="1"/>
  <c r="C15" i="13" s="1"/>
  <c r="AA22" i="2"/>
  <c r="AB22" i="2" s="1"/>
  <c r="D18" i="13" s="1"/>
  <c r="F18" i="13" s="1"/>
  <c r="BD14" i="15"/>
  <c r="AA12" i="2"/>
  <c r="AE30" i="12" s="1"/>
  <c r="BD11" i="15"/>
  <c r="BD17" i="15"/>
  <c r="R27" i="18"/>
  <c r="R32" i="18"/>
  <c r="AA23" i="2"/>
  <c r="AB23" i="2" s="1"/>
  <c r="D19" i="13" s="1"/>
  <c r="F19" i="13" s="1"/>
  <c r="AA16" i="2"/>
  <c r="AB16" i="2" s="1"/>
  <c r="D12" i="13" s="1"/>
  <c r="F12" i="13" s="1"/>
  <c r="BD15" i="15"/>
  <c r="AA14" i="2"/>
  <c r="AI14" i="2" s="1"/>
  <c r="C10" i="13" s="1"/>
  <c r="BD10" i="15"/>
  <c r="AA21" i="2"/>
  <c r="AE111" i="12" s="1"/>
  <c r="AF111" i="12" s="1"/>
  <c r="BD16" i="15"/>
  <c r="BD5" i="15"/>
  <c r="AA10" i="2"/>
  <c r="AB10" i="2" s="1"/>
  <c r="D6" i="13" s="1"/>
  <c r="F6" i="13" s="1"/>
  <c r="AA11" i="2"/>
  <c r="AB11" i="2" s="1"/>
  <c r="D7" i="13" s="1"/>
  <c r="F7" i="13" s="1"/>
  <c r="BD13" i="15"/>
  <c r="AA13" i="2"/>
  <c r="AB13" i="2" s="1"/>
  <c r="D9" i="13" s="1"/>
  <c r="F9" i="13" s="1"/>
  <c r="BD6" i="15"/>
  <c r="BD8" i="15"/>
  <c r="AA9" i="2"/>
  <c r="AI9" i="2" s="1"/>
  <c r="C5" i="13" s="1"/>
  <c r="AA18" i="2"/>
  <c r="AB18" i="2" s="1"/>
  <c r="D14" i="13" s="1"/>
  <c r="F14" i="13" s="1"/>
  <c r="AA15" i="2"/>
  <c r="AI15" i="2" s="1"/>
  <c r="C11" i="13" s="1"/>
  <c r="AA24" i="2"/>
  <c r="AE138" i="12" s="1"/>
  <c r="AF138" i="12" s="1"/>
  <c r="BD18" i="15"/>
  <c r="AA17" i="2"/>
  <c r="AE75" i="12" s="1"/>
  <c r="BD7" i="15"/>
  <c r="BD9" i="15"/>
  <c r="AF9" i="2"/>
  <c r="BT5" i="15"/>
  <c r="BT21" i="15" s="1"/>
  <c r="P32" i="19"/>
  <c r="P27" i="19"/>
  <c r="S9" i="19" s="1"/>
  <c r="AB9" i="19" s="1"/>
  <c r="CP5" i="15"/>
  <c r="CQ5" i="15" s="1"/>
  <c r="CR5" i="15" s="1"/>
  <c r="W25" i="2"/>
  <c r="AF25" i="2" s="1"/>
  <c r="AC4" i="12"/>
  <c r="Y25" i="2"/>
  <c r="Y12" i="15"/>
  <c r="Y13" i="15"/>
  <c r="Y17" i="15"/>
  <c r="Y19" i="15"/>
  <c r="Y10" i="15"/>
  <c r="Y11" i="15"/>
  <c r="Y8" i="15"/>
  <c r="Y9" i="15"/>
  <c r="Y16" i="15"/>
  <c r="Y18" i="15"/>
  <c r="AV23" i="15"/>
  <c r="Y6" i="15"/>
  <c r="Y7" i="15"/>
  <c r="Y14" i="15"/>
  <c r="Y15" i="15"/>
  <c r="Y20" i="15"/>
  <c r="Y5" i="15"/>
  <c r="AE102" i="12"/>
  <c r="AF102" i="12" s="1"/>
  <c r="AB20" i="2"/>
  <c r="D16" i="13" s="1"/>
  <c r="F16" i="13" s="1"/>
  <c r="AI20" i="2"/>
  <c r="C16" i="13" s="1"/>
  <c r="AF14" i="2"/>
  <c r="X14" i="2"/>
  <c r="AF22" i="2"/>
  <c r="X22" i="2"/>
  <c r="AF19" i="2"/>
  <c r="X19" i="2"/>
  <c r="AF11" i="2"/>
  <c r="X11" i="2"/>
  <c r="X20" i="2"/>
  <c r="AF20" i="2"/>
  <c r="X12" i="2"/>
  <c r="AF12" i="2"/>
  <c r="U11" i="18"/>
  <c r="S13" i="18"/>
  <c r="U15" i="18"/>
  <c r="S17" i="18"/>
  <c r="U19" i="18"/>
  <c r="S21" i="18"/>
  <c r="U23" i="18"/>
  <c r="U10" i="18"/>
  <c r="S12" i="18"/>
  <c r="U14" i="18"/>
  <c r="S16" i="18"/>
  <c r="U18" i="18"/>
  <c r="S20" i="18"/>
  <c r="U22" i="18"/>
  <c r="S24" i="18"/>
  <c r="S11" i="18"/>
  <c r="U13" i="18"/>
  <c r="S15" i="18"/>
  <c r="U17" i="18"/>
  <c r="S19" i="18"/>
  <c r="U21" i="18"/>
  <c r="S23" i="18"/>
  <c r="S10" i="18"/>
  <c r="U24" i="18"/>
  <c r="U20" i="18"/>
  <c r="S22" i="18"/>
  <c r="U16" i="18"/>
  <c r="S18" i="18"/>
  <c r="U12" i="18"/>
  <c r="S14" i="18"/>
  <c r="U9" i="18"/>
  <c r="W13" i="19"/>
  <c r="W17" i="19"/>
  <c r="W21" i="19"/>
  <c r="W12" i="19"/>
  <c r="W16" i="19"/>
  <c r="W20" i="19"/>
  <c r="W24" i="19"/>
  <c r="W11" i="19"/>
  <c r="W15" i="19"/>
  <c r="W19" i="19"/>
  <c r="W23" i="19"/>
  <c r="W14" i="19"/>
  <c r="W10" i="19"/>
  <c r="W22" i="19"/>
  <c r="W18" i="19"/>
  <c r="W9" i="19"/>
  <c r="EK7" i="15"/>
  <c r="EL7" i="15" s="1"/>
  <c r="EM7" i="15" s="1"/>
  <c r="EK8" i="15"/>
  <c r="EL8" i="15" s="1"/>
  <c r="EM8" i="15" s="1"/>
  <c r="EK15" i="15"/>
  <c r="EL15" i="15" s="1"/>
  <c r="EM15" i="15" s="1"/>
  <c r="EK16" i="15"/>
  <c r="EL16" i="15" s="1"/>
  <c r="EM16" i="15" s="1"/>
  <c r="EK18" i="15"/>
  <c r="EL18" i="15" s="1"/>
  <c r="EM18" i="15" s="1"/>
  <c r="EK6" i="15"/>
  <c r="EL6" i="15" s="1"/>
  <c r="EM6" i="15" s="1"/>
  <c r="EK13" i="15"/>
  <c r="EL13" i="15" s="1"/>
  <c r="EM13" i="15" s="1"/>
  <c r="EK14" i="15"/>
  <c r="EL14" i="15" s="1"/>
  <c r="EM14" i="15" s="1"/>
  <c r="EK11" i="15"/>
  <c r="EL11" i="15" s="1"/>
  <c r="EM11" i="15" s="1"/>
  <c r="EK12" i="15"/>
  <c r="EL12" i="15" s="1"/>
  <c r="EM12" i="15" s="1"/>
  <c r="EK17" i="15"/>
  <c r="EL17" i="15" s="1"/>
  <c r="EM17" i="15" s="1"/>
  <c r="EK20" i="15"/>
  <c r="EL20" i="15" s="1"/>
  <c r="EM20" i="15" s="1"/>
  <c r="EK9" i="15"/>
  <c r="EL9" i="15" s="1"/>
  <c r="EM9" i="15" s="1"/>
  <c r="EK10" i="15"/>
  <c r="EL10" i="15" s="1"/>
  <c r="EM10" i="15" s="1"/>
  <c r="EK19" i="15"/>
  <c r="EL19" i="15" s="1"/>
  <c r="EM19" i="15" s="1"/>
  <c r="AF21" i="2"/>
  <c r="X21" i="2"/>
  <c r="AF13" i="2"/>
  <c r="X13" i="2"/>
  <c r="CP6" i="15"/>
  <c r="CQ6" i="15" s="1"/>
  <c r="CR6" i="15" s="1"/>
  <c r="CP8" i="15"/>
  <c r="CQ8" i="15" s="1"/>
  <c r="CR8" i="15" s="1"/>
  <c r="CP10" i="15"/>
  <c r="CQ10" i="15" s="1"/>
  <c r="CR10" i="15" s="1"/>
  <c r="CP12" i="15"/>
  <c r="CQ12" i="15" s="1"/>
  <c r="CR12" i="15" s="1"/>
  <c r="CP14" i="15"/>
  <c r="CQ14" i="15" s="1"/>
  <c r="CR14" i="15" s="1"/>
  <c r="CP16" i="15"/>
  <c r="CQ16" i="15" s="1"/>
  <c r="CR16" i="15" s="1"/>
  <c r="CP7" i="15"/>
  <c r="CQ7" i="15" s="1"/>
  <c r="CR7" i="15" s="1"/>
  <c r="CP15" i="15"/>
  <c r="CQ15" i="15" s="1"/>
  <c r="CR15" i="15" s="1"/>
  <c r="CP19" i="15"/>
  <c r="CQ19" i="15" s="1"/>
  <c r="CR19" i="15" s="1"/>
  <c r="CP13" i="15"/>
  <c r="CQ13" i="15" s="1"/>
  <c r="CR13" i="15" s="1"/>
  <c r="CP18" i="15"/>
  <c r="CQ18" i="15" s="1"/>
  <c r="CR18" i="15" s="1"/>
  <c r="CP11" i="15"/>
  <c r="CQ11" i="15" s="1"/>
  <c r="CR11" i="15" s="1"/>
  <c r="CP9" i="15"/>
  <c r="CQ9" i="15" s="1"/>
  <c r="CR9" i="15" s="1"/>
  <c r="CP17" i="15"/>
  <c r="CQ17" i="15" s="1"/>
  <c r="CR17" i="15" s="1"/>
  <c r="CP20" i="15"/>
  <c r="CQ20" i="15" s="1"/>
  <c r="CR20" i="15" s="1"/>
  <c r="AF18" i="2"/>
  <c r="X18" i="2"/>
  <c r="AF23" i="2"/>
  <c r="X23" i="2"/>
  <c r="AF15" i="2"/>
  <c r="X15" i="2"/>
  <c r="X24" i="2"/>
  <c r="AF24" i="2"/>
  <c r="X16" i="2"/>
  <c r="AF16" i="2"/>
  <c r="W13" i="18"/>
  <c r="W17" i="18"/>
  <c r="W21" i="18"/>
  <c r="W12" i="18"/>
  <c r="W16" i="18"/>
  <c r="W20" i="18"/>
  <c r="W24" i="18"/>
  <c r="W11" i="18"/>
  <c r="W15" i="18"/>
  <c r="W19" i="18"/>
  <c r="W23" i="18"/>
  <c r="W22" i="18"/>
  <c r="W18" i="18"/>
  <c r="W14" i="18"/>
  <c r="W10" i="18"/>
  <c r="W9" i="18"/>
  <c r="Z9" i="2"/>
  <c r="AG9" i="2"/>
  <c r="AF10" i="2"/>
  <c r="X10" i="2"/>
  <c r="AF17" i="2"/>
  <c r="X17" i="2"/>
  <c r="S9" i="18"/>
  <c r="AE12" i="12" l="1"/>
  <c r="P14" i="12" s="1"/>
  <c r="AE21" i="12"/>
  <c r="P23" i="12" s="1"/>
  <c r="CQ21" i="15"/>
  <c r="CR21" i="15" s="1"/>
  <c r="CS21" i="15" s="1"/>
  <c r="AI12" i="2"/>
  <c r="C8" i="13" s="1"/>
  <c r="AB9" i="2"/>
  <c r="D5" i="13" s="1"/>
  <c r="AI23" i="2"/>
  <c r="C19" i="13" s="1"/>
  <c r="AE93" i="12"/>
  <c r="AF93" i="12" s="1"/>
  <c r="Y95" i="12" s="1"/>
  <c r="AS95" i="12" s="1"/>
  <c r="EL21" i="15"/>
  <c r="EM21" i="15" s="1"/>
  <c r="EN21" i="15" s="1"/>
  <c r="AI16" i="2"/>
  <c r="C12" i="13" s="1"/>
  <c r="AE120" i="12"/>
  <c r="AF120" i="12" s="1"/>
  <c r="U122" i="12" s="1"/>
  <c r="AO122" i="12" s="1"/>
  <c r="S21" i="19"/>
  <c r="AB21" i="19" s="1"/>
  <c r="AB19" i="2"/>
  <c r="D15" i="13" s="1"/>
  <c r="F15" i="13" s="1"/>
  <c r="AE129" i="12"/>
  <c r="AF129" i="12" s="1"/>
  <c r="I131" i="12" s="1"/>
  <c r="U13" i="19"/>
  <c r="S23" i="19"/>
  <c r="T23" i="19" s="1"/>
  <c r="U20" i="19"/>
  <c r="U11" i="19"/>
  <c r="S16" i="19"/>
  <c r="AB16" i="19" s="1"/>
  <c r="AE66" i="12"/>
  <c r="Q68" i="12" s="1"/>
  <c r="AI22" i="2"/>
  <c r="C18" i="13" s="1"/>
  <c r="U12" i="19"/>
  <c r="U22" i="19"/>
  <c r="U15" i="19"/>
  <c r="S22" i="19"/>
  <c r="T22" i="19" s="1"/>
  <c r="U17" i="19"/>
  <c r="S12" i="19"/>
  <c r="T12" i="19" s="1"/>
  <c r="AI21" i="2"/>
  <c r="C17" i="13" s="1"/>
  <c r="U9" i="19"/>
  <c r="S14" i="19"/>
  <c r="AB14" i="19" s="1"/>
  <c r="U21" i="19"/>
  <c r="S24" i="19"/>
  <c r="T24" i="19" s="1"/>
  <c r="U14" i="19"/>
  <c r="U19" i="19"/>
  <c r="AB21" i="2"/>
  <c r="D17" i="13" s="1"/>
  <c r="F17" i="13" s="1"/>
  <c r="U24" i="19"/>
  <c r="U16" i="19"/>
  <c r="S15" i="19"/>
  <c r="AB15" i="19" s="1"/>
  <c r="S20" i="19"/>
  <c r="AB20" i="19" s="1"/>
  <c r="U23" i="19"/>
  <c r="S13" i="19"/>
  <c r="T13" i="19" s="1"/>
  <c r="AB12" i="2"/>
  <c r="D8" i="13" s="1"/>
  <c r="F8" i="13" s="1"/>
  <c r="AB14" i="2"/>
  <c r="D10" i="13" s="1"/>
  <c r="F10" i="13" s="1"/>
  <c r="AE48" i="12"/>
  <c r="AF48" i="12" s="1"/>
  <c r="AE84" i="12"/>
  <c r="Q86" i="12" s="1"/>
  <c r="AI17" i="2"/>
  <c r="C13" i="13" s="1"/>
  <c r="AE3" i="12"/>
  <c r="AF3" i="12" s="1"/>
  <c r="Q5" i="12" s="1"/>
  <c r="T9" i="19"/>
  <c r="V9" i="19" s="1"/>
  <c r="AB24" i="2"/>
  <c r="D20" i="13" s="1"/>
  <c r="F20" i="13" s="1"/>
  <c r="AI24" i="2"/>
  <c r="C20" i="13" s="1"/>
  <c r="AI13" i="2"/>
  <c r="C9" i="13" s="1"/>
  <c r="AB17" i="2"/>
  <c r="D13" i="13" s="1"/>
  <c r="F13" i="13" s="1"/>
  <c r="AI18" i="2"/>
  <c r="C14" i="13" s="1"/>
  <c r="AE39" i="12"/>
  <c r="AF39" i="12" s="1"/>
  <c r="S10" i="19"/>
  <c r="T10" i="19" s="1"/>
  <c r="S18" i="19"/>
  <c r="AB18" i="19" s="1"/>
  <c r="S19" i="19"/>
  <c r="T19" i="19" s="1"/>
  <c r="S11" i="19"/>
  <c r="T11" i="19" s="1"/>
  <c r="U18" i="19"/>
  <c r="U10" i="19"/>
  <c r="S17" i="19"/>
  <c r="T17" i="19" s="1"/>
  <c r="AI11" i="2"/>
  <c r="C7" i="13" s="1"/>
  <c r="AE57" i="12"/>
  <c r="AF57" i="12" s="1"/>
  <c r="AA25" i="2"/>
  <c r="AI25" i="2" s="1"/>
  <c r="AI10" i="2"/>
  <c r="C6" i="13" s="1"/>
  <c r="AB15" i="2"/>
  <c r="D11" i="13" s="1"/>
  <c r="F11" i="13" s="1"/>
  <c r="X25" i="2"/>
  <c r="U25" i="18"/>
  <c r="X14" i="18"/>
  <c r="AE14" i="18"/>
  <c r="G8" i="13" s="1"/>
  <c r="X19" i="18"/>
  <c r="AE19" i="18"/>
  <c r="G13" i="13" s="1"/>
  <c r="X20" i="18"/>
  <c r="AE20" i="18"/>
  <c r="G14" i="13" s="1"/>
  <c r="AE17" i="18"/>
  <c r="G11" i="13" s="1"/>
  <c r="X17" i="18"/>
  <c r="Z24" i="2"/>
  <c r="AG24" i="2"/>
  <c r="AF30" i="12"/>
  <c r="Q32" i="12"/>
  <c r="P32" i="12"/>
  <c r="S32" i="12"/>
  <c r="R32" i="12"/>
  <c r="CS11" i="15"/>
  <c r="CT11" i="15"/>
  <c r="CT15" i="15"/>
  <c r="CS15" i="15"/>
  <c r="CT12" i="15"/>
  <c r="CS12" i="15"/>
  <c r="Z13" i="2"/>
  <c r="AG13" i="2"/>
  <c r="EN19" i="15"/>
  <c r="EO19" i="15"/>
  <c r="EO17" i="15"/>
  <c r="EN17" i="15"/>
  <c r="EO13" i="15"/>
  <c r="EN13" i="15"/>
  <c r="EO15" i="15"/>
  <c r="EN15" i="15"/>
  <c r="X18" i="19"/>
  <c r="AE18" i="19"/>
  <c r="K14" i="13" s="1"/>
  <c r="X23" i="19"/>
  <c r="AE23" i="19"/>
  <c r="K19" i="13" s="1"/>
  <c r="X24" i="19"/>
  <c r="AE24" i="19"/>
  <c r="K20" i="13" s="1"/>
  <c r="AE21" i="19"/>
  <c r="K17" i="13" s="1"/>
  <c r="X21" i="19"/>
  <c r="AB14" i="18"/>
  <c r="T14" i="18"/>
  <c r="AB22" i="18"/>
  <c r="T22" i="18"/>
  <c r="AB23" i="18"/>
  <c r="T23" i="18"/>
  <c r="AB15" i="18"/>
  <c r="T15" i="18"/>
  <c r="AB21" i="18"/>
  <c r="T21" i="18"/>
  <c r="AB13" i="18"/>
  <c r="T13" i="18"/>
  <c r="AG19" i="2"/>
  <c r="Z19" i="2"/>
  <c r="Z14" i="2"/>
  <c r="AG14" i="2"/>
  <c r="AS15" i="15"/>
  <c r="AP15" i="15"/>
  <c r="AP8" i="15"/>
  <c r="AS8" i="15"/>
  <c r="AS17" i="15"/>
  <c r="AP17" i="15"/>
  <c r="Z17" i="2"/>
  <c r="AG17" i="2"/>
  <c r="X10" i="18"/>
  <c r="AE10" i="18"/>
  <c r="X23" i="18"/>
  <c r="AE23" i="18"/>
  <c r="G17" i="13" s="1"/>
  <c r="X24" i="18"/>
  <c r="AE24" i="18"/>
  <c r="G18" i="13" s="1"/>
  <c r="AE21" i="18"/>
  <c r="G15" i="13" s="1"/>
  <c r="X21" i="18"/>
  <c r="AG23" i="2"/>
  <c r="Z23" i="2"/>
  <c r="EO5" i="15"/>
  <c r="EN5" i="15"/>
  <c r="CT9" i="15"/>
  <c r="CS9" i="15"/>
  <c r="CT19" i="15"/>
  <c r="CS19" i="15"/>
  <c r="CT14" i="15"/>
  <c r="CS14" i="15"/>
  <c r="CT6" i="15"/>
  <c r="CS6" i="15"/>
  <c r="EO20" i="15"/>
  <c r="EN20" i="15"/>
  <c r="EN14" i="15"/>
  <c r="EO14" i="15"/>
  <c r="EO16" i="15"/>
  <c r="EN16" i="15"/>
  <c r="AE9" i="19"/>
  <c r="K5" i="13" s="1"/>
  <c r="W25" i="19"/>
  <c r="AE25" i="19" s="1"/>
  <c r="X9" i="19"/>
  <c r="X14" i="19"/>
  <c r="AE14" i="19"/>
  <c r="K10" i="13" s="1"/>
  <c r="X11" i="19"/>
  <c r="AE11" i="19"/>
  <c r="K7" i="13" s="1"/>
  <c r="X12" i="19"/>
  <c r="AE12" i="19"/>
  <c r="K8" i="13" s="1"/>
  <c r="AB10" i="18"/>
  <c r="T10" i="18"/>
  <c r="T24" i="18"/>
  <c r="AB24" i="18"/>
  <c r="T16" i="18"/>
  <c r="AB16" i="18"/>
  <c r="Z12" i="2"/>
  <c r="AG12" i="2"/>
  <c r="I104" i="12"/>
  <c r="M104" i="12"/>
  <c r="AK104" i="12" s="1"/>
  <c r="U104" i="12"/>
  <c r="AO104" i="12" s="1"/>
  <c r="Y104" i="12"/>
  <c r="AS104" i="12" s="1"/>
  <c r="AC104" i="12"/>
  <c r="AT104" i="12" s="1"/>
  <c r="L104" i="12"/>
  <c r="AJ104" i="12" s="1"/>
  <c r="T104" i="12"/>
  <c r="AN104" i="12" s="1"/>
  <c r="X104" i="12"/>
  <c r="AR104" i="12" s="1"/>
  <c r="O104" i="12"/>
  <c r="AM104" i="12" s="1"/>
  <c r="W104" i="12"/>
  <c r="AQ104" i="12" s="1"/>
  <c r="AE104" i="12"/>
  <c r="AF104" i="12" s="1"/>
  <c r="N104" i="12"/>
  <c r="AL104" i="12" s="1"/>
  <c r="V104" i="12"/>
  <c r="AP104" i="12" s="1"/>
  <c r="Z104" i="12"/>
  <c r="AS20" i="15"/>
  <c r="AP20" i="15"/>
  <c r="AP6" i="15"/>
  <c r="AS6" i="15"/>
  <c r="AS9" i="15"/>
  <c r="AP9" i="15"/>
  <c r="AS19" i="15"/>
  <c r="AP19" i="15"/>
  <c r="CS5" i="15"/>
  <c r="CT5" i="15"/>
  <c r="S25" i="18"/>
  <c r="AB25" i="18" s="1"/>
  <c r="AB9" i="18"/>
  <c r="T9" i="18"/>
  <c r="AE9" i="18"/>
  <c r="W25" i="18"/>
  <c r="AE25" i="18" s="1"/>
  <c r="G19" i="13" s="1"/>
  <c r="X9" i="18"/>
  <c r="X22" i="18"/>
  <c r="AE22" i="18"/>
  <c r="G16" i="13" s="1"/>
  <c r="X11" i="18"/>
  <c r="AE11" i="18"/>
  <c r="G5" i="13" s="1"/>
  <c r="X12" i="18"/>
  <c r="AE12" i="18"/>
  <c r="G6" i="13" s="1"/>
  <c r="Z16" i="2"/>
  <c r="AG16" i="2"/>
  <c r="CS17" i="15"/>
  <c r="CT17" i="15"/>
  <c r="CT13" i="15"/>
  <c r="CS13" i="15"/>
  <c r="CT16" i="15"/>
  <c r="CS16" i="15"/>
  <c r="CT8" i="15"/>
  <c r="CS8" i="15"/>
  <c r="Z21" i="2"/>
  <c r="AG21" i="2"/>
  <c r="AF75" i="12"/>
  <c r="Q77" i="12"/>
  <c r="P77" i="12"/>
  <c r="S77" i="12"/>
  <c r="R77" i="12"/>
  <c r="EO9" i="15"/>
  <c r="EN9" i="15"/>
  <c r="EN11" i="15"/>
  <c r="EO11" i="15"/>
  <c r="EO18" i="15"/>
  <c r="EN18" i="15"/>
  <c r="EO7" i="15"/>
  <c r="EN7" i="15"/>
  <c r="X10" i="19"/>
  <c r="AE10" i="19"/>
  <c r="K6" i="13" s="1"/>
  <c r="X15" i="19"/>
  <c r="AE15" i="19"/>
  <c r="K11" i="13" s="1"/>
  <c r="X16" i="19"/>
  <c r="AE16" i="19"/>
  <c r="K12" i="13" s="1"/>
  <c r="AE13" i="19"/>
  <c r="K9" i="13" s="1"/>
  <c r="X13" i="19"/>
  <c r="AB18" i="18"/>
  <c r="T18" i="18"/>
  <c r="AB19" i="18"/>
  <c r="T19" i="18"/>
  <c r="AB11" i="18"/>
  <c r="T11" i="18"/>
  <c r="AB17" i="18"/>
  <c r="T17" i="18"/>
  <c r="Z11" i="2"/>
  <c r="AG11" i="2"/>
  <c r="Z22" i="2"/>
  <c r="AG22" i="2"/>
  <c r="AS5" i="15"/>
  <c r="AP5" i="15"/>
  <c r="Y21" i="15"/>
  <c r="AS7" i="15"/>
  <c r="AP7" i="15"/>
  <c r="AP16" i="15"/>
  <c r="AS16" i="15"/>
  <c r="AP10" i="15"/>
  <c r="AS10" i="15"/>
  <c r="AP12" i="15"/>
  <c r="AS12" i="15"/>
  <c r="Z10" i="2"/>
  <c r="AG10" i="2"/>
  <c r="X18" i="18"/>
  <c r="AE18" i="18"/>
  <c r="G12" i="13" s="1"/>
  <c r="X15" i="18"/>
  <c r="AE15" i="18"/>
  <c r="G9" i="13" s="1"/>
  <c r="X16" i="18"/>
  <c r="AE16" i="18"/>
  <c r="G10" i="13" s="1"/>
  <c r="AE13" i="18"/>
  <c r="G7" i="13" s="1"/>
  <c r="X13" i="18"/>
  <c r="AG15" i="2"/>
  <c r="Z15" i="2"/>
  <c r="Z18" i="2"/>
  <c r="AG18" i="2"/>
  <c r="I113" i="12"/>
  <c r="M113" i="12"/>
  <c r="AK113" i="12" s="1"/>
  <c r="U113" i="12"/>
  <c r="AO113" i="12" s="1"/>
  <c r="Y113" i="12"/>
  <c r="AS113" i="12" s="1"/>
  <c r="AC113" i="12"/>
  <c r="AT113" i="12" s="1"/>
  <c r="L113" i="12"/>
  <c r="AJ113" i="12" s="1"/>
  <c r="T113" i="12"/>
  <c r="AN113" i="12" s="1"/>
  <c r="X113" i="12"/>
  <c r="AR113" i="12" s="1"/>
  <c r="O113" i="12"/>
  <c r="AM113" i="12" s="1"/>
  <c r="W113" i="12"/>
  <c r="AQ113" i="12" s="1"/>
  <c r="AE113" i="12"/>
  <c r="AF113" i="12" s="1"/>
  <c r="N113" i="12"/>
  <c r="AL113" i="12" s="1"/>
  <c r="V113" i="12"/>
  <c r="AP113" i="12" s="1"/>
  <c r="Z113" i="12"/>
  <c r="CS20" i="15"/>
  <c r="CT20" i="15"/>
  <c r="CT18" i="15"/>
  <c r="CS18" i="15"/>
  <c r="CT7" i="15"/>
  <c r="CS7" i="15"/>
  <c r="CT10" i="15"/>
  <c r="CS10" i="15"/>
  <c r="I140" i="12"/>
  <c r="M140" i="12"/>
  <c r="AK140" i="12" s="1"/>
  <c r="U140" i="12"/>
  <c r="AO140" i="12" s="1"/>
  <c r="Y140" i="12"/>
  <c r="AS140" i="12" s="1"/>
  <c r="AC140" i="12"/>
  <c r="AT140" i="12" s="1"/>
  <c r="L140" i="12"/>
  <c r="AJ140" i="12" s="1"/>
  <c r="T140" i="12"/>
  <c r="AN140" i="12" s="1"/>
  <c r="X140" i="12"/>
  <c r="AR140" i="12" s="1"/>
  <c r="O140" i="12"/>
  <c r="AM140" i="12" s="1"/>
  <c r="W140" i="12"/>
  <c r="AQ140" i="12" s="1"/>
  <c r="AE140" i="12"/>
  <c r="AF140" i="12" s="1"/>
  <c r="N140" i="12"/>
  <c r="AL140" i="12" s="1"/>
  <c r="V140" i="12"/>
  <c r="AP140" i="12" s="1"/>
  <c r="Z140" i="12"/>
  <c r="EN10" i="15"/>
  <c r="EO10" i="15"/>
  <c r="EN12" i="15"/>
  <c r="EO12" i="15"/>
  <c r="EN6" i="15"/>
  <c r="EO6" i="15"/>
  <c r="EN8" i="15"/>
  <c r="EO8" i="15"/>
  <c r="X22" i="19"/>
  <c r="AE22" i="19"/>
  <c r="K18" i="13" s="1"/>
  <c r="X19" i="19"/>
  <c r="AE19" i="19"/>
  <c r="K15" i="13" s="1"/>
  <c r="X20" i="19"/>
  <c r="AE20" i="19"/>
  <c r="K16" i="13" s="1"/>
  <c r="AE17" i="19"/>
  <c r="K13" i="13" s="1"/>
  <c r="X17" i="19"/>
  <c r="T20" i="18"/>
  <c r="AB20" i="18"/>
  <c r="T12" i="18"/>
  <c r="AB12" i="18"/>
  <c r="Z20" i="2"/>
  <c r="AG20" i="2"/>
  <c r="S14" i="12"/>
  <c r="AP14" i="15"/>
  <c r="AS14" i="15"/>
  <c r="AS18" i="15"/>
  <c r="AP18" i="15"/>
  <c r="AP11" i="15"/>
  <c r="AS11" i="15"/>
  <c r="AS13" i="15"/>
  <c r="AP13" i="15"/>
  <c r="AB13" i="19" l="1"/>
  <c r="AF12" i="12"/>
  <c r="M14" i="12" s="1"/>
  <c r="AK14" i="12" s="1"/>
  <c r="Q14" i="12"/>
  <c r="AG25" i="2"/>
  <c r="X27" i="2"/>
  <c r="AF21" i="12"/>
  <c r="M23" i="12" s="1"/>
  <c r="AK23" i="12" s="1"/>
  <c r="Q23" i="12"/>
  <c r="R23" i="12"/>
  <c r="S23" i="12"/>
  <c r="R14" i="12"/>
  <c r="W95" i="12"/>
  <c r="AQ95" i="12" s="1"/>
  <c r="AB22" i="19"/>
  <c r="L95" i="12"/>
  <c r="AJ95" i="12" s="1"/>
  <c r="T21" i="19"/>
  <c r="X122" i="12"/>
  <c r="AR122" i="12" s="1"/>
  <c r="P50" i="12"/>
  <c r="AB12" i="19"/>
  <c r="AC122" i="12"/>
  <c r="AT122" i="12" s="1"/>
  <c r="W122" i="12"/>
  <c r="AQ122" i="12" s="1"/>
  <c r="Z122" i="12"/>
  <c r="AA122" i="12" s="1"/>
  <c r="AB122" i="12" s="1"/>
  <c r="V122" i="12"/>
  <c r="AP122" i="12" s="1"/>
  <c r="Y122" i="12"/>
  <c r="AS122" i="12" s="1"/>
  <c r="O122" i="12"/>
  <c r="AM122" i="12" s="1"/>
  <c r="M122" i="12"/>
  <c r="AK122" i="12" s="1"/>
  <c r="N122" i="12"/>
  <c r="AL122" i="12" s="1"/>
  <c r="L122" i="12"/>
  <c r="AJ122" i="12" s="1"/>
  <c r="I122" i="12"/>
  <c r="J122" i="12" s="1"/>
  <c r="K122" i="12" s="1"/>
  <c r="AF84" i="12"/>
  <c r="I86" i="12" s="1"/>
  <c r="AE122" i="12"/>
  <c r="AF122" i="12" s="1"/>
  <c r="T122" i="12"/>
  <c r="AN122" i="12" s="1"/>
  <c r="Z95" i="12"/>
  <c r="AA95" i="12" s="1"/>
  <c r="AB95" i="12" s="1"/>
  <c r="M95" i="12"/>
  <c r="AK95" i="12" s="1"/>
  <c r="V95" i="12"/>
  <c r="AP95" i="12" s="1"/>
  <c r="O95" i="12"/>
  <c r="AM95" i="12" s="1"/>
  <c r="AC95" i="12"/>
  <c r="AT95" i="12" s="1"/>
  <c r="I95" i="12"/>
  <c r="J95" i="12" s="1"/>
  <c r="K95" i="12" s="1"/>
  <c r="AE95" i="12"/>
  <c r="AF95" i="12" s="1"/>
  <c r="T95" i="12"/>
  <c r="AN95" i="12" s="1"/>
  <c r="U95" i="12"/>
  <c r="AO95" i="12" s="1"/>
  <c r="N95" i="12"/>
  <c r="AL95" i="12" s="1"/>
  <c r="X95" i="12"/>
  <c r="AR95" i="12" s="1"/>
  <c r="AB23" i="19"/>
  <c r="S68" i="12"/>
  <c r="X131" i="12"/>
  <c r="AR131" i="12" s="1"/>
  <c r="T14" i="19"/>
  <c r="AC14" i="19" s="1"/>
  <c r="Y131" i="12"/>
  <c r="AS131" i="12" s="1"/>
  <c r="W131" i="12"/>
  <c r="AQ131" i="12" s="1"/>
  <c r="T15" i="19"/>
  <c r="V15" i="19" s="1"/>
  <c r="L11" i="13" s="1"/>
  <c r="N11" i="13" s="1"/>
  <c r="T16" i="19"/>
  <c r="AC16" i="19" s="1"/>
  <c r="Z131" i="12"/>
  <c r="AA131" i="12" s="1"/>
  <c r="AB131" i="12" s="1"/>
  <c r="U131" i="12"/>
  <c r="AO131" i="12" s="1"/>
  <c r="N131" i="12"/>
  <c r="AL131" i="12" s="1"/>
  <c r="T131" i="12"/>
  <c r="AN131" i="12" s="1"/>
  <c r="M131" i="12"/>
  <c r="AK131" i="12" s="1"/>
  <c r="AE131" i="12"/>
  <c r="AF131" i="12" s="1"/>
  <c r="L131" i="12"/>
  <c r="AJ131" i="12" s="1"/>
  <c r="V131" i="12"/>
  <c r="AP131" i="12" s="1"/>
  <c r="O131" i="12"/>
  <c r="AM131" i="12" s="1"/>
  <c r="AC131" i="12"/>
  <c r="AT131" i="12" s="1"/>
  <c r="T20" i="19"/>
  <c r="AC20" i="19" s="1"/>
  <c r="AF66" i="12"/>
  <c r="I68" i="12" s="1"/>
  <c r="P68" i="12"/>
  <c r="Q50" i="12"/>
  <c r="AC9" i="19"/>
  <c r="AB24" i="19"/>
  <c r="S50" i="12"/>
  <c r="R68" i="12"/>
  <c r="T18" i="19"/>
  <c r="V18" i="19" s="1"/>
  <c r="L14" i="13" s="1"/>
  <c r="N14" i="13" s="1"/>
  <c r="R50" i="12"/>
  <c r="S86" i="12"/>
  <c r="P86" i="12"/>
  <c r="R86" i="12"/>
  <c r="R5" i="12"/>
  <c r="U5" i="12"/>
  <c r="AO5" i="12" s="1"/>
  <c r="M5" i="12"/>
  <c r="AK5" i="12" s="1"/>
  <c r="AE5" i="12"/>
  <c r="AF5" i="12" s="1"/>
  <c r="T5" i="12"/>
  <c r="AN5" i="12" s="1"/>
  <c r="X5" i="12"/>
  <c r="AR5" i="12" s="1"/>
  <c r="Z5" i="12"/>
  <c r="AA5" i="12" s="1"/>
  <c r="AB5" i="12" s="1"/>
  <c r="W5" i="12"/>
  <c r="AQ5" i="12" s="1"/>
  <c r="P5" i="12"/>
  <c r="V5" i="12"/>
  <c r="AP5" i="12" s="1"/>
  <c r="S5" i="12"/>
  <c r="Y5" i="12"/>
  <c r="AS5" i="12" s="1"/>
  <c r="N5" i="12"/>
  <c r="AL5" i="12" s="1"/>
  <c r="O5" i="12"/>
  <c r="AM5" i="12" s="1"/>
  <c r="AC5" i="12"/>
  <c r="AT5" i="12" s="1"/>
  <c r="I5" i="12"/>
  <c r="J5" i="12" s="1"/>
  <c r="L5" i="12"/>
  <c r="AJ5" i="12" s="1"/>
  <c r="P41" i="12"/>
  <c r="AB11" i="19"/>
  <c r="AB10" i="19"/>
  <c r="S41" i="12"/>
  <c r="AB17" i="19"/>
  <c r="P59" i="12"/>
  <c r="AB19" i="19"/>
  <c r="Q41" i="12"/>
  <c r="R41" i="12"/>
  <c r="S59" i="12"/>
  <c r="U25" i="19"/>
  <c r="Q59" i="12"/>
  <c r="R59" i="12"/>
  <c r="AB25" i="2"/>
  <c r="S25" i="19"/>
  <c r="AB25" i="19" s="1"/>
  <c r="Z25" i="2"/>
  <c r="AA140" i="12"/>
  <c r="AB140" i="12" s="1"/>
  <c r="V13" i="19"/>
  <c r="L9" i="13" s="1"/>
  <c r="N9" i="13" s="1"/>
  <c r="AC13" i="19"/>
  <c r="AC11" i="18"/>
  <c r="V11" i="18"/>
  <c r="H7" i="13" s="1"/>
  <c r="J7" i="13" s="1"/>
  <c r="V18" i="18"/>
  <c r="H14" i="13" s="1"/>
  <c r="J14" i="13" s="1"/>
  <c r="AC18" i="18"/>
  <c r="V9" i="18"/>
  <c r="AC9" i="18"/>
  <c r="T25" i="18"/>
  <c r="AC25" i="18" s="1"/>
  <c r="J104" i="12"/>
  <c r="K104" i="12" s="1"/>
  <c r="AD104" i="12"/>
  <c r="V16" i="18"/>
  <c r="H12" i="13" s="1"/>
  <c r="J12" i="13" s="1"/>
  <c r="AC16" i="18"/>
  <c r="I41" i="12"/>
  <c r="M41" i="12"/>
  <c r="AK41" i="12" s="1"/>
  <c r="U41" i="12"/>
  <c r="AO41" i="12" s="1"/>
  <c r="Y41" i="12"/>
  <c r="AS41" i="12" s="1"/>
  <c r="AC41" i="12"/>
  <c r="AT41" i="12" s="1"/>
  <c r="L41" i="12"/>
  <c r="AJ41" i="12" s="1"/>
  <c r="T41" i="12"/>
  <c r="AN41" i="12" s="1"/>
  <c r="X41" i="12"/>
  <c r="AR41" i="12" s="1"/>
  <c r="O41" i="12"/>
  <c r="AM41" i="12" s="1"/>
  <c r="W41" i="12"/>
  <c r="AQ41" i="12" s="1"/>
  <c r="AE41" i="12"/>
  <c r="AF41" i="12" s="1"/>
  <c r="N41" i="12"/>
  <c r="AL41" i="12" s="1"/>
  <c r="V41" i="12"/>
  <c r="AP41" i="12" s="1"/>
  <c r="Z41" i="12"/>
  <c r="I32" i="12"/>
  <c r="M32" i="12"/>
  <c r="AK32" i="12" s="1"/>
  <c r="U32" i="12"/>
  <c r="AO32" i="12" s="1"/>
  <c r="Y32" i="12"/>
  <c r="AS32" i="12" s="1"/>
  <c r="AC32" i="12"/>
  <c r="AT32" i="12" s="1"/>
  <c r="L32" i="12"/>
  <c r="AJ32" i="12" s="1"/>
  <c r="T32" i="12"/>
  <c r="AN32" i="12" s="1"/>
  <c r="X32" i="12"/>
  <c r="AR32" i="12" s="1"/>
  <c r="O32" i="12"/>
  <c r="AM32" i="12" s="1"/>
  <c r="W32" i="12"/>
  <c r="AQ32" i="12" s="1"/>
  <c r="AE32" i="12"/>
  <c r="AF32" i="12" s="1"/>
  <c r="N32" i="12"/>
  <c r="AL32" i="12" s="1"/>
  <c r="V32" i="12"/>
  <c r="AP32" i="12" s="1"/>
  <c r="Z32" i="12"/>
  <c r="J131" i="12"/>
  <c r="K131" i="12" s="1"/>
  <c r="V20" i="18"/>
  <c r="H16" i="13" s="1"/>
  <c r="J16" i="13" s="1"/>
  <c r="AC20" i="18"/>
  <c r="J113" i="12"/>
  <c r="K113" i="12" s="1"/>
  <c r="AD113" i="12"/>
  <c r="AA104" i="12"/>
  <c r="AB104" i="12" s="1"/>
  <c r="V10" i="18"/>
  <c r="H6" i="13" s="1"/>
  <c r="J6" i="13" s="1"/>
  <c r="AC10" i="18"/>
  <c r="AC11" i="19"/>
  <c r="V11" i="19"/>
  <c r="L7" i="13" s="1"/>
  <c r="N7" i="13" s="1"/>
  <c r="V10" i="19"/>
  <c r="L6" i="13" s="1"/>
  <c r="N6" i="13" s="1"/>
  <c r="AC10" i="19"/>
  <c r="V21" i="18"/>
  <c r="H17" i="13" s="1"/>
  <c r="J17" i="13" s="1"/>
  <c r="AC21" i="18"/>
  <c r="AC23" i="18"/>
  <c r="V23" i="18"/>
  <c r="H19" i="13" s="1"/>
  <c r="J19" i="13" s="1"/>
  <c r="V14" i="18"/>
  <c r="H10" i="13" s="1"/>
  <c r="J10" i="13" s="1"/>
  <c r="AC14" i="18"/>
  <c r="I59" i="12"/>
  <c r="M59" i="12"/>
  <c r="AK59" i="12" s="1"/>
  <c r="U59" i="12"/>
  <c r="AO59" i="12" s="1"/>
  <c r="Y59" i="12"/>
  <c r="AS59" i="12" s="1"/>
  <c r="AC59" i="12"/>
  <c r="AT59" i="12" s="1"/>
  <c r="L59" i="12"/>
  <c r="AJ59" i="12" s="1"/>
  <c r="T59" i="12"/>
  <c r="AN59" i="12" s="1"/>
  <c r="X59" i="12"/>
  <c r="AR59" i="12" s="1"/>
  <c r="O59" i="12"/>
  <c r="AM59" i="12" s="1"/>
  <c r="W59" i="12"/>
  <c r="AQ59" i="12" s="1"/>
  <c r="AE59" i="12"/>
  <c r="AF59" i="12" s="1"/>
  <c r="N59" i="12"/>
  <c r="AL59" i="12" s="1"/>
  <c r="V59" i="12"/>
  <c r="AP59" i="12" s="1"/>
  <c r="Z59" i="12"/>
  <c r="X25" i="19"/>
  <c r="AA113" i="12"/>
  <c r="AB113" i="12" s="1"/>
  <c r="V21" i="19"/>
  <c r="L17" i="13" s="1"/>
  <c r="N17" i="13" s="1"/>
  <c r="AC21" i="19"/>
  <c r="V23" i="19"/>
  <c r="L19" i="13" s="1"/>
  <c r="N19" i="13" s="1"/>
  <c r="AC23" i="19"/>
  <c r="V22" i="19"/>
  <c r="L18" i="13" s="1"/>
  <c r="N18" i="13" s="1"/>
  <c r="AC22" i="19"/>
  <c r="V17" i="18"/>
  <c r="H13" i="13" s="1"/>
  <c r="J13" i="13" s="1"/>
  <c r="AC17" i="18"/>
  <c r="AC19" i="18"/>
  <c r="V19" i="18"/>
  <c r="H15" i="13" s="1"/>
  <c r="J15" i="13" s="1"/>
  <c r="I77" i="12"/>
  <c r="M77" i="12"/>
  <c r="AK77" i="12" s="1"/>
  <c r="U77" i="12"/>
  <c r="AO77" i="12" s="1"/>
  <c r="Y77" i="12"/>
  <c r="AS77" i="12" s="1"/>
  <c r="AC77" i="12"/>
  <c r="AT77" i="12" s="1"/>
  <c r="L77" i="12"/>
  <c r="AJ77" i="12" s="1"/>
  <c r="T77" i="12"/>
  <c r="AN77" i="12" s="1"/>
  <c r="X77" i="12"/>
  <c r="AR77" i="12" s="1"/>
  <c r="O77" i="12"/>
  <c r="AM77" i="12" s="1"/>
  <c r="W77" i="12"/>
  <c r="AQ77" i="12" s="1"/>
  <c r="AE77" i="12"/>
  <c r="AF77" i="12" s="1"/>
  <c r="N77" i="12"/>
  <c r="AL77" i="12" s="1"/>
  <c r="V77" i="12"/>
  <c r="AP77" i="12" s="1"/>
  <c r="Z77" i="12"/>
  <c r="L5" i="13"/>
  <c r="V24" i="18"/>
  <c r="H20" i="13" s="1"/>
  <c r="J20" i="13" s="1"/>
  <c r="AC24" i="18"/>
  <c r="D21" i="13"/>
  <c r="F5" i="13"/>
  <c r="F21" i="13" s="1"/>
  <c r="V24" i="19"/>
  <c r="L20" i="13" s="1"/>
  <c r="N20" i="13" s="1"/>
  <c r="AC24" i="19"/>
  <c r="AP21" i="15"/>
  <c r="AE14" i="12"/>
  <c r="AF14" i="12" s="1"/>
  <c r="V12" i="18"/>
  <c r="H8" i="13" s="1"/>
  <c r="J8" i="13" s="1"/>
  <c r="AC12" i="18"/>
  <c r="J140" i="12"/>
  <c r="AD140" i="12"/>
  <c r="AS21" i="15"/>
  <c r="AT9" i="15" s="1"/>
  <c r="AU9" i="15" s="1"/>
  <c r="AV9" i="15" s="1"/>
  <c r="AT27" i="15"/>
  <c r="I50" i="12"/>
  <c r="M50" i="12"/>
  <c r="AK50" i="12" s="1"/>
  <c r="U50" i="12"/>
  <c r="AO50" i="12" s="1"/>
  <c r="Y50" i="12"/>
  <c r="AS50" i="12" s="1"/>
  <c r="AC50" i="12"/>
  <c r="AT50" i="12" s="1"/>
  <c r="L50" i="12"/>
  <c r="AJ50" i="12" s="1"/>
  <c r="T50" i="12"/>
  <c r="AN50" i="12" s="1"/>
  <c r="X50" i="12"/>
  <c r="AR50" i="12" s="1"/>
  <c r="O50" i="12"/>
  <c r="AM50" i="12" s="1"/>
  <c r="W50" i="12"/>
  <c r="AQ50" i="12" s="1"/>
  <c r="AE50" i="12"/>
  <c r="AF50" i="12" s="1"/>
  <c r="N50" i="12"/>
  <c r="AL50" i="12" s="1"/>
  <c r="V50" i="12"/>
  <c r="AP50" i="12" s="1"/>
  <c r="Z50" i="12"/>
  <c r="V12" i="19"/>
  <c r="L8" i="13" s="1"/>
  <c r="N8" i="13" s="1"/>
  <c r="AC12" i="19"/>
  <c r="V17" i="19"/>
  <c r="L13" i="13" s="1"/>
  <c r="N13" i="13" s="1"/>
  <c r="AC17" i="19"/>
  <c r="AC19" i="19"/>
  <c r="V19" i="19"/>
  <c r="L15" i="13" s="1"/>
  <c r="N15" i="13" s="1"/>
  <c r="V13" i="18"/>
  <c r="H9" i="13" s="1"/>
  <c r="J9" i="13" s="1"/>
  <c r="AC13" i="18"/>
  <c r="V15" i="18"/>
  <c r="H11" i="13" s="1"/>
  <c r="J11" i="13" s="1"/>
  <c r="AC15" i="18"/>
  <c r="V22" i="18"/>
  <c r="H18" i="13" s="1"/>
  <c r="J18" i="13" s="1"/>
  <c r="AC22" i="18"/>
  <c r="X25" i="18"/>
  <c r="T23" i="12" l="1"/>
  <c r="AN23" i="12" s="1"/>
  <c r="U14" i="12"/>
  <c r="AO14" i="12" s="1"/>
  <c r="AE86" i="12"/>
  <c r="AF86" i="12" s="1"/>
  <c r="AE23" i="12"/>
  <c r="AF23" i="12" s="1"/>
  <c r="U23" i="12"/>
  <c r="AO23" i="12" s="1"/>
  <c r="T14" i="12"/>
  <c r="AN14" i="12" s="1"/>
  <c r="T86" i="12"/>
  <c r="AN86" i="12" s="1"/>
  <c r="N23" i="12"/>
  <c r="AL23" i="12" s="1"/>
  <c r="X23" i="12"/>
  <c r="AR23" i="12" s="1"/>
  <c r="Y23" i="12"/>
  <c r="AS23" i="12" s="1"/>
  <c r="N14" i="12"/>
  <c r="AL14" i="12" s="1"/>
  <c r="X14" i="12"/>
  <c r="AR14" i="12" s="1"/>
  <c r="Y14" i="12"/>
  <c r="AS14" i="12" s="1"/>
  <c r="V23" i="12"/>
  <c r="AP23" i="12" s="1"/>
  <c r="O23" i="12"/>
  <c r="AM23" i="12" s="1"/>
  <c r="AC23" i="12"/>
  <c r="AT23" i="12" s="1"/>
  <c r="I23" i="12"/>
  <c r="J23" i="12" s="1"/>
  <c r="V14" i="12"/>
  <c r="AP14" i="12" s="1"/>
  <c r="O14" i="12"/>
  <c r="AM14" i="12" s="1"/>
  <c r="AC14" i="12"/>
  <c r="AT14" i="12" s="1"/>
  <c r="I14" i="12"/>
  <c r="J14" i="12" s="1"/>
  <c r="Z23" i="12"/>
  <c r="AA23" i="12" s="1"/>
  <c r="AB23" i="12" s="1"/>
  <c r="W23" i="12"/>
  <c r="AQ23" i="12" s="1"/>
  <c r="L23" i="12"/>
  <c r="AJ23" i="12" s="1"/>
  <c r="Z14" i="12"/>
  <c r="AA14" i="12" s="1"/>
  <c r="AB14" i="12" s="1"/>
  <c r="W14" i="12"/>
  <c r="AQ14" i="12" s="1"/>
  <c r="L14" i="12"/>
  <c r="AJ14" i="12" s="1"/>
  <c r="N86" i="12"/>
  <c r="AL86" i="12" s="1"/>
  <c r="M86" i="12"/>
  <c r="AK86" i="12" s="1"/>
  <c r="L86" i="12"/>
  <c r="AJ86" i="12" s="1"/>
  <c r="X86" i="12"/>
  <c r="AR86" i="12" s="1"/>
  <c r="U86" i="12"/>
  <c r="AO86" i="12" s="1"/>
  <c r="W86" i="12"/>
  <c r="AQ86" i="12" s="1"/>
  <c r="Y86" i="12"/>
  <c r="AS86" i="12" s="1"/>
  <c r="Z86" i="12"/>
  <c r="AA86" i="12" s="1"/>
  <c r="AB86" i="12" s="1"/>
  <c r="V86" i="12"/>
  <c r="AP86" i="12" s="1"/>
  <c r="O86" i="12"/>
  <c r="AM86" i="12" s="1"/>
  <c r="AC86" i="12"/>
  <c r="AT86" i="12" s="1"/>
  <c r="V20" i="19"/>
  <c r="L16" i="13" s="1"/>
  <c r="N16" i="13" s="1"/>
  <c r="AC18" i="19"/>
  <c r="AD122" i="12"/>
  <c r="AD95" i="12"/>
  <c r="AC15" i="19"/>
  <c r="V16" i="19"/>
  <c r="L12" i="13" s="1"/>
  <c r="N12" i="13" s="1"/>
  <c r="V14" i="19"/>
  <c r="L10" i="13" s="1"/>
  <c r="N10" i="13" s="1"/>
  <c r="AD5" i="12"/>
  <c r="AD131" i="12"/>
  <c r="X68" i="12"/>
  <c r="AR68" i="12" s="1"/>
  <c r="T25" i="19"/>
  <c r="AC25" i="19" s="1"/>
  <c r="Z68" i="12"/>
  <c r="AA68" i="12" s="1"/>
  <c r="AB68" i="12" s="1"/>
  <c r="L68" i="12"/>
  <c r="AJ68" i="12" s="1"/>
  <c r="W68" i="12"/>
  <c r="AQ68" i="12" s="1"/>
  <c r="M68" i="12"/>
  <c r="AK68" i="12" s="1"/>
  <c r="N68" i="12"/>
  <c r="AL68" i="12" s="1"/>
  <c r="Y68" i="12"/>
  <c r="AS68" i="12" s="1"/>
  <c r="AE68" i="12"/>
  <c r="AF68" i="12" s="1"/>
  <c r="T68" i="12"/>
  <c r="AN68" i="12" s="1"/>
  <c r="U68" i="12"/>
  <c r="AO68" i="12" s="1"/>
  <c r="V68" i="12"/>
  <c r="AP68" i="12" s="1"/>
  <c r="O68" i="12"/>
  <c r="AM68" i="12" s="1"/>
  <c r="AC68" i="12"/>
  <c r="AT68" i="12" s="1"/>
  <c r="G140" i="12"/>
  <c r="G5" i="12"/>
  <c r="AT6" i="15"/>
  <c r="AU6" i="15" s="1"/>
  <c r="AV6" i="15" s="1"/>
  <c r="AX6" i="15" s="1"/>
  <c r="AT12" i="15"/>
  <c r="AU12" i="15" s="1"/>
  <c r="AV12" i="15" s="1"/>
  <c r="AX12" i="15" s="1"/>
  <c r="AT17" i="15"/>
  <c r="AU17" i="15" s="1"/>
  <c r="AV17" i="15" s="1"/>
  <c r="AW17" i="15" s="1"/>
  <c r="AT18" i="15"/>
  <c r="AU18" i="15" s="1"/>
  <c r="AV18" i="15" s="1"/>
  <c r="AX18" i="15" s="1"/>
  <c r="K5" i="12"/>
  <c r="H5" i="12" s="1"/>
  <c r="AT19" i="15"/>
  <c r="AU19" i="15" s="1"/>
  <c r="AV19" i="15" s="1"/>
  <c r="AW19" i="15" s="1"/>
  <c r="K140" i="12"/>
  <c r="H140" i="12" s="1"/>
  <c r="F140" i="12" s="1"/>
  <c r="AG140" i="12" s="1"/>
  <c r="H113" i="12"/>
  <c r="AX9" i="15"/>
  <c r="AW9" i="15"/>
  <c r="H131" i="12"/>
  <c r="H104" i="12"/>
  <c r="AA41" i="12"/>
  <c r="AB41" i="12" s="1"/>
  <c r="J68" i="12"/>
  <c r="K68" i="12" s="1"/>
  <c r="AT8" i="15"/>
  <c r="AU8" i="15" s="1"/>
  <c r="AV8" i="15" s="1"/>
  <c r="AT13" i="15"/>
  <c r="AU13" i="15" s="1"/>
  <c r="AV13" i="15" s="1"/>
  <c r="AT15" i="15"/>
  <c r="AU15" i="15" s="1"/>
  <c r="AV15" i="15" s="1"/>
  <c r="AT10" i="15"/>
  <c r="AU10" i="15" s="1"/>
  <c r="AV10" i="15" s="1"/>
  <c r="J50" i="12"/>
  <c r="K50" i="12" s="1"/>
  <c r="AD50" i="12"/>
  <c r="J77" i="12"/>
  <c r="K77" i="12" s="1"/>
  <c r="AD77" i="12"/>
  <c r="J59" i="12"/>
  <c r="K59" i="12" s="1"/>
  <c r="AD59" i="12"/>
  <c r="J32" i="12"/>
  <c r="AD32" i="12"/>
  <c r="AT14" i="15"/>
  <c r="AU14" i="15" s="1"/>
  <c r="AV14" i="15" s="1"/>
  <c r="H95" i="12"/>
  <c r="AT11" i="15"/>
  <c r="AU11" i="15" s="1"/>
  <c r="AV11" i="15" s="1"/>
  <c r="AT7" i="15"/>
  <c r="AU7" i="15" s="1"/>
  <c r="AV7" i="15" s="1"/>
  <c r="G104" i="12"/>
  <c r="H122" i="12"/>
  <c r="AA50" i="12"/>
  <c r="AB50" i="12" s="1"/>
  <c r="AA77" i="12"/>
  <c r="AB77" i="12" s="1"/>
  <c r="AA59" i="12"/>
  <c r="AB59" i="12" s="1"/>
  <c r="AA32" i="12"/>
  <c r="AB32" i="12" s="1"/>
  <c r="H5" i="13"/>
  <c r="V25" i="18"/>
  <c r="G95" i="12"/>
  <c r="AT16" i="15"/>
  <c r="AU16" i="15" s="1"/>
  <c r="AV16" i="15" s="1"/>
  <c r="AT5" i="15"/>
  <c r="AU5" i="15" s="1"/>
  <c r="G131" i="12"/>
  <c r="G122" i="12"/>
  <c r="J86" i="12"/>
  <c r="N5" i="13"/>
  <c r="J41" i="12"/>
  <c r="AD41" i="12"/>
  <c r="AT20" i="15"/>
  <c r="AU20" i="15" s="1"/>
  <c r="AV20" i="15" s="1"/>
  <c r="G113" i="12"/>
  <c r="AD14" i="12" l="1"/>
  <c r="AD23" i="12"/>
  <c r="AD86" i="12"/>
  <c r="L21" i="13"/>
  <c r="N21" i="13"/>
  <c r="V25" i="19"/>
  <c r="AD68" i="12"/>
  <c r="F5" i="12"/>
  <c r="AG5" i="12" s="1"/>
  <c r="AU5" i="12" s="1"/>
  <c r="AW12" i="15"/>
  <c r="AW6" i="15"/>
  <c r="G23" i="12"/>
  <c r="AX19" i="15"/>
  <c r="AW18" i="15"/>
  <c r="AX17" i="15"/>
  <c r="G41" i="12"/>
  <c r="G86" i="12"/>
  <c r="F95" i="12"/>
  <c r="AG95" i="12" s="1"/>
  <c r="AH95" i="12" s="1"/>
  <c r="AI95" i="12" s="1"/>
  <c r="H77" i="12"/>
  <c r="H50" i="12"/>
  <c r="F131" i="12"/>
  <c r="AG131" i="12" s="1"/>
  <c r="AU131" i="12" s="1"/>
  <c r="F122" i="12"/>
  <c r="AG122" i="12" s="1"/>
  <c r="AH122" i="12" s="1"/>
  <c r="AI122" i="12" s="1"/>
  <c r="F113" i="12"/>
  <c r="AG113" i="12" s="1"/>
  <c r="AH113" i="12" s="1"/>
  <c r="AI113" i="12" s="1"/>
  <c r="K86" i="12"/>
  <c r="H86" i="12" s="1"/>
  <c r="F104" i="12"/>
  <c r="AG104" i="12" s="1"/>
  <c r="AU104" i="12" s="1"/>
  <c r="G32" i="12"/>
  <c r="AU140" i="12"/>
  <c r="AH140" i="12"/>
  <c r="AI140" i="12" s="1"/>
  <c r="H68" i="12"/>
  <c r="J5" i="13"/>
  <c r="J21" i="13" s="1"/>
  <c r="H21" i="13"/>
  <c r="AX11" i="15"/>
  <c r="AW11" i="15"/>
  <c r="AX15" i="15"/>
  <c r="AW15" i="15"/>
  <c r="K32" i="12"/>
  <c r="H32" i="12" s="1"/>
  <c r="G14" i="12"/>
  <c r="AX16" i="15"/>
  <c r="AW16" i="15"/>
  <c r="AX7" i="15"/>
  <c r="AW7" i="15"/>
  <c r="AX10" i="15"/>
  <c r="AW10" i="15"/>
  <c r="AX8" i="15"/>
  <c r="AW8" i="15"/>
  <c r="H59" i="12"/>
  <c r="G50" i="12"/>
  <c r="AX20" i="15"/>
  <c r="AW20" i="15"/>
  <c r="AU21" i="15"/>
  <c r="AV21" i="15" s="1"/>
  <c r="AW21" i="15" s="1"/>
  <c r="AV5" i="15"/>
  <c r="AX14" i="15"/>
  <c r="AW14" i="15"/>
  <c r="AX13" i="15"/>
  <c r="AW13" i="15"/>
  <c r="G59" i="12"/>
  <c r="K41" i="12"/>
  <c r="H41" i="12" s="1"/>
  <c r="K23" i="12"/>
  <c r="H23" i="12" s="1"/>
  <c r="G77" i="12"/>
  <c r="K14" i="12"/>
  <c r="H14" i="12" s="1"/>
  <c r="G68" i="12"/>
  <c r="AH5" i="12" l="1"/>
  <c r="AI5" i="12" s="1"/>
  <c r="AU113" i="12"/>
  <c r="F23" i="12"/>
  <c r="AG23" i="12" s="1"/>
  <c r="AH23" i="12" s="1"/>
  <c r="AI23" i="12" s="1"/>
  <c r="AH131" i="12"/>
  <c r="AI131" i="12" s="1"/>
  <c r="F41" i="12"/>
  <c r="AG41" i="12" s="1"/>
  <c r="AH41" i="12" s="1"/>
  <c r="AI41" i="12" s="1"/>
  <c r="F32" i="12"/>
  <c r="AG32" i="12" s="1"/>
  <c r="AU32" i="12" s="1"/>
  <c r="AU122" i="12"/>
  <c r="F68" i="12"/>
  <c r="AG68" i="12" s="1"/>
  <c r="AH68" i="12" s="1"/>
  <c r="AI68" i="12" s="1"/>
  <c r="AH104" i="12"/>
  <c r="AI104" i="12" s="1"/>
  <c r="AU95" i="12"/>
  <c r="F86" i="12"/>
  <c r="AG86" i="12" s="1"/>
  <c r="AU86" i="12" s="1"/>
  <c r="F59" i="12"/>
  <c r="AG59" i="12" s="1"/>
  <c r="AH59" i="12" s="1"/>
  <c r="AI59" i="12" s="1"/>
  <c r="F77" i="12"/>
  <c r="AG77" i="12" s="1"/>
  <c r="AU77" i="12" s="1"/>
  <c r="F50" i="12"/>
  <c r="AG50" i="12" s="1"/>
  <c r="AU50" i="12" s="1"/>
  <c r="AW5" i="15"/>
  <c r="AX5" i="15"/>
  <c r="F14" i="12"/>
  <c r="AG14" i="12" s="1"/>
  <c r="AU23" i="12" l="1"/>
  <c r="AH32" i="12"/>
  <c r="AI32" i="12" s="1"/>
  <c r="AU68" i="12"/>
  <c r="AU41" i="12"/>
  <c r="AU59" i="12"/>
  <c r="AH50" i="12"/>
  <c r="AI50" i="12" s="1"/>
  <c r="AH86" i="12"/>
  <c r="AI86" i="12" s="1"/>
  <c r="AH77" i="12"/>
  <c r="AI77" i="12" s="1"/>
  <c r="AU14" i="12"/>
  <c r="AH14" i="12"/>
  <c r="AI14" i="12" s="1"/>
</calcChain>
</file>

<file path=xl/sharedStrings.xml><?xml version="1.0" encoding="utf-8"?>
<sst xmlns="http://schemas.openxmlformats.org/spreadsheetml/2006/main" count="5400" uniqueCount="527">
  <si>
    <t>ОО</t>
  </si>
  <si>
    <t>Наименование услуги</t>
  </si>
  <si>
    <t>Форма обучения</t>
  </si>
  <si>
    <t>Наименование специальности</t>
  </si>
  <si>
    <t>Стоимостная группа</t>
  </si>
  <si>
    <t>Категория контингента</t>
  </si>
  <si>
    <t>Сумма по полю Контингент</t>
  </si>
  <si>
    <t>Реализация основных профессиональных образовательных программ высшего образования - программ бакалавриата</t>
  </si>
  <si>
    <t>Заочная</t>
  </si>
  <si>
    <t>Группа 3</t>
  </si>
  <si>
    <t>Очная</t>
  </si>
  <si>
    <t>Группа 1</t>
  </si>
  <si>
    <t>Реализация основных профессиональных образовательных программ высшего образования - программ магистратуры</t>
  </si>
  <si>
    <t>Группа 2</t>
  </si>
  <si>
    <t>Реализация основных профессиональных образовательных программ высшего образования - программ подготовки научно-педагогических кадров в аспирантуре (адъюнктуре)</t>
  </si>
  <si>
    <t>ВЛГАФК</t>
  </si>
  <si>
    <t>ВГАФК</t>
  </si>
  <si>
    <t>ВГИФК</t>
  </si>
  <si>
    <t>ДВГАФК</t>
  </si>
  <si>
    <t>КУБГУФК</t>
  </si>
  <si>
    <t>МГАФК</t>
  </si>
  <si>
    <t>Лесгафт</t>
  </si>
  <si>
    <t>ПГАФКСТ</t>
  </si>
  <si>
    <t>РГУФК</t>
  </si>
  <si>
    <t>СПБНИИ</t>
  </si>
  <si>
    <t>СИБГУФК</t>
  </si>
  <si>
    <t>СГАФКСТ</t>
  </si>
  <si>
    <t>УралГУФК</t>
  </si>
  <si>
    <t>ВНИИФК</t>
  </si>
  <si>
    <t>ЧГИФК</t>
  </si>
  <si>
    <t>ЧГИФКИС</t>
  </si>
  <si>
    <t>бакалавриат</t>
  </si>
  <si>
    <t>направление</t>
  </si>
  <si>
    <t>Учреждение</t>
  </si>
  <si>
    <t>код уч</t>
  </si>
  <si>
    <t>форма обучения</t>
  </si>
  <si>
    <t>заочная</t>
  </si>
  <si>
    <t>очная</t>
  </si>
  <si>
    <t>магистратура</t>
  </si>
  <si>
    <t>аспирантура</t>
  </si>
  <si>
    <t>СПО</t>
  </si>
  <si>
    <t>№ пп</t>
  </si>
  <si>
    <t>Наименование учреждения</t>
  </si>
  <si>
    <t>ФГБОУ ВО «Великолукская государственная академия физической культуры и спорта»</t>
  </si>
  <si>
    <t>ФГБОУ ВО «Волгоградская государственная академия физической культуры»</t>
  </si>
  <si>
    <t>ФГБОУ ВО «Воронежский государственный институт физической культуры»</t>
  </si>
  <si>
    <t>ФГБОУ ВО «Дальневосточная государственная академия физической культуры»</t>
  </si>
  <si>
    <t>ФГБОУ ВО «Кубанский государственный университет физической культуры, спорта и туризма»</t>
  </si>
  <si>
    <t>ФГБОУ ВО «Национальный государственный Университет физической культуры, спорта и здоровья имени П.Ф. Лесгафта, Санкт-Петербург»</t>
  </si>
  <si>
    <t>ФГБОУ ВО «Московская государственная академия физической культуры»</t>
  </si>
  <si>
    <t>ФГБОУ ВО «Поволжская государственная академия физической культуры, спорта и туризма»</t>
  </si>
  <si>
    <t>ФГБОУ ВО «Российский государственный университет физической культуры, спорта, молодежи и туризма (ГЦОЛИФК)»</t>
  </si>
  <si>
    <t>ФГБОУ ВО «Сибирский государственный университет физической культуры и спорта»</t>
  </si>
  <si>
    <t>ФГБОУ ВО «Смоленская государственная академия физической культуры, спорта и туризма»</t>
  </si>
  <si>
    <t>ФГБОУ ВО «Уральский государственный университет физической культуры»</t>
  </si>
  <si>
    <t>ФГБОУ ВО «Чайковский государственный институт физической культуры»</t>
  </si>
  <si>
    <t>ФГБОУ ВО «Чурапчинский государственный институт физической культуры и спорта»</t>
  </si>
  <si>
    <t>ВСЕГО</t>
  </si>
  <si>
    <t>Объем услуг</t>
  </si>
  <si>
    <t>Сумма по базовым нормативам</t>
  </si>
  <si>
    <t>Сумма с учетом территориального КК</t>
  </si>
  <si>
    <t>0706</t>
  </si>
  <si>
    <t>0704</t>
  </si>
  <si>
    <t>7=1+4</t>
  </si>
  <si>
    <t>8=2+5</t>
  </si>
  <si>
    <t>9=3+6</t>
  </si>
  <si>
    <t>Направление подготовки</t>
  </si>
  <si>
    <t xml:space="preserve">Стоимостная группа специальностей и направлений
подготовки
</t>
  </si>
  <si>
    <t xml:space="preserve">ОТ 1 </t>
  </si>
  <si>
    <t>в том числе</t>
  </si>
  <si>
    <t xml:space="preserve">МЗ </t>
  </si>
  <si>
    <t>ИНЗ</t>
  </si>
  <si>
    <t xml:space="preserve">КУ </t>
  </si>
  <si>
    <t xml:space="preserve">СНИ </t>
  </si>
  <si>
    <t xml:space="preserve">СОЦДИ </t>
  </si>
  <si>
    <t>Сумма резерва на вооставновление</t>
  </si>
  <si>
    <t xml:space="preserve">УС </t>
  </si>
  <si>
    <t xml:space="preserve">ТУ </t>
  </si>
  <si>
    <t xml:space="preserve">ОТ 2 </t>
  </si>
  <si>
    <t>ПНЗ</t>
  </si>
  <si>
    <t>ИТОГО БАЗОВЫЕ НОРМАТИВЫ ЗАТРАТ</t>
  </si>
  <si>
    <t>ОТ1 зп</t>
  </si>
  <si>
    <t xml:space="preserve">начисления </t>
  </si>
  <si>
    <t>в т.ч ГСМ</t>
  </si>
  <si>
    <t xml:space="preserve">ИНЗ </t>
  </si>
  <si>
    <t>ОТ2 зп</t>
  </si>
  <si>
    <t>5.1</t>
  </si>
  <si>
    <t>6.1</t>
  </si>
  <si>
    <t>6.2</t>
  </si>
  <si>
    <t>6.3</t>
  </si>
  <si>
    <t>6.4</t>
  </si>
  <si>
    <t>15=4+5+6+7+8+9+10+11+12+13+14</t>
  </si>
  <si>
    <t>Бакалавриат, специалитет</t>
  </si>
  <si>
    <t>Магистратура</t>
  </si>
  <si>
    <t>Аспирантура (адъюнктура)</t>
  </si>
  <si>
    <t>Аспирантура (адъюнктура)[1]</t>
  </si>
  <si>
    <t>Докторантура</t>
  </si>
  <si>
    <t xml:space="preserve">                       </t>
  </si>
  <si>
    <t>Территориальные корректирующие коэффициенты к составляющим базовых нормативов затрат</t>
  </si>
  <si>
    <t>Субъект РФ</t>
  </si>
  <si>
    <t>Значение корректирующего коэффициента, учитывающего средний уровень заработной платы на 2017 год по субъектам Российской Федерации*</t>
  </si>
  <si>
    <t>Корректирующий коэффициент, учитывающий государственное регулирование цен (тарифов) на коммунальные услуги*</t>
  </si>
  <si>
    <t>ВО</t>
  </si>
  <si>
    <t>Псковская область</t>
  </si>
  <si>
    <t>ФГБОУ ВО«Волгоградская государственная академия физической культуры»</t>
  </si>
  <si>
    <t>Волгоградская область</t>
  </si>
  <si>
    <t>Воронежская область</t>
  </si>
  <si>
    <t>Хабаровский край</t>
  </si>
  <si>
    <t>Краснодарский край</t>
  </si>
  <si>
    <t>г. Санкт-Петербург</t>
  </si>
  <si>
    <t>Московская область</t>
  </si>
  <si>
    <t>Республика Татарстан (Татарстан)</t>
  </si>
  <si>
    <t>г. Москва</t>
  </si>
  <si>
    <t>Омская область</t>
  </si>
  <si>
    <t>Смоленская область</t>
  </si>
  <si>
    <t>Челябинская область</t>
  </si>
  <si>
    <t>Пермский край</t>
  </si>
  <si>
    <t>Республика Саха (Якутия)</t>
  </si>
  <si>
    <t>* Утверждены Минобрнауки России</t>
  </si>
  <si>
    <t>код специальности</t>
  </si>
  <si>
    <t>Группа</t>
  </si>
  <si>
    <t>К ОТ</t>
  </si>
  <si>
    <t>К КУ</t>
  </si>
  <si>
    <t>Расчет по базовому нормативу + инвалиды</t>
  </si>
  <si>
    <t>Расчет с учетом территориального коэффициента</t>
  </si>
  <si>
    <t>ИТОГО сумма по базовым нормативам</t>
  </si>
  <si>
    <t>ИТОГО</t>
  </si>
  <si>
    <t>код направления</t>
  </si>
  <si>
    <t>Реестровый номер</t>
  </si>
  <si>
    <t>Расчет субсидии по базовым нормативам</t>
  </si>
  <si>
    <t>Объем корректирующего коэффициента, учитывающий средний уровень заработной платы в регионе</t>
  </si>
  <si>
    <t>Объем корректирующего коэффициента, учитывающий государственное регулирование цен (тарифов) на коммунальные услуги</t>
  </si>
  <si>
    <t>Объем ОТ с учетом ТКК</t>
  </si>
  <si>
    <t>ОТ базовый норматив</t>
  </si>
  <si>
    <t>КУ базовый норматив</t>
  </si>
  <si>
    <t>Объем КУ с учетом ТКК</t>
  </si>
  <si>
    <t xml:space="preserve">Объем затрат на уплату налогов, в качестве объекта налогообложения по которым признается имущество учреждения
</t>
  </si>
  <si>
    <t xml:space="preserve">Объем субсидии без коэфф. Выравнивания </t>
  </si>
  <si>
    <t>Контрольная сумма</t>
  </si>
  <si>
    <t>коэф. Выравнивания</t>
  </si>
  <si>
    <t>Объем субсидии с учетом коэффициента выравнивания</t>
  </si>
  <si>
    <t>тыс. руб.</t>
  </si>
  <si>
    <t>Брянское ГУОР</t>
  </si>
  <si>
    <t>ГУОР г. Иркутск</t>
  </si>
  <si>
    <t>ГУОР г. Самара</t>
  </si>
  <si>
    <t>ГУОР г.Щелково</t>
  </si>
  <si>
    <t>ГУОР по хоккею</t>
  </si>
  <si>
    <t>Кисловодское УОР</t>
  </si>
  <si>
    <t>Омское ГУОР</t>
  </si>
  <si>
    <t>Приморское  ГУОР</t>
  </si>
  <si>
    <t>Смоленское ГУОР</t>
  </si>
  <si>
    <t>УОР г. Бронницы</t>
  </si>
  <si>
    <t>Брянская область</t>
  </si>
  <si>
    <t>Иркутская область</t>
  </si>
  <si>
    <t>Самарская область</t>
  </si>
  <si>
    <t>Ярославская область</t>
  </si>
  <si>
    <t>Ставропольский край</t>
  </si>
  <si>
    <t>Приморский край</t>
  </si>
  <si>
    <t>ФГБУ ПОО «Брянское государственное училище (колледж) олимпийского резерва»</t>
  </si>
  <si>
    <t>ФГБУ ПОО «Смоленское государственное училище (техникум) олимпийского резерва»</t>
  </si>
  <si>
    <t>ФГБУ ПОО «Государственное училище (техникум) олимпийского резерва г. Самара»</t>
  </si>
  <si>
    <t>ФГБУ ПОО «Кисловодское государственное училище (техникум) олимпийского резерва»</t>
  </si>
  <si>
    <t>ФГБУ ПОО «Сибирское государственное училище (колледж) олимпийского резерва»</t>
  </si>
  <si>
    <t>ФГБУ ПОО «Государственное училище (техникум) олимпийского резерва г. Бронницы Московской области»</t>
  </si>
  <si>
    <t>ФГБУ ПОО "Государственное училище (техникум) олимпийского резерва г. Щелково Московской области"</t>
  </si>
  <si>
    <t>ФГБУ ПОО "Приморское государственное училище (техникум) олимпийского резерва"</t>
  </si>
  <si>
    <t>ФГБУ ПОО «Государственное училище (техникум) олимпийского резерва по хоккею»</t>
  </si>
  <si>
    <t>ФГБУ ПОО «Государственное училище (колледж) олимпийского резерва г Иркутска</t>
  </si>
  <si>
    <t>ВСЕГО по 0704</t>
  </si>
  <si>
    <t>в т.ч. ВУЗ</t>
  </si>
  <si>
    <t>в т.ч. УОР</t>
  </si>
  <si>
    <t>Коэффициент выравнивания (в абс. выражении)</t>
  </si>
  <si>
    <t>год</t>
  </si>
  <si>
    <t>БГУОР</t>
  </si>
  <si>
    <t>Иркутск</t>
  </si>
  <si>
    <t>ГУОР Самара</t>
  </si>
  <si>
    <t>Щелково</t>
  </si>
  <si>
    <t>Кисловодск</t>
  </si>
  <si>
    <t>Омск</t>
  </si>
  <si>
    <t>ПГУОР</t>
  </si>
  <si>
    <t>СГУОР</t>
  </si>
  <si>
    <t>Бронницы</t>
  </si>
  <si>
    <t>V</t>
  </si>
  <si>
    <t>На выравнивание</t>
  </si>
  <si>
    <t>D</t>
  </si>
  <si>
    <t>K</t>
  </si>
  <si>
    <t>ОТ</t>
  </si>
  <si>
    <t>ОТ зп</t>
  </si>
  <si>
    <t>Коэффициент</t>
  </si>
  <si>
    <t>В абс. Выражении</t>
  </si>
  <si>
    <t>Прогноз сводных показателей государственных заданий на оказание государственных услуг (выполнение работ) в рамках государственной программы Российской Федерации «Развитие образования» на 2018 – 2025 годы</t>
  </si>
  <si>
    <t>Код бюджетной классификации</t>
  </si>
  <si>
    <t>Код услуги</t>
  </si>
  <si>
    <t>Наименование услуги (работы)</t>
  </si>
  <si>
    <t>Показатель объема</t>
  </si>
  <si>
    <t>Единица измерения</t>
  </si>
  <si>
    <t>Значение показателя объема услуги (работы)</t>
  </si>
  <si>
    <t>ФО ГЗ, тыс.руб.</t>
  </si>
  <si>
    <t>Рз</t>
  </si>
  <si>
    <t>Пр</t>
  </si>
  <si>
    <t>ГП</t>
  </si>
  <si>
    <t>ПП</t>
  </si>
  <si>
    <t>ОМ</t>
  </si>
  <si>
    <t>ЦСР</t>
  </si>
  <si>
    <t>Вр</t>
  </si>
  <si>
    <t>07</t>
  </si>
  <si>
    <t>06</t>
  </si>
  <si>
    <t>02</t>
  </si>
  <si>
    <t>01</t>
  </si>
  <si>
    <t>11.Д60</t>
  </si>
  <si>
    <t>Численность обучающихся</t>
  </si>
  <si>
    <t>Человек</t>
  </si>
  <si>
    <t>11.Д61</t>
  </si>
  <si>
    <t>11.Д58</t>
  </si>
  <si>
    <t>04</t>
  </si>
  <si>
    <t>11.Д56</t>
  </si>
  <si>
    <t>Реализация основных профессиональных образовательных программ среднего профессионального образования - программ подготовки специалистов среднего звена (ВУЗ)</t>
  </si>
  <si>
    <t>Содержание имущества (уплата налогов)</t>
  </si>
  <si>
    <t>08</t>
  </si>
  <si>
    <t>11.40.1</t>
  </si>
  <si>
    <t>Проведение прикладных научных исследований</t>
  </si>
  <si>
    <t>Количество научно-исследовательских работ</t>
  </si>
  <si>
    <t>Единица</t>
  </si>
  <si>
    <t>Реализация основных профессиональных образовательных программ среднего профессионального образования - программ подготовки специалистов среднего звена (УОР)</t>
  </si>
  <si>
    <t>Вуз/уор</t>
  </si>
  <si>
    <t>Объем субсидии по нормативу, утвержденному Минобром в июле</t>
  </si>
  <si>
    <t>Разница</t>
  </si>
  <si>
    <t>МЗ резерв</t>
  </si>
  <si>
    <t>Объем затрат на услуги ВО</t>
  </si>
  <si>
    <t>ИТОГО объем субсидии по нормативу с тер. коэфф. на з/пл. и КУ + налоги</t>
  </si>
  <si>
    <t>Объем затрат на услуги с учетом Коэффициента выравнивания</t>
  </si>
  <si>
    <t>ИТОГО объем субсидии с учетом коэфф. выравнивания + налоги</t>
  </si>
  <si>
    <t>ед.</t>
  </si>
  <si>
    <t>5=2+3+4</t>
  </si>
  <si>
    <t>7=5+6</t>
  </si>
  <si>
    <t>9=6+8</t>
  </si>
  <si>
    <t>10=9-7</t>
  </si>
  <si>
    <t>2018 год</t>
  </si>
  <si>
    <t>2018</t>
  </si>
  <si>
    <t>Коэффициент в ОБАС</t>
  </si>
  <si>
    <t>отклонение</t>
  </si>
  <si>
    <t>Группа 3 а</t>
  </si>
  <si>
    <t>Группа 3 б</t>
  </si>
  <si>
    <t>Группа 3 с</t>
  </si>
  <si>
    <t>Группа 3а</t>
  </si>
  <si>
    <t>Группа 3б</t>
  </si>
  <si>
    <t>ВлГАФК</t>
  </si>
  <si>
    <t>РГУФКСМиТ</t>
  </si>
  <si>
    <t>КГУФКСТ</t>
  </si>
  <si>
    <t>ЧГИФКиС</t>
  </si>
  <si>
    <t>НГУ</t>
  </si>
  <si>
    <t>СибГУФК</t>
  </si>
  <si>
    <t>СпбНИИФК</t>
  </si>
  <si>
    <t>852201О.99.0.ББ32ДМ12000</t>
  </si>
  <si>
    <t>852201О.99.0.ББ32ДП16000</t>
  </si>
  <si>
    <t>852201О.99.0.ББ32ЕБ12000</t>
  </si>
  <si>
    <t>852201О.99.0.ББ32ЕБ36000</t>
  </si>
  <si>
    <t>852201О.99.0.ББ32ЕБ28000</t>
  </si>
  <si>
    <t>852201О.99.0.ББ32ЕБ84000</t>
  </si>
  <si>
    <t>852201О.99.0.ББ32ЕВ08000</t>
  </si>
  <si>
    <t>852201О.99.0.ББ32ЕВ00000</t>
  </si>
  <si>
    <t>852201О.99.0.ББ32ЕВ24000</t>
  </si>
  <si>
    <t>852201О.99.0.ББ32ДЛ40000</t>
  </si>
  <si>
    <t>852201О.99.0.ББ32ДО28000</t>
  </si>
  <si>
    <t>852201О.99.0.ББ32ДО44000</t>
  </si>
  <si>
    <t>852201О.99.0.ББ32ЕА40000</t>
  </si>
  <si>
    <t>852201О.99.0.ББ32ЕА56000</t>
  </si>
  <si>
    <t>852203О.99.0.ББ40ЕД00000</t>
  </si>
  <si>
    <t>852203О.99.0.ББ40ЕД72000</t>
  </si>
  <si>
    <t>852203О.99.0.ББ40ЕЕ44000</t>
  </si>
  <si>
    <t>852203О.99.0.ББ40ЕГ28000</t>
  </si>
  <si>
    <t>852301О.99.0.ББ50АЗ92000</t>
  </si>
  <si>
    <t>852301О.99.0.ББ50ВО84000</t>
  </si>
  <si>
    <t>852301О.99.0.ББ50ВО12000</t>
  </si>
  <si>
    <t>852301О.99.0.ББ50АЗ20000</t>
  </si>
  <si>
    <t>852201О.99.0.ББ32ГЮ88000</t>
  </si>
  <si>
    <t>852201О.99.0.ББ32ДЖ96000</t>
  </si>
  <si>
    <t>852201О.99.0.ББ32ДН00000</t>
  </si>
  <si>
    <t>852201О.99.0.ББ32ДН72000</t>
  </si>
  <si>
    <t>852201О.99.0.ББ32ДП00000</t>
  </si>
  <si>
    <t>852201О.99.0.ББ32ЕБ52000</t>
  </si>
  <si>
    <t>852201О.99.0.ББ32ЕВ56000</t>
  </si>
  <si>
    <t>852201О.99.0.ББ32ЕВ72000</t>
  </si>
  <si>
    <t>852201О.99.0.ББ32ЕЛ48000</t>
  </si>
  <si>
    <t>852201О.99.0.ББ32ЕЛ64000</t>
  </si>
  <si>
    <t>852201О.99.0.ББ32ГУ24000</t>
  </si>
  <si>
    <t>852201О.99.0.ББ32ГЩ72000</t>
  </si>
  <si>
    <t>852201О.99.0.ББ32ДЖ24000</t>
  </si>
  <si>
    <t>852201О.99.0.ББ32ДЛ56000</t>
  </si>
  <si>
    <t>852203О.99.0.ББ40ГЧ00000</t>
  </si>
  <si>
    <t>852203О.99.0.ББ40ДБ76000</t>
  </si>
  <si>
    <t>852203О.99.0.ББ40ДБ92000</t>
  </si>
  <si>
    <t>852203О.99.0.ББ40ДЛ40000</t>
  </si>
  <si>
    <t>852203О.99.0.ББ40ДЮ24000</t>
  </si>
  <si>
    <t>852203О.99.0.ББ40ЕД16000</t>
  </si>
  <si>
    <t>852203О.99.0.ББ40ЕД40000</t>
  </si>
  <si>
    <t>852203О.99.0.ББ40ЕД96000</t>
  </si>
  <si>
    <t>852203О.99.0.ББ40ЕД88000</t>
  </si>
  <si>
    <t>852203О.99.0.ББ40ЕЕ12000</t>
  </si>
  <si>
    <t>852203О.99.0.ББ40ЕЕ68000</t>
  </si>
  <si>
    <t>852203О.99.0.ББ40ЕЕ60000</t>
  </si>
  <si>
    <t>852203О.99.0.ББ40ГЦ12000</t>
  </si>
  <si>
    <t>852203О.99.0.ББ40ГЦ28000</t>
  </si>
  <si>
    <t>852203О.99.0.ББ40ДБ04000</t>
  </si>
  <si>
    <t>852203О.99.0.ББ40ДБ20000</t>
  </si>
  <si>
    <t>852203О.99.0.ББ40ДК68000</t>
  </si>
  <si>
    <t>852203О.99.0.ББ40ДЩ08000</t>
  </si>
  <si>
    <t>852203О.99.0.ББ40ЕГ44000</t>
  </si>
  <si>
    <t>852301О.99.0.ББ50БП48000</t>
  </si>
  <si>
    <t>852301О.99.0.ББ50ВО36000</t>
  </si>
  <si>
    <t>804202О.99.0.ББ43АА08001</t>
  </si>
  <si>
    <t>852201О.99.0.ББ32ГЮ16000</t>
  </si>
  <si>
    <t>852201О.99.0.ББ32ДМ84000</t>
  </si>
  <si>
    <t>852201О.99.0.ББ32ДН08000</t>
  </si>
  <si>
    <t>852201О.99.0.ББ32ДП72000</t>
  </si>
  <si>
    <t>852203О.99.0.ББ40ЕД24000</t>
  </si>
  <si>
    <t>852101О.99.0.ББ28ТЯ76000</t>
  </si>
  <si>
    <t>852101О.99.0.ББ28УЭ68000</t>
  </si>
  <si>
    <t>852101О.99.0.ББ28УЮ40000</t>
  </si>
  <si>
    <t>852101О.99.0.ББ28УЯ84000</t>
  </si>
  <si>
    <t>852101О.99.0.ББ28ФА56000</t>
  </si>
  <si>
    <t>852301О.99.0.ББ50БР20000</t>
  </si>
  <si>
    <t>852201О.99.0.ББ32ЕВ96000</t>
  </si>
  <si>
    <t>852201О.99.0.ББ32ДП96000</t>
  </si>
  <si>
    <t>852201О.99.0.ББ32ГЩ88000</t>
  </si>
  <si>
    <t>852201О.99.0.ББ32ДС88000</t>
  </si>
  <si>
    <t>852101О.99.0.ББ28УА48000</t>
  </si>
  <si>
    <t>852101О.99.0.ББ28УЭ84000</t>
  </si>
  <si>
    <t>852201О.99.0.ББ32ДП88000</t>
  </si>
  <si>
    <t>852201О.99.0.ББ32ГФ68000</t>
  </si>
  <si>
    <t>852201О.99.0.ББ32ДМ36000</t>
  </si>
  <si>
    <t>852201О.99.0.ББ32ДН56000</t>
  </si>
  <si>
    <t>852203О.99.0.ББ40ДП00000</t>
  </si>
  <si>
    <t>852101О.99.0.ББ28УЭ20000</t>
  </si>
  <si>
    <t>852101О.99.0.ББ28УЯ36000</t>
  </si>
  <si>
    <t>852101О.99.0.ББ28ФА08000</t>
  </si>
  <si>
    <t>852203О.99.0.ББ40ДС88000</t>
  </si>
  <si>
    <t>852203О.99.0.ББ40ГЧ72000</t>
  </si>
  <si>
    <t>852203О.99.0.ББ40ДМ12000</t>
  </si>
  <si>
    <t>852203О.99.0.ББ40ДР44000</t>
  </si>
  <si>
    <t>852203О.99.0.ББ40ДТ04000</t>
  </si>
  <si>
    <t>852201О.99.0.ББ32ДЖ80000</t>
  </si>
  <si>
    <t>852203О.99.0.ББ40ДП16000</t>
  </si>
  <si>
    <t>852201О.99.0.ББ32ДТ04000</t>
  </si>
  <si>
    <t>Реализация образовательных программ высшего образования – программ бакалавриата</t>
  </si>
  <si>
    <t>Реализация образовательных программ высшего образования – программ магистратуры</t>
  </si>
  <si>
    <t>Реализация образовательных программ высшего образования – программ подготовки научно-педагогических кадров в аспирантуре</t>
  </si>
  <si>
    <t>Реализация образовательных программ послевузовского профессионального образования - программ аспирантуры</t>
  </si>
  <si>
    <t>Реализация образовательных программ среднего профессионального образования - программ подготовки специалистов среднего звена</t>
  </si>
  <si>
    <t>ББ32</t>
  </si>
  <si>
    <t>ББ40</t>
  </si>
  <si>
    <t>ББ50</t>
  </si>
  <si>
    <t>ББ43</t>
  </si>
  <si>
    <t>ББ28</t>
  </si>
  <si>
    <t>172 - 43.03.01 Сервис</t>
  </si>
  <si>
    <t>176 - 44.03.01 Педагогическое образование</t>
  </si>
  <si>
    <t>197 - 49.03.01 Физическая культура</t>
  </si>
  <si>
    <t>198 - 49.03.02 Физическая культура для лиц с отклонениями в состоянии здоровья (адаптивная физическая культура)</t>
  </si>
  <si>
    <t>171 - 43.00.00 Сервис и туризм</t>
  </si>
  <si>
    <t>175 - 44.00.00 Образование и педагогические науки</t>
  </si>
  <si>
    <t>196 - 49.00.00 Физическая культура и спорт</t>
  </si>
  <si>
    <t>201 - 49.04.01 Физическая культура</t>
  </si>
  <si>
    <t>202 - 49.04.02 Физическая культура для лиц с отклонениями в состоянии здоровья (адаптивная физическая культура)</t>
  </si>
  <si>
    <t>203 - 49.04.03 Спорт</t>
  </si>
  <si>
    <t>200 - 49.00.00 Физическая культура и спорт</t>
  </si>
  <si>
    <t>012 - 06.06.01 Биологические науки</t>
  </si>
  <si>
    <t>098 - 49.06.01 Физическая культура и спорт</t>
  </si>
  <si>
    <t>097 - 49.00.00 Физическая культура и спорт</t>
  </si>
  <si>
    <t>011 - 06.00.00 Биологические науки</t>
  </si>
  <si>
    <t>155 - 39.03.03 Организация работы с молодежью</t>
  </si>
  <si>
    <t>166 - 42.03.01 Реклама и связи с общественностью</t>
  </si>
  <si>
    <t>173 - 43.03.02 Туризм</t>
  </si>
  <si>
    <t>174 - 43.03.03 Гостиничное дело</t>
  </si>
  <si>
    <t>199 - 49.03.03 Рекреация и спортивно-оздоровительный туризм</t>
  </si>
  <si>
    <t>210 - 51.03.05 Режиссура театрализованных представлений и праздников</t>
  </si>
  <si>
    <t>143 - 38.00.00 Экономика и управление</t>
  </si>
  <si>
    <t>152 - 39.00.00 Социология и социальная работа</t>
  </si>
  <si>
    <t>165 - 42.00.00 Средства массовой информации и информационно-библиотечное дело</t>
  </si>
  <si>
    <t>148 - 38.04.01 Экономика</t>
  </si>
  <si>
    <t>159 - 39.04.01 Социология</t>
  </si>
  <si>
    <t>171 - 42.04.01 Реклама и связи с общественностью</t>
  </si>
  <si>
    <t>193 - 46.04.03 Антропология и этнология</t>
  </si>
  <si>
    <t>147 - 38.00.00 Экономика и управление</t>
  </si>
  <si>
    <t>158 - 39.00.00 Социология и социальная работа</t>
  </si>
  <si>
    <t>170 - 42.00.00 Средства массовой информации и информационно-библиотечное дело</t>
  </si>
  <si>
    <t>190 - 46.00.00 История и археология</t>
  </si>
  <si>
    <t>060 - 30.00.00 Фундаментальная медицина</t>
  </si>
  <si>
    <t>001 - Физические лица за исключением лиц с ОВЗ и инвалидов</t>
  </si>
  <si>
    <t>154 - 39.03.02 Социальная работа</t>
  </si>
  <si>
    <t>177 - 44.03.02 Психолого-педагогическое образование</t>
  </si>
  <si>
    <t>234 - 43.02.10 Туризм</t>
  </si>
  <si>
    <t>246 - 49.02.01 Физическая культура</t>
  </si>
  <si>
    <t>247 - 49.02.02 Адаптивная физическая культура</t>
  </si>
  <si>
    <t>061 - 30.06.01 Фундаментальная медицина</t>
  </si>
  <si>
    <t>180 - 44.03.05 Педагогическое образование (с двумя профилями подготовки)</t>
  </si>
  <si>
    <t>145 - 38.03.02 Менеджмент</t>
  </si>
  <si>
    <t>176 - 43.00.00 Сервис и туризм</t>
  </si>
  <si>
    <t>180 - 44.00.00 Образование и педагогические науки</t>
  </si>
  <si>
    <t>149 - 38.04.02 Менеджмент</t>
  </si>
  <si>
    <t>172 - 42.04.02 Журналистика</t>
  </si>
  <si>
    <t>178 - 43.04.02 Туризм</t>
  </si>
  <si>
    <t>002 - Физические лица с ОВЗ и инвалиды</t>
  </si>
  <si>
    <t>учебная литература</t>
  </si>
  <si>
    <t>практика</t>
  </si>
  <si>
    <t>повышение квалиф.</t>
  </si>
  <si>
    <t>медосмотры</t>
  </si>
  <si>
    <t>ФР2</t>
  </si>
  <si>
    <t>ФР1</t>
  </si>
  <si>
    <t>Базовый норматив по услуге с учетом формы обучения и инвалидов</t>
  </si>
  <si>
    <t>ОТ 1</t>
  </si>
  <si>
    <t>49.02.01 Физическая культура</t>
  </si>
  <si>
    <t>Физические лица за исключением лиц с ОВЗ и инвалидов</t>
  </si>
  <si>
    <t>Брянск</t>
  </si>
  <si>
    <t>49.02.02 Адаптивная физическая культура</t>
  </si>
  <si>
    <t>Физические лица с ОВЗ и инвалиды</t>
  </si>
  <si>
    <t>Приморье</t>
  </si>
  <si>
    <t>Самара</t>
  </si>
  <si>
    <t>852101О.99.0.ББ28УЭ76000</t>
  </si>
  <si>
    <t>Очно-заочная</t>
  </si>
  <si>
    <t>Ярославль</t>
  </si>
  <si>
    <t>очно-заочная</t>
  </si>
  <si>
    <t>Оплата труда с учетом коэффициента выравнивания</t>
  </si>
  <si>
    <t>2 - Физические лица за исключением лиц с ОВЗ и инвалидов</t>
  </si>
  <si>
    <t>Расчет субсидии на финансовое обеспечение выполнения государственного задания на оказание государственных услуг среднего профессионального образования на 2019 год</t>
  </si>
  <si>
    <t>Расчет субсидии на финансовое обеспечение выполнения государственного задания на оказание государственных услуг высшего образования на 2020 год</t>
  </si>
  <si>
    <t>Объем затрат на услуги с учетом Коэффициента выравнивания на 2018 год</t>
  </si>
  <si>
    <t xml:space="preserve">Разница между 2019 и 2018 годами </t>
  </si>
  <si>
    <t>ИТОГО объем субсидии с учетом коэфф. выравнивания + налоги на 2018 год</t>
  </si>
  <si>
    <t>Разница между услугами  2019 и 2018 годов</t>
  </si>
  <si>
    <t xml:space="preserve">Разница между объемами субсидий на 2019 и 2018 годы </t>
  </si>
  <si>
    <t>16=9-14</t>
  </si>
  <si>
    <t>Объем услуг 2019 год</t>
  </si>
  <si>
    <t>Объем услуг 2018 год</t>
  </si>
  <si>
    <t>Разница между 2019 и 2018 год ами</t>
  </si>
  <si>
    <t>1а</t>
  </si>
  <si>
    <t>1б=1а-1</t>
  </si>
  <si>
    <t>852203О.99.0.ББ40ГИ88000</t>
  </si>
  <si>
    <t>32.04.01 Общественное здравоохранение</t>
  </si>
  <si>
    <t>49.00.00 Физическая культура и спорт</t>
  </si>
  <si>
    <t>49.04.01 Физическая культура</t>
  </si>
  <si>
    <t>49.04.02 Физическая культура для лиц с отклонениями в состоянии здоровья (адаптивная физическая культура)</t>
  </si>
  <si>
    <t>49.04.03 Спорт</t>
  </si>
  <si>
    <t>Реализация образовательных программ высшего образования – программ подготовки научно-педагогических кадров в аспирантуре.</t>
  </si>
  <si>
    <t>06.00.00 Биологические науки</t>
  </si>
  <si>
    <t>06.06.01 Биологические науки</t>
  </si>
  <si>
    <t>49.06.01 Физическая культура и спорт</t>
  </si>
  <si>
    <t>ББ51</t>
  </si>
  <si>
    <t>ББ52</t>
  </si>
  <si>
    <t>ББ53</t>
  </si>
  <si>
    <t>в том числе:</t>
  </si>
  <si>
    <t xml:space="preserve">ВПО </t>
  </si>
  <si>
    <t>ОТ=от1+от2</t>
  </si>
  <si>
    <t>Объем затрат на услуги с учетом Коэффициента выравнивания на 2018 год= допы по Указу</t>
  </si>
  <si>
    <t>Объем услуг 2020 год</t>
  </si>
  <si>
    <t xml:space="preserve">Расчет субсидии по базовым нормативам 2020 год </t>
  </si>
  <si>
    <t xml:space="preserve">ИТОГО объем субсидии с учетом коэфф. выравнивания + налоги                                     на 2021 год </t>
  </si>
  <si>
    <t xml:space="preserve">Итоговые значения и величина составляющих базовых нормативов затрат на оказание государственных услуг по реализации образовательных программ высшего образования на 2020 год </t>
  </si>
  <si>
    <t>2022год</t>
  </si>
  <si>
    <t>Расчет субсидии на финансовое обеспечение выполнения государственного задания на оказание государственных услуг высшего образования на 2022 год</t>
  </si>
  <si>
    <t>Расчет субсидии на финансовое обеспечение выполнения государственного задания на оказание государственных услуг высшего образования на 2021 год</t>
  </si>
  <si>
    <t>44.03.02 Психолого-педагогическое образование</t>
  </si>
  <si>
    <t>852201О.99.0.ББ32ЕВ80000</t>
  </si>
  <si>
    <t>44.04.02 Психолого-педагогическое образование</t>
  </si>
  <si>
    <t>44.00.00 Образование и педагогические науки</t>
  </si>
  <si>
    <t>44.03.01 Педагогическое образоваине</t>
  </si>
  <si>
    <t>43.04.02 Туризм</t>
  </si>
  <si>
    <t>43.04.01 Сервис</t>
  </si>
  <si>
    <t>43.03.02 Туризм</t>
  </si>
  <si>
    <t>44.06.01 Образование и педагогические науки</t>
  </si>
  <si>
    <t>38.03.01 Экономика</t>
  </si>
  <si>
    <t>38.03.02 Менеджмент</t>
  </si>
  <si>
    <t>38.03.04 Государственное и муниципальное управление</t>
  </si>
  <si>
    <t>49.03.03 Рекреация и спортивно-оздоровительный туризм</t>
  </si>
  <si>
    <t>38.04.01 Экономика</t>
  </si>
  <si>
    <t>38.04.02 Менеджмент</t>
  </si>
  <si>
    <t>Кондопога</t>
  </si>
  <si>
    <t xml:space="preserve">Республика Карелия </t>
  </si>
  <si>
    <t>УОР Карелия</t>
  </si>
  <si>
    <t>Нормативы на единицу услуги с учетом ТК на От и КУ на 2020 год</t>
  </si>
  <si>
    <t>0,0,</t>
  </si>
  <si>
    <t>2020 год</t>
  </si>
  <si>
    <t>44.03.01 Педагогическое образование</t>
  </si>
  <si>
    <t xml:space="preserve">38.04.04 Государственное и муниципальное управление </t>
  </si>
  <si>
    <t>Разница между 2020 и 2019 год ами</t>
  </si>
  <si>
    <t>2019 год</t>
  </si>
  <si>
    <t>Объем затрат на услуги с учетом Коэффициента выравнивания на 2019 год</t>
  </si>
  <si>
    <t>ИТОГО объем субсидии с учетом коэфф. выравнивания + налоги на 2019 год</t>
  </si>
  <si>
    <t>2021</t>
  </si>
  <si>
    <t>Объем услуг 2021 год</t>
  </si>
  <si>
    <t xml:space="preserve">Расчет субсидии по базовым нормативам 2021 год </t>
  </si>
  <si>
    <t>Объем услуг 2022 год</t>
  </si>
  <si>
    <t xml:space="preserve">Расчет субсидии по базовым нормативам 2022 год </t>
  </si>
  <si>
    <t xml:space="preserve">ИТОГО объем субсидии с учетом коэфф. выравнивания + налоги                                     на 2022 год </t>
  </si>
  <si>
    <t xml:space="preserve">ИТОГО объем субсидии с учетом коэфф. выравнивания + налоги                                     на 2020 год </t>
  </si>
  <si>
    <t>Разница между 2020 годом и 2019 годом</t>
  </si>
  <si>
    <t>Налоги 2019 год</t>
  </si>
  <si>
    <t xml:space="preserve">Объем затрат на уплату налогов, в качестве объекта налогообложения по которым признается имущество учреждения 2020 года с КПД
</t>
  </si>
  <si>
    <t>Объем затрат на услуги с учетом Коэффициента выравнивания на 2020 год</t>
  </si>
  <si>
    <t>Разница между услугами 2020  и 2019 годов</t>
  </si>
  <si>
    <t>Сокращенное наименование</t>
  </si>
  <si>
    <t>Наименование</t>
  </si>
  <si>
    <t>Код</t>
  </si>
  <si>
    <t>ИНН</t>
  </si>
  <si>
    <t>КПП</t>
  </si>
  <si>
    <t>ФЕДЕРАЛЬНОЕ ГОСУДАРСТВЕННОЕ БЮДЖЕТНОЕ ОБРАЗОВАТЕЛЬНОЕ УЧРЕЖДЕНИЕ ВЫСШЕГО ОБРАЗОВАНИЯ "ВОЛГОГРАДСКАЯ ГОСУДАРСТВЕННАЯ АКАДЕМИЯ ФИЗИЧЕСКОЙ КУЛЬТУРЫ"</t>
  </si>
  <si>
    <t>ФЕДЕРАЛЬНОЕ ГОСУДАРСТВЕННОЕ БЮДЖЕТНОЕ УЧРЕЖДЕНИЕ ПРОФЕССИОНАЛЬНАЯ ОБРАЗОВАТЕЛЬНАЯ ОРГАНИЗАЦИЯ "ГОСУДАРСТВЕННОЕ УЧИЛИЩЕ (ТЕХНИКУМ) ОЛИМПИЙСКОГО РЕЗЕРВА Г. БРОННИЦЫ МОСКОВСКОЙ ОБЛАСТИ"</t>
  </si>
  <si>
    <t>Код учреждения</t>
  </si>
  <si>
    <t>ФЕДЕРАЛЬНОЕ ГОСУДАРСТВЕННОЕ БЮДЖЕТНОЕ УЧРЕЖДЕНИЕ ПРОФЕССИОНАЛЬНАЯ ОБРАЗОВАТЕЛЬНАЯ ОРГАНИЗАЦИЯ "БРЯНСКОЕ ГОСУДАРСТВЕННОЕ УЧИЛИЩЕ (КОЛЛЕДЖ) ОЛИМПИЙСКОГО РЕЗЕРВА"</t>
  </si>
  <si>
    <t>3234018626</t>
  </si>
  <si>
    <t>325701001</t>
  </si>
  <si>
    <t>0000000001100077708</t>
  </si>
  <si>
    <t>5002002411</t>
  </si>
  <si>
    <t>500201001</t>
  </si>
  <si>
    <t>3444048176</t>
  </si>
  <si>
    <t>344401001</t>
  </si>
  <si>
    <t>3811029310</t>
  </si>
  <si>
    <t>381101001</t>
  </si>
  <si>
    <t>ФЕДЕРАЛЬНОЕ ГОСУДАРСТВЕННОЕ БЮДЖЕТНОЕ УЧРЕЖДЕНИЕ ПРОФЕССИОНАЛЬНАЯ ОБРАЗОВАТЕЛЬНАЯ ОРГАНИЗАЦИЯ "ГОСУДАРСТВЕННОЕ УЧИЛИЩЕ (КОЛЛЕДЖ) ОЛИМПИЙСКОГО РЕЗЕРВА Г. ИРКУТСКА"</t>
  </si>
  <si>
    <t>ФЕДЕРАЛЬНОЕ ГОСУДАРСТВЕННОЕ БЮДЖЕТНОЕ УЧРЕЖДЕНИЕ ПРОФЕССИОНАЛЬНАЯ ОБРАЗОВАТЕЛЬНАЯ ОРГАНИЗАЦИЯ "КИСЛОВОДСКОЕ ГОСУДАРСТВЕННОЕ УЧИЛИЩЕ (ТЕХНИКУМ) ОЛИМПИЙСКОГО РЕЗЕРВА"</t>
  </si>
  <si>
    <t>2628026639</t>
  </si>
  <si>
    <t>262801001</t>
  </si>
  <si>
    <t>ФЕДЕРАЛЬНОЕ ГОСУДАРСТВЕННОЕ БЮДЖЕТНОЕ УЧРЕЖДЕНИЕ ПРОФЕССИОНАЛЬНАЯ ОБРАЗОВАТЕЛЬНАЯ ОРГАНИЗАЦИЯ "ГОСУДАРСТВЕННОЕ УЧИЛИЩЕ (ТЕХНИКУМ) ОЛИМПИЙСКОГО РЕЗЕРВА Г.САМАРА"</t>
  </si>
  <si>
    <t>6316031479</t>
  </si>
  <si>
    <t>631601001</t>
  </si>
  <si>
    <t>5050028226</t>
  </si>
  <si>
    <t>505001001</t>
  </si>
  <si>
    <t>ФЕДЕРАЛЬНОЕ ГОСУДАРСТВЕННОЕ БЮДЖЕТНОЕ УЧРЕЖДЕНИЕ ПРОФЕССИОНАЛЬНАЯ ОБРАЗОВАТЕЛЬНАЯ ОРГАНИЗАЦИЯ "ГОСУДАРСТВЕННОЕ УЧИЛИЩЕ (ТЕХНИКУМ) ОЛИМПИЙСКОГО РЕЗЕРВА Г.ЩЕЛКОВО МОСКОВСКОЙ ОБЛАСТИ"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</si>
</sst>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\ _₽_-;\-* #,##0\ _₽_-;_-* &quot;-&quot;??\ _₽_-;_-@_-"/>
    <numFmt numFmtId="166" formatCode="0.000000000000"/>
    <numFmt numFmtId="167" formatCode="_-* #,##0.00000000000\ _₽_-;\-* #,##0.00000000000\ _₽_-;_-* &quot;-&quot;??\ _₽_-;_-@_-"/>
    <numFmt numFmtId="168" formatCode="_-* #,##0.0000\ _₽_-;\-* #,##0.0000\ _₽_-;_-* &quot;-&quot;??\ _₽_-;_-@_-"/>
    <numFmt numFmtId="169" formatCode="_-* #,##0.000000\ _₽_-;\-* #,##0.000000\ _₽_-;_-* &quot;-&quot;??\ _₽_-;_-@_-"/>
    <numFmt numFmtId="170" formatCode="_-* #,##0.00000\ _₽_-;\-* #,##0.00000\ _₽_-;_-* &quot;-&quot;??\ _₽_-;_-@_-"/>
    <numFmt numFmtId="171" formatCode="0.00000"/>
    <numFmt numFmtId="172" formatCode="_-* #,##0.0000000000\ _₽_-;\-* #,##0.0000000000\ _₽_-;_-* &quot;-&quot;??\ _₽_-;_-@_-"/>
    <numFmt numFmtId="173" formatCode="0.0"/>
    <numFmt numFmtId="174" formatCode="#,##0.000"/>
    <numFmt numFmtId="175" formatCode="0.000000"/>
    <numFmt numFmtId="176" formatCode="_-* #,##0.000000000\ _₽_-;\-* #,##0.000000000\ _₽_-;_-* &quot;-&quot;??\ _₽_-;_-@_-"/>
    <numFmt numFmtId="177" formatCode="#,##0.0"/>
    <numFmt numFmtId="178" formatCode="#,##0.0_ ;\-#,##0.0\ 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72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b/>
      <sz val="24"/>
      <color rgb="FFFF000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36"/>
      <color rgb="FFFF000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sz val="48"/>
      <color theme="1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8"/>
      <color rgb="FFFF0000"/>
      <name val="Times New Roman"/>
      <family val="1"/>
      <charset val="204"/>
    </font>
    <font>
      <i/>
      <sz val="48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0" fontId="28" fillId="0" borderId="0"/>
    <xf numFmtId="0" fontId="31" fillId="0" borderId="0"/>
  </cellStyleXfs>
  <cellXfs count="839">
    <xf numFmtId="0" fontId="0" fillId="0" borderId="0" xfId="0"/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4" fontId="6" fillId="0" borderId="1" xfId="0" applyNumberFormat="1" applyFont="1" applyFill="1" applyBorder="1" applyAlignment="1">
      <alignment wrapText="1"/>
    </xf>
    <xf numFmtId="4" fontId="9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  <xf numFmtId="43" fontId="0" fillId="0" borderId="1" xfId="1" applyFont="1" applyBorder="1"/>
    <xf numFmtId="165" fontId="0" fillId="0" borderId="1" xfId="1" applyNumberFormat="1" applyFont="1" applyBorder="1"/>
    <xf numFmtId="43" fontId="0" fillId="0" borderId="0" xfId="1" applyFont="1"/>
    <xf numFmtId="0" fontId="12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165" fontId="1" fillId="0" borderId="1" xfId="0" applyNumberFormat="1" applyFont="1" applyBorder="1"/>
    <xf numFmtId="0" fontId="1" fillId="0" borderId="0" xfId="0" applyFont="1"/>
    <xf numFmtId="166" fontId="14" fillId="2" borderId="1" xfId="0" applyNumberFormat="1" applyFont="1" applyFill="1" applyBorder="1" applyAlignment="1">
      <alignment horizontal="center" vertical="center" wrapText="1"/>
    </xf>
    <xf numFmtId="43" fontId="15" fillId="0" borderId="1" xfId="1" applyFont="1" applyBorder="1"/>
    <xf numFmtId="0" fontId="15" fillId="0" borderId="1" xfId="0" applyFont="1" applyBorder="1" applyAlignment="1">
      <alignment wrapText="1"/>
    </xf>
    <xf numFmtId="43" fontId="15" fillId="0" borderId="1" xfId="0" applyNumberFormat="1" applyFont="1" applyBorder="1"/>
    <xf numFmtId="0" fontId="16" fillId="0" borderId="8" xfId="0" applyFont="1" applyBorder="1" applyAlignment="1"/>
    <xf numFmtId="0" fontId="17" fillId="0" borderId="0" xfId="0" applyFont="1"/>
    <xf numFmtId="0" fontId="16" fillId="0" borderId="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2" fillId="0" borderId="5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43" fontId="1" fillId="0" borderId="0" xfId="1" applyFont="1"/>
    <xf numFmtId="0" fontId="0" fillId="0" borderId="7" xfId="0" applyBorder="1"/>
    <xf numFmtId="165" fontId="0" fillId="0" borderId="3" xfId="1" applyNumberFormat="1" applyFont="1" applyBorder="1"/>
    <xf numFmtId="43" fontId="0" fillId="0" borderId="3" xfId="1" applyFont="1" applyBorder="1"/>
    <xf numFmtId="0" fontId="4" fillId="0" borderId="1" xfId="0" applyFont="1" applyBorder="1" applyAlignment="1">
      <alignment wrapText="1"/>
    </xf>
    <xf numFmtId="165" fontId="1" fillId="0" borderId="1" xfId="1" applyNumberFormat="1" applyFont="1" applyBorder="1"/>
    <xf numFmtId="43" fontId="1" fillId="0" borderId="1" xfId="1" applyFont="1" applyBorder="1"/>
    <xf numFmtId="0" fontId="1" fillId="0" borderId="0" xfId="0" applyFont="1" applyBorder="1"/>
    <xf numFmtId="165" fontId="1" fillId="0" borderId="0" xfId="1" applyNumberFormat="1" applyFont="1" applyBorder="1"/>
    <xf numFmtId="43" fontId="1" fillId="0" borderId="0" xfId="1" applyFont="1" applyBorder="1"/>
    <xf numFmtId="43" fontId="1" fillId="0" borderId="2" xfId="1" applyFont="1" applyBorder="1"/>
    <xf numFmtId="165" fontId="1" fillId="0" borderId="3" xfId="1" applyNumberFormat="1" applyFont="1" applyBorder="1"/>
    <xf numFmtId="43" fontId="1" fillId="0" borderId="3" xfId="1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3" fontId="0" fillId="0" borderId="5" xfId="1" applyFont="1" applyBorder="1"/>
    <xf numFmtId="165" fontId="1" fillId="0" borderId="5" xfId="0" applyNumberFormat="1" applyFont="1" applyBorder="1"/>
    <xf numFmtId="0" fontId="0" fillId="0" borderId="5" xfId="0" applyBorder="1"/>
    <xf numFmtId="43" fontId="0" fillId="0" borderId="1" xfId="0" applyNumberFormat="1" applyBorder="1"/>
    <xf numFmtId="0" fontId="15" fillId="0" borderId="1" xfId="0" applyFont="1" applyBorder="1"/>
    <xf numFmtId="167" fontId="15" fillId="0" borderId="1" xfId="0" applyNumberFormat="1" applyFont="1" applyBorder="1"/>
    <xf numFmtId="43" fontId="0" fillId="0" borderId="3" xfId="0" applyNumberFormat="1" applyBorder="1"/>
    <xf numFmtId="43" fontId="0" fillId="0" borderId="0" xfId="0" applyNumberFormat="1" applyBorder="1"/>
    <xf numFmtId="0" fontId="15" fillId="0" borderId="5" xfId="0" applyFont="1" applyBorder="1"/>
    <xf numFmtId="43" fontId="0" fillId="0" borderId="2" xfId="0" applyNumberFormat="1" applyBorder="1"/>
    <xf numFmtId="43" fontId="15" fillId="0" borderId="13" xfId="0" applyNumberFormat="1" applyFont="1" applyBorder="1"/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168" fontId="0" fillId="0" borderId="1" xfId="1" applyNumberFormat="1" applyFont="1" applyFill="1" applyBorder="1" applyAlignment="1">
      <alignment wrapText="1"/>
    </xf>
    <xf numFmtId="0" fontId="0" fillId="8" borderId="0" xfId="0" applyNumberFormat="1" applyFont="1" applyFill="1" applyBorder="1" applyAlignment="1">
      <alignment wrapText="1"/>
    </xf>
    <xf numFmtId="168" fontId="0" fillId="8" borderId="1" xfId="1" applyNumberFormat="1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5" xfId="0" applyFont="1" applyBorder="1" applyAlignment="1">
      <alignment wrapText="1"/>
    </xf>
    <xf numFmtId="43" fontId="0" fillId="8" borderId="1" xfId="1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43" fontId="0" fillId="8" borderId="2" xfId="1" applyFont="1" applyFill="1" applyBorder="1"/>
    <xf numFmtId="0" fontId="0" fillId="0" borderId="1" xfId="0" applyBorder="1" applyAlignment="1">
      <alignment wrapText="1"/>
    </xf>
    <xf numFmtId="1" fontId="17" fillId="0" borderId="1" xfId="1" applyNumberFormat="1" applyFont="1" applyBorder="1"/>
    <xf numFmtId="43" fontId="0" fillId="0" borderId="2" xfId="1" applyFont="1" applyBorder="1"/>
    <xf numFmtId="169" fontId="0" fillId="0" borderId="1" xfId="1" applyNumberFormat="1" applyFont="1" applyBorder="1"/>
    <xf numFmtId="43" fontId="0" fillId="0" borderId="0" xfId="0" applyNumberFormat="1"/>
    <xf numFmtId="169" fontId="0" fillId="0" borderId="3" xfId="1" applyNumberFormat="1" applyFon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3" fillId="0" borderId="5" xfId="0" applyFont="1" applyFill="1" applyBorder="1" applyAlignment="1">
      <alignment horizontal="center" vertical="center" wrapText="1"/>
    </xf>
    <xf numFmtId="0" fontId="17" fillId="0" borderId="5" xfId="0" applyFont="1" applyBorder="1"/>
    <xf numFmtId="0" fontId="2" fillId="0" borderId="5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43" fontId="0" fillId="0" borderId="1" xfId="0" applyNumberFormat="1" applyBorder="1" applyAlignment="1">
      <alignment wrapText="1"/>
    </xf>
    <xf numFmtId="171" fontId="0" fillId="0" borderId="1" xfId="0" applyNumberFormat="1" applyBorder="1" applyAlignment="1">
      <alignment wrapText="1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0" fontId="18" fillId="0" borderId="1" xfId="0" applyFont="1" applyBorder="1"/>
    <xf numFmtId="43" fontId="18" fillId="0" borderId="1" xfId="1" applyFont="1" applyBorder="1"/>
    <xf numFmtId="43" fontId="18" fillId="0" borderId="0" xfId="1" applyFont="1"/>
    <xf numFmtId="43" fontId="20" fillId="0" borderId="1" xfId="1" applyFont="1" applyBorder="1" applyAlignment="1">
      <alignment vertical="center" wrapText="1"/>
    </xf>
    <xf numFmtId="43" fontId="18" fillId="0" borderId="0" xfId="0" applyNumberFormat="1" applyFont="1"/>
    <xf numFmtId="166" fontId="14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/>
    <xf numFmtId="43" fontId="1" fillId="5" borderId="3" xfId="1" applyFont="1" applyFill="1" applyBorder="1"/>
    <xf numFmtId="43" fontId="1" fillId="5" borderId="1" xfId="1" applyFont="1" applyFill="1" applyBorder="1"/>
    <xf numFmtId="43" fontId="1" fillId="5" borderId="4" xfId="1" applyFont="1" applyFill="1" applyBorder="1"/>
    <xf numFmtId="0" fontId="0" fillId="10" borderId="1" xfId="0" applyFill="1" applyBorder="1" applyAlignment="1">
      <alignment horizontal="center" wrapText="1"/>
    </xf>
    <xf numFmtId="43" fontId="0" fillId="10" borderId="1" xfId="1" applyFont="1" applyFill="1" applyBorder="1"/>
    <xf numFmtId="43" fontId="15" fillId="10" borderId="1" xfId="1" applyFont="1" applyFill="1" applyBorder="1"/>
    <xf numFmtId="43" fontId="9" fillId="0" borderId="1" xfId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wrapText="1"/>
    </xf>
    <xf numFmtId="0" fontId="21" fillId="5" borderId="1" xfId="0" applyFont="1" applyFill="1" applyBorder="1" applyAlignment="1">
      <alignment horizontal="center" wrapText="1"/>
    </xf>
    <xf numFmtId="43" fontId="21" fillId="5" borderId="1" xfId="1" applyFont="1" applyFill="1" applyBorder="1"/>
    <xf numFmtId="43" fontId="22" fillId="5" borderId="1" xfId="1" applyFont="1" applyFill="1" applyBorder="1"/>
    <xf numFmtId="43" fontId="22" fillId="5" borderId="1" xfId="0" applyNumberFormat="1" applyFont="1" applyFill="1" applyBorder="1"/>
    <xf numFmtId="0" fontId="21" fillId="5" borderId="0" xfId="0" applyFont="1" applyFill="1"/>
    <xf numFmtId="43" fontId="21" fillId="5" borderId="3" xfId="1" applyFont="1" applyFill="1" applyBorder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6" fontId="14" fillId="10" borderId="1" xfId="0" applyNumberFormat="1" applyFont="1" applyFill="1" applyBorder="1" applyAlignment="1">
      <alignment horizontal="center" vertical="top" wrapText="1"/>
    </xf>
    <xf numFmtId="166" fontId="14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wrapText="1"/>
    </xf>
    <xf numFmtId="43" fontId="1" fillId="0" borderId="1" xfId="1" applyFont="1" applyBorder="1" applyAlignment="1">
      <alignment horizontal="right"/>
    </xf>
    <xf numFmtId="43" fontId="1" fillId="0" borderId="3" xfId="1" applyFont="1" applyBorder="1" applyAlignment="1">
      <alignment horizontal="right"/>
    </xf>
    <xf numFmtId="0" fontId="23" fillId="0" borderId="2" xfId="0" applyFont="1" applyBorder="1" applyAlignment="1">
      <alignment wrapText="1"/>
    </xf>
    <xf numFmtId="43" fontId="23" fillId="0" borderId="1" xfId="0" applyNumberFormat="1" applyFont="1" applyBorder="1"/>
    <xf numFmtId="166" fontId="9" fillId="5" borderId="1" xfId="0" applyNumberFormat="1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wrapText="1"/>
    </xf>
    <xf numFmtId="43" fontId="1" fillId="11" borderId="1" xfId="1" applyFont="1" applyFill="1" applyBorder="1"/>
    <xf numFmtId="43" fontId="23" fillId="11" borderId="1" xfId="0" applyNumberFormat="1" applyFont="1" applyFill="1" applyBorder="1"/>
    <xf numFmtId="172" fontId="1" fillId="11" borderId="4" xfId="1" applyNumberFormat="1" applyFont="1" applyFill="1" applyBorder="1"/>
    <xf numFmtId="0" fontId="21" fillId="10" borderId="1" xfId="0" applyFont="1" applyFill="1" applyBorder="1" applyAlignment="1">
      <alignment horizontal="center" wrapText="1"/>
    </xf>
    <xf numFmtId="43" fontId="21" fillId="10" borderId="1" xfId="1" applyFont="1" applyFill="1" applyBorder="1"/>
    <xf numFmtId="43" fontId="22" fillId="10" borderId="1" xfId="1" applyFont="1" applyFill="1" applyBorder="1"/>
    <xf numFmtId="43" fontId="22" fillId="0" borderId="1" xfId="0" applyNumberFormat="1" applyFont="1" applyBorder="1"/>
    <xf numFmtId="43" fontId="21" fillId="0" borderId="1" xfId="1" applyFont="1" applyBorder="1"/>
    <xf numFmtId="0" fontId="21" fillId="0" borderId="0" xfId="0" applyFont="1"/>
    <xf numFmtId="0" fontId="21" fillId="0" borderId="1" xfId="0" applyFont="1" applyBorder="1" applyAlignment="1">
      <alignment horizontal="center" wrapText="1"/>
    </xf>
    <xf numFmtId="43" fontId="21" fillId="0" borderId="3" xfId="1" applyFont="1" applyBorder="1"/>
    <xf numFmtId="43" fontId="22" fillId="0" borderId="1" xfId="1" applyFont="1" applyBorder="1"/>
    <xf numFmtId="165" fontId="1" fillId="0" borderId="1" xfId="0" applyNumberFormat="1" applyFont="1" applyFill="1" applyBorder="1"/>
    <xf numFmtId="166" fontId="14" fillId="0" borderId="1" xfId="0" applyNumberFormat="1" applyFont="1" applyFill="1" applyBorder="1" applyAlignment="1">
      <alignment horizontal="center" vertical="center" wrapText="1"/>
    </xf>
    <xf numFmtId="43" fontId="1" fillId="0" borderId="3" xfId="1" applyFont="1" applyFill="1" applyBorder="1"/>
    <xf numFmtId="43" fontId="1" fillId="0" borderId="1" xfId="1" applyFont="1" applyFill="1" applyBorder="1"/>
    <xf numFmtId="43" fontId="1" fillId="0" borderId="0" xfId="1" applyFont="1" applyFill="1" applyBorder="1"/>
    <xf numFmtId="0" fontId="21" fillId="0" borderId="1" xfId="0" applyFont="1" applyFill="1" applyBorder="1" applyAlignment="1">
      <alignment horizontal="center" wrapText="1"/>
    </xf>
    <xf numFmtId="43" fontId="21" fillId="0" borderId="1" xfId="1" applyFont="1" applyFill="1" applyBorder="1"/>
    <xf numFmtId="43" fontId="22" fillId="0" borderId="1" xfId="1" applyFont="1" applyFill="1" applyBorder="1"/>
    <xf numFmtId="43" fontId="22" fillId="0" borderId="1" xfId="0" applyNumberFormat="1" applyFont="1" applyFill="1" applyBorder="1"/>
    <xf numFmtId="0" fontId="21" fillId="0" borderId="0" xfId="0" applyFont="1" applyFill="1"/>
    <xf numFmtId="43" fontId="21" fillId="0" borderId="3" xfId="1" applyFont="1" applyFill="1" applyBorder="1"/>
    <xf numFmtId="0" fontId="24" fillId="5" borderId="1" xfId="0" applyFont="1" applyFill="1" applyBorder="1" applyAlignment="1">
      <alignment horizontal="center" wrapText="1"/>
    </xf>
    <xf numFmtId="43" fontId="24" fillId="5" borderId="1" xfId="1" applyFont="1" applyFill="1" applyBorder="1"/>
    <xf numFmtId="43" fontId="24" fillId="5" borderId="1" xfId="0" applyNumberFormat="1" applyFont="1" applyFill="1" applyBorder="1"/>
    <xf numFmtId="0" fontId="15" fillId="0" borderId="1" xfId="0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top" wrapText="1"/>
    </xf>
    <xf numFmtId="0" fontId="23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wrapText="1"/>
    </xf>
    <xf numFmtId="165" fontId="15" fillId="0" borderId="1" xfId="1" applyNumberFormat="1" applyFont="1" applyBorder="1" applyAlignment="1">
      <alignment wrapText="1"/>
    </xf>
    <xf numFmtId="0" fontId="23" fillId="0" borderId="1" xfId="0" applyFont="1" applyBorder="1" applyAlignment="1">
      <alignment horizontal="center" wrapText="1"/>
    </xf>
    <xf numFmtId="0" fontId="23" fillId="0" borderId="5" xfId="0" applyFont="1" applyBorder="1" applyAlignment="1">
      <alignment horizontal="center" wrapText="1"/>
    </xf>
    <xf numFmtId="165" fontId="15" fillId="0" borderId="1" xfId="1" applyNumberFormat="1" applyFont="1" applyBorder="1"/>
    <xf numFmtId="43" fontId="15" fillId="0" borderId="5" xfId="1" applyFont="1" applyBorder="1"/>
    <xf numFmtId="0" fontId="25" fillId="0" borderId="1" xfId="0" applyFont="1" applyFill="1" applyBorder="1" applyAlignment="1">
      <alignment horizontal="center" vertical="top" wrapText="1"/>
    </xf>
    <xf numFmtId="43" fontId="24" fillId="10" borderId="1" xfId="1" applyFont="1" applyFill="1" applyBorder="1"/>
    <xf numFmtId="166" fontId="9" fillId="12" borderId="1" xfId="0" applyNumberFormat="1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wrapText="1"/>
    </xf>
    <xf numFmtId="0" fontId="24" fillId="12" borderId="1" xfId="0" applyFont="1" applyFill="1" applyBorder="1" applyAlignment="1">
      <alignment horizontal="center" wrapText="1"/>
    </xf>
    <xf numFmtId="43" fontId="24" fillId="12" borderId="1" xfId="1" applyFont="1" applyFill="1" applyBorder="1"/>
    <xf numFmtId="43" fontId="22" fillId="12" borderId="1" xfId="1" applyFont="1" applyFill="1" applyBorder="1"/>
    <xf numFmtId="43" fontId="24" fillId="12" borderId="1" xfId="0" applyNumberFormat="1" applyFont="1" applyFill="1" applyBorder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8" fontId="0" fillId="5" borderId="1" xfId="1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73" fontId="0" fillId="0" borderId="1" xfId="0" applyNumberFormat="1" applyFill="1" applyBorder="1"/>
    <xf numFmtId="164" fontId="1" fillId="0" borderId="0" xfId="0" applyNumberFormat="1" applyFont="1"/>
    <xf numFmtId="174" fontId="26" fillId="13" borderId="1" xfId="0" applyNumberFormat="1" applyFont="1" applyFill="1" applyBorder="1" applyAlignment="1">
      <alignment horizontal="center"/>
    </xf>
    <xf numFmtId="0" fontId="27" fillId="0" borderId="0" xfId="0" applyFont="1"/>
    <xf numFmtId="0" fontId="0" fillId="0" borderId="1" xfId="0" applyBorder="1" applyAlignment="1">
      <alignment vertical="top"/>
    </xf>
    <xf numFmtId="0" fontId="0" fillId="0" borderId="7" xfId="0" applyBorder="1" applyAlignment="1">
      <alignment horizontal="center" wrapText="1"/>
    </xf>
    <xf numFmtId="0" fontId="0" fillId="0" borderId="0" xfId="0" applyBorder="1"/>
    <xf numFmtId="0" fontId="6" fillId="0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166" fontId="9" fillId="4" borderId="1" xfId="0" applyNumberFormat="1" applyFont="1" applyFill="1" applyBorder="1" applyAlignment="1">
      <alignment horizontal="center" vertical="top" wrapText="1"/>
    </xf>
    <xf numFmtId="166" fontId="14" fillId="4" borderId="1" xfId="0" applyNumberFormat="1" applyFont="1" applyFill="1" applyBorder="1" applyAlignment="1">
      <alignment horizontal="center" vertical="top" wrapText="1"/>
    </xf>
    <xf numFmtId="0" fontId="25" fillId="4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43" fontId="15" fillId="4" borderId="1" xfId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horizontal="center" vertical="top" wrapText="1"/>
    </xf>
    <xf numFmtId="0" fontId="23" fillId="4" borderId="5" xfId="0" applyFont="1" applyFill="1" applyBorder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1" fillId="4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1" xfId="0" applyFill="1" applyBorder="1"/>
    <xf numFmtId="0" fontId="24" fillId="4" borderId="1" xfId="0" applyFont="1" applyFill="1" applyBorder="1" applyAlignment="1">
      <alignment horizontal="center" wrapText="1"/>
    </xf>
    <xf numFmtId="165" fontId="15" fillId="4" borderId="1" xfId="1" applyNumberFormat="1" applyFont="1" applyFill="1" applyBorder="1" applyAlignment="1">
      <alignment wrapText="1"/>
    </xf>
    <xf numFmtId="0" fontId="23" fillId="4" borderId="1" xfId="0" applyFont="1" applyFill="1" applyBorder="1" applyAlignment="1">
      <alignment horizontal="center" wrapText="1"/>
    </xf>
    <xf numFmtId="0" fontId="23" fillId="4" borderId="5" xfId="0" applyFont="1" applyFill="1" applyBorder="1" applyAlignment="1">
      <alignment horizontal="center" wrapText="1"/>
    </xf>
    <xf numFmtId="0" fontId="15" fillId="4" borderId="1" xfId="0" applyFont="1" applyFill="1" applyBorder="1"/>
    <xf numFmtId="165" fontId="0" fillId="4" borderId="1" xfId="1" applyNumberFormat="1" applyFont="1" applyFill="1" applyBorder="1"/>
    <xf numFmtId="43" fontId="1" fillId="4" borderId="1" xfId="1" applyFont="1" applyFill="1" applyBorder="1"/>
    <xf numFmtId="43" fontId="0" fillId="4" borderId="1" xfId="1" applyFont="1" applyFill="1" applyBorder="1"/>
    <xf numFmtId="43" fontId="21" fillId="4" borderId="1" xfId="1" applyFont="1" applyFill="1" applyBorder="1"/>
    <xf numFmtId="43" fontId="24" fillId="4" borderId="1" xfId="1" applyFont="1" applyFill="1" applyBorder="1"/>
    <xf numFmtId="43" fontId="15" fillId="4" borderId="1" xfId="1" applyFont="1" applyFill="1" applyBorder="1"/>
    <xf numFmtId="165" fontId="15" fillId="4" borderId="1" xfId="1" applyNumberFormat="1" applyFont="1" applyFill="1" applyBorder="1"/>
    <xf numFmtId="43" fontId="15" fillId="4" borderId="5" xfId="1" applyFont="1" applyFill="1" applyBorder="1"/>
    <xf numFmtId="43" fontId="15" fillId="4" borderId="1" xfId="0" applyNumberFormat="1" applyFont="1" applyFill="1" applyBorder="1"/>
    <xf numFmtId="43" fontId="0" fillId="4" borderId="0" xfId="0" applyNumberFormat="1" applyFill="1"/>
    <xf numFmtId="170" fontId="0" fillId="4" borderId="0" xfId="0" applyNumberFormat="1" applyFill="1"/>
    <xf numFmtId="43" fontId="0" fillId="4" borderId="0" xfId="1" applyFont="1" applyFill="1"/>
    <xf numFmtId="0" fontId="0" fillId="7" borderId="1" xfId="0" applyFill="1" applyBorder="1" applyAlignment="1">
      <alignment vertical="top"/>
    </xf>
    <xf numFmtId="0" fontId="0" fillId="7" borderId="0" xfId="0" applyFill="1" applyAlignment="1">
      <alignment vertical="top"/>
    </xf>
    <xf numFmtId="0" fontId="0" fillId="7" borderId="1" xfId="0" applyFill="1" applyBorder="1"/>
    <xf numFmtId="0" fontId="0" fillId="7" borderId="0" xfId="0" applyFill="1"/>
    <xf numFmtId="43" fontId="0" fillId="7" borderId="1" xfId="1" applyFont="1" applyFill="1" applyBorder="1"/>
    <xf numFmtId="43" fontId="0" fillId="7" borderId="0" xfId="1" applyFont="1" applyFill="1"/>
    <xf numFmtId="0" fontId="0" fillId="0" borderId="0" xfId="0" applyFill="1"/>
    <xf numFmtId="169" fontId="0" fillId="0" borderId="0" xfId="0" applyNumberFormat="1"/>
    <xf numFmtId="175" fontId="0" fillId="0" borderId="1" xfId="0" applyNumberFormat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43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29" fillId="5" borderId="17" xfId="2" applyNumberFormat="1" applyFont="1" applyFill="1" applyBorder="1" applyAlignment="1">
      <alignment horizontal="right"/>
    </xf>
    <xf numFmtId="2" fontId="29" fillId="5" borderId="17" xfId="2" applyNumberFormat="1" applyFont="1" applyFill="1" applyBorder="1" applyAlignment="1">
      <alignment horizontal="right"/>
    </xf>
    <xf numFmtId="43" fontId="0" fillId="7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30" fillId="0" borderId="1" xfId="0" applyFont="1" applyFill="1" applyBorder="1" applyAlignment="1">
      <alignment horizontal="center" vertical="center" wrapText="1"/>
    </xf>
    <xf numFmtId="0" fontId="21" fillId="10" borderId="0" xfId="0" applyFont="1" applyFill="1"/>
    <xf numFmtId="0" fontId="11" fillId="5" borderId="9" xfId="0" applyFont="1" applyFill="1" applyBorder="1" applyAlignment="1">
      <alignment vertical="center" wrapText="1"/>
    </xf>
    <xf numFmtId="0" fontId="11" fillId="5" borderId="1" xfId="0" applyFont="1" applyFill="1" applyBorder="1"/>
    <xf numFmtId="0" fontId="12" fillId="5" borderId="1" xfId="0" applyFont="1" applyFill="1" applyBorder="1"/>
    <xf numFmtId="0" fontId="11" fillId="5" borderId="1" xfId="0" applyFont="1" applyFill="1" applyBorder="1" applyAlignment="1">
      <alignment vertical="center" wrapText="1"/>
    </xf>
    <xf numFmtId="0" fontId="17" fillId="7" borderId="1" xfId="0" applyFont="1" applyFill="1" applyBorder="1"/>
    <xf numFmtId="0" fontId="12" fillId="7" borderId="1" xfId="0" applyFont="1" applyFill="1" applyBorder="1" applyAlignment="1">
      <alignment vertical="center"/>
    </xf>
    <xf numFmtId="0" fontId="11" fillId="7" borderId="1" xfId="0" applyFont="1" applyFill="1" applyBorder="1"/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0" fillId="0" borderId="1" xfId="0" applyFont="1" applyBorder="1"/>
    <xf numFmtId="0" fontId="14" fillId="0" borderId="0" xfId="0" applyFont="1"/>
    <xf numFmtId="0" fontId="2" fillId="0" borderId="0" xfId="0" applyFont="1"/>
    <xf numFmtId="0" fontId="6" fillId="0" borderId="1" xfId="0" applyFont="1" applyBorder="1"/>
    <xf numFmtId="43" fontId="6" fillId="0" borderId="1" xfId="0" applyNumberFormat="1" applyFont="1" applyBorder="1"/>
    <xf numFmtId="0" fontId="2" fillId="5" borderId="0" xfId="0" applyFont="1" applyFill="1"/>
    <xf numFmtId="0" fontId="2" fillId="0" borderId="0" xfId="0" applyFont="1" applyFill="1"/>
    <xf numFmtId="0" fontId="2" fillId="0" borderId="7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43" fontId="26" fillId="0" borderId="1" xfId="1" applyFont="1" applyBorder="1"/>
    <xf numFmtId="43" fontId="7" fillId="0" borderId="1" xfId="1" applyFont="1" applyBorder="1"/>
    <xf numFmtId="43" fontId="26" fillId="5" borderId="1" xfId="1" applyFont="1" applyFill="1" applyBorder="1"/>
    <xf numFmtId="43" fontId="26" fillId="0" borderId="1" xfId="1" applyFont="1" applyFill="1" applyBorder="1"/>
    <xf numFmtId="43" fontId="7" fillId="0" borderId="1" xfId="0" applyNumberFormat="1" applyFont="1" applyBorder="1"/>
    <xf numFmtId="43" fontId="3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165" fontId="26" fillId="0" borderId="1" xfId="1" applyNumberFormat="1" applyFont="1" applyBorder="1"/>
    <xf numFmtId="43" fontId="26" fillId="0" borderId="1" xfId="1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43" fontId="26" fillId="5" borderId="1" xfId="1" applyFont="1" applyFill="1" applyBorder="1" applyAlignment="1">
      <alignment vertical="center"/>
    </xf>
    <xf numFmtId="43" fontId="26" fillId="0" borderId="1" xfId="1" applyFont="1" applyFill="1" applyBorder="1" applyAlignment="1">
      <alignment vertical="center"/>
    </xf>
    <xf numFmtId="43" fontId="7" fillId="0" borderId="1" xfId="0" applyNumberFormat="1" applyFont="1" applyBorder="1" applyAlignment="1">
      <alignment vertical="center"/>
    </xf>
    <xf numFmtId="43" fontId="26" fillId="0" borderId="1" xfId="1" applyFont="1" applyBorder="1" applyAlignment="1">
      <alignment horizontal="right" vertical="center"/>
    </xf>
    <xf numFmtId="43" fontId="26" fillId="0" borderId="3" xfId="1" applyFont="1" applyBorder="1" applyAlignment="1">
      <alignment vertical="center"/>
    </xf>
    <xf numFmtId="43" fontId="7" fillId="0" borderId="3" xfId="1" applyFont="1" applyBorder="1" applyAlignment="1">
      <alignment vertical="center"/>
    </xf>
    <xf numFmtId="43" fontId="26" fillId="0" borderId="3" xfId="1" applyFont="1" applyBorder="1" applyAlignment="1">
      <alignment horizontal="right" vertical="center"/>
    </xf>
    <xf numFmtId="43" fontId="26" fillId="5" borderId="3" xfId="1" applyFont="1" applyFill="1" applyBorder="1" applyAlignment="1">
      <alignment vertical="center"/>
    </xf>
    <xf numFmtId="43" fontId="26" fillId="0" borderId="3" xfId="1" applyFont="1" applyFill="1" applyBorder="1" applyAlignment="1">
      <alignment vertical="center"/>
    </xf>
    <xf numFmtId="165" fontId="26" fillId="0" borderId="3" xfId="1" applyNumberFormat="1" applyFont="1" applyBorder="1" applyAlignment="1">
      <alignment vertical="center"/>
    </xf>
    <xf numFmtId="165" fontId="26" fillId="0" borderId="1" xfId="1" applyNumberFormat="1" applyFont="1" applyBorder="1" applyAlignment="1">
      <alignment vertical="center"/>
    </xf>
    <xf numFmtId="165" fontId="26" fillId="0" borderId="0" xfId="1" applyNumberFormat="1" applyFont="1" applyBorder="1" applyAlignment="1">
      <alignment vertical="center"/>
    </xf>
    <xf numFmtId="43" fontId="26" fillId="0" borderId="0" xfId="1" applyFont="1" applyBorder="1" applyAlignment="1">
      <alignment vertical="center"/>
    </xf>
    <xf numFmtId="43" fontId="26" fillId="0" borderId="2" xfId="1" applyFont="1" applyBorder="1" applyAlignment="1">
      <alignment vertical="center"/>
    </xf>
    <xf numFmtId="43" fontId="26" fillId="5" borderId="4" xfId="1" applyFont="1" applyFill="1" applyBorder="1" applyAlignment="1">
      <alignment vertical="center"/>
    </xf>
    <xf numFmtId="43" fontId="26" fillId="0" borderId="0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4" fillId="0" borderId="2" xfId="0" applyFont="1" applyBorder="1" applyAlignment="1">
      <alignment vertical="center" wrapText="1"/>
    </xf>
    <xf numFmtId="43" fontId="34" fillId="5" borderId="1" xfId="1" applyFont="1" applyFill="1" applyBorder="1" applyAlignment="1">
      <alignment vertical="center"/>
    </xf>
    <xf numFmtId="43" fontId="34" fillId="0" borderId="1" xfId="1" applyFont="1" applyFill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3" fontId="34" fillId="5" borderId="1" xfId="0" applyNumberFormat="1" applyFont="1" applyFill="1" applyBorder="1" applyAlignment="1">
      <alignment vertical="center"/>
    </xf>
    <xf numFmtId="43" fontId="34" fillId="0" borderId="1" xfId="0" applyNumberFormat="1" applyFont="1" applyFill="1" applyBorder="1" applyAlignment="1">
      <alignment vertical="center"/>
    </xf>
    <xf numFmtId="167" fontId="33" fillId="0" borderId="1" xfId="0" applyNumberFormat="1" applyFont="1" applyBorder="1" applyAlignment="1">
      <alignment vertical="center"/>
    </xf>
    <xf numFmtId="0" fontId="26" fillId="0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74" fontId="26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43" fontId="26" fillId="3" borderId="0" xfId="1" applyFont="1" applyFill="1" applyBorder="1" applyAlignment="1">
      <alignment vertical="center"/>
    </xf>
    <xf numFmtId="43" fontId="34" fillId="3" borderId="1" xfId="1" applyFont="1" applyFill="1" applyBorder="1" applyAlignment="1">
      <alignment vertical="center"/>
    </xf>
    <xf numFmtId="43" fontId="34" fillId="3" borderId="1" xfId="0" applyNumberFormat="1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166" fontId="1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6" fillId="3" borderId="0" xfId="0" applyFont="1" applyFill="1"/>
    <xf numFmtId="43" fontId="6" fillId="3" borderId="0" xfId="0" applyNumberFormat="1" applyFont="1" applyFill="1" applyBorder="1"/>
    <xf numFmtId="0" fontId="0" fillId="3" borderId="0" xfId="0" applyFill="1"/>
    <xf numFmtId="0" fontId="1" fillId="3" borderId="0" xfId="0" applyFont="1" applyFill="1"/>
    <xf numFmtId="0" fontId="21" fillId="3" borderId="0" xfId="0" applyFont="1" applyFill="1"/>
    <xf numFmtId="166" fontId="9" fillId="1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43" fontId="26" fillId="3" borderId="1" xfId="1" applyFont="1" applyFill="1" applyBorder="1"/>
    <xf numFmtId="43" fontId="34" fillId="0" borderId="0" xfId="1" applyFont="1" applyAlignment="1">
      <alignment vertical="center"/>
    </xf>
    <xf numFmtId="0" fontId="32" fillId="3" borderId="0" xfId="0" applyFont="1" applyFill="1" applyAlignment="1">
      <alignment horizontal="center"/>
    </xf>
    <xf numFmtId="0" fontId="14" fillId="0" borderId="5" xfId="0" applyFont="1" applyFill="1" applyBorder="1" applyAlignment="1">
      <alignment horizontal="center" vertical="center" wrapText="1"/>
    </xf>
    <xf numFmtId="43" fontId="7" fillId="0" borderId="5" xfId="0" applyNumberFormat="1" applyFont="1" applyBorder="1"/>
    <xf numFmtId="0" fontId="6" fillId="0" borderId="5" xfId="0" applyFont="1" applyBorder="1" applyAlignment="1">
      <alignment horizontal="center" wrapText="1"/>
    </xf>
    <xf numFmtId="43" fontId="6" fillId="0" borderId="5" xfId="0" applyNumberFormat="1" applyFont="1" applyBorder="1"/>
    <xf numFmtId="43" fontId="7" fillId="0" borderId="5" xfId="0" applyNumberFormat="1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43" fontId="7" fillId="0" borderId="15" xfId="0" applyNumberFormat="1" applyFont="1" applyBorder="1" applyAlignment="1">
      <alignment vertical="center"/>
    </xf>
    <xf numFmtId="49" fontId="26" fillId="0" borderId="1" xfId="0" applyNumberFormat="1" applyFont="1" applyBorder="1" applyAlignment="1">
      <alignment horizontal="center"/>
    </xf>
    <xf numFmtId="43" fontId="6" fillId="3" borderId="3" xfId="0" applyNumberFormat="1" applyFont="1" applyFill="1" applyBorder="1"/>
    <xf numFmtId="0" fontId="32" fillId="3" borderId="0" xfId="0" applyFont="1" applyFill="1" applyBorder="1" applyAlignment="1">
      <alignment horizont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177" fontId="35" fillId="0" borderId="7" xfId="0" applyNumberFormat="1" applyFont="1" applyFill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wrapText="1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Border="1"/>
    <xf numFmtId="177" fontId="7" fillId="0" borderId="0" xfId="0" applyNumberFormat="1" applyFont="1" applyAlignment="1">
      <alignment vertical="center"/>
    </xf>
    <xf numFmtId="177" fontId="0" fillId="0" borderId="0" xfId="0" applyNumberFormat="1"/>
    <xf numFmtId="0" fontId="6" fillId="12" borderId="1" xfId="0" applyFont="1" applyFill="1" applyBorder="1"/>
    <xf numFmtId="0" fontId="12" fillId="12" borderId="1" xfId="0" applyFont="1" applyFill="1" applyBorder="1" applyAlignment="1">
      <alignment horizontal="center" vertical="center"/>
    </xf>
    <xf numFmtId="177" fontId="7" fillId="12" borderId="1" xfId="0" applyNumberFormat="1" applyFont="1" applyFill="1" applyBorder="1" applyAlignment="1">
      <alignment horizontal="center" vertical="center"/>
    </xf>
    <xf numFmtId="177" fontId="26" fillId="12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4" fillId="0" borderId="0" xfId="0" applyFont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0" fillId="8" borderId="1" xfId="0" applyNumberFormat="1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 wrapText="1"/>
    </xf>
    <xf numFmtId="49" fontId="36" fillId="0" borderId="6" xfId="0" applyNumberFormat="1" applyFont="1" applyBorder="1" applyAlignment="1">
      <alignment wrapText="1"/>
    </xf>
    <xf numFmtId="0" fontId="37" fillId="0" borderId="1" xfId="0" applyFont="1" applyBorder="1"/>
    <xf numFmtId="0" fontId="37" fillId="12" borderId="1" xfId="0" applyFont="1" applyFill="1" applyBorder="1"/>
    <xf numFmtId="0" fontId="38" fillId="0" borderId="0" xfId="0" applyFont="1"/>
    <xf numFmtId="0" fontId="2" fillId="3" borderId="15" xfId="0" applyFont="1" applyFill="1" applyBorder="1" applyAlignment="1">
      <alignment horizontal="center" vertical="center" wrapText="1"/>
    </xf>
    <xf numFmtId="0" fontId="36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37" fillId="3" borderId="1" xfId="0" applyFont="1" applyFill="1" applyBorder="1"/>
    <xf numFmtId="0" fontId="0" fillId="8" borderId="3" xfId="0" applyFill="1" applyBorder="1" applyAlignment="1">
      <alignment wrapText="1"/>
    </xf>
    <xf numFmtId="0" fontId="0" fillId="8" borderId="3" xfId="0" applyFont="1" applyFill="1" applyBorder="1" applyAlignment="1">
      <alignment horizont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3" fontId="9" fillId="5" borderId="1" xfId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center"/>
    </xf>
    <xf numFmtId="0" fontId="0" fillId="5" borderId="1" xfId="0" applyNumberFormat="1" applyFont="1" applyFill="1" applyBorder="1" applyAlignment="1">
      <alignment wrapText="1"/>
    </xf>
    <xf numFmtId="0" fontId="0" fillId="5" borderId="1" xfId="0" applyFill="1" applyBorder="1"/>
    <xf numFmtId="43" fontId="6" fillId="5" borderId="1" xfId="1" applyFon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wrapText="1"/>
    </xf>
    <xf numFmtId="4" fontId="17" fillId="0" borderId="0" xfId="0" applyNumberFormat="1" applyFont="1" applyFill="1" applyBorder="1" applyAlignment="1">
      <alignment horizontal="center" vertical="center" wrapText="1"/>
    </xf>
    <xf numFmtId="4" fontId="39" fillId="0" borderId="0" xfId="0" applyNumberFormat="1" applyFont="1" applyFill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center" vertical="center" wrapText="1"/>
    </xf>
    <xf numFmtId="43" fontId="9" fillId="15" borderId="1" xfId="1" applyFont="1" applyFill="1" applyBorder="1" applyAlignment="1">
      <alignment horizontal="center" vertical="center" wrapText="1"/>
    </xf>
    <xf numFmtId="4" fontId="1" fillId="15" borderId="1" xfId="0" applyNumberFormat="1" applyFont="1" applyFill="1" applyBorder="1" applyAlignment="1">
      <alignment horizontal="center" vertical="center" wrapText="1"/>
    </xf>
    <xf numFmtId="4" fontId="39" fillId="15" borderId="0" xfId="0" applyNumberFormat="1" applyFont="1" applyFill="1" applyBorder="1" applyAlignment="1">
      <alignment horizontal="center" vertical="center" wrapText="1"/>
    </xf>
    <xf numFmtId="4" fontId="17" fillId="15" borderId="0" xfId="0" applyNumberFormat="1" applyFont="1" applyFill="1" applyBorder="1" applyAlignment="1">
      <alignment horizontal="center" vertical="center" wrapText="1"/>
    </xf>
    <xf numFmtId="0" fontId="0" fillId="14" borderId="1" xfId="0" applyNumberFormat="1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4" borderId="1" xfId="0" applyFill="1" applyBorder="1"/>
    <xf numFmtId="43" fontId="6" fillId="14" borderId="1" xfId="1" applyFont="1" applyFill="1" applyBorder="1" applyAlignment="1">
      <alignment horizontal="center" vertical="center" wrapText="1"/>
    </xf>
    <xf numFmtId="43" fontId="9" fillId="14" borderId="1" xfId="1" applyFon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wrapText="1"/>
    </xf>
    <xf numFmtId="0" fontId="0" fillId="14" borderId="0" xfId="0" applyNumberFormat="1" applyFont="1" applyFill="1" applyBorder="1" applyAlignment="1">
      <alignment wrapText="1"/>
    </xf>
    <xf numFmtId="0" fontId="21" fillId="15" borderId="0" xfId="0" applyFont="1" applyFill="1"/>
    <xf numFmtId="0" fontId="2" fillId="15" borderId="1" xfId="0" applyFont="1" applyFill="1" applyBorder="1" applyAlignment="1">
      <alignment horizontal="center" wrapText="1"/>
    </xf>
    <xf numFmtId="43" fontId="26" fillId="15" borderId="1" xfId="1" applyFont="1" applyFill="1" applyBorder="1"/>
    <xf numFmtId="0" fontId="2" fillId="15" borderId="0" xfId="0" applyFont="1" applyFill="1"/>
    <xf numFmtId="166" fontId="14" fillId="15" borderId="1" xfId="0" applyNumberFormat="1" applyFont="1" applyFill="1" applyBorder="1" applyAlignment="1">
      <alignment horizontal="center" vertical="center" wrapText="1"/>
    </xf>
    <xf numFmtId="43" fontId="26" fillId="15" borderId="1" xfId="1" applyFont="1" applyFill="1" applyBorder="1" applyAlignment="1">
      <alignment vertical="center"/>
    </xf>
    <xf numFmtId="43" fontId="26" fillId="15" borderId="3" xfId="1" applyFont="1" applyFill="1" applyBorder="1" applyAlignment="1">
      <alignment vertical="center"/>
    </xf>
    <xf numFmtId="43" fontId="26" fillId="15" borderId="0" xfId="1" applyFont="1" applyFill="1" applyBorder="1" applyAlignment="1">
      <alignment vertical="center"/>
    </xf>
    <xf numFmtId="43" fontId="34" fillId="15" borderId="1" xfId="1" applyFont="1" applyFill="1" applyBorder="1" applyAlignment="1">
      <alignment vertical="center"/>
    </xf>
    <xf numFmtId="43" fontId="34" fillId="15" borderId="1" xfId="0" applyNumberFormat="1" applyFont="1" applyFill="1" applyBorder="1" applyAlignment="1">
      <alignment vertical="center"/>
    </xf>
    <xf numFmtId="0" fontId="26" fillId="15" borderId="0" xfId="0" applyFont="1" applyFill="1" applyAlignment="1">
      <alignment vertical="center"/>
    </xf>
    <xf numFmtId="0" fontId="6" fillId="15" borderId="1" xfId="0" applyFont="1" applyFill="1" applyBorder="1"/>
    <xf numFmtId="0" fontId="37" fillId="15" borderId="1" xfId="0" applyFont="1" applyFill="1" applyBorder="1"/>
    <xf numFmtId="0" fontId="32" fillId="14" borderId="1" xfId="0" applyFont="1" applyFill="1" applyBorder="1" applyAlignment="1">
      <alignment horizontal="center" vertical="center" wrapText="1"/>
    </xf>
    <xf numFmtId="0" fontId="42" fillId="15" borderId="1" xfId="0" applyFont="1" applyFill="1" applyBorder="1" applyAlignment="1">
      <alignment horizontal="center" vertical="center" wrapText="1"/>
    </xf>
    <xf numFmtId="166" fontId="42" fillId="12" borderId="1" xfId="0" applyNumberFormat="1" applyFont="1" applyFill="1" applyBorder="1" applyAlignment="1">
      <alignment horizontal="center" vertical="center" wrapText="1"/>
    </xf>
    <xf numFmtId="0" fontId="32" fillId="15" borderId="7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center" wrapText="1"/>
    </xf>
    <xf numFmtId="0" fontId="32" fillId="3" borderId="7" xfId="0" applyFont="1" applyFill="1" applyBorder="1" applyAlignment="1">
      <alignment horizontal="center" vertical="center" wrapText="1"/>
    </xf>
    <xf numFmtId="0" fontId="43" fillId="15" borderId="1" xfId="0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177" fontId="45" fillId="14" borderId="1" xfId="0" applyNumberFormat="1" applyFont="1" applyFill="1" applyBorder="1" applyAlignment="1">
      <alignment horizontal="center" vertical="center"/>
    </xf>
    <xf numFmtId="177" fontId="45" fillId="15" borderId="1" xfId="0" applyNumberFormat="1" applyFont="1" applyFill="1" applyBorder="1" applyAlignment="1">
      <alignment horizontal="center" vertical="center"/>
    </xf>
    <xf numFmtId="177" fontId="45" fillId="12" borderId="1" xfId="0" applyNumberFormat="1" applyFont="1" applyFill="1" applyBorder="1" applyAlignment="1">
      <alignment horizontal="center" vertical="center"/>
    </xf>
    <xf numFmtId="177" fontId="45" fillId="3" borderId="1" xfId="0" applyNumberFormat="1" applyFont="1" applyFill="1" applyBorder="1" applyAlignment="1">
      <alignment horizontal="center" vertical="center"/>
    </xf>
    <xf numFmtId="177" fontId="44" fillId="15" borderId="1" xfId="0" applyNumberFormat="1" applyFont="1" applyFill="1" applyBorder="1" applyAlignment="1">
      <alignment horizontal="center" vertical="center"/>
    </xf>
    <xf numFmtId="177" fontId="44" fillId="12" borderId="1" xfId="0" applyNumberFormat="1" applyFont="1" applyFill="1" applyBorder="1" applyAlignment="1">
      <alignment horizontal="center" vertical="center"/>
    </xf>
    <xf numFmtId="177" fontId="44" fillId="3" borderId="1" xfId="0" applyNumberFormat="1" applyFont="1" applyFill="1" applyBorder="1" applyAlignment="1">
      <alignment horizontal="center" vertical="center"/>
    </xf>
    <xf numFmtId="177" fontId="45" fillId="0" borderId="1" xfId="0" applyNumberFormat="1" applyFont="1" applyBorder="1" applyAlignment="1">
      <alignment horizontal="center" vertical="center"/>
    </xf>
    <xf numFmtId="0" fontId="45" fillId="0" borderId="0" xfId="0" applyFont="1"/>
    <xf numFmtId="0" fontId="45" fillId="0" borderId="1" xfId="0" applyFont="1" applyBorder="1"/>
    <xf numFmtId="165" fontId="45" fillId="0" borderId="1" xfId="1" applyNumberFormat="1" applyFont="1" applyBorder="1"/>
    <xf numFmtId="43" fontId="44" fillId="0" borderId="1" xfId="1" applyFont="1" applyBorder="1"/>
    <xf numFmtId="43" fontId="45" fillId="0" borderId="1" xfId="1" applyFont="1" applyBorder="1"/>
    <xf numFmtId="43" fontId="45" fillId="0" borderId="5" xfId="1" applyFont="1" applyBorder="1"/>
    <xf numFmtId="1" fontId="44" fillId="0" borderId="1" xfId="1" applyNumberFormat="1" applyFont="1" applyBorder="1" applyAlignment="1">
      <alignment horizontal="right"/>
    </xf>
    <xf numFmtId="43" fontId="44" fillId="0" borderId="7" xfId="1" applyFont="1" applyBorder="1"/>
    <xf numFmtId="43" fontId="44" fillId="5" borderId="1" xfId="1" applyFont="1" applyFill="1" applyBorder="1"/>
    <xf numFmtId="43" fontId="44" fillId="15" borderId="1" xfId="1" applyFont="1" applyFill="1" applyBorder="1"/>
    <xf numFmtId="43" fontId="44" fillId="0" borderId="1" xfId="1" applyFont="1" applyFill="1" applyBorder="1"/>
    <xf numFmtId="43" fontId="44" fillId="10" borderId="1" xfId="1" applyFont="1" applyFill="1" applyBorder="1"/>
    <xf numFmtId="43" fontId="45" fillId="0" borderId="16" xfId="0" applyNumberFormat="1" applyFont="1" applyBorder="1"/>
    <xf numFmtId="177" fontId="45" fillId="0" borderId="0" xfId="0" applyNumberFormat="1" applyFont="1" applyAlignment="1">
      <alignment horizontal="center" vertical="center"/>
    </xf>
    <xf numFmtId="43" fontId="45" fillId="0" borderId="5" xfId="0" applyNumberFormat="1" applyFont="1" applyBorder="1"/>
    <xf numFmtId="0" fontId="44" fillId="0" borderId="1" xfId="0" applyFont="1" applyFill="1" applyBorder="1"/>
    <xf numFmtId="165" fontId="44" fillId="0" borderId="1" xfId="0" applyNumberFormat="1" applyFont="1" applyBorder="1"/>
    <xf numFmtId="165" fontId="44" fillId="0" borderId="5" xfId="0" applyNumberFormat="1" applyFont="1" applyBorder="1"/>
    <xf numFmtId="1" fontId="44" fillId="0" borderId="1" xfId="0" applyNumberFormat="1" applyFont="1" applyBorder="1" applyAlignment="1">
      <alignment horizontal="right"/>
    </xf>
    <xf numFmtId="165" fontId="44" fillId="0" borderId="7" xfId="0" applyNumberFormat="1" applyFont="1" applyBorder="1"/>
    <xf numFmtId="165" fontId="44" fillId="5" borderId="1" xfId="0" applyNumberFormat="1" applyFont="1" applyFill="1" applyBorder="1"/>
    <xf numFmtId="165" fontId="44" fillId="15" borderId="1" xfId="0" applyNumberFormat="1" applyFont="1" applyFill="1" applyBorder="1"/>
    <xf numFmtId="165" fontId="44" fillId="0" borderId="1" xfId="0" applyNumberFormat="1" applyFont="1" applyFill="1" applyBorder="1"/>
    <xf numFmtId="165" fontId="44" fillId="10" borderId="1" xfId="0" applyNumberFormat="1" applyFont="1" applyFill="1" applyBorder="1"/>
    <xf numFmtId="43" fontId="45" fillId="0" borderId="15" xfId="0" applyNumberFormat="1" applyFont="1" applyBorder="1"/>
    <xf numFmtId="177" fontId="44" fillId="0" borderId="0" xfId="0" applyNumberFormat="1" applyFont="1" applyAlignment="1">
      <alignment horizontal="center" vertical="center"/>
    </xf>
    <xf numFmtId="0" fontId="44" fillId="0" borderId="0" xfId="0" applyFont="1" applyFill="1" applyBorder="1"/>
    <xf numFmtId="165" fontId="44" fillId="0" borderId="0" xfId="0" applyNumberFormat="1" applyFont="1" applyBorder="1"/>
    <xf numFmtId="43" fontId="47" fillId="0" borderId="1" xfId="1" applyFont="1" applyBorder="1"/>
    <xf numFmtId="43" fontId="47" fillId="0" borderId="7" xfId="0" applyNumberFormat="1" applyFont="1" applyBorder="1"/>
    <xf numFmtId="43" fontId="47" fillId="5" borderId="1" xfId="1" applyFont="1" applyFill="1" applyBorder="1"/>
    <xf numFmtId="165" fontId="44" fillId="15" borderId="0" xfId="0" applyNumberFormat="1" applyFont="1" applyFill="1" applyBorder="1"/>
    <xf numFmtId="165" fontId="44" fillId="0" borderId="0" xfId="0" applyNumberFormat="1" applyFont="1" applyFill="1" applyBorder="1"/>
    <xf numFmtId="165" fontId="44" fillId="10" borderId="0" xfId="0" applyNumberFormat="1" applyFont="1" applyFill="1" applyBorder="1"/>
    <xf numFmtId="43" fontId="45" fillId="0" borderId="0" xfId="0" applyNumberFormat="1" applyFont="1" applyBorder="1"/>
    <xf numFmtId="176" fontId="47" fillId="0" borderId="1" xfId="0" applyNumberFormat="1" applyFont="1" applyBorder="1"/>
    <xf numFmtId="0" fontId="47" fillId="0" borderId="19" xfId="0" applyFont="1" applyBorder="1" applyAlignment="1">
      <alignment wrapText="1"/>
    </xf>
    <xf numFmtId="172" fontId="47" fillId="0" borderId="1" xfId="0" applyNumberFormat="1" applyFont="1" applyBorder="1"/>
    <xf numFmtId="0" fontId="44" fillId="0" borderId="0" xfId="0" applyFont="1"/>
    <xf numFmtId="43" fontId="47" fillId="0" borderId="0" xfId="1" applyFont="1"/>
    <xf numFmtId="0" fontId="44" fillId="5" borderId="0" xfId="0" applyFont="1" applyFill="1"/>
    <xf numFmtId="0" fontId="44" fillId="15" borderId="0" xfId="0" applyFont="1" applyFill="1"/>
    <xf numFmtId="0" fontId="44" fillId="0" borderId="0" xfId="0" applyFont="1" applyFill="1"/>
    <xf numFmtId="0" fontId="44" fillId="10" borderId="0" xfId="0" applyFont="1" applyFill="1"/>
    <xf numFmtId="0" fontId="45" fillId="3" borderId="0" xfId="0" applyFont="1" applyFill="1"/>
    <xf numFmtId="0" fontId="44" fillId="3" borderId="0" xfId="0" applyFont="1" applyFill="1"/>
    <xf numFmtId="43" fontId="45" fillId="3" borderId="0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3" fontId="49" fillId="0" borderId="1" xfId="1" applyFont="1" applyBorder="1" applyAlignment="1">
      <alignment horizontal="center" vertical="center"/>
    </xf>
    <xf numFmtId="43" fontId="49" fillId="0" borderId="5" xfId="0" applyNumberFormat="1" applyFont="1" applyBorder="1" applyAlignment="1">
      <alignment horizontal="center" vertical="center"/>
    </xf>
    <xf numFmtId="43" fontId="49" fillId="0" borderId="1" xfId="0" applyNumberFormat="1" applyFont="1" applyBorder="1" applyAlignment="1">
      <alignment horizontal="center" vertical="center"/>
    </xf>
    <xf numFmtId="167" fontId="49" fillId="0" borderId="1" xfId="0" applyNumberFormat="1" applyFont="1" applyBorder="1" applyAlignment="1">
      <alignment horizontal="center" vertical="center"/>
    </xf>
    <xf numFmtId="43" fontId="49" fillId="0" borderId="13" xfId="0" applyNumberFormat="1" applyFont="1" applyBorder="1" applyAlignment="1">
      <alignment horizontal="center" vertical="center"/>
    </xf>
    <xf numFmtId="43" fontId="54" fillId="0" borderId="1" xfId="1" applyFont="1" applyBorder="1" applyAlignment="1">
      <alignment horizontal="center" vertical="center"/>
    </xf>
    <xf numFmtId="43" fontId="54" fillId="0" borderId="5" xfId="0" applyNumberFormat="1" applyFont="1" applyBorder="1" applyAlignment="1">
      <alignment horizontal="center" vertical="center"/>
    </xf>
    <xf numFmtId="49" fontId="48" fillId="0" borderId="5" xfId="0" applyNumberFormat="1" applyFont="1" applyBorder="1" applyAlignment="1">
      <alignment horizontal="center" wrapText="1"/>
    </xf>
    <xf numFmtId="49" fontId="48" fillId="0" borderId="6" xfId="0" applyNumberFormat="1" applyFont="1" applyBorder="1" applyAlignment="1">
      <alignment horizontal="center" wrapText="1"/>
    </xf>
    <xf numFmtId="166" fontId="47" fillId="2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wrapText="1"/>
    </xf>
    <xf numFmtId="0" fontId="46" fillId="0" borderId="5" xfId="0" applyFont="1" applyBorder="1" applyAlignment="1">
      <alignment horizontal="center" wrapText="1"/>
    </xf>
    <xf numFmtId="0" fontId="46" fillId="0" borderId="5" xfId="0" applyFont="1" applyBorder="1" applyAlignment="1">
      <alignment horizontal="center"/>
    </xf>
    <xf numFmtId="0" fontId="32" fillId="3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48" fillId="0" borderId="5" xfId="0" applyNumberFormat="1" applyFont="1" applyBorder="1" applyAlignment="1">
      <alignment horizontal="center" wrapText="1"/>
    </xf>
    <xf numFmtId="49" fontId="48" fillId="0" borderId="6" xfId="0" applyNumberFormat="1" applyFont="1" applyBorder="1" applyAlignment="1">
      <alignment horizontal="center" wrapText="1"/>
    </xf>
    <xf numFmtId="0" fontId="51" fillId="0" borderId="3" xfId="0" applyFont="1" applyFill="1" applyBorder="1" applyAlignment="1">
      <alignment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14" borderId="1" xfId="0" applyFont="1" applyFill="1" applyBorder="1" applyAlignment="1">
      <alignment horizontal="center" vertical="center" wrapText="1"/>
    </xf>
    <xf numFmtId="0" fontId="53" fillId="14" borderId="1" xfId="0" applyFont="1" applyFill="1" applyBorder="1" applyAlignment="1">
      <alignment horizontal="center" vertical="center" wrapText="1"/>
    </xf>
    <xf numFmtId="166" fontId="53" fillId="14" borderId="1" xfId="0" applyNumberFormat="1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166" fontId="53" fillId="3" borderId="1" xfId="0" applyNumberFormat="1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1" fillId="0" borderId="4" xfId="0" applyFont="1" applyFill="1" applyBorder="1" applyAlignment="1">
      <alignment vertical="center" wrapText="1"/>
    </xf>
    <xf numFmtId="0" fontId="52" fillId="3" borderId="1" xfId="0" applyFont="1" applyFill="1" applyBorder="1" applyAlignment="1">
      <alignment horizontal="center" wrapText="1"/>
    </xf>
    <xf numFmtId="0" fontId="52" fillId="0" borderId="1" xfId="0" applyFont="1" applyBorder="1" applyAlignment="1">
      <alignment horizontal="center" wrapText="1"/>
    </xf>
    <xf numFmtId="0" fontId="51" fillId="14" borderId="7" xfId="0" applyFont="1" applyFill="1" applyBorder="1" applyAlignment="1">
      <alignment horizontal="center" vertical="center" wrapText="1"/>
    </xf>
    <xf numFmtId="0" fontId="51" fillId="14" borderId="1" xfId="0" applyFont="1" applyFill="1" applyBorder="1" applyAlignment="1">
      <alignment horizontal="center" wrapText="1"/>
    </xf>
    <xf numFmtId="0" fontId="51" fillId="3" borderId="1" xfId="0" applyFont="1" applyFill="1" applyBorder="1" applyAlignment="1">
      <alignment horizontal="center" wrapText="1"/>
    </xf>
    <xf numFmtId="0" fontId="51" fillId="0" borderId="2" xfId="0" applyFont="1" applyFill="1" applyBorder="1" applyAlignment="1">
      <alignment vertical="center" wrapText="1"/>
    </xf>
    <xf numFmtId="0" fontId="51" fillId="3" borderId="2" xfId="0" applyFont="1" applyFill="1" applyBorder="1" applyAlignment="1">
      <alignment horizontal="center" vertical="center" wrapText="1"/>
    </xf>
    <xf numFmtId="0" fontId="52" fillId="14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wrapText="1"/>
    </xf>
    <xf numFmtId="0" fontId="50" fillId="0" borderId="0" xfId="0" applyFont="1"/>
    <xf numFmtId="0" fontId="55" fillId="3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 wrapText="1"/>
    </xf>
    <xf numFmtId="0" fontId="12" fillId="0" borderId="0" xfId="0" applyFont="1" applyBorder="1"/>
    <xf numFmtId="0" fontId="57" fillId="3" borderId="1" xfId="0" applyFont="1" applyFill="1" applyBorder="1" applyAlignment="1">
      <alignment horizontal="center" vertical="center" wrapText="1"/>
    </xf>
    <xf numFmtId="165" fontId="56" fillId="0" borderId="1" xfId="1" applyNumberFormat="1" applyFont="1" applyBorder="1" applyAlignment="1">
      <alignment horizontal="center" vertical="center"/>
    </xf>
    <xf numFmtId="165" fontId="56" fillId="14" borderId="1" xfId="1" applyNumberFormat="1" applyFont="1" applyFill="1" applyBorder="1" applyAlignment="1">
      <alignment horizontal="center" vertical="center"/>
    </xf>
    <xf numFmtId="177" fontId="58" fillId="14" borderId="1" xfId="0" applyNumberFormat="1" applyFont="1" applyFill="1" applyBorder="1" applyAlignment="1">
      <alignment horizontal="center" vertical="center"/>
    </xf>
    <xf numFmtId="43" fontId="56" fillId="3" borderId="1" xfId="1" applyFont="1" applyFill="1" applyBorder="1" applyAlignment="1">
      <alignment horizontal="center" vertical="center"/>
    </xf>
    <xf numFmtId="43" fontId="58" fillId="3" borderId="1" xfId="1" applyFont="1" applyFill="1" applyBorder="1" applyAlignment="1">
      <alignment horizontal="center" vertical="center"/>
    </xf>
    <xf numFmtId="43" fontId="59" fillId="3" borderId="1" xfId="1" applyFont="1" applyFill="1" applyBorder="1" applyAlignment="1">
      <alignment horizontal="center" vertical="center"/>
    </xf>
    <xf numFmtId="165" fontId="56" fillId="3" borderId="1" xfId="1" applyNumberFormat="1" applyFont="1" applyFill="1" applyBorder="1" applyAlignment="1">
      <alignment horizontal="center" vertical="center"/>
    </xf>
    <xf numFmtId="3" fontId="57" fillId="3" borderId="1" xfId="0" applyNumberFormat="1" applyFont="1" applyFill="1" applyBorder="1" applyAlignment="1">
      <alignment horizontal="center" vertical="center" wrapText="1"/>
    </xf>
    <xf numFmtId="178" fontId="56" fillId="14" borderId="1" xfId="1" applyNumberFormat="1" applyFont="1" applyFill="1" applyBorder="1" applyAlignment="1">
      <alignment horizontal="center" vertical="center"/>
    </xf>
    <xf numFmtId="0" fontId="60" fillId="0" borderId="0" xfId="0" applyFont="1"/>
    <xf numFmtId="0" fontId="58" fillId="0" borderId="0" xfId="0" applyFont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43" fontId="60" fillId="3" borderId="0" xfId="1" applyFont="1" applyFill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 wrapText="1"/>
    </xf>
    <xf numFmtId="43" fontId="60" fillId="3" borderId="1" xfId="0" applyNumberFormat="1" applyFont="1" applyFill="1" applyBorder="1" applyAlignment="1">
      <alignment horizontal="center" vertical="center"/>
    </xf>
    <xf numFmtId="43" fontId="60" fillId="3" borderId="7" xfId="0" applyNumberFormat="1" applyFont="1" applyFill="1" applyBorder="1" applyAlignment="1">
      <alignment horizontal="center" vertical="center"/>
    </xf>
    <xf numFmtId="43" fontId="60" fillId="3" borderId="1" xfId="1" applyFont="1" applyFill="1" applyBorder="1" applyAlignment="1">
      <alignment horizontal="center" vertical="center"/>
    </xf>
    <xf numFmtId="0" fontId="58" fillId="0" borderId="0" xfId="0" applyFont="1"/>
    <xf numFmtId="172" fontId="60" fillId="3" borderId="1" xfId="1" applyNumberFormat="1" applyFont="1" applyFill="1" applyBorder="1" applyAlignment="1">
      <alignment horizontal="center" vertical="center"/>
    </xf>
    <xf numFmtId="0" fontId="60" fillId="3" borderId="19" xfId="0" applyFont="1" applyFill="1" applyBorder="1" applyAlignment="1">
      <alignment horizontal="center" vertical="center" wrapText="1"/>
    </xf>
    <xf numFmtId="43" fontId="59" fillId="3" borderId="1" xfId="0" applyNumberFormat="1" applyFont="1" applyFill="1" applyBorder="1" applyAlignment="1">
      <alignment horizontal="center" vertical="center"/>
    </xf>
    <xf numFmtId="43" fontId="61" fillId="3" borderId="1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4" fontId="6" fillId="5" borderId="1" xfId="0" applyNumberFormat="1" applyFont="1" applyFill="1" applyBorder="1" applyAlignment="1">
      <alignment wrapText="1"/>
    </xf>
    <xf numFmtId="4" fontId="9" fillId="5" borderId="1" xfId="0" applyNumberFormat="1" applyFont="1" applyFill="1" applyBorder="1" applyAlignment="1">
      <alignment wrapText="1"/>
    </xf>
    <xf numFmtId="0" fontId="0" fillId="5" borderId="0" xfId="0" applyFill="1"/>
    <xf numFmtId="168" fontId="0" fillId="14" borderId="1" xfId="1" applyNumberFormat="1" applyFont="1" applyFill="1" applyBorder="1" applyAlignment="1">
      <alignment wrapText="1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6" fillId="16" borderId="1" xfId="0" applyFont="1" applyFill="1" applyBorder="1" applyAlignment="1">
      <alignment wrapText="1"/>
    </xf>
    <xf numFmtId="4" fontId="6" fillId="16" borderId="1" xfId="0" applyNumberFormat="1" applyFont="1" applyFill="1" applyBorder="1"/>
    <xf numFmtId="4" fontId="6" fillId="16" borderId="1" xfId="0" applyNumberFormat="1" applyFont="1" applyFill="1" applyBorder="1" applyAlignment="1">
      <alignment wrapText="1"/>
    </xf>
    <xf numFmtId="4" fontId="9" fillId="16" borderId="1" xfId="0" applyNumberFormat="1" applyFont="1" applyFill="1" applyBorder="1" applyAlignment="1">
      <alignment wrapText="1"/>
    </xf>
    <xf numFmtId="0" fontId="0" fillId="16" borderId="1" xfId="0" applyFill="1" applyBorder="1"/>
    <xf numFmtId="0" fontId="0" fillId="0" borderId="1" xfId="0" applyFill="1" applyBorder="1" applyAlignment="1">
      <alignment wrapText="1"/>
    </xf>
    <xf numFmtId="0" fontId="0" fillId="17" borderId="1" xfId="0" applyNumberFormat="1" applyFont="1" applyFill="1" applyBorder="1" applyAlignment="1">
      <alignment wrapText="1"/>
    </xf>
    <xf numFmtId="0" fontId="0" fillId="17" borderId="1" xfId="0" applyFill="1" applyBorder="1"/>
    <xf numFmtId="0" fontId="0" fillId="17" borderId="1" xfId="0" applyFill="1" applyBorder="1" applyAlignment="1">
      <alignment wrapText="1"/>
    </xf>
    <xf numFmtId="0" fontId="0" fillId="17" borderId="1" xfId="0" applyNumberFormat="1" applyFont="1" applyFill="1" applyBorder="1" applyAlignment="1">
      <alignment horizontal="center" wrapText="1"/>
    </xf>
    <xf numFmtId="43" fontId="6" fillId="17" borderId="1" xfId="1" applyFont="1" applyFill="1" applyBorder="1" applyAlignment="1">
      <alignment horizontal="center" vertical="center" wrapText="1"/>
    </xf>
    <xf numFmtId="43" fontId="9" fillId="17" borderId="1" xfId="1" applyFont="1" applyFill="1" applyBorder="1" applyAlignment="1">
      <alignment horizontal="center" vertical="center" wrapText="1"/>
    </xf>
    <xf numFmtId="43" fontId="0" fillId="17" borderId="1" xfId="1" applyFont="1" applyFill="1" applyBorder="1" applyAlignment="1">
      <alignment wrapText="1"/>
    </xf>
    <xf numFmtId="168" fontId="0" fillId="17" borderId="1" xfId="1" applyNumberFormat="1" applyFont="1" applyFill="1" applyBorder="1" applyAlignment="1">
      <alignment wrapText="1"/>
    </xf>
    <xf numFmtId="0" fontId="0" fillId="17" borderId="0" xfId="0" applyNumberFormat="1" applyFont="1" applyFill="1" applyBorder="1" applyAlignment="1">
      <alignment wrapText="1"/>
    </xf>
    <xf numFmtId="4" fontId="0" fillId="14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0" fillId="17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0" fillId="14" borderId="1" xfId="1" applyNumberFormat="1" applyFont="1" applyFill="1" applyBorder="1" applyAlignment="1">
      <alignment horizontal="center" vertical="center" wrapText="1"/>
    </xf>
    <xf numFmtId="4" fontId="0" fillId="17" borderId="1" xfId="1" applyNumberFormat="1" applyFont="1" applyFill="1" applyBorder="1" applyAlignment="1">
      <alignment horizontal="center" vertical="center" wrapText="1"/>
    </xf>
    <xf numFmtId="4" fontId="0" fillId="5" borderId="1" xfId="1" applyNumberFormat="1" applyFont="1" applyFill="1" applyBorder="1" applyAlignment="1">
      <alignment horizontal="center" vertical="center" wrapText="1"/>
    </xf>
    <xf numFmtId="4" fontId="0" fillId="0" borderId="1" xfId="1" applyNumberFormat="1" applyFont="1" applyFill="1" applyBorder="1" applyAlignment="1">
      <alignment horizontal="center" vertical="center" wrapText="1"/>
    </xf>
    <xf numFmtId="4" fontId="0" fillId="0" borderId="3" xfId="1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horizontal="center" vertical="center" wrapText="1"/>
    </xf>
    <xf numFmtId="4" fontId="9" fillId="0" borderId="1" xfId="1" applyNumberFormat="1" applyFont="1" applyFill="1" applyBorder="1" applyAlignment="1">
      <alignment horizontal="center" vertical="center" wrapText="1"/>
    </xf>
    <xf numFmtId="4" fontId="9" fillId="15" borderId="1" xfId="1" applyNumberFormat="1" applyFont="1" applyFill="1" applyBorder="1" applyAlignment="1">
      <alignment horizontal="center" vertical="center" wrapText="1"/>
    </xf>
    <xf numFmtId="4" fontId="9" fillId="5" borderId="1" xfId="1" applyNumberFormat="1" applyFont="1" applyFill="1" applyBorder="1" applyAlignment="1">
      <alignment horizontal="center" vertical="center" wrapText="1"/>
    </xf>
    <xf numFmtId="4" fontId="6" fillId="17" borderId="1" xfId="1" applyNumberFormat="1" applyFont="1" applyFill="1" applyBorder="1" applyAlignment="1">
      <alignment horizontal="center" vertical="center" wrapText="1"/>
    </xf>
    <xf numFmtId="4" fontId="9" fillId="17" borderId="1" xfId="1" applyNumberFormat="1" applyFont="1" applyFill="1" applyBorder="1" applyAlignment="1">
      <alignment horizontal="center" vertical="center" wrapText="1"/>
    </xf>
    <xf numFmtId="4" fontId="6" fillId="5" borderId="1" xfId="1" applyNumberFormat="1" applyFont="1" applyFill="1" applyBorder="1" applyAlignment="1">
      <alignment horizontal="center" vertical="center" wrapText="1"/>
    </xf>
    <xf numFmtId="4" fontId="6" fillId="14" borderId="1" xfId="1" applyNumberFormat="1" applyFont="1" applyFill="1" applyBorder="1" applyAlignment="1">
      <alignment horizontal="center" vertical="center" wrapText="1"/>
    </xf>
    <xf numFmtId="4" fontId="9" fillId="14" borderId="1" xfId="1" applyNumberFormat="1" applyFont="1" applyFill="1" applyBorder="1" applyAlignment="1">
      <alignment horizontal="center" vertical="center" wrapText="1"/>
    </xf>
    <xf numFmtId="4" fontId="6" fillId="0" borderId="3" xfId="1" applyNumberFormat="1" applyFont="1" applyFill="1" applyBorder="1" applyAlignment="1">
      <alignment horizontal="center" vertical="center" wrapText="1"/>
    </xf>
    <xf numFmtId="4" fontId="9" fillId="15" borderId="3" xfId="1" applyNumberFormat="1" applyFont="1" applyFill="1" applyBorder="1" applyAlignment="1">
      <alignment horizontal="center" vertical="center" wrapText="1"/>
    </xf>
    <xf numFmtId="4" fontId="9" fillId="5" borderId="3" xfId="1" applyNumberFormat="1" applyFont="1" applyFill="1" applyBorder="1" applyAlignment="1">
      <alignment horizontal="center" vertical="center" wrapText="1"/>
    </xf>
    <xf numFmtId="3" fontId="0" fillId="12" borderId="0" xfId="0" applyNumberFormat="1" applyFont="1" applyFill="1" applyBorder="1" applyAlignment="1">
      <alignment horizontal="center" vertical="center" wrapText="1"/>
    </xf>
    <xf numFmtId="3" fontId="1" fillId="12" borderId="3" xfId="0" applyNumberFormat="1" applyFont="1" applyFill="1" applyBorder="1" applyAlignment="1">
      <alignment horizontal="center" vertical="center" wrapText="1"/>
    </xf>
    <xf numFmtId="3" fontId="0" fillId="12" borderId="1" xfId="0" applyNumberFormat="1" applyFill="1" applyBorder="1" applyAlignment="1">
      <alignment horizontal="center" vertical="center"/>
    </xf>
    <xf numFmtId="3" fontId="0" fillId="17" borderId="1" xfId="0" applyNumberFormat="1" applyFill="1" applyBorder="1" applyAlignment="1">
      <alignment horizontal="center" vertical="center"/>
    </xf>
    <xf numFmtId="3" fontId="0" fillId="17" borderId="1" xfId="0" applyNumberFormat="1" applyFont="1" applyFill="1" applyBorder="1" applyAlignment="1">
      <alignment horizontal="center" vertical="center" wrapText="1"/>
    </xf>
    <xf numFmtId="3" fontId="0" fillId="12" borderId="1" xfId="0" applyNumberFormat="1" applyFont="1" applyFill="1" applyBorder="1" applyAlignment="1">
      <alignment horizontal="center" vertical="center" wrapText="1"/>
    </xf>
    <xf numFmtId="3" fontId="1" fillId="12" borderId="1" xfId="0" applyNumberFormat="1" applyFont="1" applyFill="1" applyBorder="1" applyAlignment="1">
      <alignment horizontal="center" vertical="center" wrapText="1"/>
    </xf>
    <xf numFmtId="3" fontId="39" fillId="12" borderId="0" xfId="0" applyNumberFormat="1" applyFont="1" applyFill="1" applyBorder="1" applyAlignment="1">
      <alignment horizontal="center" vertical="center" wrapText="1"/>
    </xf>
    <xf numFmtId="3" fontId="17" fillId="12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3" fontId="0" fillId="14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 wrapText="1"/>
    </xf>
    <xf numFmtId="3" fontId="0" fillId="8" borderId="1" xfId="0" applyNumberFormat="1" applyFill="1" applyBorder="1" applyAlignment="1">
      <alignment horizontal="center" vertical="center" wrapText="1"/>
    </xf>
    <xf numFmtId="3" fontId="0" fillId="8" borderId="3" xfId="0" applyNumberForma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39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3" fontId="0" fillId="8" borderId="1" xfId="0" applyNumberFormat="1" applyFont="1" applyFill="1" applyBorder="1" applyAlignment="1">
      <alignment horizontal="center" vertical="center" wrapText="1"/>
    </xf>
    <xf numFmtId="3" fontId="0" fillId="8" borderId="3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0" fillId="14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horizontal="center" vertical="center" wrapText="1"/>
    </xf>
    <xf numFmtId="4" fontId="0" fillId="17" borderId="1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8" borderId="1" xfId="0" applyNumberFormat="1" applyFont="1" applyFill="1" applyBorder="1" applyAlignment="1">
      <alignment horizontal="center" vertical="center" wrapText="1"/>
    </xf>
    <xf numFmtId="4" fontId="0" fillId="8" borderId="3" xfId="0" applyNumberFormat="1" applyFont="1" applyFill="1" applyBorder="1" applyAlignment="1">
      <alignment horizontal="center" vertical="center" wrapText="1"/>
    </xf>
    <xf numFmtId="3" fontId="0" fillId="17" borderId="1" xfId="0" applyNumberForma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8" borderId="3" xfId="0" applyNumberFormat="1" applyFill="1" applyBorder="1" applyAlignment="1">
      <alignment horizontal="center" vertical="center"/>
    </xf>
    <xf numFmtId="174" fontId="0" fillId="0" borderId="0" xfId="0" applyNumberFormat="1" applyFont="1" applyFill="1" applyBorder="1" applyAlignment="1">
      <alignment horizontal="center" vertical="center" wrapText="1"/>
    </xf>
    <xf numFmtId="174" fontId="1" fillId="0" borderId="1" xfId="0" applyNumberFormat="1" applyFont="1" applyFill="1" applyBorder="1" applyAlignment="1">
      <alignment horizontal="center" vertical="center" wrapText="1"/>
    </xf>
    <xf numFmtId="174" fontId="0" fillId="14" borderId="7" xfId="0" applyNumberFormat="1" applyFont="1" applyFill="1" applyBorder="1" applyAlignment="1">
      <alignment horizontal="center" vertical="center" wrapText="1"/>
    </xf>
    <xf numFmtId="174" fontId="0" fillId="14" borderId="1" xfId="0" applyNumberFormat="1" applyFont="1" applyFill="1" applyBorder="1" applyAlignment="1">
      <alignment horizontal="center" vertical="center" wrapText="1"/>
    </xf>
    <xf numFmtId="174" fontId="0" fillId="17" borderId="7" xfId="0" applyNumberFormat="1" applyFont="1" applyFill="1" applyBorder="1" applyAlignment="1">
      <alignment horizontal="center" vertical="center" wrapText="1"/>
    </xf>
    <xf numFmtId="174" fontId="0" fillId="17" borderId="1" xfId="0" applyNumberFormat="1" applyFont="1" applyFill="1" applyBorder="1" applyAlignment="1">
      <alignment horizontal="center" vertical="center" wrapText="1"/>
    </xf>
    <xf numFmtId="174" fontId="0" fillId="5" borderId="7" xfId="0" applyNumberFormat="1" applyFont="1" applyFill="1" applyBorder="1" applyAlignment="1">
      <alignment horizontal="center" vertical="center" wrapText="1"/>
    </xf>
    <xf numFmtId="174" fontId="0" fillId="5" borderId="1" xfId="0" applyNumberFormat="1" applyFont="1" applyFill="1" applyBorder="1" applyAlignment="1">
      <alignment horizontal="center" vertical="center" wrapText="1"/>
    </xf>
    <xf numFmtId="174" fontId="0" fillId="0" borderId="7" xfId="0" applyNumberFormat="1" applyFont="1" applyFill="1" applyBorder="1" applyAlignment="1">
      <alignment horizontal="center" vertical="center" wrapText="1"/>
    </xf>
    <xf numFmtId="174" fontId="0" fillId="0" borderId="1" xfId="0" applyNumberFormat="1" applyFont="1" applyFill="1" applyBorder="1" applyAlignment="1">
      <alignment horizontal="center" vertical="center" wrapText="1"/>
    </xf>
    <xf numFmtId="174" fontId="39" fillId="0" borderId="0" xfId="0" applyNumberFormat="1" applyFont="1" applyFill="1" applyBorder="1" applyAlignment="1">
      <alignment horizontal="center" vertical="center" wrapText="1"/>
    </xf>
    <xf numFmtId="174" fontId="1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17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8" borderId="1" xfId="0" applyNumberFormat="1" applyFont="1" applyFill="1" applyBorder="1" applyAlignment="1">
      <alignment horizontal="center" vertical="center" wrapText="1"/>
    </xf>
    <xf numFmtId="0" fontId="0" fillId="8" borderId="3" xfId="0" applyNumberFormat="1" applyFont="1" applyFill="1" applyBorder="1" applyAlignment="1">
      <alignment horizontal="center" vertical="center" wrapText="1"/>
    </xf>
    <xf numFmtId="4" fontId="0" fillId="18" borderId="1" xfId="1" applyNumberFormat="1" applyFont="1" applyFill="1" applyBorder="1" applyAlignment="1">
      <alignment horizontal="center" vertical="center" wrapText="1"/>
    </xf>
    <xf numFmtId="4" fontId="2" fillId="18" borderId="1" xfId="1" applyNumberFormat="1" applyFont="1" applyFill="1" applyBorder="1" applyAlignment="1">
      <alignment horizontal="center" vertical="center" wrapText="1"/>
    </xf>
    <xf numFmtId="4" fontId="6" fillId="18" borderId="1" xfId="1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11" fillId="7" borderId="1" xfId="0" applyFont="1" applyFill="1" applyBorder="1" applyAlignment="1">
      <alignment horizontal="right"/>
    </xf>
    <xf numFmtId="3" fontId="0" fillId="19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0" fillId="8" borderId="5" xfId="0" applyNumberFormat="1" applyFont="1" applyFill="1" applyBorder="1" applyAlignment="1">
      <alignment wrapText="1"/>
    </xf>
    <xf numFmtId="4" fontId="6" fillId="14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3" fontId="0" fillId="20" borderId="1" xfId="0" applyNumberFormat="1" applyFont="1" applyFill="1" applyBorder="1" applyAlignment="1">
      <alignment horizontal="center" vertical="center" wrapText="1"/>
    </xf>
    <xf numFmtId="3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wrapText="1"/>
    </xf>
    <xf numFmtId="4" fontId="0" fillId="20" borderId="1" xfId="0" applyNumberForma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74" fontId="0" fillId="20" borderId="7" xfId="0" applyNumberFormat="1" applyFont="1" applyFill="1" applyBorder="1" applyAlignment="1">
      <alignment horizontal="center" vertical="center" wrapText="1"/>
    </xf>
    <xf numFmtId="174" fontId="0" fillId="20" borderId="1" xfId="0" applyNumberFormat="1" applyFont="1" applyFill="1" applyBorder="1" applyAlignment="1">
      <alignment horizontal="center" vertical="center" wrapText="1"/>
    </xf>
    <xf numFmtId="4" fontId="0" fillId="20" borderId="1" xfId="0" applyNumberFormat="1" applyFont="1" applyFill="1" applyBorder="1" applyAlignment="1">
      <alignment horizontal="center" vertical="center" wrapText="1"/>
    </xf>
    <xf numFmtId="4" fontId="0" fillId="20" borderId="1" xfId="1" applyNumberFormat="1" applyFont="1" applyFill="1" applyBorder="1" applyAlignment="1">
      <alignment horizontal="center" vertical="center" wrapText="1"/>
    </xf>
    <xf numFmtId="4" fontId="6" fillId="20" borderId="1" xfId="0" applyNumberFormat="1" applyFont="1" applyFill="1" applyBorder="1" applyAlignment="1">
      <alignment horizontal="center" vertical="center" wrapText="1"/>
    </xf>
    <xf numFmtId="0" fontId="0" fillId="20" borderId="0" xfId="0" applyNumberFormat="1" applyFont="1" applyFill="1" applyBorder="1" applyAlignment="1">
      <alignment wrapText="1"/>
    </xf>
    <xf numFmtId="3" fontId="0" fillId="20" borderId="1" xfId="0" applyNumberFormat="1" applyFill="1" applyBorder="1" applyAlignment="1">
      <alignment horizontal="center" vertical="center" wrapText="1"/>
    </xf>
    <xf numFmtId="4" fontId="6" fillId="20" borderId="1" xfId="1" applyNumberFormat="1" applyFont="1" applyFill="1" applyBorder="1" applyAlignment="1">
      <alignment horizontal="center" vertical="center" wrapText="1"/>
    </xf>
    <xf numFmtId="4" fontId="9" fillId="20" borderId="1" xfId="1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wrapText="1"/>
    </xf>
    <xf numFmtId="0" fontId="51" fillId="0" borderId="2" xfId="0" applyFont="1" applyFill="1" applyBorder="1" applyAlignment="1">
      <alignment horizontal="center" vertical="center" wrapText="1"/>
    </xf>
    <xf numFmtId="165" fontId="56" fillId="0" borderId="1" xfId="1" applyNumberFormat="1" applyFont="1" applyFill="1" applyBorder="1" applyAlignment="1">
      <alignment horizontal="center" vertical="center"/>
    </xf>
    <xf numFmtId="0" fontId="1" fillId="14" borderId="0" xfId="0" applyFont="1" applyFill="1"/>
    <xf numFmtId="43" fontId="60" fillId="14" borderId="7" xfId="0" applyNumberFormat="1" applyFont="1" applyFill="1" applyBorder="1" applyAlignment="1">
      <alignment horizontal="center" vertical="center"/>
    </xf>
    <xf numFmtId="0" fontId="60" fillId="14" borderId="19" xfId="0" applyFont="1" applyFill="1" applyBorder="1" applyAlignment="1">
      <alignment horizontal="center" vertical="center" wrapText="1"/>
    </xf>
    <xf numFmtId="43" fontId="44" fillId="14" borderId="7" xfId="1" applyFont="1" applyFill="1" applyBorder="1"/>
    <xf numFmtId="165" fontId="44" fillId="14" borderId="7" xfId="0" applyNumberFormat="1" applyFont="1" applyFill="1" applyBorder="1"/>
    <xf numFmtId="43" fontId="47" fillId="14" borderId="7" xfId="0" applyNumberFormat="1" applyFont="1" applyFill="1" applyBorder="1"/>
    <xf numFmtId="0" fontId="47" fillId="14" borderId="19" xfId="0" applyFont="1" applyFill="1" applyBorder="1" applyAlignment="1">
      <alignment wrapText="1"/>
    </xf>
    <xf numFmtId="0" fontId="44" fillId="14" borderId="0" xfId="0" applyFont="1" applyFill="1"/>
    <xf numFmtId="0" fontId="2" fillId="14" borderId="0" xfId="0" applyFont="1" applyFill="1"/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wrapText="1"/>
    </xf>
    <xf numFmtId="0" fontId="26" fillId="14" borderId="1" xfId="0" applyFont="1" applyFill="1" applyBorder="1"/>
    <xf numFmtId="0" fontId="26" fillId="14" borderId="1" xfId="0" applyFont="1" applyFill="1" applyBorder="1" applyAlignment="1">
      <alignment vertical="center"/>
    </xf>
    <xf numFmtId="43" fontId="26" fillId="14" borderId="1" xfId="1" applyFont="1" applyFill="1" applyBorder="1" applyAlignment="1">
      <alignment horizontal="right" vertical="center"/>
    </xf>
    <xf numFmtId="43" fontId="26" fillId="14" borderId="3" xfId="1" applyFont="1" applyFill="1" applyBorder="1" applyAlignment="1">
      <alignment horizontal="right" vertical="center"/>
    </xf>
    <xf numFmtId="43" fontId="26" fillId="14" borderId="3" xfId="1" applyFont="1" applyFill="1" applyBorder="1" applyAlignment="1">
      <alignment vertical="center"/>
    </xf>
    <xf numFmtId="43" fontId="26" fillId="14" borderId="1" xfId="1" applyFont="1" applyFill="1" applyBorder="1" applyAlignment="1">
      <alignment vertical="center"/>
    </xf>
    <xf numFmtId="43" fontId="26" fillId="14" borderId="2" xfId="1" applyFont="1" applyFill="1" applyBorder="1" applyAlignment="1">
      <alignment vertical="center"/>
    </xf>
    <xf numFmtId="0" fontId="34" fillId="14" borderId="2" xfId="0" applyFont="1" applyFill="1" applyBorder="1" applyAlignment="1">
      <alignment vertical="center" wrapText="1"/>
    </xf>
    <xf numFmtId="0" fontId="34" fillId="14" borderId="1" xfId="0" applyFont="1" applyFill="1" applyBorder="1" applyAlignment="1">
      <alignment vertical="center" wrapText="1"/>
    </xf>
    <xf numFmtId="164" fontId="26" fillId="14" borderId="0" xfId="0" applyNumberFormat="1" applyFont="1" applyFill="1" applyAlignment="1">
      <alignment vertical="center"/>
    </xf>
    <xf numFmtId="0" fontId="51" fillId="21" borderId="1" xfId="0" applyFont="1" applyFill="1" applyBorder="1" applyAlignment="1">
      <alignment horizontal="center" vertical="center" wrapText="1"/>
    </xf>
    <xf numFmtId="0" fontId="51" fillId="21" borderId="1" xfId="0" applyFont="1" applyFill="1" applyBorder="1" applyAlignment="1">
      <alignment horizontal="center" wrapText="1"/>
    </xf>
    <xf numFmtId="43" fontId="56" fillId="21" borderId="1" xfId="1" applyFont="1" applyFill="1" applyBorder="1" applyAlignment="1">
      <alignment horizontal="center" vertical="center"/>
    </xf>
    <xf numFmtId="43" fontId="60" fillId="21" borderId="1" xfId="0" applyNumberFormat="1" applyFont="1" applyFill="1" applyBorder="1" applyAlignment="1">
      <alignment horizontal="center" vertical="center"/>
    </xf>
    <xf numFmtId="178" fontId="56" fillId="0" borderId="1" xfId="1" applyNumberFormat="1" applyFont="1" applyBorder="1" applyAlignment="1">
      <alignment horizontal="center" vertical="center"/>
    </xf>
    <xf numFmtId="4" fontId="58" fillId="0" borderId="0" xfId="0" applyNumberFormat="1" applyFont="1" applyAlignment="1">
      <alignment horizontal="center" vertical="center"/>
    </xf>
    <xf numFmtId="43" fontId="26" fillId="14" borderId="4" xfId="1" applyFont="1" applyFill="1" applyBorder="1" applyAlignment="1">
      <alignment vertical="center"/>
    </xf>
    <xf numFmtId="0" fontId="51" fillId="19" borderId="1" xfId="0" applyFont="1" applyFill="1" applyBorder="1" applyAlignment="1">
      <alignment horizontal="center" wrapText="1"/>
    </xf>
    <xf numFmtId="43" fontId="56" fillId="19" borderId="1" xfId="1" applyFont="1" applyFill="1" applyBorder="1" applyAlignment="1">
      <alignment horizontal="center" vertical="center"/>
    </xf>
    <xf numFmtId="166" fontId="53" fillId="19" borderId="1" xfId="0" applyNumberFormat="1" applyFont="1" applyFill="1" applyBorder="1" applyAlignment="1">
      <alignment horizontal="center" vertical="center" wrapText="1"/>
    </xf>
    <xf numFmtId="43" fontId="59" fillId="22" borderId="1" xfId="1" applyFont="1" applyFill="1" applyBorder="1" applyAlignment="1">
      <alignment horizontal="center" vertical="center"/>
    </xf>
    <xf numFmtId="43" fontId="60" fillId="22" borderId="19" xfId="0" applyNumberFormat="1" applyFont="1" applyFill="1" applyBorder="1" applyAlignment="1">
      <alignment horizontal="center" vertical="center" wrapText="1"/>
    </xf>
    <xf numFmtId="165" fontId="56" fillId="22" borderId="1" xfId="1" applyNumberFormat="1" applyFont="1" applyFill="1" applyBorder="1" applyAlignment="1">
      <alignment horizontal="center" vertical="center"/>
    </xf>
    <xf numFmtId="177" fontId="58" fillId="22" borderId="1" xfId="0" applyNumberFormat="1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 vertical="center" wrapText="1"/>
    </xf>
    <xf numFmtId="0" fontId="51" fillId="9" borderId="7" xfId="0" applyFont="1" applyFill="1" applyBorder="1" applyAlignment="1">
      <alignment horizontal="center" vertical="center" wrapText="1"/>
    </xf>
    <xf numFmtId="0" fontId="52" fillId="9" borderId="1" xfId="0" applyFont="1" applyFill="1" applyBorder="1" applyAlignment="1">
      <alignment horizontal="center" vertical="center"/>
    </xf>
    <xf numFmtId="177" fontId="58" fillId="9" borderId="1" xfId="0" applyNumberFormat="1" applyFont="1" applyFill="1" applyBorder="1" applyAlignment="1">
      <alignment horizontal="center" vertical="center"/>
    </xf>
    <xf numFmtId="0" fontId="51" fillId="9" borderId="1" xfId="0" applyFont="1" applyFill="1" applyBorder="1" applyAlignment="1">
      <alignment horizontal="center" wrapText="1"/>
    </xf>
    <xf numFmtId="166" fontId="53" fillId="9" borderId="1" xfId="0" applyNumberFormat="1" applyFont="1" applyFill="1" applyBorder="1" applyAlignment="1">
      <alignment horizontal="center" vertical="center" wrapText="1"/>
    </xf>
    <xf numFmtId="178" fontId="56" fillId="3" borderId="1" xfId="1" applyNumberFormat="1" applyFont="1" applyFill="1" applyBorder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49" fontId="48" fillId="0" borderId="5" xfId="0" applyNumberFormat="1" applyFont="1" applyBorder="1" applyAlignment="1">
      <alignment horizontal="center" wrapText="1"/>
    </xf>
    <xf numFmtId="49" fontId="48" fillId="0" borderId="6" xfId="0" applyNumberFormat="1" applyFont="1" applyBorder="1" applyAlignment="1">
      <alignment horizontal="center" wrapText="1"/>
    </xf>
    <xf numFmtId="1" fontId="56" fillId="3" borderId="1" xfId="0" applyNumberFormat="1" applyFont="1" applyFill="1" applyBorder="1" applyAlignment="1">
      <alignment horizontal="center" vertical="center"/>
    </xf>
    <xf numFmtId="1" fontId="44" fillId="0" borderId="3" xfId="0" applyNumberFormat="1" applyFont="1" applyBorder="1" applyAlignment="1">
      <alignment horizontal="right"/>
    </xf>
    <xf numFmtId="1" fontId="44" fillId="0" borderId="2" xfId="0" applyNumberFormat="1" applyFont="1" applyBorder="1" applyAlignment="1">
      <alignment horizontal="right"/>
    </xf>
    <xf numFmtId="49" fontId="48" fillId="14" borderId="5" xfId="0" applyNumberFormat="1" applyFont="1" applyFill="1" applyBorder="1" applyAlignment="1">
      <alignment horizontal="center" wrapText="1"/>
    </xf>
    <xf numFmtId="49" fontId="48" fillId="14" borderId="7" xfId="0" applyNumberFormat="1" applyFont="1" applyFill="1" applyBorder="1" applyAlignment="1">
      <alignment horizontal="center" wrapText="1"/>
    </xf>
    <xf numFmtId="49" fontId="48" fillId="3" borderId="5" xfId="0" applyNumberFormat="1" applyFont="1" applyFill="1" applyBorder="1" applyAlignment="1">
      <alignment horizontal="center" wrapText="1"/>
    </xf>
    <xf numFmtId="49" fontId="48" fillId="3" borderId="6" xfId="0" applyNumberFormat="1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wrapText="1"/>
    </xf>
    <xf numFmtId="0" fontId="0" fillId="0" borderId="2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16" fillId="5" borderId="5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</cellXfs>
  <cellStyles count="4">
    <cellStyle name="Normal_1" xfId="3"/>
    <cellStyle name="Обычный" xfId="0" builtinId="0"/>
    <cellStyle name="Обычный 6 3 3 3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ytseva/Documents/&#1041;&#1102;&#1076;&#1078;&#1077;&#1090;/&#1041;&#1102;&#1076;&#1078;&#1077;&#1090;%20&#1085;&#1072;%202019%20&#1075;&#1086;&#1076;/&#1056;&#1072;&#1089;&#1095;&#1077;&#1090;&#1099;/&#1056;&#1072;&#1089;&#1095;&#1077;&#1090;&#1099;%20&#1082;&#1088;&#1072;&#1081;&#1085;&#1080;&#1077;/&#1057;&#1086;&#1075;&#1083;&#1072;&#1089;&#1086;&#1074;&#1072;&#1085;&#1085;&#1099;&#1077;%20&#1088;&#1072;&#1089;&#1095;&#1077;&#1090;&#1099;/&#1054;&#1090;%20&#1060;&#1080;&#1088;&#1091;&#1079;&#1099;/&#1050;&#1086;&#1087;&#1080;&#1103;%20&#1043;&#1047;%20&#1042;&#1055;&#1054;%201%20%20&#1086;&#1073;&#1097;&#1080;&#1081;%2021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2019"/>
      <sheetName val="Свод 2020 "/>
      <sheetName val="Свод 2021"/>
      <sheetName val="Для расчета ЗП"/>
      <sheetName val="Лист1"/>
      <sheetName val="2019"/>
      <sheetName val="Коэф. выравнивания"/>
      <sheetName val="выравнивание"/>
      <sheetName val="Нормативы"/>
      <sheetName val="Территориальный к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G6">
            <v>2.1059999999999999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Q460"/>
  <sheetViews>
    <sheetView zoomScale="70" zoomScaleNormal="70" workbookViewId="0">
      <pane xSplit="16" ySplit="3" topLeftCell="AVC78" activePane="bottomRight" state="frozen"/>
      <selection pane="topRight" activeCell="P1" sqref="P1"/>
      <selection pane="bottomLeft" activeCell="A4" sqref="A4"/>
      <selection pane="bottomRight" activeCell="O99" sqref="O99"/>
    </sheetView>
  </sheetViews>
  <sheetFormatPr defaultColWidth="8.85546875" defaultRowHeight="30" customHeight="1" x14ac:dyDescent="0.25"/>
  <cols>
    <col min="1" max="1" width="5.7109375" style="639" customWidth="1"/>
    <col min="2" max="2" width="7.5703125" style="639" customWidth="1"/>
    <col min="3" max="3" width="12.85546875" style="639" customWidth="1"/>
    <col min="4" max="4" width="43" style="4" hidden="1" customWidth="1"/>
    <col min="5" max="5" width="30.85546875" style="4" customWidth="1"/>
    <col min="6" max="6" width="14.5703125" style="639" customWidth="1"/>
    <col min="7" max="7" width="7.5703125" style="639" customWidth="1"/>
    <col min="8" max="8" width="8.85546875" style="612" customWidth="1"/>
    <col min="9" max="9" width="7.42578125" style="639" customWidth="1"/>
    <col min="10" max="10" width="21.5703125" style="4" hidden="1" customWidth="1"/>
    <col min="11" max="11" width="5.85546875" style="639" hidden="1" customWidth="1"/>
    <col min="12" max="12" width="5.85546875" style="679" hidden="1" customWidth="1"/>
    <col min="13" max="13" width="27.28515625" style="5" hidden="1" customWidth="1"/>
    <col min="14" max="14" width="15.28515625" style="4" customWidth="1"/>
    <col min="15" max="15" width="3.85546875" style="639" customWidth="1"/>
    <col min="16" max="18" width="11.42578125" style="630" customWidth="1"/>
    <col min="19" max="20" width="11.42578125" style="667" customWidth="1"/>
    <col min="21" max="21" width="15" style="4" customWidth="1"/>
    <col min="22" max="22" width="15.5703125" style="4" customWidth="1"/>
    <col min="23" max="23" width="13.85546875" style="4" customWidth="1"/>
    <col min="24" max="24" width="14.140625" style="4" customWidth="1"/>
    <col min="25" max="25" width="12.7109375" style="4" customWidth="1"/>
    <col min="26" max="26" width="13.7109375" style="4" customWidth="1"/>
    <col min="27" max="27" width="14.140625" style="4" customWidth="1"/>
    <col min="28" max="28" width="12.7109375" style="4" customWidth="1"/>
    <col min="29" max="29" width="14.140625" style="4" customWidth="1"/>
    <col min="30" max="32" width="12.7109375" style="4" customWidth="1"/>
    <col min="33" max="33" width="13.7109375" style="4" customWidth="1"/>
    <col min="34" max="34" width="12.7109375" style="4" customWidth="1"/>
    <col min="35" max="35" width="13.140625" style="4" customWidth="1"/>
    <col min="36" max="37" width="12.7109375" style="4" customWidth="1"/>
    <col min="38" max="38" width="14.28515625" style="4" customWidth="1"/>
    <col min="39" max="40" width="14.5703125" style="4" customWidth="1"/>
    <col min="41" max="41" width="12.42578125" style="4" customWidth="1"/>
    <col min="42" max="42" width="15.7109375" style="142" customWidth="1"/>
    <col min="43" max="43" width="18.140625" style="612" customWidth="1"/>
    <col min="44" max="45" width="19.42578125" style="4" customWidth="1"/>
    <col min="46" max="46" width="17.42578125" style="4" customWidth="1"/>
    <col min="47" max="47" width="15.5703125" style="4" customWidth="1"/>
    <col min="48" max="49" width="17.42578125" style="4" customWidth="1"/>
    <col min="50" max="53" width="16.42578125" style="4" customWidth="1"/>
    <col min="54" max="54" width="16" style="4" customWidth="1"/>
    <col min="55" max="55" width="16.42578125" style="4" customWidth="1"/>
    <col min="56" max="56" width="16.28515625" style="4" customWidth="1"/>
    <col min="57" max="57" width="16" style="4" customWidth="1"/>
    <col min="58" max="59" width="15.5703125" style="4" customWidth="1"/>
    <col min="60" max="60" width="17" style="4" customWidth="1"/>
    <col min="61" max="61" width="16" style="4" customWidth="1"/>
    <col min="62" max="62" width="16.5703125" style="4" customWidth="1"/>
    <col min="63" max="63" width="15.28515625" style="4" customWidth="1"/>
    <col min="64" max="64" width="17.5703125" style="142" customWidth="1"/>
    <col min="65" max="65" width="18" style="612" customWidth="1"/>
    <col min="66" max="67" width="19.42578125" style="4" customWidth="1"/>
    <col min="68" max="68" width="17.85546875" style="4" customWidth="1"/>
    <col min="69" max="69" width="15.5703125" style="4" customWidth="1"/>
    <col min="70" max="70" width="17.42578125" style="4" customWidth="1"/>
    <col min="71" max="71" width="17" style="4" customWidth="1"/>
    <col min="72" max="72" width="19.7109375" style="4" customWidth="1"/>
    <col min="73" max="73" width="18.7109375" style="4" customWidth="1"/>
    <col min="74" max="74" width="18.140625" style="4" customWidth="1"/>
    <col min="75" max="75" width="17.140625" style="4" customWidth="1"/>
    <col min="76" max="76" width="16.85546875" style="4" customWidth="1"/>
    <col min="77" max="77" width="16.42578125" style="4" customWidth="1"/>
    <col min="78" max="78" width="14.7109375" style="4" customWidth="1"/>
    <col min="79" max="79" width="15.140625" style="4" customWidth="1"/>
    <col min="80" max="80" width="15" style="4" customWidth="1"/>
    <col min="81" max="81" width="15.5703125" style="4" customWidth="1"/>
    <col min="82" max="82" width="17.28515625" style="4" customWidth="1"/>
    <col min="83" max="83" width="16.42578125" style="4" customWidth="1"/>
    <col min="84" max="84" width="16.140625" style="4" customWidth="1"/>
    <col min="85" max="85" width="15.28515625" style="4" customWidth="1"/>
    <col min="86" max="86" width="18.5703125" style="142" customWidth="1"/>
    <col min="87" max="87" width="15.7109375" style="4" hidden="1" customWidth="1"/>
    <col min="88" max="89" width="19.42578125" style="89" hidden="1" customWidth="1"/>
    <col min="90" max="92" width="15.28515625" style="4" hidden="1" customWidth="1"/>
    <col min="93" max="93" width="15.42578125" style="4" hidden="1" customWidth="1"/>
    <col min="94" max="97" width="14.140625" style="4" hidden="1" customWidth="1"/>
    <col min="98" max="98" width="14.5703125" style="4" hidden="1" customWidth="1"/>
    <col min="99" max="99" width="13.7109375" style="4" hidden="1" customWidth="1"/>
    <col min="100" max="100" width="12.7109375" style="4" hidden="1" customWidth="1"/>
    <col min="101" max="101" width="13.140625" style="4" hidden="1" customWidth="1"/>
    <col min="102" max="102" width="12.7109375" style="4" hidden="1" customWidth="1"/>
    <col min="103" max="103" width="15.5703125" style="4" hidden="1" customWidth="1"/>
    <col min="104" max="104" width="15" style="4" hidden="1" customWidth="1"/>
    <col min="105" max="106" width="14.5703125" style="89" hidden="1" customWidth="1"/>
    <col min="107" max="107" width="15.28515625" style="4" hidden="1" customWidth="1"/>
    <col min="108" max="108" width="15.7109375" style="4" hidden="1" customWidth="1"/>
    <col min="109" max="1243" width="0" style="4" hidden="1" customWidth="1"/>
    <col min="1244" max="1244" width="23.140625" style="4" customWidth="1"/>
    <col min="1245" max="1245" width="17.5703125" style="4" customWidth="1"/>
    <col min="1246" max="1246" width="17.140625" style="4" customWidth="1"/>
    <col min="1247" max="1247" width="17" style="4" customWidth="1"/>
    <col min="1248" max="1248" width="15.42578125" style="4" customWidth="1"/>
    <col min="1249" max="1249" width="13" style="4" customWidth="1"/>
    <col min="1250" max="1251" width="15.28515625" style="4" customWidth="1"/>
    <col min="1252" max="1252" width="17.28515625" style="4" customWidth="1"/>
    <col min="1253" max="1253" width="12.28515625" style="4" customWidth="1"/>
    <col min="1254" max="1254" width="12.140625" style="4" customWidth="1"/>
    <col min="1255" max="1255" width="18" style="4" customWidth="1"/>
    <col min="1256" max="1256" width="15.7109375" style="4" customWidth="1"/>
    <col min="1257" max="1257" width="15" style="4" customWidth="1"/>
    <col min="1258" max="1258" width="14.42578125" style="4" customWidth="1"/>
    <col min="1259" max="1259" width="14" style="4" customWidth="1"/>
    <col min="1260" max="1260" width="12.7109375" style="4" customWidth="1"/>
    <col min="1261" max="1261" width="14.42578125" style="4" customWidth="1"/>
    <col min="1262" max="1262" width="13.5703125" style="4" customWidth="1"/>
    <col min="1263" max="1263" width="16.28515625" style="4" customWidth="1"/>
    <col min="1264" max="1264" width="14.140625" style="4" customWidth="1"/>
    <col min="1265" max="1265" width="18" style="4" customWidth="1"/>
    <col min="1266" max="1266" width="20.85546875" style="4" customWidth="1"/>
    <col min="1267" max="16384" width="8.85546875" style="4"/>
  </cols>
  <sheetData>
    <row r="1" spans="1:1265" ht="30" customHeight="1" x14ac:dyDescent="0.25">
      <c r="U1" s="788" t="s">
        <v>408</v>
      </c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 t="s">
        <v>123</v>
      </c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 t="s">
        <v>124</v>
      </c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>
        <v>2019</v>
      </c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AVA1" s="807" t="s">
        <v>478</v>
      </c>
      <c r="AVB1" s="808"/>
      <c r="AVC1" s="808"/>
      <c r="AVD1" s="808"/>
      <c r="AVE1" s="808"/>
      <c r="AVF1" s="808"/>
      <c r="AVG1" s="808"/>
      <c r="AVH1" s="808"/>
      <c r="AVI1" s="808"/>
      <c r="AVJ1" s="808"/>
      <c r="AVK1" s="808"/>
      <c r="AVL1" s="808"/>
      <c r="AVM1" s="808"/>
      <c r="AVN1" s="808"/>
      <c r="AVO1" s="808"/>
    </row>
    <row r="2" spans="1:1265" ht="30" customHeight="1" x14ac:dyDescent="0.25">
      <c r="P2" s="631" t="s">
        <v>6</v>
      </c>
      <c r="Q2" s="631" t="s">
        <v>6</v>
      </c>
      <c r="R2" s="631" t="s">
        <v>6</v>
      </c>
      <c r="U2" s="794" t="s">
        <v>409</v>
      </c>
      <c r="V2" s="790" t="s">
        <v>69</v>
      </c>
      <c r="W2" s="790"/>
      <c r="X2" s="791" t="s">
        <v>70</v>
      </c>
      <c r="Y2" s="36" t="s">
        <v>69</v>
      </c>
      <c r="Z2" s="796" t="s">
        <v>407</v>
      </c>
      <c r="AA2" s="791" t="s">
        <v>71</v>
      </c>
      <c r="AB2" s="795" t="s">
        <v>69</v>
      </c>
      <c r="AC2" s="795"/>
      <c r="AD2" s="795"/>
      <c r="AE2" s="795"/>
      <c r="AF2" s="791" t="s">
        <v>72</v>
      </c>
      <c r="AG2" s="791" t="s">
        <v>73</v>
      </c>
      <c r="AH2" s="791" t="s">
        <v>74</v>
      </c>
      <c r="AI2" s="791" t="s">
        <v>406</v>
      </c>
      <c r="AJ2" s="791" t="s">
        <v>76</v>
      </c>
      <c r="AK2" s="791" t="s">
        <v>77</v>
      </c>
      <c r="AL2" s="794" t="s">
        <v>78</v>
      </c>
      <c r="AM2" s="790" t="s">
        <v>69</v>
      </c>
      <c r="AN2" s="790"/>
      <c r="AO2" s="791" t="s">
        <v>79</v>
      </c>
      <c r="AP2" s="799" t="s">
        <v>80</v>
      </c>
      <c r="AQ2" s="789" t="s">
        <v>68</v>
      </c>
      <c r="AR2" s="790" t="s">
        <v>69</v>
      </c>
      <c r="AS2" s="790"/>
      <c r="AT2" s="791" t="s">
        <v>70</v>
      </c>
      <c r="AU2" s="36" t="s">
        <v>69</v>
      </c>
      <c r="AV2" s="796" t="s">
        <v>407</v>
      </c>
      <c r="AW2" s="791" t="s">
        <v>71</v>
      </c>
      <c r="AX2" s="795" t="s">
        <v>69</v>
      </c>
      <c r="AY2" s="795"/>
      <c r="AZ2" s="795"/>
      <c r="BA2" s="795"/>
      <c r="BB2" s="791" t="s">
        <v>72</v>
      </c>
      <c r="BC2" s="791" t="s">
        <v>73</v>
      </c>
      <c r="BD2" s="791" t="s">
        <v>74</v>
      </c>
      <c r="BE2" s="791" t="s">
        <v>406</v>
      </c>
      <c r="BF2" s="791" t="s">
        <v>76</v>
      </c>
      <c r="BG2" s="791" t="s">
        <v>77</v>
      </c>
      <c r="BH2" s="791" t="s">
        <v>78</v>
      </c>
      <c r="BI2" s="790" t="s">
        <v>69</v>
      </c>
      <c r="BJ2" s="790"/>
      <c r="BK2" s="791" t="s">
        <v>79</v>
      </c>
      <c r="BL2" s="792" t="s">
        <v>125</v>
      </c>
      <c r="BM2" s="789" t="s">
        <v>68</v>
      </c>
      <c r="BN2" s="790" t="s">
        <v>69</v>
      </c>
      <c r="BO2" s="790"/>
      <c r="BP2" s="791" t="s">
        <v>70</v>
      </c>
      <c r="BQ2" s="36" t="s">
        <v>69</v>
      </c>
      <c r="BR2" s="796" t="s">
        <v>407</v>
      </c>
      <c r="BS2" s="791" t="s">
        <v>71</v>
      </c>
      <c r="BT2" s="795" t="s">
        <v>69</v>
      </c>
      <c r="BU2" s="795"/>
      <c r="BV2" s="795"/>
      <c r="BW2" s="795"/>
      <c r="BX2" s="791" t="s">
        <v>72</v>
      </c>
      <c r="BY2" s="791" t="s">
        <v>73</v>
      </c>
      <c r="BZ2" s="791" t="s">
        <v>74</v>
      </c>
      <c r="CA2" s="791" t="s">
        <v>406</v>
      </c>
      <c r="CB2" s="791" t="s">
        <v>76</v>
      </c>
      <c r="CC2" s="791" t="s">
        <v>77</v>
      </c>
      <c r="CD2" s="791" t="s">
        <v>78</v>
      </c>
      <c r="CE2" s="790" t="s">
        <v>69</v>
      </c>
      <c r="CF2" s="790"/>
      <c r="CG2" s="791" t="s">
        <v>79</v>
      </c>
      <c r="CH2" s="801" t="s">
        <v>126</v>
      </c>
      <c r="CI2" s="798" t="s">
        <v>68</v>
      </c>
      <c r="CJ2" s="805" t="s">
        <v>69</v>
      </c>
      <c r="CK2" s="805"/>
      <c r="CL2" s="798" t="s">
        <v>70</v>
      </c>
      <c r="CM2" s="86" t="s">
        <v>69</v>
      </c>
      <c r="CN2" s="798" t="s">
        <v>227</v>
      </c>
      <c r="CO2" s="798" t="s">
        <v>71</v>
      </c>
      <c r="CP2" s="806" t="s">
        <v>69</v>
      </c>
      <c r="CQ2" s="806"/>
      <c r="CR2" s="806"/>
      <c r="CS2" s="806"/>
      <c r="CT2" s="798" t="s">
        <v>72</v>
      </c>
      <c r="CU2" s="798" t="s">
        <v>73</v>
      </c>
      <c r="CV2" s="798" t="s">
        <v>74</v>
      </c>
      <c r="CW2" s="798" t="s">
        <v>75</v>
      </c>
      <c r="CX2" s="798" t="s">
        <v>76</v>
      </c>
      <c r="CY2" s="798" t="s">
        <v>77</v>
      </c>
      <c r="CZ2" s="798" t="s">
        <v>78</v>
      </c>
      <c r="DA2" s="805" t="s">
        <v>69</v>
      </c>
      <c r="DB2" s="805"/>
      <c r="DC2" s="798" t="s">
        <v>79</v>
      </c>
      <c r="DD2" s="803" t="s">
        <v>126</v>
      </c>
      <c r="AUV2" s="789" t="s">
        <v>68</v>
      </c>
      <c r="AUW2" s="790" t="s">
        <v>69</v>
      </c>
      <c r="AUX2" s="790"/>
      <c r="AUY2" s="791" t="s">
        <v>70</v>
      </c>
      <c r="AUZ2" s="36" t="s">
        <v>69</v>
      </c>
      <c r="AVA2" s="796" t="s">
        <v>407</v>
      </c>
      <c r="AVB2" s="791" t="s">
        <v>71</v>
      </c>
      <c r="AVC2" s="795" t="s">
        <v>69</v>
      </c>
      <c r="AVD2" s="795"/>
      <c r="AVE2" s="795"/>
      <c r="AVF2" s="795"/>
      <c r="AVG2" s="791" t="s">
        <v>72</v>
      </c>
      <c r="AVH2" s="791" t="s">
        <v>73</v>
      </c>
      <c r="AVI2" s="791" t="s">
        <v>74</v>
      </c>
      <c r="AVJ2" s="791" t="s">
        <v>406</v>
      </c>
      <c r="AVK2" s="791" t="s">
        <v>76</v>
      </c>
      <c r="AVL2" s="791" t="s">
        <v>77</v>
      </c>
      <c r="AVM2" s="791" t="s">
        <v>78</v>
      </c>
      <c r="AVN2" s="790" t="s">
        <v>69</v>
      </c>
      <c r="AVO2" s="790"/>
      <c r="AVP2" s="791" t="s">
        <v>79</v>
      </c>
      <c r="AVQ2" s="801" t="s">
        <v>126</v>
      </c>
    </row>
    <row r="3" spans="1:1265" s="1" customFormat="1" ht="50.25" customHeight="1" x14ac:dyDescent="0.25">
      <c r="A3" s="651" t="s">
        <v>224</v>
      </c>
      <c r="B3" s="640" t="s">
        <v>34</v>
      </c>
      <c r="C3" s="640" t="s">
        <v>33</v>
      </c>
      <c r="D3" s="276" t="s">
        <v>0</v>
      </c>
      <c r="E3" s="276" t="s">
        <v>1</v>
      </c>
      <c r="F3" s="640" t="s">
        <v>32</v>
      </c>
      <c r="G3" s="640" t="s">
        <v>127</v>
      </c>
      <c r="H3" s="654" t="s">
        <v>10</v>
      </c>
      <c r="I3" s="640" t="s">
        <v>35</v>
      </c>
      <c r="J3" s="276" t="s">
        <v>3</v>
      </c>
      <c r="K3" s="640" t="s">
        <v>4</v>
      </c>
      <c r="L3" s="276"/>
      <c r="M3" s="276" t="s">
        <v>128</v>
      </c>
      <c r="N3" s="276" t="s">
        <v>5</v>
      </c>
      <c r="O3" s="640"/>
      <c r="P3" s="631">
        <v>2020</v>
      </c>
      <c r="Q3" s="631">
        <v>2021</v>
      </c>
      <c r="R3" s="631">
        <v>2022</v>
      </c>
      <c r="S3" s="668" t="s">
        <v>121</v>
      </c>
      <c r="T3" s="668" t="s">
        <v>122</v>
      </c>
      <c r="U3" s="794"/>
      <c r="V3" s="35" t="s">
        <v>81</v>
      </c>
      <c r="W3" s="35" t="s">
        <v>82</v>
      </c>
      <c r="X3" s="791"/>
      <c r="Y3" s="35" t="s">
        <v>83</v>
      </c>
      <c r="Z3" s="797"/>
      <c r="AA3" s="791"/>
      <c r="AB3" s="278" t="s">
        <v>402</v>
      </c>
      <c r="AC3" s="25" t="s">
        <v>403</v>
      </c>
      <c r="AD3" s="278" t="s">
        <v>404</v>
      </c>
      <c r="AE3" s="25" t="s">
        <v>405</v>
      </c>
      <c r="AF3" s="791"/>
      <c r="AG3" s="791"/>
      <c r="AH3" s="791"/>
      <c r="AI3" s="791"/>
      <c r="AJ3" s="791"/>
      <c r="AK3" s="791"/>
      <c r="AL3" s="794"/>
      <c r="AM3" s="35" t="s">
        <v>85</v>
      </c>
      <c r="AN3" s="35" t="s">
        <v>82</v>
      </c>
      <c r="AO3" s="791"/>
      <c r="AP3" s="800"/>
      <c r="AQ3" s="789"/>
      <c r="AR3" s="35" t="s">
        <v>81</v>
      </c>
      <c r="AS3" s="35" t="s">
        <v>82</v>
      </c>
      <c r="AT3" s="791"/>
      <c r="AU3" s="35" t="s">
        <v>83</v>
      </c>
      <c r="AV3" s="797"/>
      <c r="AW3" s="791"/>
      <c r="AX3" s="275" t="s">
        <v>402</v>
      </c>
      <c r="AY3" s="275" t="s">
        <v>403</v>
      </c>
      <c r="AZ3" s="275" t="s">
        <v>404</v>
      </c>
      <c r="BA3" s="275" t="s">
        <v>405</v>
      </c>
      <c r="BB3" s="791"/>
      <c r="BC3" s="791"/>
      <c r="BD3" s="791"/>
      <c r="BE3" s="791"/>
      <c r="BF3" s="791"/>
      <c r="BG3" s="791"/>
      <c r="BH3" s="791"/>
      <c r="BI3" s="35" t="s">
        <v>85</v>
      </c>
      <c r="BJ3" s="35" t="s">
        <v>82</v>
      </c>
      <c r="BK3" s="791"/>
      <c r="BL3" s="793"/>
      <c r="BM3" s="789"/>
      <c r="BN3" s="35" t="s">
        <v>81</v>
      </c>
      <c r="BO3" s="35" t="s">
        <v>82</v>
      </c>
      <c r="BP3" s="791"/>
      <c r="BQ3" s="35" t="s">
        <v>83</v>
      </c>
      <c r="BR3" s="797"/>
      <c r="BS3" s="791"/>
      <c r="BT3" s="275" t="s">
        <v>402</v>
      </c>
      <c r="BU3" s="275" t="s">
        <v>403</v>
      </c>
      <c r="BV3" s="275" t="s">
        <v>404</v>
      </c>
      <c r="BW3" s="275" t="s">
        <v>405</v>
      </c>
      <c r="BX3" s="791"/>
      <c r="BY3" s="791"/>
      <c r="BZ3" s="791"/>
      <c r="CA3" s="791"/>
      <c r="CB3" s="791"/>
      <c r="CC3" s="791"/>
      <c r="CD3" s="791"/>
      <c r="CE3" s="35" t="s">
        <v>85</v>
      </c>
      <c r="CF3" s="35" t="s">
        <v>82</v>
      </c>
      <c r="CG3" s="791"/>
      <c r="CH3" s="802"/>
      <c r="CI3" s="798"/>
      <c r="CJ3" s="87" t="s">
        <v>81</v>
      </c>
      <c r="CK3" s="87" t="s">
        <v>82</v>
      </c>
      <c r="CL3" s="798"/>
      <c r="CM3" s="87" t="s">
        <v>83</v>
      </c>
      <c r="CN3" s="798"/>
      <c r="CO3" s="798"/>
      <c r="CP3" s="91" t="s">
        <v>84</v>
      </c>
      <c r="CQ3" s="91" t="s">
        <v>84</v>
      </c>
      <c r="CR3" s="91" t="s">
        <v>84</v>
      </c>
      <c r="CS3" s="91" t="s">
        <v>84</v>
      </c>
      <c r="CT3" s="798"/>
      <c r="CU3" s="798"/>
      <c r="CV3" s="798"/>
      <c r="CW3" s="798"/>
      <c r="CX3" s="798"/>
      <c r="CY3" s="798"/>
      <c r="CZ3" s="798"/>
      <c r="DA3" s="87" t="s">
        <v>85</v>
      </c>
      <c r="DB3" s="87" t="s">
        <v>82</v>
      </c>
      <c r="DC3" s="798"/>
      <c r="DD3" s="804"/>
      <c r="AUV3" s="789"/>
      <c r="AUW3" s="35" t="s">
        <v>81</v>
      </c>
      <c r="AUX3" s="35" t="s">
        <v>82</v>
      </c>
      <c r="AUY3" s="791"/>
      <c r="AUZ3" s="35" t="s">
        <v>83</v>
      </c>
      <c r="AVA3" s="797"/>
      <c r="AVB3" s="791"/>
      <c r="AVC3" s="696" t="s">
        <v>402</v>
      </c>
      <c r="AVD3" s="696" t="s">
        <v>403</v>
      </c>
      <c r="AVE3" s="696" t="s">
        <v>404</v>
      </c>
      <c r="AVF3" s="696" t="s">
        <v>405</v>
      </c>
      <c r="AVG3" s="791"/>
      <c r="AVH3" s="791"/>
      <c r="AVI3" s="791"/>
      <c r="AVJ3" s="791"/>
      <c r="AVK3" s="791"/>
      <c r="AVL3" s="791"/>
      <c r="AVM3" s="791"/>
      <c r="AVN3" s="35" t="s">
        <v>85</v>
      </c>
      <c r="AVO3" s="35" t="s">
        <v>82</v>
      </c>
      <c r="AVP3" s="791"/>
      <c r="AVQ3" s="802"/>
    </row>
    <row r="4" spans="1:1265" s="436" customFormat="1" ht="30" customHeight="1" x14ac:dyDescent="0.25">
      <c r="A4" s="641">
        <v>1</v>
      </c>
      <c r="B4" s="641">
        <v>1</v>
      </c>
      <c r="C4" s="662" t="s">
        <v>246</v>
      </c>
      <c r="D4" s="2"/>
      <c r="E4" s="431" t="s">
        <v>344</v>
      </c>
      <c r="F4" s="641" t="s">
        <v>31</v>
      </c>
      <c r="G4" s="641">
        <v>1</v>
      </c>
      <c r="H4" s="655" t="s">
        <v>10</v>
      </c>
      <c r="I4" s="641">
        <v>0</v>
      </c>
      <c r="J4" s="431" t="s">
        <v>354</v>
      </c>
      <c r="K4" s="641">
        <v>1</v>
      </c>
      <c r="L4" s="680" t="s">
        <v>349</v>
      </c>
      <c r="M4" s="432" t="s">
        <v>253</v>
      </c>
      <c r="N4" s="431" t="s">
        <v>387</v>
      </c>
      <c r="O4" s="641">
        <v>1</v>
      </c>
      <c r="P4" s="695">
        <v>17</v>
      </c>
      <c r="Q4" s="632">
        <v>17</v>
      </c>
      <c r="R4" s="632">
        <v>17</v>
      </c>
      <c r="S4" s="669">
        <f>SUMIF('Территориальный кк'!$A:$A,'2020'!$B4,'Территориальный кк'!D:D)</f>
        <v>1.1519999999999999</v>
      </c>
      <c r="T4" s="670">
        <f>SUMIF('Территориальный кк'!$A:$A,'2020'!$B4,'Территориальный кк'!E:E)</f>
        <v>2.7269999999999999</v>
      </c>
      <c r="U4" s="433">
        <f>SUMIFS(Нормативы!G:G,Нормативы!$B:$B,$G4,Нормативы!$D:$D,'2020'!$I4,Нормативы!$F:$F,'2020'!$K4)*O4</f>
        <v>54020</v>
      </c>
      <c r="V4" s="433">
        <f>ROUND(U4/1.302,1)</f>
        <v>41490</v>
      </c>
      <c r="W4" s="433">
        <f>U4-V4</f>
        <v>12530</v>
      </c>
      <c r="X4" s="433">
        <f>SUMIFS(Нормативы!J:J,Нормативы!$B:$B,$G4,Нормативы!$D:$D,'2020'!$I4,Нормативы!$F:$F,'2020'!$K4)</f>
        <v>220</v>
      </c>
      <c r="Y4" s="433">
        <f>SUMIFS(Нормативы!K:K,Нормативы!$B:$B,$G4,Нормативы!$D:$D,'2020'!$I4,Нормативы!$F:$F,'2020'!$K4)</f>
        <v>44</v>
      </c>
      <c r="Z4" s="433">
        <f>SUMIFS(Нормативы!L:L,Нормативы!$B:$B,$G4,Нормативы!$D:$D,'2020'!$I4,Нормативы!$F:$F,'2020'!$K4)</f>
        <v>2320</v>
      </c>
      <c r="AA4" s="433">
        <f>AB4+AC4+AD4+AE4</f>
        <v>3710</v>
      </c>
      <c r="AB4" s="433">
        <f>SUMIFS(Нормативы!N:N,Нормативы!$B:$B,$G4,Нормативы!$D:$D,'2020'!$I4,Нормативы!$F:$F,'2020'!$K4)*O4</f>
        <v>520</v>
      </c>
      <c r="AC4" s="433">
        <f>SUMIFS(Нормативы!O:O,Нормативы!$B:$B,$G4,Нормативы!$D:$D,'2020'!$I4,Нормативы!$F:$F,'2020'!$K4)</f>
        <v>2140</v>
      </c>
      <c r="AD4" s="433">
        <f>SUMIFS(Нормативы!P:P,Нормативы!$B:$B,$G4,Нормативы!$D:$D,'2020'!$I4,Нормативы!$F:$F,'2020'!$K4)*O4</f>
        <v>310</v>
      </c>
      <c r="AE4" s="433">
        <f>SUMIFS(Нормативы!Q:Q,Нормативы!$B:$B,$G4,Нормативы!$D:$D,'2020'!$I4,Нормативы!$F:$F,'2020'!$K4)</f>
        <v>740</v>
      </c>
      <c r="AF4" s="433">
        <f>SUMIFS(Нормативы!R:R,Нормативы!$B:$B,$G4,Нормативы!$D:$D,'2020'!$I4,Нормативы!$F:$F,'2020'!$K4)</f>
        <v>2460</v>
      </c>
      <c r="AG4" s="433">
        <f>SUMIFS(Нормативы!S:S,Нормативы!$B:$B,$G4,Нормативы!$D:$D,'2020'!$I4,Нормативы!$F:$F,'2020'!$K4)</f>
        <v>5080</v>
      </c>
      <c r="AH4" s="433">
        <f>SUMIFS(Нормативы!T:T,Нормативы!$B:$B,$G4,Нормативы!$D:$D,'2020'!$I4,Нормативы!$F:$F,'2020'!$K4)</f>
        <v>540</v>
      </c>
      <c r="AI4" s="433">
        <f>SUMIFS(Нормативы!U:U,Нормативы!$B:$B,$G4,Нормативы!$D:$D,'2020'!$I4,Нормативы!$F:$F,'2020'!$K4)</f>
        <v>770</v>
      </c>
      <c r="AJ4" s="433">
        <f>SUMIFS(Нормативы!V:V,Нормативы!$B:$B,$G4,Нормативы!$D:$D,'2020'!$I4,Нормативы!$F:$F,'2020'!$K4)</f>
        <v>80</v>
      </c>
      <c r="AK4" s="433">
        <f>SUMIFS(Нормативы!W:W,Нормативы!$B:$B,$G4,Нормативы!$D:$D,'2020'!$I4,Нормативы!$F:$F,'2020'!$K4)</f>
        <v>300</v>
      </c>
      <c r="AL4" s="433">
        <f>SUMIFS(Нормативы!X:X,Нормативы!$B:$B,$G4,Нормативы!$D:$D,'2020'!$I4,Нормативы!$F:$F,'2020'!$K4)*O4</f>
        <v>13440</v>
      </c>
      <c r="AM4" s="433">
        <f>ROUND(AL4/1.302,1)</f>
        <v>10322.6</v>
      </c>
      <c r="AN4" s="433">
        <f>AL4-AM4</f>
        <v>3117.4</v>
      </c>
      <c r="AO4" s="433">
        <f>SUMIFS(Нормативы!AA:AA,Нормативы!$B:$B,$G4,Нормативы!$D:$D,'2020'!$I4,Нормативы!$F:$F,'2020'!$K4)</f>
        <v>3520</v>
      </c>
      <c r="AP4" s="434">
        <f>U4+X4+Z4+AA4++AF4+AG4+AH4+AI4+AJ4+AK4+AL4+AO4</f>
        <v>86460</v>
      </c>
      <c r="AQ4" s="609">
        <f>ROUND($P4*U4,0)</f>
        <v>918340</v>
      </c>
      <c r="AR4" s="433">
        <f>ROUND(AQ4/1.302,1)</f>
        <v>705330.3</v>
      </c>
      <c r="AS4" s="433">
        <f>AQ4-AR4</f>
        <v>213009.7</v>
      </c>
      <c r="AT4" s="435">
        <f t="shared" ref="AT4:AT80" si="0">ROUND($P4*X4,0)</f>
        <v>3740</v>
      </c>
      <c r="AU4" s="435">
        <f t="shared" ref="AU4:AU80" si="1">ROUND($P4*Y4,0)</f>
        <v>748</v>
      </c>
      <c r="AV4" s="435">
        <f t="shared" ref="AV4:AV80" si="2">ROUND($P4*Z4,0)</f>
        <v>39440</v>
      </c>
      <c r="AW4" s="435">
        <f t="shared" ref="AW4:AW80" si="3">ROUND($P4*AA4,0)</f>
        <v>63070</v>
      </c>
      <c r="AX4" s="435">
        <f t="shared" ref="AX4:AX80" si="4">ROUND($P4*AB4,0)</f>
        <v>8840</v>
      </c>
      <c r="AY4" s="435">
        <f t="shared" ref="AY4:AY80" si="5">ROUND($P4*AC4,0)</f>
        <v>36380</v>
      </c>
      <c r="AZ4" s="435">
        <f t="shared" ref="AZ4:AZ80" si="6">ROUND($P4*AD4,0)</f>
        <v>5270</v>
      </c>
      <c r="BA4" s="435">
        <f t="shared" ref="BA4:BA80" si="7">ROUND($P4*AE4,0)</f>
        <v>12580</v>
      </c>
      <c r="BB4" s="435">
        <f>ROUND($P4*AF4,0)</f>
        <v>41820</v>
      </c>
      <c r="BC4" s="435">
        <f t="shared" ref="BC4:BC80" si="8">ROUND($P4*AG4,0)</f>
        <v>86360</v>
      </c>
      <c r="BD4" s="435">
        <f t="shared" ref="BD4:BD80" si="9">ROUND($P4*AH4,0)</f>
        <v>9180</v>
      </c>
      <c r="BE4" s="435">
        <f t="shared" ref="BE4:BE80" si="10">ROUND($P4*AI4,0)</f>
        <v>13090</v>
      </c>
      <c r="BF4" s="435">
        <f t="shared" ref="BF4:BF80" si="11">ROUND($P4*AJ4,0)</f>
        <v>1360</v>
      </c>
      <c r="BG4" s="435">
        <f t="shared" ref="BG4:BG80" si="12">ROUND($P4*AK4,0)</f>
        <v>5100</v>
      </c>
      <c r="BH4" s="435">
        <f t="shared" ref="BH4:BH80" si="13">ROUND($P4*AL4,0)</f>
        <v>228480</v>
      </c>
      <c r="BI4" s="433">
        <f>ROUND(BH4/1.302,1)</f>
        <v>175483.9</v>
      </c>
      <c r="BJ4" s="433">
        <f>BH4-BI4</f>
        <v>52996.1</v>
      </c>
      <c r="BK4" s="435">
        <f t="shared" ref="BK4:BK80" si="14">ROUND($P4*AO4,0)</f>
        <v>59840</v>
      </c>
      <c r="BL4" s="434">
        <f t="shared" ref="BL4:BL80" si="15">AQ4+AT4+AV4+AW4++BB4+BC4+BD4+BE4+BF4+BG4+BH4+BK4</f>
        <v>1469820</v>
      </c>
      <c r="BM4" s="613">
        <f>ROUND(AQ4*S4,0)</f>
        <v>1057928</v>
      </c>
      <c r="BN4" s="433">
        <f t="shared" ref="BN4:BN80" si="16">ROUND(BM4/1.302,1)</f>
        <v>812540.7</v>
      </c>
      <c r="BO4" s="433">
        <f t="shared" ref="BO4:BO80" si="17">BM4-BN4</f>
        <v>245387.3</v>
      </c>
      <c r="BP4" s="435">
        <f>AT4</f>
        <v>3740</v>
      </c>
      <c r="BQ4" s="435">
        <f>AU4</f>
        <v>748</v>
      </c>
      <c r="BR4" s="435">
        <f>AV4</f>
        <v>39440</v>
      </c>
      <c r="BS4" s="435">
        <f t="shared" ref="BS4:BS80" si="18">AW4</f>
        <v>63070</v>
      </c>
      <c r="BT4" s="34">
        <f t="shared" ref="BT4:BT80" si="19">AX4</f>
        <v>8840</v>
      </c>
      <c r="BU4" s="34">
        <f t="shared" ref="BU4:BU80" si="20">AY4</f>
        <v>36380</v>
      </c>
      <c r="BV4" s="34">
        <f t="shared" ref="BV4:BV80" si="21">AZ4</f>
        <v>5270</v>
      </c>
      <c r="BW4" s="34">
        <f t="shared" ref="BW4:BW80" si="22">BA4</f>
        <v>12580</v>
      </c>
      <c r="BX4" s="435">
        <f t="shared" ref="BX4:BX80" si="23">ROUND(BB4*T4,0)</f>
        <v>114043</v>
      </c>
      <c r="BY4" s="435">
        <f t="shared" ref="BY4:BY80" si="24">BC4</f>
        <v>86360</v>
      </c>
      <c r="BZ4" s="435">
        <f t="shared" ref="BZ4:BZ80" si="25">BD4</f>
        <v>9180</v>
      </c>
      <c r="CA4" s="435">
        <f t="shared" ref="CA4:CA80" si="26">BE4</f>
        <v>13090</v>
      </c>
      <c r="CB4" s="435">
        <f t="shared" ref="CB4:CB80" si="27">BF4</f>
        <v>1360</v>
      </c>
      <c r="CC4" s="435">
        <f t="shared" ref="CC4:CC80" si="28">BG4</f>
        <v>5100</v>
      </c>
      <c r="CD4" s="435">
        <f t="shared" ref="CD4:CD80" si="29">ROUND(BH4*S4,0)</f>
        <v>263209</v>
      </c>
      <c r="CE4" s="433">
        <f>ROUND(CD4/1.302,1)</f>
        <v>202157.5</v>
      </c>
      <c r="CF4" s="433">
        <f>CD4-CE4</f>
        <v>61051.5</v>
      </c>
      <c r="CG4" s="435">
        <f t="shared" ref="CG4:CG80" si="30">BK4</f>
        <v>59840</v>
      </c>
      <c r="CH4" s="434">
        <f t="shared" ref="CH4:CH80" si="31">BM4+BP4+BR4+BS4++BX4+BY4+BZ4+CA4+CB4+CC4+CD4+CG4</f>
        <v>1716360</v>
      </c>
      <c r="CI4" s="88">
        <f t="shared" ref="CI4:CI80" si="32">ROUND(BM4/$P4,4)</f>
        <v>62231.058799999999</v>
      </c>
      <c r="CJ4" s="90">
        <f t="shared" ref="CJ4:CJ80" si="33">ROUND(BN4/$P4,4)</f>
        <v>47796.5118</v>
      </c>
      <c r="CK4" s="90">
        <f t="shared" ref="CK4:CK80" si="34">ROUND(BO4/$P4,4)</f>
        <v>14434.5471</v>
      </c>
      <c r="CL4" s="88">
        <f t="shared" ref="CL4:CL80" si="35">ROUND(BP4/$P4,4)</f>
        <v>220</v>
      </c>
      <c r="CM4" s="88">
        <f t="shared" ref="CM4:CM80" si="36">ROUND(BQ4/$P4,4)</f>
        <v>44</v>
      </c>
      <c r="CN4" s="88">
        <f t="shared" ref="CN4:CN80" si="37">ROUND(BR4/$P4,4)</f>
        <v>2320</v>
      </c>
      <c r="CO4" s="88">
        <f t="shared" ref="CO4:CO80" si="38">ROUND(BS4/$P4,4)</f>
        <v>3710</v>
      </c>
      <c r="CP4" s="88">
        <f t="shared" ref="CP4:CP80" si="39">ROUND(BT4/$P4,4)</f>
        <v>520</v>
      </c>
      <c r="CQ4" s="88">
        <f t="shared" ref="CQ4:CQ80" si="40">ROUND(BU4/$P4,4)</f>
        <v>2140</v>
      </c>
      <c r="CR4" s="88">
        <f t="shared" ref="CR4:CR80" si="41">ROUND(BV4/$P4,4)</f>
        <v>310</v>
      </c>
      <c r="CS4" s="88">
        <f t="shared" ref="CS4:CS80" si="42">ROUND(BW4/$P4,4)</f>
        <v>740</v>
      </c>
      <c r="CT4" s="88">
        <f t="shared" ref="CT4:CT80" si="43">ROUND(BX4/$P4,4)</f>
        <v>6708.4117999999999</v>
      </c>
      <c r="CU4" s="88">
        <f t="shared" ref="CU4:CU80" si="44">ROUND(BY4/$P4,4)</f>
        <v>5080</v>
      </c>
      <c r="CV4" s="88">
        <f t="shared" ref="CV4:CV80" si="45">ROUND(BZ4/$P4,4)</f>
        <v>540</v>
      </c>
      <c r="CW4" s="88">
        <f t="shared" ref="CW4:CW80" si="46">ROUND(CA4/$P4,4)</f>
        <v>770</v>
      </c>
      <c r="CX4" s="88">
        <f t="shared" ref="CX4:CX80" si="47">ROUND(CB4/$P4,4)</f>
        <v>80</v>
      </c>
      <c r="CY4" s="88">
        <f t="shared" ref="CY4:CY80" si="48">ROUND(CC4/$P4,4)</f>
        <v>300</v>
      </c>
      <c r="CZ4" s="88">
        <f t="shared" ref="CZ4:CZ80" si="49">ROUND(CD4/$P4,4)</f>
        <v>15482.8824</v>
      </c>
      <c r="DA4" s="90">
        <f t="shared" ref="DA4:DA80" si="50">ROUND(CE4/$P4,4)</f>
        <v>11891.6176</v>
      </c>
      <c r="DB4" s="90">
        <f t="shared" ref="DB4:DB80" si="51">ROUND(CF4/$P4,4)</f>
        <v>3591.2647000000002</v>
      </c>
      <c r="DC4" s="88">
        <f t="shared" ref="DC4:DC80" si="52">ROUND(CG4/$P4,4)</f>
        <v>3520</v>
      </c>
      <c r="DD4" s="88">
        <f t="shared" ref="DD4:DD80" si="53">ROUND(CH4/$P4,4)</f>
        <v>100962.3529</v>
      </c>
      <c r="AUV4" s="699">
        <f>BM4/P4</f>
        <v>62231.06</v>
      </c>
      <c r="AUW4" s="699">
        <f>AUV4/1.302</f>
        <v>47796.51</v>
      </c>
      <c r="AUX4" s="699">
        <f>AUV4-AUW4</f>
        <v>14434.55</v>
      </c>
      <c r="AUY4" s="699">
        <f>BP4/P4</f>
        <v>220</v>
      </c>
      <c r="AUZ4" s="699">
        <f>BQ4/P4</f>
        <v>44</v>
      </c>
      <c r="AVA4" s="699">
        <f>BR4/P4</f>
        <v>2320</v>
      </c>
      <c r="AVB4" s="699">
        <f>AVC4+AVD4+AVE4+AVF4</f>
        <v>3710</v>
      </c>
      <c r="AVC4" s="699">
        <f>BT4/P4</f>
        <v>520</v>
      </c>
      <c r="AVD4" s="699">
        <f>BU4/P4</f>
        <v>2140</v>
      </c>
      <c r="AVE4" s="699">
        <f>BV4/P4</f>
        <v>310</v>
      </c>
      <c r="AVF4" s="699">
        <f>BW4/P4</f>
        <v>740</v>
      </c>
      <c r="AVG4" s="699">
        <f>BX4/P4</f>
        <v>6708.41</v>
      </c>
      <c r="AVH4" s="699">
        <f>BY4/P4</f>
        <v>5080</v>
      </c>
      <c r="AVI4" s="699">
        <f>BZ4/P4</f>
        <v>540</v>
      </c>
      <c r="AVJ4" s="699">
        <f>CA4/P4</f>
        <v>770</v>
      </c>
      <c r="AVK4" s="699">
        <f>CB4/P4</f>
        <v>80</v>
      </c>
      <c r="AVL4" s="699">
        <f>CC4/P4</f>
        <v>300</v>
      </c>
      <c r="AVM4" s="699">
        <f>CD4/P4</f>
        <v>15482.88</v>
      </c>
      <c r="AVN4" s="699">
        <f>AVM4/1.302</f>
        <v>11891.61</v>
      </c>
      <c r="AVO4" s="699">
        <f>AVM4-AVN4</f>
        <v>3591.27</v>
      </c>
      <c r="AVP4" s="699">
        <f>CG4/P4</f>
        <v>3520</v>
      </c>
      <c r="AVQ4" s="699">
        <f>CH4/P4</f>
        <v>100962.35</v>
      </c>
    </row>
    <row r="5" spans="1:1265" s="608" customFormat="1" ht="30" customHeight="1" x14ac:dyDescent="0.25">
      <c r="A5" s="634">
        <v>1</v>
      </c>
      <c r="B5" s="634">
        <v>1</v>
      </c>
      <c r="C5" s="633" t="s">
        <v>246</v>
      </c>
      <c r="D5" s="2"/>
      <c r="E5" s="602" t="s">
        <v>344</v>
      </c>
      <c r="F5" s="634" t="s">
        <v>31</v>
      </c>
      <c r="G5" s="634">
        <v>1</v>
      </c>
      <c r="H5" s="656" t="s">
        <v>10</v>
      </c>
      <c r="I5" s="661">
        <v>0</v>
      </c>
      <c r="J5" s="602" t="s">
        <v>354</v>
      </c>
      <c r="K5" s="634">
        <v>1</v>
      </c>
      <c r="L5" s="681" t="s">
        <v>349</v>
      </c>
      <c r="M5" s="601" t="s">
        <v>330</v>
      </c>
      <c r="N5" s="602" t="s">
        <v>401</v>
      </c>
      <c r="O5" s="634">
        <v>2</v>
      </c>
      <c r="P5" s="695">
        <v>1</v>
      </c>
      <c r="Q5" s="633">
        <v>1</v>
      </c>
      <c r="R5" s="633">
        <v>1</v>
      </c>
      <c r="S5" s="671">
        <f>'Территориальный кк'!D4</f>
        <v>1.1519999999999999</v>
      </c>
      <c r="T5" s="672">
        <f>'Территориальный кк'!E4</f>
        <v>2.7269999999999999</v>
      </c>
      <c r="U5" s="433">
        <f>SUMIFS(Нормативы!G:G,Нормативы!$B:$B,$G5,Нормативы!$D:$D,'2020'!$I5,Нормативы!$F:$F,'2020'!$K5)*O5</f>
        <v>108040</v>
      </c>
      <c r="V5" s="433">
        <f>ROUND(U5/1.302,1)</f>
        <v>82980</v>
      </c>
      <c r="W5" s="433">
        <f>U5-V5</f>
        <v>25060</v>
      </c>
      <c r="X5" s="433">
        <f>SUMIFS(Нормативы!J:J,Нормативы!$B:$B,$G5,Нормативы!$D:$D,'2020'!$I5,Нормативы!$F:$F,'2020'!$K5)</f>
        <v>220</v>
      </c>
      <c r="Y5" s="433">
        <f>SUMIFS(Нормативы!K:K,Нормативы!$B:$B,$G5,Нормативы!$D:$D,'2020'!$I5,Нормативы!$F:$F,'2020'!$K5)</f>
        <v>44</v>
      </c>
      <c r="Z5" s="433">
        <f>SUMIFS(Нормативы!L:L,Нормативы!$B:$B,$G5,Нормативы!$D:$D,'2020'!$I5,Нормативы!$F:$F,'2020'!$K5)</f>
        <v>2320</v>
      </c>
      <c r="AA5" s="433">
        <f>AB5+AC5+AD5+AE5</f>
        <v>4540</v>
      </c>
      <c r="AB5" s="433">
        <f>SUMIFS(Нормативы!N:N,Нормативы!$B:$B,$G5,Нормативы!$D:$D,'2020'!$I5,Нормативы!$F:$F,'2020'!$K5)*O5</f>
        <v>1040</v>
      </c>
      <c r="AC5" s="433">
        <f>SUMIFS(Нормативы!O:O,Нормативы!$B:$B,$G5,Нормативы!$D:$D,'2020'!$I5,Нормативы!$F:$F,'2020'!$K5)</f>
        <v>2140</v>
      </c>
      <c r="AD5" s="433">
        <f>SUMIFS(Нормативы!P:P,Нормативы!$B:$B,$G5,Нормативы!$D:$D,'2020'!$I5,Нормативы!$F:$F,'2020'!$K5)*O5</f>
        <v>620</v>
      </c>
      <c r="AE5" s="433">
        <f>SUMIFS(Нормативы!Q:Q,Нормативы!$B:$B,$G5,Нормативы!$D:$D,'2020'!$I5,Нормативы!$F:$F,'2020'!$K5)</f>
        <v>740</v>
      </c>
      <c r="AF5" s="433">
        <f>SUMIFS(Нормативы!R:R,Нормативы!$B:$B,$G5,Нормативы!$D:$D,'2020'!$I5,Нормативы!$F:$F,'2020'!$K5)</f>
        <v>2460</v>
      </c>
      <c r="AG5" s="433">
        <f>SUMIFS(Нормативы!S:S,Нормативы!$B:$B,$G5,Нормативы!$D:$D,'2020'!$I5,Нормативы!$F:$F,'2020'!$K5)</f>
        <v>5080</v>
      </c>
      <c r="AH5" s="433">
        <f>SUMIFS(Нормативы!T:T,Нормативы!$B:$B,$G5,Нормативы!$D:$D,'2020'!$I5,Нормативы!$F:$F,'2020'!$K5)</f>
        <v>540</v>
      </c>
      <c r="AI5" s="433">
        <f>SUMIFS(Нормативы!U:U,Нормативы!$B:$B,$G5,Нормативы!$D:$D,'2020'!$I5,Нормативы!$F:$F,'2020'!$K5)</f>
        <v>770</v>
      </c>
      <c r="AJ5" s="433">
        <f>SUMIFS(Нормативы!V:V,Нормативы!$B:$B,$G5,Нормативы!$D:$D,'2020'!$I5,Нормативы!$F:$F,'2020'!$K5)</f>
        <v>80</v>
      </c>
      <c r="AK5" s="433">
        <f>SUMIFS(Нормативы!W:W,Нормативы!$B:$B,$G5,Нормативы!$D:$D,'2020'!$I5,Нормативы!$F:$F,'2020'!$K5)</f>
        <v>300</v>
      </c>
      <c r="AL5" s="433">
        <f>SUMIFS(Нормативы!X:X,Нормативы!$B:$B,$G5,Нормативы!$D:$D,'2020'!$I5,Нормативы!$F:$F,'2020'!$K5)*O5</f>
        <v>26880</v>
      </c>
      <c r="AM5" s="433">
        <f>ROUND(AL5/1.302,1)</f>
        <v>20645.2</v>
      </c>
      <c r="AN5" s="433">
        <f>AL5-AM5</f>
        <v>6234.8</v>
      </c>
      <c r="AO5" s="433">
        <f>SUMIFS(Нормативы!AA:AA,Нормативы!$B:$B,$G5,Нормативы!$D:$D,'2020'!$I5,Нормативы!$F:$F,'2020'!$K5)</f>
        <v>3520</v>
      </c>
      <c r="AP5" s="434">
        <f>U5+X5+Z5+AA5++AF5+AG5+AH5+AI5+AJ5+AK5+AL5+AO5</f>
        <v>154750</v>
      </c>
      <c r="AQ5" s="609">
        <f t="shared" ref="AQ5:AQ7" si="54">ROUND($P5*U5,0)</f>
        <v>108040</v>
      </c>
      <c r="AR5" s="433">
        <f t="shared" ref="AR5:AR7" si="55">ROUND(AQ5/1.302,1)</f>
        <v>82980</v>
      </c>
      <c r="AS5" s="433">
        <f t="shared" ref="AS5:AS7" si="56">AQ5-AR5</f>
        <v>25060</v>
      </c>
      <c r="AT5" s="435">
        <f t="shared" si="0"/>
        <v>220</v>
      </c>
      <c r="AU5" s="435">
        <f t="shared" si="1"/>
        <v>44</v>
      </c>
      <c r="AV5" s="435">
        <f t="shared" si="2"/>
        <v>2320</v>
      </c>
      <c r="AW5" s="435">
        <f t="shared" si="3"/>
        <v>4540</v>
      </c>
      <c r="AX5" s="435">
        <f t="shared" si="4"/>
        <v>1040</v>
      </c>
      <c r="AY5" s="435">
        <f t="shared" si="5"/>
        <v>2140</v>
      </c>
      <c r="AZ5" s="435">
        <f t="shared" si="6"/>
        <v>620</v>
      </c>
      <c r="BA5" s="435">
        <f t="shared" si="7"/>
        <v>740</v>
      </c>
      <c r="BB5" s="435">
        <f t="shared" ref="BB5:BB7" si="57">ROUND($P5*AF5,0)</f>
        <v>2460</v>
      </c>
      <c r="BC5" s="435">
        <f t="shared" si="8"/>
        <v>5080</v>
      </c>
      <c r="BD5" s="435">
        <f t="shared" si="9"/>
        <v>540</v>
      </c>
      <c r="BE5" s="435">
        <f t="shared" si="10"/>
        <v>770</v>
      </c>
      <c r="BF5" s="435">
        <f t="shared" si="11"/>
        <v>80</v>
      </c>
      <c r="BG5" s="435">
        <f t="shared" si="12"/>
        <v>300</v>
      </c>
      <c r="BH5" s="435">
        <f t="shared" si="13"/>
        <v>26880</v>
      </c>
      <c r="BI5" s="433">
        <f t="shared" ref="BI5:BI7" si="58">ROUND(BH5/1.302,1)</f>
        <v>20645.2</v>
      </c>
      <c r="BJ5" s="433">
        <f t="shared" ref="BJ5:BJ7" si="59">BH5-BI5</f>
        <v>6234.8</v>
      </c>
      <c r="BK5" s="435">
        <f t="shared" si="14"/>
        <v>3520</v>
      </c>
      <c r="BL5" s="434">
        <f t="shared" si="15"/>
        <v>154750</v>
      </c>
      <c r="BM5" s="614">
        <f>'2020'!AQ5*'2020'!S5</f>
        <v>124462.08</v>
      </c>
      <c r="BN5" s="433">
        <f t="shared" si="16"/>
        <v>95593</v>
      </c>
      <c r="BO5" s="433">
        <f t="shared" si="17"/>
        <v>28869.08</v>
      </c>
      <c r="BP5" s="435">
        <f t="shared" ref="BP5:BP7" si="60">AT5</f>
        <v>220</v>
      </c>
      <c r="BQ5" s="435">
        <f t="shared" ref="BQ5:BQ7" si="61">AU5</f>
        <v>44</v>
      </c>
      <c r="BR5" s="435">
        <f t="shared" ref="BR5:BR7" si="62">AV5</f>
        <v>2320</v>
      </c>
      <c r="BS5" s="435">
        <f t="shared" si="18"/>
        <v>4540</v>
      </c>
      <c r="BT5" s="34">
        <f t="shared" si="19"/>
        <v>1040</v>
      </c>
      <c r="BU5" s="34">
        <f t="shared" si="20"/>
        <v>2140</v>
      </c>
      <c r="BV5" s="34">
        <f t="shared" si="21"/>
        <v>620</v>
      </c>
      <c r="BW5" s="606">
        <f t="shared" si="22"/>
        <v>740</v>
      </c>
      <c r="BX5" s="606">
        <f t="shared" si="23"/>
        <v>6708</v>
      </c>
      <c r="BY5" s="606">
        <f t="shared" si="24"/>
        <v>5080</v>
      </c>
      <c r="BZ5" s="606">
        <f t="shared" si="25"/>
        <v>540</v>
      </c>
      <c r="CA5" s="606">
        <f t="shared" si="26"/>
        <v>770</v>
      </c>
      <c r="CB5" s="606">
        <f t="shared" si="27"/>
        <v>80</v>
      </c>
      <c r="CC5" s="606">
        <f t="shared" si="28"/>
        <v>300</v>
      </c>
      <c r="CD5" s="606">
        <f t="shared" si="29"/>
        <v>30966</v>
      </c>
      <c r="CE5" s="604">
        <f t="shared" ref="CE5:CE7" si="63">ROUND(CD5/1.302,1)</f>
        <v>23783.4</v>
      </c>
      <c r="CF5" s="604">
        <f t="shared" ref="CF5:CF7" si="64">CD5-CE5</f>
        <v>7182.6</v>
      </c>
      <c r="CG5" s="606">
        <f t="shared" si="30"/>
        <v>3520</v>
      </c>
      <c r="CH5" s="605">
        <f t="shared" si="31"/>
        <v>179506.08</v>
      </c>
      <c r="CI5" s="607"/>
      <c r="CJ5" s="607"/>
      <c r="CK5" s="607"/>
      <c r="CL5" s="607"/>
      <c r="CM5" s="607"/>
      <c r="CN5" s="607"/>
      <c r="CO5" s="607"/>
      <c r="CP5" s="607"/>
      <c r="CQ5" s="607"/>
      <c r="CR5" s="607"/>
      <c r="CS5" s="607"/>
      <c r="CT5" s="607"/>
      <c r="CU5" s="607"/>
      <c r="CV5" s="607"/>
      <c r="CW5" s="607"/>
      <c r="CX5" s="607"/>
      <c r="CY5" s="607"/>
      <c r="CZ5" s="607"/>
      <c r="DA5" s="607"/>
      <c r="DB5" s="607"/>
      <c r="DC5" s="607"/>
      <c r="DD5" s="607"/>
      <c r="AUV5" s="699">
        <f t="shared" ref="AUV5:AUV69" si="65">BM5/P5</f>
        <v>124462.08</v>
      </c>
      <c r="AUW5" s="699">
        <f t="shared" ref="AUW5:AUW69" si="66">AUV5/1.302</f>
        <v>95593</v>
      </c>
      <c r="AUX5" s="699">
        <f t="shared" ref="AUX5:AUX69" si="67">AUV5-AUW5</f>
        <v>28869.08</v>
      </c>
      <c r="AUY5" s="699">
        <f t="shared" ref="AUY5:AUY64" si="68">BP5/P5</f>
        <v>220</v>
      </c>
      <c r="AUZ5" s="699">
        <f t="shared" ref="AUZ5:AVA20" si="69">BQ5/T5</f>
        <v>16.13</v>
      </c>
      <c r="AVA5" s="699">
        <f t="shared" si="69"/>
        <v>0.02</v>
      </c>
      <c r="AVB5" s="699">
        <f t="shared" ref="AVB5:AVB64" si="70">AVC5+AVD5+AVE5+AVF5</f>
        <v>4540</v>
      </c>
      <c r="AVC5" s="699">
        <f t="shared" ref="AVC5:AVC64" si="71">BT5/P5</f>
        <v>1040</v>
      </c>
      <c r="AVD5" s="699">
        <f t="shared" ref="AVD5:AVD64" si="72">BU5/P5</f>
        <v>2140</v>
      </c>
      <c r="AVE5" s="699">
        <f t="shared" ref="AVE5:AVE64" si="73">BV5/P5</f>
        <v>620</v>
      </c>
      <c r="AVF5" s="699">
        <f t="shared" ref="AVF5:AVF64" si="74">BW5/P5</f>
        <v>740</v>
      </c>
      <c r="AVG5" s="699">
        <f t="shared" ref="AVG5:AVG64" si="75">BX5/P5</f>
        <v>6708</v>
      </c>
      <c r="AVH5" s="699">
        <f t="shared" ref="AVH5:AVH64" si="76">BY5/P5</f>
        <v>5080</v>
      </c>
      <c r="AVI5" s="699">
        <f t="shared" ref="AVI5:AVI64" si="77">BZ5/P5</f>
        <v>540</v>
      </c>
      <c r="AVJ5" s="699">
        <f t="shared" ref="AVJ5:AVJ64" si="78">CA5/P5</f>
        <v>770</v>
      </c>
      <c r="AVK5" s="699">
        <f t="shared" ref="AVK5:AVK64" si="79">CB5/P5</f>
        <v>80</v>
      </c>
      <c r="AVL5" s="699">
        <f t="shared" ref="AVL5:AVL64" si="80">CC5/P5</f>
        <v>300</v>
      </c>
      <c r="AVM5" s="699">
        <f t="shared" ref="AVM5:AVM64" si="81">CD5/P5</f>
        <v>30966</v>
      </c>
      <c r="AVN5" s="699">
        <f t="shared" ref="AVN5:AVN64" si="82">AVM5/1.302</f>
        <v>23783.41</v>
      </c>
      <c r="AVO5" s="699">
        <f t="shared" ref="AVO5:AVO64" si="83">AVM5-AVN5</f>
        <v>7182.59</v>
      </c>
      <c r="AVP5" s="699">
        <f t="shared" ref="AVP5:AVP64" si="84">CG5/P5</f>
        <v>3520</v>
      </c>
      <c r="AVQ5" s="699">
        <f t="shared" ref="AVQ5:AVQ64" si="85">CH5/P5</f>
        <v>179506.08</v>
      </c>
    </row>
    <row r="6" spans="1:1265" s="608" customFormat="1" ht="30" customHeight="1" x14ac:dyDescent="0.25">
      <c r="A6" s="634">
        <v>1</v>
      </c>
      <c r="B6" s="634">
        <v>1</v>
      </c>
      <c r="C6" s="633" t="s">
        <v>246</v>
      </c>
      <c r="D6" s="2"/>
      <c r="E6" s="602" t="s">
        <v>344</v>
      </c>
      <c r="F6" s="634" t="s">
        <v>31</v>
      </c>
      <c r="G6" s="634">
        <v>1</v>
      </c>
      <c r="H6" s="656" t="s">
        <v>8</v>
      </c>
      <c r="I6" s="634">
        <v>3</v>
      </c>
      <c r="J6" s="602" t="s">
        <v>460</v>
      </c>
      <c r="K6" s="634">
        <v>1</v>
      </c>
      <c r="L6" s="681" t="s">
        <v>349</v>
      </c>
      <c r="M6" s="601" t="s">
        <v>328</v>
      </c>
      <c r="N6" s="602" t="s">
        <v>387</v>
      </c>
      <c r="O6" s="634">
        <v>1</v>
      </c>
      <c r="P6" s="695">
        <v>10</v>
      </c>
      <c r="Q6" s="633">
        <v>10</v>
      </c>
      <c r="R6" s="633">
        <v>10</v>
      </c>
      <c r="S6" s="671">
        <f>'Территориальный кк'!D4</f>
        <v>1.1519999999999999</v>
      </c>
      <c r="T6" s="672">
        <f>'Территориальный кк'!E4</f>
        <v>2.7269999999999999</v>
      </c>
      <c r="U6" s="433">
        <f>SUMIFS(Нормативы!G:G,Нормативы!$B:$B,$G6,Нормативы!$D:$D,'2020'!$I6,Нормативы!$F:$F,'2020'!$K6)*O6</f>
        <v>5402</v>
      </c>
      <c r="V6" s="433">
        <f t="shared" ref="V6" si="86">ROUND(U6/1.302,1)</f>
        <v>4149</v>
      </c>
      <c r="W6" s="433">
        <f t="shared" ref="W6" si="87">U6-V6</f>
        <v>1253</v>
      </c>
      <c r="X6" s="433">
        <f>SUMIFS(Нормативы!J:J,Нормативы!$B:$B,$G6,Нормативы!$D:$D,'2020'!$I6,Нормативы!$F:$F,'2020'!$K6)</f>
        <v>22</v>
      </c>
      <c r="Y6" s="433">
        <f>SUMIFS(Нормативы!K:K,Нормативы!$B:$B,$G6,Нормативы!$D:$D,'2020'!$I6,Нормативы!$F:$F,'2020'!$K6)</f>
        <v>4</v>
      </c>
      <c r="Z6" s="433">
        <f>SUMIFS(Нормативы!L:L,Нормативы!$B:$B,$G6,Нормативы!$D:$D,'2020'!$I6,Нормативы!$F:$F,'2020'!$K6)</f>
        <v>232</v>
      </c>
      <c r="AA6" s="433">
        <f t="shared" ref="AA6" si="88">AB6+AC6+AD6+AE6</f>
        <v>371</v>
      </c>
      <c r="AB6" s="433">
        <f>SUMIFS(Нормативы!N:N,Нормативы!$B:$B,$G6,Нормативы!$D:$D,'2020'!$I6,Нормативы!$F:$F,'2020'!$K6)*O6</f>
        <v>52</v>
      </c>
      <c r="AC6" s="433">
        <f>SUMIFS(Нормативы!O:O,Нормативы!$B:$B,$G6,Нормативы!$D:$D,'2020'!$I6,Нормативы!$F:$F,'2020'!$K6)</f>
        <v>214</v>
      </c>
      <c r="AD6" s="433">
        <f>SUMIFS(Нормативы!P:P,Нормативы!$B:$B,$G6,Нормативы!$D:$D,'2020'!$I6,Нормативы!$F:$F,'2020'!$K6)*O6</f>
        <v>31</v>
      </c>
      <c r="AE6" s="433">
        <f>SUMIFS(Нормативы!Q:Q,Нормативы!$B:$B,$G6,Нормативы!$D:$D,'2020'!$I6,Нормативы!$F:$F,'2020'!$K6)</f>
        <v>74</v>
      </c>
      <c r="AF6" s="433">
        <f>SUMIFS(Нормативы!R:R,Нормативы!$B:$B,$G6,Нормативы!$D:$D,'2020'!$I6,Нормативы!$F:$F,'2020'!$K6)</f>
        <v>246</v>
      </c>
      <c r="AG6" s="433">
        <f>SUMIFS(Нормативы!S:S,Нормативы!$B:$B,$G6,Нормативы!$D:$D,'2020'!$I6,Нормативы!$F:$F,'2020'!$K6)</f>
        <v>508</v>
      </c>
      <c r="AH6" s="433">
        <f>SUMIFS(Нормативы!T:T,Нормативы!$B:$B,$G6,Нормативы!$D:$D,'2020'!$I6,Нормативы!$F:$F,'2020'!$K6)</f>
        <v>54</v>
      </c>
      <c r="AI6" s="433">
        <f>SUMIFS(Нормативы!U:U,Нормативы!$B:$B,$G6,Нормативы!$D:$D,'2020'!$I6,Нормативы!$F:$F,'2020'!$K6)</f>
        <v>77</v>
      </c>
      <c r="AJ6" s="433">
        <f>SUMIFS(Нормативы!V:V,Нормативы!$B:$B,$G6,Нормативы!$D:$D,'2020'!$I6,Нормативы!$F:$F,'2020'!$K6)</f>
        <v>8</v>
      </c>
      <c r="AK6" s="433">
        <f>SUMIFS(Нормативы!W:W,Нормативы!$B:$B,$G6,Нормативы!$D:$D,'2020'!$I6,Нормативы!$F:$F,'2020'!$K6)</f>
        <v>30</v>
      </c>
      <c r="AL6" s="433">
        <f>SUMIFS(Нормативы!X:X,Нормативы!$B:$B,$G6,Нормативы!$D:$D,'2020'!$I6,Нормативы!$F:$F,'2020'!$K6)*O6</f>
        <v>1344</v>
      </c>
      <c r="AM6" s="433">
        <f t="shared" ref="AM6" si="89">ROUND(AL6/1.302,1)</f>
        <v>1032.3</v>
      </c>
      <c r="AN6" s="433">
        <f t="shared" ref="AN6" si="90">AL6-AM6</f>
        <v>311.7</v>
      </c>
      <c r="AO6" s="433">
        <f>SUMIFS(Нормативы!AA:AA,Нормативы!$B:$B,$G6,Нормативы!$D:$D,'2020'!$I6,Нормативы!$F:$F,'2020'!$K6)</f>
        <v>0</v>
      </c>
      <c r="AP6" s="434">
        <f t="shared" ref="AP6" si="91">U6+X6+Z6+AA6++AF6+AG6+AH6+AI6+AJ6+AK6+AL6+AO6</f>
        <v>8294</v>
      </c>
      <c r="AQ6" s="609">
        <f t="shared" si="54"/>
        <v>54020</v>
      </c>
      <c r="AR6" s="433">
        <f t="shared" si="55"/>
        <v>41490</v>
      </c>
      <c r="AS6" s="433">
        <f t="shared" si="56"/>
        <v>12530</v>
      </c>
      <c r="AT6" s="435">
        <f t="shared" si="0"/>
        <v>220</v>
      </c>
      <c r="AU6" s="435">
        <f t="shared" si="1"/>
        <v>40</v>
      </c>
      <c r="AV6" s="435">
        <f t="shared" si="2"/>
        <v>2320</v>
      </c>
      <c r="AW6" s="435">
        <f t="shared" si="3"/>
        <v>3710</v>
      </c>
      <c r="AX6" s="435">
        <f t="shared" si="4"/>
        <v>520</v>
      </c>
      <c r="AY6" s="435">
        <f t="shared" si="5"/>
        <v>2140</v>
      </c>
      <c r="AZ6" s="435">
        <f t="shared" si="6"/>
        <v>310</v>
      </c>
      <c r="BA6" s="435">
        <f t="shared" si="7"/>
        <v>740</v>
      </c>
      <c r="BB6" s="435">
        <f t="shared" si="57"/>
        <v>2460</v>
      </c>
      <c r="BC6" s="435">
        <f t="shared" si="8"/>
        <v>5080</v>
      </c>
      <c r="BD6" s="435">
        <f t="shared" si="9"/>
        <v>540</v>
      </c>
      <c r="BE6" s="435">
        <f t="shared" si="10"/>
        <v>770</v>
      </c>
      <c r="BF6" s="435">
        <f t="shared" si="11"/>
        <v>80</v>
      </c>
      <c r="BG6" s="435">
        <f t="shared" si="12"/>
        <v>300</v>
      </c>
      <c r="BH6" s="435">
        <f t="shared" si="13"/>
        <v>13440</v>
      </c>
      <c r="BI6" s="433">
        <f t="shared" si="58"/>
        <v>10322.6</v>
      </c>
      <c r="BJ6" s="433">
        <f t="shared" si="59"/>
        <v>3117.4</v>
      </c>
      <c r="BK6" s="435">
        <v>0</v>
      </c>
      <c r="BL6" s="434">
        <f t="shared" si="15"/>
        <v>82940</v>
      </c>
      <c r="BM6" s="614">
        <f>'2020'!AQ6*'2020'!S6</f>
        <v>62231.040000000001</v>
      </c>
      <c r="BN6" s="433">
        <f t="shared" si="16"/>
        <v>47796.5</v>
      </c>
      <c r="BO6" s="433">
        <f t="shared" si="17"/>
        <v>14434.54</v>
      </c>
      <c r="BP6" s="435">
        <f t="shared" si="60"/>
        <v>220</v>
      </c>
      <c r="BQ6" s="435">
        <f t="shared" si="61"/>
        <v>40</v>
      </c>
      <c r="BR6" s="435">
        <f t="shared" si="62"/>
        <v>2320</v>
      </c>
      <c r="BS6" s="435">
        <f t="shared" si="18"/>
        <v>3710</v>
      </c>
      <c r="BT6" s="34">
        <f t="shared" si="19"/>
        <v>520</v>
      </c>
      <c r="BU6" s="34">
        <f t="shared" si="20"/>
        <v>2140</v>
      </c>
      <c r="BV6" s="34">
        <f t="shared" si="21"/>
        <v>310</v>
      </c>
      <c r="BW6" s="606">
        <f t="shared" si="22"/>
        <v>740</v>
      </c>
      <c r="BX6" s="606">
        <f t="shared" si="23"/>
        <v>6708</v>
      </c>
      <c r="BY6" s="606">
        <f t="shared" si="24"/>
        <v>5080</v>
      </c>
      <c r="BZ6" s="606">
        <f t="shared" si="25"/>
        <v>540</v>
      </c>
      <c r="CA6" s="606">
        <f t="shared" si="26"/>
        <v>770</v>
      </c>
      <c r="CB6" s="606">
        <f t="shared" si="27"/>
        <v>80</v>
      </c>
      <c r="CC6" s="606">
        <f t="shared" si="28"/>
        <v>300</v>
      </c>
      <c r="CD6" s="606">
        <f t="shared" si="29"/>
        <v>15483</v>
      </c>
      <c r="CE6" s="604">
        <f t="shared" si="63"/>
        <v>11891.7</v>
      </c>
      <c r="CF6" s="604">
        <f t="shared" si="64"/>
        <v>3591.3</v>
      </c>
      <c r="CG6" s="606">
        <f t="shared" si="30"/>
        <v>0</v>
      </c>
      <c r="CH6" s="605">
        <f t="shared" si="31"/>
        <v>97442.04</v>
      </c>
      <c r="CI6" s="607"/>
      <c r="CJ6" s="607"/>
      <c r="CK6" s="607"/>
      <c r="CL6" s="607"/>
      <c r="CM6" s="607"/>
      <c r="CN6" s="607"/>
      <c r="CO6" s="607"/>
      <c r="CP6" s="607"/>
      <c r="CQ6" s="607"/>
      <c r="CR6" s="607"/>
      <c r="CS6" s="607"/>
      <c r="CT6" s="607"/>
      <c r="CU6" s="607"/>
      <c r="CV6" s="607"/>
      <c r="CW6" s="607"/>
      <c r="CX6" s="607"/>
      <c r="CY6" s="607"/>
      <c r="CZ6" s="607"/>
      <c r="DA6" s="607"/>
      <c r="DB6" s="607"/>
      <c r="DC6" s="607"/>
      <c r="DD6" s="607"/>
      <c r="AUV6" s="699">
        <f t="shared" si="65"/>
        <v>6223.1</v>
      </c>
      <c r="AUW6" s="699">
        <f t="shared" si="66"/>
        <v>4779.6499999999996</v>
      </c>
      <c r="AUX6" s="699">
        <f t="shared" si="67"/>
        <v>1443.45</v>
      </c>
      <c r="AUY6" s="699">
        <f t="shared" si="68"/>
        <v>22</v>
      </c>
      <c r="AUZ6" s="699">
        <f t="shared" si="69"/>
        <v>14.67</v>
      </c>
      <c r="AVA6" s="699">
        <f t="shared" si="69"/>
        <v>0.43</v>
      </c>
      <c r="AVB6" s="699">
        <f t="shared" si="70"/>
        <v>371</v>
      </c>
      <c r="AVC6" s="699">
        <f t="shared" si="71"/>
        <v>52</v>
      </c>
      <c r="AVD6" s="699">
        <f t="shared" si="72"/>
        <v>214</v>
      </c>
      <c r="AVE6" s="699">
        <f t="shared" si="73"/>
        <v>31</v>
      </c>
      <c r="AVF6" s="699">
        <f t="shared" si="74"/>
        <v>74</v>
      </c>
      <c r="AVG6" s="699">
        <f t="shared" si="75"/>
        <v>670.8</v>
      </c>
      <c r="AVH6" s="699">
        <f t="shared" si="76"/>
        <v>508</v>
      </c>
      <c r="AVI6" s="699">
        <f t="shared" si="77"/>
        <v>54</v>
      </c>
      <c r="AVJ6" s="699">
        <f t="shared" si="78"/>
        <v>77</v>
      </c>
      <c r="AVK6" s="699">
        <f t="shared" si="79"/>
        <v>8</v>
      </c>
      <c r="AVL6" s="699">
        <f t="shared" si="80"/>
        <v>30</v>
      </c>
      <c r="AVM6" s="699">
        <f t="shared" si="81"/>
        <v>1548.3</v>
      </c>
      <c r="AVN6" s="699">
        <f t="shared" si="82"/>
        <v>1189.17</v>
      </c>
      <c r="AVO6" s="699">
        <f t="shared" si="83"/>
        <v>359.13</v>
      </c>
      <c r="AVP6" s="699">
        <f t="shared" si="84"/>
        <v>0</v>
      </c>
      <c r="AVQ6" s="699">
        <f t="shared" si="85"/>
        <v>9744.2000000000007</v>
      </c>
    </row>
    <row r="7" spans="1:1265" s="608" customFormat="1" ht="30" customHeight="1" x14ac:dyDescent="0.25">
      <c r="A7" s="634">
        <v>1</v>
      </c>
      <c r="B7" s="634">
        <v>1</v>
      </c>
      <c r="C7" s="633" t="s">
        <v>246</v>
      </c>
      <c r="D7" s="2"/>
      <c r="E7" s="602" t="s">
        <v>345</v>
      </c>
      <c r="F7" s="634" t="s">
        <v>38</v>
      </c>
      <c r="G7" s="634">
        <v>2</v>
      </c>
      <c r="H7" s="656" t="s">
        <v>10</v>
      </c>
      <c r="I7" s="634">
        <v>0</v>
      </c>
      <c r="J7" s="602" t="s">
        <v>439</v>
      </c>
      <c r="K7" s="634">
        <v>3</v>
      </c>
      <c r="L7" s="681" t="s">
        <v>350</v>
      </c>
      <c r="M7" s="601" t="s">
        <v>295</v>
      </c>
      <c r="N7" s="602" t="s">
        <v>401</v>
      </c>
      <c r="O7" s="634">
        <v>2</v>
      </c>
      <c r="P7" s="695">
        <v>1</v>
      </c>
      <c r="Q7" s="633">
        <v>1</v>
      </c>
      <c r="R7" s="633">
        <v>1</v>
      </c>
      <c r="S7" s="671">
        <f>'Территориальный кк'!D4</f>
        <v>1.1519999999999999</v>
      </c>
      <c r="T7" s="672">
        <f>'Территориальный кк'!E4</f>
        <v>2.7269999999999999</v>
      </c>
      <c r="U7" s="433">
        <f>SUMIFS(Нормативы!G:G,Нормативы!$B:$B,$G7,Нормативы!$D:$D,'2020'!$I7,Нормативы!$F:$F,'2020'!$K7)*O7</f>
        <v>141200</v>
      </c>
      <c r="V7" s="433">
        <f t="shared" ref="V7" si="92">ROUND(U7/1.302,1)</f>
        <v>108448.5</v>
      </c>
      <c r="W7" s="433">
        <f t="shared" ref="W7" si="93">U7-V7</f>
        <v>32751.5</v>
      </c>
      <c r="X7" s="433">
        <f>SUMIFS(Нормативы!J:J,Нормативы!$B:$B,$G7,Нормативы!$D:$D,'2020'!$I7,Нормативы!$F:$F,'2020'!$K7)</f>
        <v>8860</v>
      </c>
      <c r="Y7" s="433">
        <f>SUMIFS(Нормативы!K:K,Нормативы!$B:$B,$G7,Нормативы!$D:$D,'2020'!$I7,Нормативы!$F:$F,'2020'!$K7)</f>
        <v>0</v>
      </c>
      <c r="Z7" s="433">
        <f>SUMIFS(Нормативы!L:L,Нормативы!$B:$B,$G7,Нормативы!$D:$D,'2020'!$I7,Нормативы!$F:$F,'2020'!$K7)</f>
        <v>8110</v>
      </c>
      <c r="AA7" s="433">
        <f t="shared" ref="AA7" si="94">AB7+AC7+AD7+AE7</f>
        <v>22530</v>
      </c>
      <c r="AB7" s="433">
        <f>SUMIFS(Нормативы!N:N,Нормативы!$B:$B,$G7,Нормативы!$D:$D,'2020'!$I7,Нормативы!$F:$F,'2020'!$K7)*O7</f>
        <v>1040</v>
      </c>
      <c r="AC7" s="433">
        <f>SUMIFS(Нормативы!O:O,Нормативы!$B:$B,$G7,Нормативы!$D:$D,'2020'!$I7,Нормативы!$F:$F,'2020'!$K7)</f>
        <v>19720</v>
      </c>
      <c r="AD7" s="433">
        <f>SUMIFS(Нормативы!P:P,Нормативы!$B:$B,$G7,Нормативы!$D:$D,'2020'!$I7,Нормативы!$F:$F,'2020'!$K7)*O7</f>
        <v>800</v>
      </c>
      <c r="AE7" s="433">
        <f>SUMIFS(Нормативы!Q:Q,Нормативы!$B:$B,$G7,Нормативы!$D:$D,'2020'!$I7,Нормативы!$F:$F,'2020'!$K7)</f>
        <v>970</v>
      </c>
      <c r="AF7" s="433">
        <f>SUMIFS(Нормативы!R:R,Нормативы!$B:$B,$G7,Нормативы!$D:$D,'2020'!$I7,Нормативы!$F:$F,'2020'!$K7)</f>
        <v>2680</v>
      </c>
      <c r="AG7" s="433">
        <f>SUMIFS(Нормативы!S:S,Нормативы!$B:$B,$G7,Нормативы!$D:$D,'2020'!$I7,Нормативы!$F:$F,'2020'!$K7)</f>
        <v>5800</v>
      </c>
      <c r="AH7" s="433">
        <f>SUMIFS(Нормативы!T:T,Нормативы!$B:$B,$G7,Нормативы!$D:$D,'2020'!$I7,Нормативы!$F:$F,'2020'!$K7)</f>
        <v>540</v>
      </c>
      <c r="AI7" s="433">
        <f>SUMIFS(Нормативы!U:U,Нормативы!$B:$B,$G7,Нормативы!$D:$D,'2020'!$I7,Нормативы!$F:$F,'2020'!$K7)</f>
        <v>770</v>
      </c>
      <c r="AJ7" s="433">
        <f>SUMIFS(Нормативы!V:V,Нормативы!$B:$B,$G7,Нормативы!$D:$D,'2020'!$I7,Нормативы!$F:$F,'2020'!$K7)</f>
        <v>80</v>
      </c>
      <c r="AK7" s="433">
        <f>SUMIFS(Нормативы!W:W,Нормативы!$B:$B,$G7,Нормативы!$D:$D,'2020'!$I7,Нормативы!$F:$F,'2020'!$K7)</f>
        <v>330</v>
      </c>
      <c r="AL7" s="433">
        <f>SUMIFS(Нормативы!X:X,Нормативы!$B:$B,$G7,Нормативы!$D:$D,'2020'!$I7,Нормативы!$F:$F,'2020'!$K7)*O7</f>
        <v>32240</v>
      </c>
      <c r="AM7" s="433">
        <f t="shared" ref="AM7" si="95">ROUND(AL7/1.302,1)</f>
        <v>24761.9</v>
      </c>
      <c r="AN7" s="433">
        <f t="shared" ref="AN7" si="96">AL7-AM7</f>
        <v>7478.1</v>
      </c>
      <c r="AO7" s="433">
        <f>SUMIFS(Нормативы!AA:AA,Нормативы!$B:$B,$G7,Нормативы!$D:$D,'2020'!$I7,Нормативы!$F:$F,'2020'!$K7)</f>
        <v>3520</v>
      </c>
      <c r="AP7" s="434">
        <f t="shared" ref="AP7" si="97">U7+X7+Z7+AA7++AF7+AG7+AH7+AI7+AJ7+AK7+AL7+AO7</f>
        <v>226660</v>
      </c>
      <c r="AQ7" s="609">
        <f t="shared" si="54"/>
        <v>141200</v>
      </c>
      <c r="AR7" s="433">
        <f t="shared" si="55"/>
        <v>108448.5</v>
      </c>
      <c r="AS7" s="433">
        <f t="shared" si="56"/>
        <v>32751.5</v>
      </c>
      <c r="AT7" s="435">
        <f t="shared" si="0"/>
        <v>8860</v>
      </c>
      <c r="AU7" s="435">
        <f t="shared" si="1"/>
        <v>0</v>
      </c>
      <c r="AV7" s="435">
        <f t="shared" si="2"/>
        <v>8110</v>
      </c>
      <c r="AW7" s="435">
        <f t="shared" si="3"/>
        <v>22530</v>
      </c>
      <c r="AX7" s="435">
        <f t="shared" si="4"/>
        <v>1040</v>
      </c>
      <c r="AY7" s="435">
        <f t="shared" si="5"/>
        <v>19720</v>
      </c>
      <c r="AZ7" s="435">
        <f t="shared" si="6"/>
        <v>800</v>
      </c>
      <c r="BA7" s="435">
        <f t="shared" si="7"/>
        <v>970</v>
      </c>
      <c r="BB7" s="435">
        <f t="shared" si="57"/>
        <v>2680</v>
      </c>
      <c r="BC7" s="435">
        <f t="shared" si="8"/>
        <v>5800</v>
      </c>
      <c r="BD7" s="435">
        <f t="shared" si="9"/>
        <v>540</v>
      </c>
      <c r="BE7" s="435">
        <f t="shared" si="10"/>
        <v>770</v>
      </c>
      <c r="BF7" s="435">
        <f t="shared" si="11"/>
        <v>80</v>
      </c>
      <c r="BG7" s="435">
        <f t="shared" si="12"/>
        <v>330</v>
      </c>
      <c r="BH7" s="435">
        <f t="shared" si="13"/>
        <v>32240</v>
      </c>
      <c r="BI7" s="433">
        <f t="shared" si="58"/>
        <v>24761.9</v>
      </c>
      <c r="BJ7" s="433">
        <f t="shared" si="59"/>
        <v>7478.1</v>
      </c>
      <c r="BK7" s="435">
        <f t="shared" si="14"/>
        <v>3520</v>
      </c>
      <c r="BL7" s="434">
        <f t="shared" si="15"/>
        <v>226660</v>
      </c>
      <c r="BM7" s="614">
        <f>'2020'!AQ7*'2020'!S7</f>
        <v>162662.39999999999</v>
      </c>
      <c r="BN7" s="433">
        <f t="shared" si="16"/>
        <v>124932.7</v>
      </c>
      <c r="BO7" s="433">
        <f t="shared" si="17"/>
        <v>37729.699999999997</v>
      </c>
      <c r="BP7" s="435">
        <f t="shared" si="60"/>
        <v>8860</v>
      </c>
      <c r="BQ7" s="435">
        <f t="shared" si="61"/>
        <v>0</v>
      </c>
      <c r="BR7" s="435">
        <f t="shared" si="62"/>
        <v>8110</v>
      </c>
      <c r="BS7" s="435">
        <f t="shared" si="18"/>
        <v>22530</v>
      </c>
      <c r="BT7" s="34">
        <f t="shared" si="19"/>
        <v>1040</v>
      </c>
      <c r="BU7" s="34">
        <f t="shared" si="20"/>
        <v>19720</v>
      </c>
      <c r="BV7" s="34">
        <f t="shared" si="21"/>
        <v>800</v>
      </c>
      <c r="BW7" s="606">
        <f t="shared" si="22"/>
        <v>970</v>
      </c>
      <c r="BX7" s="606">
        <f t="shared" si="23"/>
        <v>7308</v>
      </c>
      <c r="BY7" s="606">
        <f t="shared" si="24"/>
        <v>5800</v>
      </c>
      <c r="BZ7" s="606">
        <f t="shared" si="25"/>
        <v>540</v>
      </c>
      <c r="CA7" s="606">
        <f t="shared" si="26"/>
        <v>770</v>
      </c>
      <c r="CB7" s="606">
        <f t="shared" si="27"/>
        <v>80</v>
      </c>
      <c r="CC7" s="606">
        <f t="shared" si="28"/>
        <v>330</v>
      </c>
      <c r="CD7" s="606">
        <f t="shared" si="29"/>
        <v>37140</v>
      </c>
      <c r="CE7" s="604">
        <f t="shared" si="63"/>
        <v>28525.3</v>
      </c>
      <c r="CF7" s="604">
        <f t="shared" si="64"/>
        <v>8614.7000000000007</v>
      </c>
      <c r="CG7" s="606">
        <f t="shared" si="30"/>
        <v>3520</v>
      </c>
      <c r="CH7" s="605">
        <f t="shared" si="31"/>
        <v>257650.4</v>
      </c>
      <c r="CI7" s="607"/>
      <c r="CJ7" s="607"/>
      <c r="CK7" s="607"/>
      <c r="CL7" s="607"/>
      <c r="CM7" s="607"/>
      <c r="CN7" s="607"/>
      <c r="CO7" s="607"/>
      <c r="CP7" s="607"/>
      <c r="CQ7" s="607"/>
      <c r="CR7" s="607"/>
      <c r="CS7" s="607"/>
      <c r="CT7" s="607"/>
      <c r="CU7" s="607"/>
      <c r="CV7" s="607"/>
      <c r="CW7" s="607"/>
      <c r="CX7" s="607"/>
      <c r="CY7" s="607"/>
      <c r="CZ7" s="607"/>
      <c r="DA7" s="607"/>
      <c r="DB7" s="607"/>
      <c r="DC7" s="607"/>
      <c r="DD7" s="607"/>
      <c r="AUV7" s="699">
        <f t="shared" si="65"/>
        <v>162662.39999999999</v>
      </c>
      <c r="AUW7" s="699">
        <f t="shared" si="66"/>
        <v>124932.72</v>
      </c>
      <c r="AUX7" s="699">
        <f t="shared" si="67"/>
        <v>37729.68</v>
      </c>
      <c r="AUY7" s="699">
        <f t="shared" si="68"/>
        <v>8860</v>
      </c>
      <c r="AUZ7" s="699">
        <f t="shared" si="69"/>
        <v>0</v>
      </c>
      <c r="AVA7" s="699">
        <f t="shared" si="69"/>
        <v>0.06</v>
      </c>
      <c r="AVB7" s="699">
        <f t="shared" si="70"/>
        <v>22530</v>
      </c>
      <c r="AVC7" s="699">
        <f t="shared" si="71"/>
        <v>1040</v>
      </c>
      <c r="AVD7" s="699">
        <f t="shared" si="72"/>
        <v>19720</v>
      </c>
      <c r="AVE7" s="699">
        <f t="shared" si="73"/>
        <v>800</v>
      </c>
      <c r="AVF7" s="699">
        <f t="shared" si="74"/>
        <v>970</v>
      </c>
      <c r="AVG7" s="699">
        <f t="shared" si="75"/>
        <v>7308</v>
      </c>
      <c r="AVH7" s="699">
        <f t="shared" si="76"/>
        <v>5800</v>
      </c>
      <c r="AVI7" s="699">
        <f t="shared" si="77"/>
        <v>540</v>
      </c>
      <c r="AVJ7" s="699">
        <f t="shared" si="78"/>
        <v>770</v>
      </c>
      <c r="AVK7" s="699">
        <f t="shared" si="79"/>
        <v>80</v>
      </c>
      <c r="AVL7" s="699">
        <f t="shared" si="80"/>
        <v>330</v>
      </c>
      <c r="AVM7" s="699">
        <f t="shared" si="81"/>
        <v>37140</v>
      </c>
      <c r="AVN7" s="699">
        <f t="shared" si="82"/>
        <v>28525.35</v>
      </c>
      <c r="AVO7" s="699">
        <f t="shared" si="83"/>
        <v>8614.65</v>
      </c>
      <c r="AVP7" s="699">
        <f t="shared" si="84"/>
        <v>3520</v>
      </c>
      <c r="AVQ7" s="699">
        <f t="shared" si="85"/>
        <v>257650.4</v>
      </c>
    </row>
    <row r="8" spans="1:1265" s="436" customFormat="1" ht="30" customHeight="1" x14ac:dyDescent="0.25">
      <c r="A8" s="641">
        <v>1</v>
      </c>
      <c r="B8" s="641">
        <v>1</v>
      </c>
      <c r="C8" s="662" t="s">
        <v>246</v>
      </c>
      <c r="D8" s="2"/>
      <c r="E8" s="431" t="s">
        <v>344</v>
      </c>
      <c r="F8" s="641" t="s">
        <v>31</v>
      </c>
      <c r="G8" s="641">
        <v>1</v>
      </c>
      <c r="H8" s="655" t="s">
        <v>8</v>
      </c>
      <c r="I8" s="641">
        <v>3</v>
      </c>
      <c r="J8" s="431" t="s">
        <v>355</v>
      </c>
      <c r="K8" s="641">
        <v>1</v>
      </c>
      <c r="L8" s="680" t="s">
        <v>349</v>
      </c>
      <c r="M8" s="432" t="s">
        <v>254</v>
      </c>
      <c r="N8" s="431" t="s">
        <v>387</v>
      </c>
      <c r="O8" s="641">
        <v>1</v>
      </c>
      <c r="P8" s="695">
        <v>9</v>
      </c>
      <c r="Q8" s="632">
        <v>9</v>
      </c>
      <c r="R8" s="632">
        <v>9</v>
      </c>
      <c r="S8" s="669">
        <f>SUMIF('Территориальный кк'!$A:$A,'2020'!$B8,'Территориальный кк'!D:D)</f>
        <v>1.1519999999999999</v>
      </c>
      <c r="T8" s="670">
        <f>SUMIF('Территориальный кк'!$A:$A,'2020'!$B8,'Территориальный кк'!E:E)</f>
        <v>2.7269999999999999</v>
      </c>
      <c r="U8" s="433">
        <f>SUMIFS(Нормативы!G:G,Нормативы!$B:$B,$G8,Нормативы!$D:$D,'2020'!$I8,Нормативы!$F:$F,'2020'!$K8)*O8</f>
        <v>5402</v>
      </c>
      <c r="V8" s="433">
        <f t="shared" ref="V8:V81" si="98">ROUND(U8/1.302,1)</f>
        <v>4149</v>
      </c>
      <c r="W8" s="433">
        <f t="shared" ref="W8:W81" si="99">U8-V8</f>
        <v>1253</v>
      </c>
      <c r="X8" s="433">
        <f>SUMIFS(Нормативы!J:J,Нормативы!$B:$B,$G8,Нормативы!$D:$D,'2020'!$I8,Нормативы!$F:$F,'2020'!$K8)</f>
        <v>22</v>
      </c>
      <c r="Y8" s="433">
        <f>SUMIFS(Нормативы!K:K,Нормативы!$B:$B,$G8,Нормативы!$D:$D,'2020'!$I8,Нормативы!$F:$F,'2020'!$K8)</f>
        <v>4</v>
      </c>
      <c r="Z8" s="433">
        <f>SUMIFS(Нормативы!L:L,Нормативы!$B:$B,$G8,Нормативы!$D:$D,'2020'!$I8,Нормативы!$F:$F,'2020'!$K8)</f>
        <v>232</v>
      </c>
      <c r="AA8" s="433">
        <f t="shared" ref="AA8:AA81" si="100">AB8+AC8+AD8+AE8</f>
        <v>371</v>
      </c>
      <c r="AB8" s="433">
        <f>SUMIFS(Нормативы!N:N,Нормативы!$B:$B,$G8,Нормативы!$D:$D,'2020'!$I8,Нормативы!$F:$F,'2020'!$K8)*O8</f>
        <v>52</v>
      </c>
      <c r="AC8" s="433">
        <f>SUMIFS(Нормативы!O:O,Нормативы!$B:$B,$G8,Нормативы!$D:$D,'2020'!$I8,Нормативы!$F:$F,'2020'!$K8)</f>
        <v>214</v>
      </c>
      <c r="AD8" s="433">
        <f>SUMIFS(Нормативы!P:P,Нормативы!$B:$B,$G8,Нормативы!$D:$D,'2020'!$I8,Нормативы!$F:$F,'2020'!$K8)*O8</f>
        <v>31</v>
      </c>
      <c r="AE8" s="433">
        <f>SUMIFS(Нормативы!Q:Q,Нормативы!$B:$B,$G8,Нормативы!$D:$D,'2020'!$I8,Нормативы!$F:$F,'2020'!$K8)</f>
        <v>74</v>
      </c>
      <c r="AF8" s="433">
        <f>SUMIFS(Нормативы!R:R,Нормативы!$B:$B,$G8,Нормативы!$D:$D,'2020'!$I8,Нормативы!$F:$F,'2020'!$K8)</f>
        <v>246</v>
      </c>
      <c r="AG8" s="433">
        <f>SUMIFS(Нормативы!S:S,Нормативы!$B:$B,$G8,Нормативы!$D:$D,'2020'!$I8,Нормативы!$F:$F,'2020'!$K8)</f>
        <v>508</v>
      </c>
      <c r="AH8" s="433">
        <f>SUMIFS(Нормативы!T:T,Нормативы!$B:$B,$G8,Нормативы!$D:$D,'2020'!$I8,Нормативы!$F:$F,'2020'!$K8)</f>
        <v>54</v>
      </c>
      <c r="AI8" s="433">
        <f>SUMIFS(Нормативы!U:U,Нормативы!$B:$B,$G8,Нормативы!$D:$D,'2020'!$I8,Нормативы!$F:$F,'2020'!$K8)</f>
        <v>77</v>
      </c>
      <c r="AJ8" s="433">
        <f>SUMIFS(Нормативы!V:V,Нормативы!$B:$B,$G8,Нормативы!$D:$D,'2020'!$I8,Нормативы!$F:$F,'2020'!$K8)</f>
        <v>8</v>
      </c>
      <c r="AK8" s="433">
        <f>SUMIFS(Нормативы!W:W,Нормативы!$B:$B,$G8,Нормативы!$D:$D,'2020'!$I8,Нормативы!$F:$F,'2020'!$K8)</f>
        <v>30</v>
      </c>
      <c r="AL8" s="433">
        <f>SUMIFS(Нормативы!X:X,Нормативы!$B:$B,$G8,Нормативы!$D:$D,'2020'!$I8,Нормативы!$F:$F,'2020'!$K8)*O8</f>
        <v>1344</v>
      </c>
      <c r="AM8" s="433">
        <f t="shared" ref="AM8:AM81" si="101">ROUND(AL8/1.302,1)</f>
        <v>1032.3</v>
      </c>
      <c r="AN8" s="433">
        <f t="shared" ref="AN8:AN81" si="102">AL8-AM8</f>
        <v>311.7</v>
      </c>
      <c r="AO8" s="433">
        <f>SUMIFS(Нормативы!AA:AA,Нормативы!$B:$B,$G8,Нормативы!$D:$D,'2020'!$I8,Нормативы!$F:$F,'2020'!$K8)</f>
        <v>0</v>
      </c>
      <c r="AP8" s="434">
        <f t="shared" ref="AP8:AP81" si="103">U8+X8+Z8+AA8++AF8+AG8+AH8+AI8+AJ8+AK8+AL8+AO8</f>
        <v>8294</v>
      </c>
      <c r="AQ8" s="609">
        <f t="shared" ref="AQ8:AQ80" si="104">ROUND($P8*U8,0)</f>
        <v>48618</v>
      </c>
      <c r="AR8" s="433">
        <f t="shared" ref="AR8:AR81" si="105">ROUND(AQ8/1.302,1)</f>
        <v>37341</v>
      </c>
      <c r="AS8" s="433">
        <f t="shared" ref="AS8:AS81" si="106">AQ8-AR8</f>
        <v>11277</v>
      </c>
      <c r="AT8" s="435">
        <f t="shared" si="0"/>
        <v>198</v>
      </c>
      <c r="AU8" s="435">
        <f t="shared" si="1"/>
        <v>36</v>
      </c>
      <c r="AV8" s="435">
        <f t="shared" si="2"/>
        <v>2088</v>
      </c>
      <c r="AW8" s="435">
        <f t="shared" si="3"/>
        <v>3339</v>
      </c>
      <c r="AX8" s="435">
        <f t="shared" si="4"/>
        <v>468</v>
      </c>
      <c r="AY8" s="435">
        <f t="shared" si="5"/>
        <v>1926</v>
      </c>
      <c r="AZ8" s="435">
        <f t="shared" si="6"/>
        <v>279</v>
      </c>
      <c r="BA8" s="435">
        <f t="shared" si="7"/>
        <v>666</v>
      </c>
      <c r="BB8" s="435">
        <f t="shared" ref="BB8:BB80" si="107">ROUND($P8*AF8,0)</f>
        <v>2214</v>
      </c>
      <c r="BC8" s="435">
        <f t="shared" si="8"/>
        <v>4572</v>
      </c>
      <c r="BD8" s="435">
        <f t="shared" si="9"/>
        <v>486</v>
      </c>
      <c r="BE8" s="435">
        <f t="shared" si="10"/>
        <v>693</v>
      </c>
      <c r="BF8" s="435">
        <f t="shared" si="11"/>
        <v>72</v>
      </c>
      <c r="BG8" s="435">
        <f t="shared" si="12"/>
        <v>270</v>
      </c>
      <c r="BH8" s="435">
        <f t="shared" si="13"/>
        <v>12096</v>
      </c>
      <c r="BI8" s="433">
        <f t="shared" ref="BI8:BI81" si="108">ROUND(BH8/1.302,1)</f>
        <v>9290.2999999999993</v>
      </c>
      <c r="BJ8" s="433">
        <f t="shared" ref="BJ8:BJ81" si="109">BH8-BI8</f>
        <v>2805.7</v>
      </c>
      <c r="BK8" s="435">
        <f t="shared" si="14"/>
        <v>0</v>
      </c>
      <c r="BL8" s="434">
        <f t="shared" si="15"/>
        <v>74646</v>
      </c>
      <c r="BM8" s="613">
        <f t="shared" ref="BM8:BM80" si="110">ROUND(AQ8*S8,0)</f>
        <v>56008</v>
      </c>
      <c r="BN8" s="433">
        <f t="shared" si="16"/>
        <v>43016.9</v>
      </c>
      <c r="BO8" s="433">
        <f t="shared" si="17"/>
        <v>12991.1</v>
      </c>
      <c r="BP8" s="435">
        <f t="shared" ref="BP8:BP81" si="111">AT8</f>
        <v>198</v>
      </c>
      <c r="BQ8" s="435">
        <f t="shared" ref="BQ8:BQ81" si="112">AU8</f>
        <v>36</v>
      </c>
      <c r="BR8" s="435">
        <f t="shared" ref="BR8:BR81" si="113">AV8</f>
        <v>2088</v>
      </c>
      <c r="BS8" s="435">
        <f t="shared" si="18"/>
        <v>3339</v>
      </c>
      <c r="BT8" s="34">
        <f t="shared" si="19"/>
        <v>468</v>
      </c>
      <c r="BU8" s="34">
        <f t="shared" si="20"/>
        <v>1926</v>
      </c>
      <c r="BV8" s="34">
        <f t="shared" si="21"/>
        <v>279</v>
      </c>
      <c r="BW8" s="34">
        <f t="shared" si="22"/>
        <v>666</v>
      </c>
      <c r="BX8" s="435">
        <f t="shared" si="23"/>
        <v>6038</v>
      </c>
      <c r="BY8" s="435">
        <f t="shared" si="24"/>
        <v>4572</v>
      </c>
      <c r="BZ8" s="435">
        <f t="shared" si="25"/>
        <v>486</v>
      </c>
      <c r="CA8" s="435">
        <f t="shared" si="26"/>
        <v>693</v>
      </c>
      <c r="CB8" s="435">
        <f t="shared" si="27"/>
        <v>72</v>
      </c>
      <c r="CC8" s="435">
        <f t="shared" si="28"/>
        <v>270</v>
      </c>
      <c r="CD8" s="435">
        <f t="shared" si="29"/>
        <v>13935</v>
      </c>
      <c r="CE8" s="433">
        <f t="shared" ref="CE8:CE81" si="114">ROUND(CD8/1.302,1)</f>
        <v>10702.8</v>
      </c>
      <c r="CF8" s="433">
        <f t="shared" ref="CF8:CF81" si="115">CD8-CE8</f>
        <v>3232.2</v>
      </c>
      <c r="CG8" s="435">
        <f t="shared" si="30"/>
        <v>0</v>
      </c>
      <c r="CH8" s="434">
        <f t="shared" si="31"/>
        <v>87699</v>
      </c>
      <c r="CI8" s="88">
        <f t="shared" si="32"/>
        <v>6223.1111000000001</v>
      </c>
      <c r="CJ8" s="90">
        <f t="shared" si="33"/>
        <v>4779.6556</v>
      </c>
      <c r="CK8" s="90">
        <f t="shared" si="34"/>
        <v>1443.4556</v>
      </c>
      <c r="CL8" s="88">
        <f t="shared" si="35"/>
        <v>22</v>
      </c>
      <c r="CM8" s="88">
        <f t="shared" si="36"/>
        <v>4</v>
      </c>
      <c r="CN8" s="88">
        <f t="shared" si="37"/>
        <v>232</v>
      </c>
      <c r="CO8" s="88">
        <f t="shared" si="38"/>
        <v>371</v>
      </c>
      <c r="CP8" s="88">
        <f t="shared" si="39"/>
        <v>52</v>
      </c>
      <c r="CQ8" s="88">
        <f t="shared" si="40"/>
        <v>214</v>
      </c>
      <c r="CR8" s="88">
        <f t="shared" si="41"/>
        <v>31</v>
      </c>
      <c r="CS8" s="88">
        <f t="shared" si="42"/>
        <v>74</v>
      </c>
      <c r="CT8" s="88">
        <f t="shared" si="43"/>
        <v>670.88890000000004</v>
      </c>
      <c r="CU8" s="88">
        <f t="shared" si="44"/>
        <v>508</v>
      </c>
      <c r="CV8" s="88">
        <f t="shared" si="45"/>
        <v>54</v>
      </c>
      <c r="CW8" s="88">
        <f t="shared" si="46"/>
        <v>77</v>
      </c>
      <c r="CX8" s="88">
        <f t="shared" si="47"/>
        <v>8</v>
      </c>
      <c r="CY8" s="88">
        <f t="shared" si="48"/>
        <v>30</v>
      </c>
      <c r="CZ8" s="88">
        <f t="shared" si="49"/>
        <v>1548.3333</v>
      </c>
      <c r="DA8" s="90">
        <f t="shared" si="50"/>
        <v>1189.2</v>
      </c>
      <c r="DB8" s="90">
        <f t="shared" si="51"/>
        <v>359.13330000000002</v>
      </c>
      <c r="DC8" s="88">
        <f t="shared" si="52"/>
        <v>0</v>
      </c>
      <c r="DD8" s="88">
        <f t="shared" si="53"/>
        <v>9744.3333000000002</v>
      </c>
      <c r="AUV8" s="699">
        <f t="shared" si="65"/>
        <v>6223.11</v>
      </c>
      <c r="AUW8" s="699">
        <f t="shared" si="66"/>
        <v>4779.6499999999996</v>
      </c>
      <c r="AUX8" s="699">
        <f t="shared" si="67"/>
        <v>1443.46</v>
      </c>
      <c r="AUY8" s="699">
        <f t="shared" si="68"/>
        <v>22</v>
      </c>
      <c r="AUZ8" s="699">
        <f t="shared" si="69"/>
        <v>13.2</v>
      </c>
      <c r="AVA8" s="699">
        <f t="shared" si="69"/>
        <v>0.39</v>
      </c>
      <c r="AVB8" s="699">
        <f t="shared" si="70"/>
        <v>371</v>
      </c>
      <c r="AVC8" s="699">
        <f t="shared" si="71"/>
        <v>52</v>
      </c>
      <c r="AVD8" s="699">
        <f t="shared" si="72"/>
        <v>214</v>
      </c>
      <c r="AVE8" s="699">
        <f t="shared" si="73"/>
        <v>31</v>
      </c>
      <c r="AVF8" s="699">
        <f t="shared" si="74"/>
        <v>74</v>
      </c>
      <c r="AVG8" s="699">
        <f t="shared" si="75"/>
        <v>670.89</v>
      </c>
      <c r="AVH8" s="699">
        <f t="shared" si="76"/>
        <v>508</v>
      </c>
      <c r="AVI8" s="699">
        <f t="shared" si="77"/>
        <v>54</v>
      </c>
      <c r="AVJ8" s="699">
        <f t="shared" si="78"/>
        <v>77</v>
      </c>
      <c r="AVK8" s="699">
        <f t="shared" si="79"/>
        <v>8</v>
      </c>
      <c r="AVL8" s="699">
        <f t="shared" si="80"/>
        <v>30</v>
      </c>
      <c r="AVM8" s="699">
        <f t="shared" si="81"/>
        <v>1548.33</v>
      </c>
      <c r="AVN8" s="699">
        <f t="shared" si="82"/>
        <v>1189.19</v>
      </c>
      <c r="AVO8" s="699">
        <f t="shared" si="83"/>
        <v>359.14</v>
      </c>
      <c r="AVP8" s="699">
        <f t="shared" si="84"/>
        <v>0</v>
      </c>
      <c r="AVQ8" s="699">
        <f t="shared" si="85"/>
        <v>9744.33</v>
      </c>
    </row>
    <row r="9" spans="1:1265" s="585" customFormat="1" ht="30" customHeight="1" x14ac:dyDescent="0.25">
      <c r="A9" s="642">
        <v>1</v>
      </c>
      <c r="B9" s="642">
        <v>1</v>
      </c>
      <c r="C9" s="663" t="s">
        <v>246</v>
      </c>
      <c r="D9" s="418"/>
      <c r="E9" s="277" t="s">
        <v>344</v>
      </c>
      <c r="F9" s="642" t="s">
        <v>31</v>
      </c>
      <c r="G9" s="642">
        <v>1</v>
      </c>
      <c r="H9" s="657" t="s">
        <v>10</v>
      </c>
      <c r="I9" s="642">
        <v>0</v>
      </c>
      <c r="J9" s="277" t="s">
        <v>356</v>
      </c>
      <c r="K9" s="642">
        <v>3</v>
      </c>
      <c r="L9" s="682" t="s">
        <v>349</v>
      </c>
      <c r="M9" s="419" t="s">
        <v>255</v>
      </c>
      <c r="N9" s="277" t="s">
        <v>387</v>
      </c>
      <c r="O9" s="642">
        <v>1</v>
      </c>
      <c r="P9" s="695">
        <v>208</v>
      </c>
      <c r="Q9" s="632">
        <v>208</v>
      </c>
      <c r="R9" s="632">
        <v>208</v>
      </c>
      <c r="S9" s="673">
        <f>SUMIF('Территориальный кк'!$A:$A,'2020'!$B9,'Территориальный кк'!D:D)</f>
        <v>1.1519999999999999</v>
      </c>
      <c r="T9" s="674">
        <f>SUMIF('Территориальный кк'!$A:$A,'2020'!$B9,'Территориальный кк'!E:E)</f>
        <v>2.7269999999999999</v>
      </c>
      <c r="U9" s="420">
        <f>SUMIFS(Нормативы!G:G,Нормативы!$B:$B,$G9,Нормативы!$D:$D,'2020'!$I9,Нормативы!$F:$F,'2020'!$K9)*O9</f>
        <v>64190</v>
      </c>
      <c r="V9" s="420">
        <f t="shared" si="98"/>
        <v>49301.1</v>
      </c>
      <c r="W9" s="420">
        <f t="shared" si="99"/>
        <v>14888.9</v>
      </c>
      <c r="X9" s="420">
        <f>SUMIFS(Нормативы!J:J,Нормативы!$B:$B,$G9,Нормативы!$D:$D,'2020'!$I9,Нормативы!$F:$F,'2020'!$K9)</f>
        <v>8830</v>
      </c>
      <c r="Y9" s="420">
        <f>SUMIFS(Нормативы!K:K,Нормативы!$B:$B,$G9,Нормативы!$D:$D,'2020'!$I9,Нормативы!$F:$F,'2020'!$K9)</f>
        <v>1766</v>
      </c>
      <c r="Z9" s="420">
        <f>SUMIFS(Нормативы!L:L,Нормативы!$B:$B,$G9,Нормативы!$D:$D,'2020'!$I9,Нормативы!$F:$F,'2020'!$K9)</f>
        <v>8110</v>
      </c>
      <c r="AA9" s="420">
        <f t="shared" si="100"/>
        <v>19050</v>
      </c>
      <c r="AB9" s="420">
        <f>SUMIFS(Нормативы!N:N,Нормативы!$B:$B,$G9,Нормативы!$D:$D,'2020'!$I9,Нормативы!$F:$F,'2020'!$K9)*O9</f>
        <v>520</v>
      </c>
      <c r="AC9" s="420">
        <f>SUMIFS(Нормативы!O:O,Нормативы!$B:$B,$G9,Нормативы!$D:$D,'2020'!$I9,Нормативы!$F:$F,'2020'!$K9)</f>
        <v>17290</v>
      </c>
      <c r="AD9" s="420">
        <f>SUMIFS(Нормативы!P:P,Нормативы!$B:$B,$G9,Нормативы!$D:$D,'2020'!$I9,Нормативы!$F:$F,'2020'!$K9)*O9</f>
        <v>360</v>
      </c>
      <c r="AE9" s="420">
        <f>SUMIFS(Нормативы!Q:Q,Нормативы!$B:$B,$G9,Нормативы!$D:$D,'2020'!$I9,Нормативы!$F:$F,'2020'!$K9)</f>
        <v>880</v>
      </c>
      <c r="AF9" s="420">
        <f>SUMIFS(Нормативы!R:R,Нормативы!$B:$B,$G9,Нормативы!$D:$D,'2020'!$I9,Нормативы!$F:$F,'2020'!$K9)</f>
        <v>2680</v>
      </c>
      <c r="AG9" s="420">
        <f>SUMIFS(Нормативы!S:S,Нормативы!$B:$B,$G9,Нормативы!$D:$D,'2020'!$I9,Нормативы!$F:$F,'2020'!$K9)</f>
        <v>5800</v>
      </c>
      <c r="AH9" s="420">
        <f>SUMIFS(Нормативы!T:T,Нормативы!$B:$B,$G9,Нормативы!$D:$D,'2020'!$I9,Нормативы!$F:$F,'2020'!$K9)</f>
        <v>540</v>
      </c>
      <c r="AI9" s="420">
        <f>SUMIFS(Нормативы!U:U,Нормативы!$B:$B,$G9,Нормативы!$D:$D,'2020'!$I9,Нормативы!$F:$F,'2020'!$K9)</f>
        <v>770</v>
      </c>
      <c r="AJ9" s="420">
        <f>SUMIFS(Нормативы!V:V,Нормативы!$B:$B,$G9,Нормативы!$D:$D,'2020'!$I9,Нормативы!$F:$F,'2020'!$K9)</f>
        <v>80</v>
      </c>
      <c r="AK9" s="420">
        <f>SUMIFS(Нормативы!W:W,Нормативы!$B:$B,$G9,Нормативы!$D:$D,'2020'!$I9,Нормативы!$F:$F,'2020'!$K9)</f>
        <v>1050</v>
      </c>
      <c r="AL9" s="420">
        <f>SUMIFS(Нормативы!X:X,Нормативы!$B:$B,$G9,Нормативы!$D:$D,'2020'!$I9,Нормативы!$F:$F,'2020'!$K9)*O9</f>
        <v>16120</v>
      </c>
      <c r="AM9" s="420">
        <f t="shared" si="101"/>
        <v>12381</v>
      </c>
      <c r="AN9" s="420">
        <f t="shared" si="102"/>
        <v>3739</v>
      </c>
      <c r="AO9" s="420">
        <f>SUMIFS(Нормативы!AA:AA,Нормативы!$B:$B,$G9,Нормативы!$D:$D,'2020'!$I9,Нормативы!$F:$F,'2020'!$K9)</f>
        <v>3520</v>
      </c>
      <c r="AP9" s="415">
        <f t="shared" si="103"/>
        <v>130740</v>
      </c>
      <c r="AQ9" s="610">
        <f t="shared" si="104"/>
        <v>13351520</v>
      </c>
      <c r="AR9" s="420">
        <f t="shared" si="105"/>
        <v>10254623.699999999</v>
      </c>
      <c r="AS9" s="420">
        <f t="shared" si="106"/>
        <v>3096896.3</v>
      </c>
      <c r="AT9" s="421">
        <f t="shared" si="0"/>
        <v>1836640</v>
      </c>
      <c r="AU9" s="421">
        <f t="shared" si="1"/>
        <v>367328</v>
      </c>
      <c r="AV9" s="421">
        <f t="shared" si="2"/>
        <v>1686880</v>
      </c>
      <c r="AW9" s="421">
        <f t="shared" si="3"/>
        <v>3962400</v>
      </c>
      <c r="AX9" s="421">
        <f t="shared" si="4"/>
        <v>108160</v>
      </c>
      <c r="AY9" s="421">
        <f t="shared" si="5"/>
        <v>3596320</v>
      </c>
      <c r="AZ9" s="421">
        <f t="shared" si="6"/>
        <v>74880</v>
      </c>
      <c r="BA9" s="421">
        <f t="shared" si="7"/>
        <v>183040</v>
      </c>
      <c r="BB9" s="421">
        <f t="shared" si="107"/>
        <v>557440</v>
      </c>
      <c r="BC9" s="421">
        <f t="shared" si="8"/>
        <v>1206400</v>
      </c>
      <c r="BD9" s="421">
        <f t="shared" si="9"/>
        <v>112320</v>
      </c>
      <c r="BE9" s="421">
        <f t="shared" si="10"/>
        <v>160160</v>
      </c>
      <c r="BF9" s="421">
        <f t="shared" si="11"/>
        <v>16640</v>
      </c>
      <c r="BG9" s="421">
        <f t="shared" si="12"/>
        <v>218400</v>
      </c>
      <c r="BH9" s="421">
        <f t="shared" si="13"/>
        <v>3352960</v>
      </c>
      <c r="BI9" s="420">
        <f t="shared" si="108"/>
        <v>2575238.1</v>
      </c>
      <c r="BJ9" s="420">
        <f t="shared" si="109"/>
        <v>777721.9</v>
      </c>
      <c r="BK9" s="421">
        <f t="shared" si="14"/>
        <v>732160</v>
      </c>
      <c r="BL9" s="415">
        <f t="shared" si="15"/>
        <v>27193920</v>
      </c>
      <c r="BM9" s="615">
        <f t="shared" si="110"/>
        <v>15380951</v>
      </c>
      <c r="BN9" s="420">
        <f t="shared" si="16"/>
        <v>11813326.4</v>
      </c>
      <c r="BO9" s="420">
        <f t="shared" si="17"/>
        <v>3567624.6</v>
      </c>
      <c r="BP9" s="421">
        <f t="shared" si="111"/>
        <v>1836640</v>
      </c>
      <c r="BQ9" s="421">
        <f t="shared" si="112"/>
        <v>367328</v>
      </c>
      <c r="BR9" s="421">
        <f t="shared" si="113"/>
        <v>1686880</v>
      </c>
      <c r="BS9" s="421">
        <f t="shared" si="18"/>
        <v>3962400</v>
      </c>
      <c r="BT9" s="421">
        <f t="shared" si="19"/>
        <v>108160</v>
      </c>
      <c r="BU9" s="421">
        <f t="shared" si="20"/>
        <v>3596320</v>
      </c>
      <c r="BV9" s="421">
        <f t="shared" si="21"/>
        <v>74880</v>
      </c>
      <c r="BW9" s="421">
        <f t="shared" si="22"/>
        <v>183040</v>
      </c>
      <c r="BX9" s="421">
        <f t="shared" si="23"/>
        <v>1520139</v>
      </c>
      <c r="BY9" s="421">
        <f t="shared" si="24"/>
        <v>1206400</v>
      </c>
      <c r="BZ9" s="421">
        <f t="shared" si="25"/>
        <v>112320</v>
      </c>
      <c r="CA9" s="421">
        <f t="shared" si="26"/>
        <v>160160</v>
      </c>
      <c r="CB9" s="421">
        <f t="shared" si="27"/>
        <v>16640</v>
      </c>
      <c r="CC9" s="421">
        <f t="shared" si="28"/>
        <v>218400</v>
      </c>
      <c r="CD9" s="421">
        <f t="shared" si="29"/>
        <v>3862610</v>
      </c>
      <c r="CE9" s="420">
        <f t="shared" si="114"/>
        <v>2966674.3</v>
      </c>
      <c r="CF9" s="420">
        <f t="shared" si="115"/>
        <v>895935.7</v>
      </c>
      <c r="CG9" s="421">
        <f t="shared" si="30"/>
        <v>732160</v>
      </c>
      <c r="CH9" s="415">
        <f t="shared" si="31"/>
        <v>30695700</v>
      </c>
      <c r="CI9" s="211">
        <f t="shared" si="32"/>
        <v>73946.879799999995</v>
      </c>
      <c r="CJ9" s="211">
        <f t="shared" si="33"/>
        <v>56794.838499999998</v>
      </c>
      <c r="CK9" s="211">
        <f t="shared" si="34"/>
        <v>17152.041300000001</v>
      </c>
      <c r="CL9" s="211">
        <f t="shared" si="35"/>
        <v>8830</v>
      </c>
      <c r="CM9" s="211">
        <f t="shared" si="36"/>
        <v>1766</v>
      </c>
      <c r="CN9" s="211">
        <f t="shared" si="37"/>
        <v>8110</v>
      </c>
      <c r="CO9" s="211">
        <f t="shared" si="38"/>
        <v>19050</v>
      </c>
      <c r="CP9" s="211">
        <f t="shared" si="39"/>
        <v>520</v>
      </c>
      <c r="CQ9" s="211">
        <f t="shared" si="40"/>
        <v>17290</v>
      </c>
      <c r="CR9" s="211">
        <f t="shared" si="41"/>
        <v>360</v>
      </c>
      <c r="CS9" s="211">
        <f t="shared" si="42"/>
        <v>880</v>
      </c>
      <c r="CT9" s="211">
        <f t="shared" si="43"/>
        <v>7308.3606</v>
      </c>
      <c r="CU9" s="211">
        <f t="shared" si="44"/>
        <v>5800</v>
      </c>
      <c r="CV9" s="211">
        <f t="shared" si="45"/>
        <v>540</v>
      </c>
      <c r="CW9" s="211">
        <f t="shared" si="46"/>
        <v>770</v>
      </c>
      <c r="CX9" s="211">
        <f t="shared" si="47"/>
        <v>80</v>
      </c>
      <c r="CY9" s="211">
        <f t="shared" si="48"/>
        <v>1050</v>
      </c>
      <c r="CZ9" s="211">
        <f t="shared" si="49"/>
        <v>18570.240399999999</v>
      </c>
      <c r="DA9" s="211">
        <f t="shared" si="50"/>
        <v>14262.8572</v>
      </c>
      <c r="DB9" s="211">
        <f t="shared" si="51"/>
        <v>4307.3832000000002</v>
      </c>
      <c r="DC9" s="211">
        <f t="shared" si="52"/>
        <v>3520</v>
      </c>
      <c r="DD9" s="211">
        <f t="shared" si="53"/>
        <v>147575.48079999999</v>
      </c>
      <c r="AUV9" s="699">
        <f t="shared" si="65"/>
        <v>73946.880000000005</v>
      </c>
      <c r="AUW9" s="699">
        <f t="shared" si="66"/>
        <v>56794.84</v>
      </c>
      <c r="AUX9" s="699">
        <f t="shared" si="67"/>
        <v>17152.04</v>
      </c>
      <c r="AUY9" s="699">
        <f t="shared" si="68"/>
        <v>8830</v>
      </c>
      <c r="AUZ9" s="699">
        <f t="shared" si="69"/>
        <v>134700.4</v>
      </c>
      <c r="AVA9" s="699">
        <f t="shared" si="69"/>
        <v>26.28</v>
      </c>
      <c r="AVB9" s="699">
        <f t="shared" si="70"/>
        <v>19050</v>
      </c>
      <c r="AVC9" s="699">
        <f t="shared" si="71"/>
        <v>520</v>
      </c>
      <c r="AVD9" s="699">
        <f t="shared" si="72"/>
        <v>17290</v>
      </c>
      <c r="AVE9" s="699">
        <f t="shared" si="73"/>
        <v>360</v>
      </c>
      <c r="AVF9" s="699">
        <f t="shared" si="74"/>
        <v>880</v>
      </c>
      <c r="AVG9" s="699">
        <f t="shared" si="75"/>
        <v>7308.36</v>
      </c>
      <c r="AVH9" s="699">
        <f t="shared" si="76"/>
        <v>5800</v>
      </c>
      <c r="AVI9" s="699">
        <f t="shared" si="77"/>
        <v>540</v>
      </c>
      <c r="AVJ9" s="699">
        <f t="shared" si="78"/>
        <v>770</v>
      </c>
      <c r="AVK9" s="699">
        <f t="shared" si="79"/>
        <v>80</v>
      </c>
      <c r="AVL9" s="699">
        <f t="shared" si="80"/>
        <v>1050</v>
      </c>
      <c r="AVM9" s="699">
        <f t="shared" si="81"/>
        <v>18570.240000000002</v>
      </c>
      <c r="AVN9" s="699">
        <f t="shared" si="82"/>
        <v>14262.86</v>
      </c>
      <c r="AVO9" s="699">
        <f t="shared" si="83"/>
        <v>4307.38</v>
      </c>
      <c r="AVP9" s="699">
        <f t="shared" si="84"/>
        <v>3520</v>
      </c>
      <c r="AVQ9" s="699">
        <f t="shared" si="85"/>
        <v>147575.48000000001</v>
      </c>
    </row>
    <row r="10" spans="1:1265" s="712" customFormat="1" ht="30" customHeight="1" x14ac:dyDescent="0.25">
      <c r="A10" s="701">
        <v>1</v>
      </c>
      <c r="B10" s="701">
        <v>1</v>
      </c>
      <c r="C10" s="702" t="s">
        <v>246</v>
      </c>
      <c r="D10" s="418"/>
      <c r="E10" s="703" t="s">
        <v>344</v>
      </c>
      <c r="F10" s="713" t="s">
        <v>31</v>
      </c>
      <c r="G10" s="701">
        <v>1</v>
      </c>
      <c r="H10" s="704" t="s">
        <v>10</v>
      </c>
      <c r="I10" s="701">
        <v>0</v>
      </c>
      <c r="J10" s="703" t="s">
        <v>481</v>
      </c>
      <c r="K10" s="701">
        <v>1</v>
      </c>
      <c r="L10" s="705" t="s">
        <v>349</v>
      </c>
      <c r="M10" s="706"/>
      <c r="N10" s="703" t="s">
        <v>387</v>
      </c>
      <c r="O10" s="701">
        <v>1</v>
      </c>
      <c r="P10" s="702">
        <v>10</v>
      </c>
      <c r="Q10" s="702">
        <v>10</v>
      </c>
      <c r="R10" s="702">
        <v>10</v>
      </c>
      <c r="S10" s="707">
        <f>'Территориальный кк'!D4</f>
        <v>1.1519999999999999</v>
      </c>
      <c r="T10" s="708">
        <f>'Территориальный кк'!E4</f>
        <v>2.7269999999999999</v>
      </c>
      <c r="U10" s="433">
        <f>SUMIFS(Нормативы!G:G,Нормативы!$B:$B,$G10,Нормативы!$D:$D,'2020'!$I10,Нормативы!$F:$F,'2020'!$K10)*O10</f>
        <v>54020</v>
      </c>
      <c r="V10" s="433">
        <f>ROUND(U10/1.302,1)</f>
        <v>41490</v>
      </c>
      <c r="W10" s="433">
        <f>U10-V10</f>
        <v>12530</v>
      </c>
      <c r="X10" s="433">
        <f>SUMIFS(Нормативы!J:J,Нормативы!$B:$B,$G10,Нормативы!$D:$D,'2020'!$I10,Нормативы!$F:$F,'2020'!$K10)</f>
        <v>220</v>
      </c>
      <c r="Y10" s="433">
        <f>SUMIFS(Нормативы!K:K,Нормативы!$B:$B,$G10,Нормативы!$D:$D,'2020'!$I10,Нормативы!$F:$F,'2020'!$K10)</f>
        <v>44</v>
      </c>
      <c r="Z10" s="433">
        <f>SUMIFS(Нормативы!L:L,Нормативы!$B:$B,$G10,Нормативы!$D:$D,'2020'!$I10,Нормативы!$F:$F,'2020'!$K10)</f>
        <v>2320</v>
      </c>
      <c r="AA10" s="433">
        <f>AB10+AC10+AD10+AE10</f>
        <v>3710</v>
      </c>
      <c r="AB10" s="433">
        <f>SUMIFS(Нормативы!N:N,Нормативы!$B:$B,$G10,Нормативы!$D:$D,'2020'!$I10,Нормативы!$F:$F,'2020'!$K10)*O10</f>
        <v>520</v>
      </c>
      <c r="AC10" s="433">
        <f>SUMIFS(Нормативы!O:O,Нормативы!$B:$B,$G10,Нормативы!$D:$D,'2020'!$I10,Нормативы!$F:$F,'2020'!$K10)</f>
        <v>2140</v>
      </c>
      <c r="AD10" s="433">
        <f>SUMIFS(Нормативы!P:P,Нормативы!$B:$B,$G10,Нормативы!$D:$D,'2020'!$I10,Нормативы!$F:$F,'2020'!$K10)*O10</f>
        <v>310</v>
      </c>
      <c r="AE10" s="433">
        <f>SUMIFS(Нормативы!Q:Q,Нормативы!$B:$B,$G10,Нормативы!$D:$D,'2020'!$I10,Нормативы!$F:$F,'2020'!$K10)</f>
        <v>740</v>
      </c>
      <c r="AF10" s="433">
        <f>SUMIFS(Нормативы!R:R,Нормативы!$B:$B,$G10,Нормативы!$D:$D,'2020'!$I10,Нормативы!$F:$F,'2020'!$K10)</f>
        <v>2460</v>
      </c>
      <c r="AG10" s="433">
        <f>SUMIFS(Нормативы!S:S,Нормативы!$B:$B,$G10,Нормативы!$D:$D,'2020'!$I10,Нормативы!$F:$F,'2020'!$K10)</f>
        <v>5080</v>
      </c>
      <c r="AH10" s="433">
        <f>SUMIFS(Нормативы!T:T,Нормативы!$B:$B,$G10,Нормативы!$D:$D,'2020'!$I10,Нормативы!$F:$F,'2020'!$K10)</f>
        <v>540</v>
      </c>
      <c r="AI10" s="433">
        <f>SUMIFS(Нормативы!U:U,Нормативы!$B:$B,$G10,Нормативы!$D:$D,'2020'!$I10,Нормативы!$F:$F,'2020'!$K10)</f>
        <v>770</v>
      </c>
      <c r="AJ10" s="433">
        <f>SUMIFS(Нормативы!V:V,Нормативы!$B:$B,$G10,Нормативы!$D:$D,'2020'!$I10,Нормативы!$F:$F,'2020'!$K10)</f>
        <v>80</v>
      </c>
      <c r="AK10" s="433">
        <f>SUMIFS(Нормативы!W:W,Нормативы!$B:$B,$G10,Нормативы!$D:$D,'2020'!$I10,Нормативы!$F:$F,'2020'!$K10)</f>
        <v>300</v>
      </c>
      <c r="AL10" s="433">
        <f>SUMIFS(Нормативы!X:X,Нормативы!$B:$B,$G10,Нормативы!$D:$D,'2020'!$I10,Нормативы!$F:$F,'2020'!$K10)*O10</f>
        <v>13440</v>
      </c>
      <c r="AM10" s="433">
        <f>ROUND(AL10/1.302,1)</f>
        <v>10322.6</v>
      </c>
      <c r="AN10" s="433">
        <f>AL10-AM10</f>
        <v>3117.4</v>
      </c>
      <c r="AO10" s="433">
        <f>SUMIFS(Нормативы!AA:AA,Нормативы!$B:$B,$G10,Нормативы!$D:$D,'2020'!$I10,Нормативы!$F:$F,'2020'!$K10)</f>
        <v>3520</v>
      </c>
      <c r="AP10" s="434">
        <f>U10+X10+Z10+AA10++AF10+AG10+AH10+AI10+AJ10+AK10+AL10+AO10</f>
        <v>86460</v>
      </c>
      <c r="AQ10" s="609">
        <f t="shared" ref="AQ10" si="116">ROUND($P10*U10,0)</f>
        <v>540200</v>
      </c>
      <c r="AR10" s="433">
        <f t="shared" ref="AR10" si="117">ROUND(AQ10/1.302,1)</f>
        <v>414900.2</v>
      </c>
      <c r="AS10" s="433">
        <f t="shared" ref="AS10" si="118">AQ10-AR10</f>
        <v>125299.8</v>
      </c>
      <c r="AT10" s="435">
        <f t="shared" ref="AT10" si="119">ROUND($P10*X10,0)</f>
        <v>2200</v>
      </c>
      <c r="AU10" s="435">
        <f t="shared" ref="AU10" si="120">ROUND($P10*Y10,0)</f>
        <v>440</v>
      </c>
      <c r="AV10" s="435">
        <f t="shared" ref="AV10" si="121">ROUND($P10*Z10,0)</f>
        <v>23200</v>
      </c>
      <c r="AW10" s="435">
        <f t="shared" ref="AW10" si="122">ROUND($P10*AA10,0)</f>
        <v>37100</v>
      </c>
      <c r="AX10" s="435">
        <f t="shared" ref="AX10" si="123">ROUND($P10*AB10,0)</f>
        <v>5200</v>
      </c>
      <c r="AY10" s="435">
        <f t="shared" ref="AY10" si="124">ROUND($P10*AC10,0)</f>
        <v>21400</v>
      </c>
      <c r="AZ10" s="435">
        <f t="shared" ref="AZ10" si="125">ROUND($P10*AD10,0)</f>
        <v>3100</v>
      </c>
      <c r="BA10" s="435">
        <f t="shared" ref="BA10" si="126">ROUND($P10*AE10,0)</f>
        <v>7400</v>
      </c>
      <c r="BB10" s="435">
        <f t="shared" ref="BB10" si="127">ROUND($P10*AF10,0)</f>
        <v>24600</v>
      </c>
      <c r="BC10" s="435">
        <f t="shared" ref="BC10" si="128">ROUND($P10*AG10,0)</f>
        <v>50800</v>
      </c>
      <c r="BD10" s="435">
        <f t="shared" ref="BD10" si="129">ROUND($P10*AH10,0)</f>
        <v>5400</v>
      </c>
      <c r="BE10" s="435">
        <f t="shared" ref="BE10" si="130">ROUND($P10*AI10,0)</f>
        <v>7700</v>
      </c>
      <c r="BF10" s="435">
        <f t="shared" ref="BF10" si="131">ROUND($P10*AJ10,0)</f>
        <v>800</v>
      </c>
      <c r="BG10" s="435">
        <f t="shared" ref="BG10" si="132">ROUND($P10*AK10,0)</f>
        <v>3000</v>
      </c>
      <c r="BH10" s="435">
        <f t="shared" ref="BH10" si="133">ROUND($P10*AL10,0)</f>
        <v>134400</v>
      </c>
      <c r="BI10" s="433">
        <f t="shared" ref="BI10" si="134">ROUND(BH10/1.302,1)</f>
        <v>103225.8</v>
      </c>
      <c r="BJ10" s="433">
        <f t="shared" ref="BJ10" si="135">BH10-BI10</f>
        <v>31174.2</v>
      </c>
      <c r="BK10" s="435">
        <f t="shared" ref="BK10" si="136">ROUND($P10*AO10,0)</f>
        <v>35200</v>
      </c>
      <c r="BL10" s="434">
        <f t="shared" ref="BL10" si="137">AQ10+AT10+AV10+AW10++BB10+BC10+BD10+BE10+BF10+BG10+BH10+BK10</f>
        <v>864600</v>
      </c>
      <c r="BM10" s="613">
        <f t="shared" ref="BM10" si="138">ROUND(AQ10*S10,0)</f>
        <v>622310</v>
      </c>
      <c r="BN10" s="433">
        <f t="shared" ref="BN10" si="139">ROUND(BM10/1.302,1)</f>
        <v>477964.7</v>
      </c>
      <c r="BO10" s="433">
        <f t="shared" ref="BO10" si="140">BM10-BN10</f>
        <v>144345.29999999999</v>
      </c>
      <c r="BP10" s="435">
        <f t="shared" ref="BP10" si="141">AT10</f>
        <v>2200</v>
      </c>
      <c r="BQ10" s="435">
        <f t="shared" ref="BQ10" si="142">AU10</f>
        <v>440</v>
      </c>
      <c r="BR10" s="435">
        <f t="shared" ref="BR10" si="143">AV10</f>
        <v>23200</v>
      </c>
      <c r="BS10" s="435">
        <f t="shared" ref="BS10" si="144">AW10</f>
        <v>37100</v>
      </c>
      <c r="BT10" s="34">
        <f t="shared" ref="BT10" si="145">AX10</f>
        <v>5200</v>
      </c>
      <c r="BU10" s="34">
        <f t="shared" ref="BU10" si="146">AY10</f>
        <v>21400</v>
      </c>
      <c r="BV10" s="34">
        <f t="shared" ref="BV10" si="147">AZ10</f>
        <v>3100</v>
      </c>
      <c r="BW10" s="34">
        <f t="shared" ref="BW10" si="148">BA10</f>
        <v>7400</v>
      </c>
      <c r="BX10" s="435">
        <f t="shared" ref="BX10" si="149">ROUND(BB10*T10,0)</f>
        <v>67084</v>
      </c>
      <c r="BY10" s="435">
        <f t="shared" ref="BY10" si="150">BC10</f>
        <v>50800</v>
      </c>
      <c r="BZ10" s="435">
        <f t="shared" ref="BZ10" si="151">BD10</f>
        <v>5400</v>
      </c>
      <c r="CA10" s="435">
        <f t="shared" ref="CA10" si="152">BE10</f>
        <v>7700</v>
      </c>
      <c r="CB10" s="435">
        <f t="shared" ref="CB10" si="153">BF10</f>
        <v>800</v>
      </c>
      <c r="CC10" s="435">
        <f t="shared" ref="CC10" si="154">BG10</f>
        <v>3000</v>
      </c>
      <c r="CD10" s="435">
        <f t="shared" ref="CD10" si="155">ROUND(BH10*S10,0)</f>
        <v>154829</v>
      </c>
      <c r="CE10" s="433">
        <f t="shared" ref="CE10" si="156">ROUND(CD10/1.302,1)</f>
        <v>118916.3</v>
      </c>
      <c r="CF10" s="433">
        <f t="shared" ref="CF10" si="157">CD10-CE10</f>
        <v>35912.699999999997</v>
      </c>
      <c r="CG10" s="435">
        <f t="shared" ref="CG10" si="158">BK10</f>
        <v>35200</v>
      </c>
      <c r="CH10" s="434">
        <f t="shared" ref="CH10" si="159">BM10+BP10+BR10+BS10++BX10+BY10+BZ10+CA10+CB10+CC10+CD10+CG10</f>
        <v>1009623</v>
      </c>
      <c r="CI10" s="88">
        <f t="shared" ref="CI10" si="160">ROUND(BM10/$P10,4)</f>
        <v>62231</v>
      </c>
      <c r="CJ10" s="90">
        <f t="shared" ref="CJ10" si="161">ROUND(BN10/$P10,4)</f>
        <v>47796.47</v>
      </c>
      <c r="CK10" s="90">
        <f t="shared" ref="CK10" si="162">ROUND(BO10/$P10,4)</f>
        <v>14434.53</v>
      </c>
      <c r="CL10" s="88">
        <f t="shared" ref="CL10" si="163">ROUND(BP10/$P10,4)</f>
        <v>220</v>
      </c>
      <c r="CM10" s="88">
        <f t="shared" ref="CM10" si="164">ROUND(BQ10/$P10,4)</f>
        <v>44</v>
      </c>
      <c r="CN10" s="88">
        <f t="shared" ref="CN10" si="165">ROUND(BR10/$P10,4)</f>
        <v>2320</v>
      </c>
      <c r="CO10" s="88">
        <f t="shared" ref="CO10" si="166">ROUND(BS10/$P10,4)</f>
        <v>3710</v>
      </c>
      <c r="CP10" s="88">
        <f t="shared" ref="CP10" si="167">ROUND(BT10/$P10,4)</f>
        <v>520</v>
      </c>
      <c r="CQ10" s="88">
        <f t="shared" ref="CQ10" si="168">ROUND(BU10/$P10,4)</f>
        <v>2140</v>
      </c>
      <c r="CR10" s="88">
        <f t="shared" ref="CR10" si="169">ROUND(BV10/$P10,4)</f>
        <v>310</v>
      </c>
      <c r="CS10" s="88">
        <f t="shared" ref="CS10" si="170">ROUND(BW10/$P10,4)</f>
        <v>740</v>
      </c>
      <c r="CT10" s="88">
        <f t="shared" ref="CT10" si="171">ROUND(BX10/$P10,4)</f>
        <v>6708.4</v>
      </c>
      <c r="CU10" s="88">
        <f t="shared" ref="CU10" si="172">ROUND(BY10/$P10,4)</f>
        <v>5080</v>
      </c>
      <c r="CV10" s="88">
        <f t="shared" ref="CV10" si="173">ROUND(BZ10/$P10,4)</f>
        <v>540</v>
      </c>
      <c r="CW10" s="88">
        <f t="shared" ref="CW10" si="174">ROUND(CA10/$P10,4)</f>
        <v>770</v>
      </c>
      <c r="CX10" s="88">
        <f t="shared" ref="CX10" si="175">ROUND(CB10/$P10,4)</f>
        <v>80</v>
      </c>
      <c r="CY10" s="88">
        <f t="shared" ref="CY10" si="176">ROUND(CC10/$P10,4)</f>
        <v>300</v>
      </c>
      <c r="CZ10" s="88">
        <f t="shared" ref="CZ10" si="177">ROUND(CD10/$P10,4)</f>
        <v>15482.9</v>
      </c>
      <c r="DA10" s="90">
        <f t="shared" ref="DA10" si="178">ROUND(CE10/$P10,4)</f>
        <v>11891.63</v>
      </c>
      <c r="DB10" s="90">
        <f t="shared" ref="DB10" si="179">ROUND(CF10/$P10,4)</f>
        <v>3591.27</v>
      </c>
      <c r="DC10" s="88">
        <f t="shared" ref="DC10" si="180">ROUND(CG10/$P10,4)</f>
        <v>3520</v>
      </c>
      <c r="DD10" s="88">
        <f t="shared" ref="DD10" si="181">ROUND(CH10/$P10,4)</f>
        <v>100962.3</v>
      </c>
      <c r="DE10" s="436"/>
      <c r="DF10" s="436"/>
      <c r="DG10" s="436"/>
      <c r="DH10" s="436"/>
      <c r="DI10" s="436"/>
      <c r="DJ10" s="436"/>
      <c r="DK10" s="436"/>
      <c r="DL10" s="436"/>
      <c r="DM10" s="436"/>
      <c r="DN10" s="436"/>
      <c r="DO10" s="436"/>
      <c r="DP10" s="436"/>
      <c r="DQ10" s="436"/>
      <c r="DR10" s="436"/>
      <c r="DS10" s="436"/>
      <c r="DT10" s="436"/>
      <c r="DU10" s="436"/>
      <c r="DV10" s="436"/>
      <c r="DW10" s="436"/>
      <c r="DX10" s="436"/>
      <c r="DY10" s="436"/>
      <c r="DZ10" s="436"/>
      <c r="EA10" s="436"/>
      <c r="EB10" s="436"/>
      <c r="EC10" s="436"/>
      <c r="ED10" s="436"/>
      <c r="EE10" s="436"/>
      <c r="EF10" s="436"/>
      <c r="EG10" s="436"/>
      <c r="EH10" s="436"/>
      <c r="EI10" s="436"/>
      <c r="EJ10" s="436"/>
      <c r="EK10" s="436"/>
      <c r="EL10" s="436"/>
      <c r="EM10" s="436"/>
      <c r="EN10" s="436"/>
      <c r="EO10" s="436"/>
      <c r="EP10" s="436"/>
      <c r="EQ10" s="436"/>
      <c r="ER10" s="436"/>
      <c r="ES10" s="436"/>
      <c r="ET10" s="436"/>
      <c r="EU10" s="436"/>
      <c r="EV10" s="436"/>
      <c r="EW10" s="436"/>
      <c r="EX10" s="436"/>
      <c r="EY10" s="436"/>
      <c r="EZ10" s="436"/>
      <c r="FA10" s="436"/>
      <c r="FB10" s="436"/>
      <c r="FC10" s="436"/>
      <c r="FD10" s="436"/>
      <c r="FE10" s="436"/>
      <c r="FF10" s="436"/>
      <c r="FG10" s="436"/>
      <c r="FH10" s="436"/>
      <c r="FI10" s="436"/>
      <c r="FJ10" s="436"/>
      <c r="FK10" s="436"/>
      <c r="FL10" s="436"/>
      <c r="FM10" s="436"/>
      <c r="FN10" s="436"/>
      <c r="FO10" s="436"/>
      <c r="FP10" s="436"/>
      <c r="FQ10" s="436"/>
      <c r="FR10" s="436"/>
      <c r="FS10" s="436"/>
      <c r="FT10" s="436"/>
      <c r="FU10" s="436"/>
      <c r="FV10" s="436"/>
      <c r="FW10" s="436"/>
      <c r="FX10" s="436"/>
      <c r="FY10" s="436"/>
      <c r="FZ10" s="436"/>
      <c r="GA10" s="436"/>
      <c r="GB10" s="436"/>
      <c r="GC10" s="436"/>
      <c r="GD10" s="436"/>
      <c r="GE10" s="436"/>
      <c r="GF10" s="436"/>
      <c r="GG10" s="436"/>
      <c r="GH10" s="436"/>
      <c r="GI10" s="436"/>
      <c r="GJ10" s="436"/>
      <c r="GK10" s="436"/>
      <c r="GL10" s="436"/>
      <c r="GM10" s="436"/>
      <c r="GN10" s="436"/>
      <c r="GO10" s="436"/>
      <c r="GP10" s="436"/>
      <c r="GQ10" s="436"/>
      <c r="GR10" s="436"/>
      <c r="GS10" s="436"/>
      <c r="GT10" s="436"/>
      <c r="GU10" s="436"/>
      <c r="GV10" s="436"/>
      <c r="GW10" s="436"/>
      <c r="GX10" s="436"/>
      <c r="GY10" s="436"/>
      <c r="GZ10" s="436"/>
      <c r="HA10" s="436"/>
      <c r="HB10" s="436"/>
      <c r="HC10" s="436"/>
      <c r="HD10" s="436"/>
      <c r="HE10" s="436"/>
      <c r="HF10" s="436"/>
      <c r="HG10" s="436"/>
      <c r="HH10" s="436"/>
      <c r="HI10" s="436"/>
      <c r="HJ10" s="436"/>
      <c r="HK10" s="436"/>
      <c r="HL10" s="436"/>
      <c r="HM10" s="436"/>
      <c r="HN10" s="436"/>
      <c r="HO10" s="436"/>
      <c r="HP10" s="436"/>
      <c r="HQ10" s="436"/>
      <c r="HR10" s="436"/>
      <c r="HS10" s="436"/>
      <c r="HT10" s="436"/>
      <c r="HU10" s="436"/>
      <c r="HV10" s="436"/>
      <c r="HW10" s="436"/>
      <c r="HX10" s="436"/>
      <c r="HY10" s="436"/>
      <c r="HZ10" s="436"/>
      <c r="IA10" s="436"/>
      <c r="IB10" s="436"/>
      <c r="IC10" s="436"/>
      <c r="ID10" s="436"/>
      <c r="IE10" s="436"/>
      <c r="IF10" s="436"/>
      <c r="IG10" s="436"/>
      <c r="IH10" s="436"/>
      <c r="II10" s="436"/>
      <c r="IJ10" s="436"/>
      <c r="IK10" s="436"/>
      <c r="IL10" s="436"/>
      <c r="IM10" s="436"/>
      <c r="IN10" s="436"/>
      <c r="IO10" s="436"/>
      <c r="IP10" s="436"/>
      <c r="IQ10" s="436"/>
      <c r="IR10" s="436"/>
      <c r="IS10" s="436"/>
      <c r="IT10" s="436"/>
      <c r="IU10" s="436"/>
      <c r="IV10" s="436"/>
      <c r="IW10" s="436"/>
      <c r="IX10" s="436"/>
      <c r="IY10" s="436"/>
      <c r="IZ10" s="436"/>
      <c r="JA10" s="436"/>
      <c r="JB10" s="436"/>
      <c r="JC10" s="436"/>
      <c r="JD10" s="436"/>
      <c r="JE10" s="436"/>
      <c r="JF10" s="436"/>
      <c r="JG10" s="436"/>
      <c r="JH10" s="436"/>
      <c r="JI10" s="436"/>
      <c r="JJ10" s="436"/>
      <c r="JK10" s="436"/>
      <c r="JL10" s="436"/>
      <c r="JM10" s="436"/>
      <c r="JN10" s="436"/>
      <c r="JO10" s="436"/>
      <c r="JP10" s="436"/>
      <c r="JQ10" s="436"/>
      <c r="JR10" s="436"/>
      <c r="JS10" s="436"/>
      <c r="JT10" s="436"/>
      <c r="JU10" s="436"/>
      <c r="JV10" s="436"/>
      <c r="JW10" s="436"/>
      <c r="JX10" s="436"/>
      <c r="JY10" s="436"/>
      <c r="JZ10" s="436"/>
      <c r="KA10" s="436"/>
      <c r="KB10" s="436"/>
      <c r="KC10" s="436"/>
      <c r="KD10" s="436"/>
      <c r="KE10" s="436"/>
      <c r="KF10" s="436"/>
      <c r="KG10" s="436"/>
      <c r="KH10" s="436"/>
      <c r="KI10" s="436"/>
      <c r="KJ10" s="436"/>
      <c r="KK10" s="436"/>
      <c r="KL10" s="436"/>
      <c r="KM10" s="436"/>
      <c r="KN10" s="436"/>
      <c r="KO10" s="436"/>
      <c r="KP10" s="436"/>
      <c r="KQ10" s="436"/>
      <c r="KR10" s="436"/>
      <c r="KS10" s="436"/>
      <c r="KT10" s="436"/>
      <c r="KU10" s="436"/>
      <c r="KV10" s="436"/>
      <c r="KW10" s="436"/>
      <c r="KX10" s="436"/>
      <c r="KY10" s="436"/>
      <c r="KZ10" s="436"/>
      <c r="LA10" s="436"/>
      <c r="LB10" s="436"/>
      <c r="LC10" s="436"/>
      <c r="LD10" s="436"/>
      <c r="LE10" s="436"/>
      <c r="LF10" s="436"/>
      <c r="LG10" s="436"/>
      <c r="LH10" s="436"/>
      <c r="LI10" s="436"/>
      <c r="LJ10" s="436"/>
      <c r="LK10" s="436"/>
      <c r="LL10" s="436"/>
      <c r="LM10" s="436"/>
      <c r="LN10" s="436"/>
      <c r="LO10" s="436"/>
      <c r="LP10" s="436"/>
      <c r="LQ10" s="436"/>
      <c r="LR10" s="436"/>
      <c r="LS10" s="436"/>
      <c r="LT10" s="436"/>
      <c r="LU10" s="436"/>
      <c r="LV10" s="436"/>
      <c r="LW10" s="436"/>
      <c r="LX10" s="436"/>
      <c r="LY10" s="436"/>
      <c r="LZ10" s="436"/>
      <c r="MA10" s="436"/>
      <c r="MB10" s="436"/>
      <c r="MC10" s="436"/>
      <c r="MD10" s="436"/>
      <c r="ME10" s="436"/>
      <c r="MF10" s="436"/>
      <c r="MG10" s="436"/>
      <c r="MH10" s="436"/>
      <c r="MI10" s="436"/>
      <c r="MJ10" s="436"/>
      <c r="MK10" s="436"/>
      <c r="ML10" s="436"/>
      <c r="MM10" s="436"/>
      <c r="MN10" s="436"/>
      <c r="MO10" s="436"/>
      <c r="MP10" s="436"/>
      <c r="MQ10" s="436"/>
      <c r="MR10" s="436"/>
      <c r="MS10" s="436"/>
      <c r="MT10" s="436"/>
      <c r="MU10" s="436"/>
      <c r="MV10" s="436"/>
      <c r="MW10" s="436"/>
      <c r="MX10" s="436"/>
      <c r="MY10" s="436"/>
      <c r="MZ10" s="436"/>
      <c r="NA10" s="436"/>
      <c r="NB10" s="436"/>
      <c r="NC10" s="436"/>
      <c r="ND10" s="436"/>
      <c r="NE10" s="436"/>
      <c r="NF10" s="436"/>
      <c r="NG10" s="436"/>
      <c r="NH10" s="436"/>
      <c r="NI10" s="436"/>
      <c r="NJ10" s="436"/>
      <c r="NK10" s="436"/>
      <c r="NL10" s="436"/>
      <c r="NM10" s="436"/>
      <c r="NN10" s="436"/>
      <c r="NO10" s="436"/>
      <c r="NP10" s="436"/>
      <c r="NQ10" s="436"/>
      <c r="NR10" s="436"/>
      <c r="NS10" s="436"/>
      <c r="NT10" s="436"/>
      <c r="NU10" s="436"/>
      <c r="NV10" s="436"/>
      <c r="NW10" s="436"/>
      <c r="NX10" s="436"/>
      <c r="NY10" s="436"/>
      <c r="NZ10" s="436"/>
      <c r="OA10" s="436"/>
      <c r="OB10" s="436"/>
      <c r="OC10" s="436"/>
      <c r="OD10" s="436"/>
      <c r="OE10" s="436"/>
      <c r="OF10" s="436"/>
      <c r="OG10" s="436"/>
      <c r="OH10" s="436"/>
      <c r="OI10" s="436"/>
      <c r="OJ10" s="436"/>
      <c r="OK10" s="436"/>
      <c r="OL10" s="436"/>
      <c r="OM10" s="436"/>
      <c r="ON10" s="436"/>
      <c r="OO10" s="436"/>
      <c r="OP10" s="436"/>
      <c r="OQ10" s="436"/>
      <c r="OR10" s="436"/>
      <c r="OS10" s="436"/>
      <c r="OT10" s="436"/>
      <c r="OU10" s="436"/>
      <c r="OV10" s="436"/>
      <c r="OW10" s="436"/>
      <c r="OX10" s="436"/>
      <c r="OY10" s="436"/>
      <c r="OZ10" s="436"/>
      <c r="PA10" s="436"/>
      <c r="PB10" s="436"/>
      <c r="PC10" s="436"/>
      <c r="PD10" s="436"/>
      <c r="PE10" s="436"/>
      <c r="PF10" s="436"/>
      <c r="PG10" s="436"/>
      <c r="PH10" s="436"/>
      <c r="PI10" s="436"/>
      <c r="PJ10" s="436"/>
      <c r="PK10" s="436"/>
      <c r="PL10" s="436"/>
      <c r="PM10" s="436"/>
      <c r="PN10" s="436"/>
      <c r="PO10" s="436"/>
      <c r="PP10" s="436"/>
      <c r="PQ10" s="436"/>
      <c r="PR10" s="436"/>
      <c r="PS10" s="436"/>
      <c r="PT10" s="436"/>
      <c r="PU10" s="436"/>
      <c r="PV10" s="436"/>
      <c r="PW10" s="436"/>
      <c r="PX10" s="436"/>
      <c r="PY10" s="436"/>
      <c r="PZ10" s="436"/>
      <c r="QA10" s="436"/>
      <c r="QB10" s="436"/>
      <c r="QC10" s="436"/>
      <c r="QD10" s="436"/>
      <c r="QE10" s="436"/>
      <c r="QF10" s="436"/>
      <c r="QG10" s="436"/>
      <c r="QH10" s="436"/>
      <c r="QI10" s="436"/>
      <c r="QJ10" s="436"/>
      <c r="QK10" s="436"/>
      <c r="QL10" s="436"/>
      <c r="QM10" s="436"/>
      <c r="QN10" s="436"/>
      <c r="QO10" s="436"/>
      <c r="QP10" s="436"/>
      <c r="QQ10" s="436"/>
      <c r="QR10" s="436"/>
      <c r="QS10" s="436"/>
      <c r="QT10" s="436"/>
      <c r="QU10" s="436"/>
      <c r="QV10" s="436"/>
      <c r="QW10" s="436"/>
      <c r="QX10" s="436"/>
      <c r="QY10" s="436"/>
      <c r="QZ10" s="436"/>
      <c r="RA10" s="436"/>
      <c r="RB10" s="436"/>
      <c r="RC10" s="436"/>
      <c r="RD10" s="436"/>
      <c r="RE10" s="436"/>
      <c r="RF10" s="436"/>
      <c r="RG10" s="436"/>
      <c r="RH10" s="436"/>
      <c r="RI10" s="436"/>
      <c r="RJ10" s="436"/>
      <c r="RK10" s="436"/>
      <c r="RL10" s="436"/>
      <c r="RM10" s="436"/>
      <c r="RN10" s="436"/>
      <c r="RO10" s="436"/>
      <c r="RP10" s="436"/>
      <c r="RQ10" s="436"/>
      <c r="RR10" s="436"/>
      <c r="RS10" s="436"/>
      <c r="RT10" s="436"/>
      <c r="RU10" s="436"/>
      <c r="RV10" s="436"/>
      <c r="RW10" s="436"/>
      <c r="RX10" s="436"/>
      <c r="RY10" s="436"/>
      <c r="RZ10" s="436"/>
      <c r="SA10" s="436"/>
      <c r="SB10" s="436"/>
      <c r="SC10" s="436"/>
      <c r="SD10" s="436"/>
      <c r="SE10" s="436"/>
      <c r="SF10" s="436"/>
      <c r="SG10" s="436"/>
      <c r="SH10" s="436"/>
      <c r="SI10" s="436"/>
      <c r="SJ10" s="436"/>
      <c r="SK10" s="436"/>
      <c r="SL10" s="436"/>
      <c r="SM10" s="436"/>
      <c r="SN10" s="436"/>
      <c r="SO10" s="436"/>
      <c r="SP10" s="436"/>
      <c r="SQ10" s="436"/>
      <c r="SR10" s="436"/>
      <c r="SS10" s="436"/>
      <c r="ST10" s="436"/>
      <c r="SU10" s="436"/>
      <c r="SV10" s="436"/>
      <c r="SW10" s="436"/>
      <c r="SX10" s="436"/>
      <c r="SY10" s="436"/>
      <c r="SZ10" s="436"/>
      <c r="TA10" s="436"/>
      <c r="TB10" s="436"/>
      <c r="TC10" s="436"/>
      <c r="TD10" s="436"/>
      <c r="TE10" s="436"/>
      <c r="TF10" s="436"/>
      <c r="TG10" s="436"/>
      <c r="TH10" s="436"/>
      <c r="TI10" s="436"/>
      <c r="TJ10" s="436"/>
      <c r="TK10" s="436"/>
      <c r="TL10" s="436"/>
      <c r="TM10" s="436"/>
      <c r="TN10" s="436"/>
      <c r="TO10" s="436"/>
      <c r="TP10" s="436"/>
      <c r="TQ10" s="436"/>
      <c r="TR10" s="436"/>
      <c r="TS10" s="436"/>
      <c r="TT10" s="436"/>
      <c r="TU10" s="436"/>
      <c r="TV10" s="436"/>
      <c r="TW10" s="436"/>
      <c r="TX10" s="436"/>
      <c r="TY10" s="436"/>
      <c r="TZ10" s="436"/>
      <c r="UA10" s="436"/>
      <c r="UB10" s="436"/>
      <c r="UC10" s="436"/>
      <c r="UD10" s="436"/>
      <c r="UE10" s="436"/>
      <c r="UF10" s="436"/>
      <c r="UG10" s="436"/>
      <c r="UH10" s="436"/>
      <c r="UI10" s="436"/>
      <c r="UJ10" s="436"/>
      <c r="UK10" s="436"/>
      <c r="UL10" s="436"/>
      <c r="UM10" s="436"/>
      <c r="UN10" s="436"/>
      <c r="UO10" s="436"/>
      <c r="UP10" s="436"/>
      <c r="UQ10" s="436"/>
      <c r="UR10" s="436"/>
      <c r="US10" s="436"/>
      <c r="UT10" s="436"/>
      <c r="UU10" s="436"/>
      <c r="UV10" s="436"/>
      <c r="UW10" s="436"/>
      <c r="UX10" s="436"/>
      <c r="UY10" s="436"/>
      <c r="UZ10" s="436"/>
      <c r="VA10" s="436"/>
      <c r="VB10" s="436"/>
      <c r="VC10" s="436"/>
      <c r="VD10" s="436"/>
      <c r="VE10" s="436"/>
      <c r="VF10" s="436"/>
      <c r="VG10" s="436"/>
      <c r="VH10" s="436"/>
      <c r="VI10" s="436"/>
      <c r="VJ10" s="436"/>
      <c r="VK10" s="436"/>
      <c r="VL10" s="436"/>
      <c r="VM10" s="436"/>
      <c r="VN10" s="436"/>
      <c r="VO10" s="436"/>
      <c r="VP10" s="436"/>
      <c r="VQ10" s="436"/>
      <c r="VR10" s="436"/>
      <c r="VS10" s="436"/>
      <c r="VT10" s="436"/>
      <c r="VU10" s="436"/>
      <c r="VV10" s="436"/>
      <c r="VW10" s="436"/>
      <c r="VX10" s="436"/>
      <c r="VY10" s="436"/>
      <c r="VZ10" s="436"/>
      <c r="WA10" s="436"/>
      <c r="WB10" s="436"/>
      <c r="WC10" s="436"/>
      <c r="WD10" s="436"/>
      <c r="WE10" s="436"/>
      <c r="WF10" s="436"/>
      <c r="WG10" s="436"/>
      <c r="WH10" s="436"/>
      <c r="WI10" s="436"/>
      <c r="WJ10" s="436"/>
      <c r="WK10" s="436"/>
      <c r="WL10" s="436"/>
      <c r="WM10" s="436"/>
      <c r="WN10" s="436"/>
      <c r="WO10" s="436"/>
      <c r="WP10" s="436"/>
      <c r="WQ10" s="436"/>
      <c r="WR10" s="436"/>
      <c r="WS10" s="436"/>
      <c r="WT10" s="436"/>
      <c r="WU10" s="436"/>
      <c r="WV10" s="436"/>
      <c r="WW10" s="436"/>
      <c r="WX10" s="436"/>
      <c r="WY10" s="436"/>
      <c r="WZ10" s="436"/>
      <c r="XA10" s="436"/>
      <c r="XB10" s="436"/>
      <c r="XC10" s="436"/>
      <c r="XD10" s="436"/>
      <c r="XE10" s="436"/>
      <c r="XF10" s="436"/>
      <c r="XG10" s="436"/>
      <c r="XH10" s="436"/>
      <c r="XI10" s="436"/>
      <c r="XJ10" s="436"/>
      <c r="XK10" s="436"/>
      <c r="XL10" s="436"/>
      <c r="XM10" s="436"/>
      <c r="XN10" s="436"/>
      <c r="XO10" s="436"/>
      <c r="XP10" s="436"/>
      <c r="XQ10" s="436"/>
      <c r="XR10" s="436"/>
      <c r="XS10" s="436"/>
      <c r="XT10" s="436"/>
      <c r="XU10" s="436"/>
      <c r="XV10" s="436"/>
      <c r="XW10" s="436"/>
      <c r="XX10" s="436"/>
      <c r="XY10" s="436"/>
      <c r="XZ10" s="436"/>
      <c r="YA10" s="436"/>
      <c r="YB10" s="436"/>
      <c r="YC10" s="436"/>
      <c r="YD10" s="436"/>
      <c r="YE10" s="436"/>
      <c r="YF10" s="436"/>
      <c r="YG10" s="436"/>
      <c r="YH10" s="436"/>
      <c r="YI10" s="436"/>
      <c r="YJ10" s="436"/>
      <c r="YK10" s="436"/>
      <c r="YL10" s="436"/>
      <c r="YM10" s="436"/>
      <c r="YN10" s="436"/>
      <c r="YO10" s="436"/>
      <c r="YP10" s="436"/>
      <c r="YQ10" s="436"/>
      <c r="YR10" s="436"/>
      <c r="YS10" s="436"/>
      <c r="YT10" s="436"/>
      <c r="YU10" s="436"/>
      <c r="YV10" s="436"/>
      <c r="YW10" s="436"/>
      <c r="YX10" s="436"/>
      <c r="YY10" s="436"/>
      <c r="YZ10" s="436"/>
      <c r="ZA10" s="436"/>
      <c r="ZB10" s="436"/>
      <c r="ZC10" s="436"/>
      <c r="ZD10" s="436"/>
      <c r="ZE10" s="436"/>
      <c r="ZF10" s="436"/>
      <c r="ZG10" s="436"/>
      <c r="ZH10" s="436"/>
      <c r="ZI10" s="436"/>
      <c r="ZJ10" s="436"/>
      <c r="ZK10" s="436"/>
      <c r="ZL10" s="436"/>
      <c r="ZM10" s="436"/>
      <c r="ZN10" s="436"/>
      <c r="ZO10" s="436"/>
      <c r="ZP10" s="436"/>
      <c r="ZQ10" s="436"/>
      <c r="ZR10" s="436"/>
      <c r="ZS10" s="436"/>
      <c r="ZT10" s="436"/>
      <c r="ZU10" s="436"/>
      <c r="ZV10" s="436"/>
      <c r="ZW10" s="436"/>
      <c r="ZX10" s="436"/>
      <c r="ZY10" s="436"/>
      <c r="ZZ10" s="436"/>
      <c r="AAA10" s="436"/>
      <c r="AAB10" s="436"/>
      <c r="AAC10" s="436"/>
      <c r="AAD10" s="436"/>
      <c r="AAE10" s="436"/>
      <c r="AAF10" s="436"/>
      <c r="AAG10" s="436"/>
      <c r="AAH10" s="436"/>
      <c r="AAI10" s="436"/>
      <c r="AAJ10" s="436"/>
      <c r="AAK10" s="436"/>
      <c r="AAL10" s="436"/>
      <c r="AAM10" s="436"/>
      <c r="AAN10" s="436"/>
      <c r="AAO10" s="436"/>
      <c r="AAP10" s="436"/>
      <c r="AAQ10" s="436"/>
      <c r="AAR10" s="436"/>
      <c r="AAS10" s="436"/>
      <c r="AAT10" s="436"/>
      <c r="AAU10" s="436"/>
      <c r="AAV10" s="436"/>
      <c r="AAW10" s="436"/>
      <c r="AAX10" s="436"/>
      <c r="AAY10" s="436"/>
      <c r="AAZ10" s="436"/>
      <c r="ABA10" s="436"/>
      <c r="ABB10" s="436"/>
      <c r="ABC10" s="436"/>
      <c r="ABD10" s="436"/>
      <c r="ABE10" s="436"/>
      <c r="ABF10" s="436"/>
      <c r="ABG10" s="436"/>
      <c r="ABH10" s="436"/>
      <c r="ABI10" s="436"/>
      <c r="ABJ10" s="436"/>
      <c r="ABK10" s="436"/>
      <c r="ABL10" s="436"/>
      <c r="ABM10" s="436"/>
      <c r="ABN10" s="436"/>
      <c r="ABO10" s="436"/>
      <c r="ABP10" s="436"/>
      <c r="ABQ10" s="436"/>
      <c r="ABR10" s="436"/>
      <c r="ABS10" s="436"/>
      <c r="ABT10" s="436"/>
      <c r="ABU10" s="436"/>
      <c r="ABV10" s="436"/>
      <c r="ABW10" s="436"/>
      <c r="ABX10" s="436"/>
      <c r="ABY10" s="436"/>
      <c r="ABZ10" s="436"/>
      <c r="ACA10" s="436"/>
      <c r="ACB10" s="436"/>
      <c r="ACC10" s="436"/>
      <c r="ACD10" s="436"/>
      <c r="ACE10" s="436"/>
      <c r="ACF10" s="436"/>
      <c r="ACG10" s="436"/>
      <c r="ACH10" s="436"/>
      <c r="ACI10" s="436"/>
      <c r="ACJ10" s="436"/>
      <c r="ACK10" s="436"/>
      <c r="ACL10" s="436"/>
      <c r="ACM10" s="436"/>
      <c r="ACN10" s="436"/>
      <c r="ACO10" s="436"/>
      <c r="ACP10" s="436"/>
      <c r="ACQ10" s="436"/>
      <c r="ACR10" s="436"/>
      <c r="ACS10" s="436"/>
      <c r="ACT10" s="436"/>
      <c r="ACU10" s="436"/>
      <c r="ACV10" s="436"/>
      <c r="ACW10" s="436"/>
      <c r="ACX10" s="436"/>
      <c r="ACY10" s="436"/>
      <c r="ACZ10" s="436"/>
      <c r="ADA10" s="436"/>
      <c r="ADB10" s="436"/>
      <c r="ADC10" s="436"/>
      <c r="ADD10" s="436"/>
      <c r="ADE10" s="436"/>
      <c r="ADF10" s="436"/>
      <c r="ADG10" s="436"/>
      <c r="ADH10" s="436"/>
      <c r="ADI10" s="436"/>
      <c r="ADJ10" s="436"/>
      <c r="ADK10" s="436"/>
      <c r="ADL10" s="436"/>
      <c r="ADM10" s="436"/>
      <c r="ADN10" s="436"/>
      <c r="ADO10" s="436"/>
      <c r="ADP10" s="436"/>
      <c r="ADQ10" s="436"/>
      <c r="ADR10" s="436"/>
      <c r="ADS10" s="436"/>
      <c r="ADT10" s="436"/>
      <c r="ADU10" s="436"/>
      <c r="ADV10" s="436"/>
      <c r="ADW10" s="436"/>
      <c r="ADX10" s="436"/>
      <c r="ADY10" s="436"/>
      <c r="ADZ10" s="436"/>
      <c r="AEA10" s="436"/>
      <c r="AEB10" s="436"/>
      <c r="AEC10" s="436"/>
      <c r="AED10" s="436"/>
      <c r="AEE10" s="436"/>
      <c r="AEF10" s="436"/>
      <c r="AEG10" s="436"/>
      <c r="AEH10" s="436"/>
      <c r="AEI10" s="436"/>
      <c r="AEJ10" s="436"/>
      <c r="AEK10" s="436"/>
      <c r="AEL10" s="436"/>
      <c r="AEM10" s="436"/>
      <c r="AEN10" s="436"/>
      <c r="AEO10" s="436"/>
      <c r="AEP10" s="436"/>
      <c r="AEQ10" s="436"/>
      <c r="AER10" s="436"/>
      <c r="AES10" s="436"/>
      <c r="AET10" s="436"/>
      <c r="AEU10" s="436"/>
      <c r="AEV10" s="436"/>
      <c r="AEW10" s="436"/>
      <c r="AEX10" s="436"/>
      <c r="AEY10" s="436"/>
      <c r="AEZ10" s="436"/>
      <c r="AFA10" s="436"/>
      <c r="AFB10" s="436"/>
      <c r="AFC10" s="436"/>
      <c r="AFD10" s="436"/>
      <c r="AFE10" s="436"/>
      <c r="AFF10" s="436"/>
      <c r="AFG10" s="436"/>
      <c r="AFH10" s="436"/>
      <c r="AFI10" s="436"/>
      <c r="AFJ10" s="436"/>
      <c r="AFK10" s="436"/>
      <c r="AFL10" s="436"/>
      <c r="AFM10" s="436"/>
      <c r="AFN10" s="436"/>
      <c r="AFO10" s="436"/>
      <c r="AFP10" s="436"/>
      <c r="AFQ10" s="436"/>
      <c r="AFR10" s="436"/>
      <c r="AFS10" s="436"/>
      <c r="AFT10" s="436"/>
      <c r="AFU10" s="436"/>
      <c r="AFV10" s="436"/>
      <c r="AFW10" s="436"/>
      <c r="AFX10" s="436"/>
      <c r="AFY10" s="436"/>
      <c r="AFZ10" s="436"/>
      <c r="AGA10" s="436"/>
      <c r="AGB10" s="436"/>
      <c r="AGC10" s="436"/>
      <c r="AGD10" s="436"/>
      <c r="AGE10" s="436"/>
      <c r="AGF10" s="436"/>
      <c r="AGG10" s="436"/>
      <c r="AGH10" s="436"/>
      <c r="AGI10" s="436"/>
      <c r="AGJ10" s="436"/>
      <c r="AGK10" s="436"/>
      <c r="AGL10" s="436"/>
      <c r="AGM10" s="436"/>
      <c r="AGN10" s="436"/>
      <c r="AGO10" s="436"/>
      <c r="AGP10" s="436"/>
      <c r="AGQ10" s="436"/>
      <c r="AGR10" s="436"/>
      <c r="AGS10" s="436"/>
      <c r="AGT10" s="436"/>
      <c r="AGU10" s="436"/>
      <c r="AGV10" s="436"/>
      <c r="AGW10" s="436"/>
      <c r="AGX10" s="436"/>
      <c r="AGY10" s="436"/>
      <c r="AGZ10" s="436"/>
      <c r="AHA10" s="436"/>
      <c r="AHB10" s="436"/>
      <c r="AHC10" s="436"/>
      <c r="AHD10" s="436"/>
      <c r="AHE10" s="436"/>
      <c r="AHF10" s="436"/>
      <c r="AHG10" s="436"/>
      <c r="AHH10" s="436"/>
      <c r="AHI10" s="436"/>
      <c r="AHJ10" s="436"/>
      <c r="AHK10" s="436"/>
      <c r="AHL10" s="436"/>
      <c r="AHM10" s="436"/>
      <c r="AHN10" s="436"/>
      <c r="AHO10" s="436"/>
      <c r="AHP10" s="436"/>
      <c r="AHQ10" s="436"/>
      <c r="AHR10" s="436"/>
      <c r="AHS10" s="436"/>
      <c r="AHT10" s="436"/>
      <c r="AHU10" s="436"/>
      <c r="AHV10" s="436"/>
      <c r="AHW10" s="436"/>
      <c r="AHX10" s="436"/>
      <c r="AHY10" s="436"/>
      <c r="AHZ10" s="436"/>
      <c r="AIA10" s="436"/>
      <c r="AIB10" s="436"/>
      <c r="AIC10" s="436"/>
      <c r="AID10" s="436"/>
      <c r="AIE10" s="436"/>
      <c r="AIF10" s="436"/>
      <c r="AIG10" s="436"/>
      <c r="AIH10" s="436"/>
      <c r="AII10" s="436"/>
      <c r="AIJ10" s="436"/>
      <c r="AIK10" s="436"/>
      <c r="AIL10" s="436"/>
      <c r="AIM10" s="436"/>
      <c r="AIN10" s="436"/>
      <c r="AIO10" s="436"/>
      <c r="AIP10" s="436"/>
      <c r="AIQ10" s="436"/>
      <c r="AIR10" s="436"/>
      <c r="AIS10" s="436"/>
      <c r="AIT10" s="436"/>
      <c r="AIU10" s="436"/>
      <c r="AIV10" s="436"/>
      <c r="AIW10" s="436"/>
      <c r="AIX10" s="436"/>
      <c r="AIY10" s="436"/>
      <c r="AIZ10" s="436"/>
      <c r="AJA10" s="436"/>
      <c r="AJB10" s="436"/>
      <c r="AJC10" s="436"/>
      <c r="AJD10" s="436"/>
      <c r="AJE10" s="436"/>
      <c r="AJF10" s="436"/>
      <c r="AJG10" s="436"/>
      <c r="AJH10" s="436"/>
      <c r="AJI10" s="436"/>
      <c r="AJJ10" s="436"/>
      <c r="AJK10" s="436"/>
      <c r="AJL10" s="436"/>
      <c r="AJM10" s="436"/>
      <c r="AJN10" s="436"/>
      <c r="AJO10" s="436"/>
      <c r="AJP10" s="436"/>
      <c r="AJQ10" s="436"/>
      <c r="AJR10" s="436"/>
      <c r="AJS10" s="436"/>
      <c r="AJT10" s="436"/>
      <c r="AJU10" s="436"/>
      <c r="AJV10" s="436"/>
      <c r="AJW10" s="436"/>
      <c r="AJX10" s="436"/>
      <c r="AJY10" s="436"/>
      <c r="AJZ10" s="436"/>
      <c r="AKA10" s="436"/>
      <c r="AKB10" s="436"/>
      <c r="AKC10" s="436"/>
      <c r="AKD10" s="436"/>
      <c r="AKE10" s="436"/>
      <c r="AKF10" s="436"/>
      <c r="AKG10" s="436"/>
      <c r="AKH10" s="436"/>
      <c r="AKI10" s="436"/>
      <c r="AKJ10" s="436"/>
      <c r="AKK10" s="436"/>
      <c r="AKL10" s="436"/>
      <c r="AKM10" s="436"/>
      <c r="AKN10" s="436"/>
      <c r="AKO10" s="436"/>
      <c r="AKP10" s="436"/>
      <c r="AKQ10" s="436"/>
      <c r="AKR10" s="436"/>
      <c r="AKS10" s="436"/>
      <c r="AKT10" s="436"/>
      <c r="AKU10" s="436"/>
      <c r="AKV10" s="436"/>
      <c r="AKW10" s="436"/>
      <c r="AKX10" s="436"/>
      <c r="AKY10" s="436"/>
      <c r="AKZ10" s="436"/>
      <c r="ALA10" s="436"/>
      <c r="ALB10" s="436"/>
      <c r="ALC10" s="436"/>
      <c r="ALD10" s="436"/>
      <c r="ALE10" s="436"/>
      <c r="ALF10" s="436"/>
      <c r="ALG10" s="436"/>
      <c r="ALH10" s="436"/>
      <c r="ALI10" s="436"/>
      <c r="ALJ10" s="436"/>
      <c r="ALK10" s="436"/>
      <c r="ALL10" s="436"/>
      <c r="ALM10" s="436"/>
      <c r="ALN10" s="436"/>
      <c r="ALO10" s="436"/>
      <c r="ALP10" s="436"/>
      <c r="ALQ10" s="436"/>
      <c r="ALR10" s="436"/>
      <c r="ALS10" s="436"/>
      <c r="ALT10" s="436"/>
      <c r="ALU10" s="436"/>
      <c r="ALV10" s="436"/>
      <c r="ALW10" s="436"/>
      <c r="ALX10" s="436"/>
      <c r="ALY10" s="436"/>
      <c r="ALZ10" s="436"/>
      <c r="AMA10" s="436"/>
      <c r="AMB10" s="436"/>
      <c r="AMC10" s="436"/>
      <c r="AMD10" s="436"/>
      <c r="AME10" s="436"/>
      <c r="AMF10" s="436"/>
      <c r="AMG10" s="436"/>
      <c r="AMH10" s="436"/>
      <c r="AMI10" s="436"/>
      <c r="AMJ10" s="436"/>
      <c r="AMK10" s="436"/>
      <c r="AML10" s="436"/>
      <c r="AMM10" s="436"/>
      <c r="AMN10" s="436"/>
      <c r="AMO10" s="436"/>
      <c r="AMP10" s="436"/>
      <c r="AMQ10" s="436"/>
      <c r="AMR10" s="436"/>
      <c r="AMS10" s="436"/>
      <c r="AMT10" s="436"/>
      <c r="AMU10" s="436"/>
      <c r="AMV10" s="436"/>
      <c r="AMW10" s="436"/>
      <c r="AMX10" s="436"/>
      <c r="AMY10" s="436"/>
      <c r="AMZ10" s="436"/>
      <c r="ANA10" s="436"/>
      <c r="ANB10" s="436"/>
      <c r="ANC10" s="436"/>
      <c r="AND10" s="436"/>
      <c r="ANE10" s="436"/>
      <c r="ANF10" s="436"/>
      <c r="ANG10" s="436"/>
      <c r="ANH10" s="436"/>
      <c r="ANI10" s="436"/>
      <c r="ANJ10" s="436"/>
      <c r="ANK10" s="436"/>
      <c r="ANL10" s="436"/>
      <c r="ANM10" s="436"/>
      <c r="ANN10" s="436"/>
      <c r="ANO10" s="436"/>
      <c r="ANP10" s="436"/>
      <c r="ANQ10" s="436"/>
      <c r="ANR10" s="436"/>
      <c r="ANS10" s="436"/>
      <c r="ANT10" s="436"/>
      <c r="ANU10" s="436"/>
      <c r="ANV10" s="436"/>
      <c r="ANW10" s="436"/>
      <c r="ANX10" s="436"/>
      <c r="ANY10" s="436"/>
      <c r="ANZ10" s="436"/>
      <c r="AOA10" s="436"/>
      <c r="AOB10" s="436"/>
      <c r="AOC10" s="436"/>
      <c r="AOD10" s="436"/>
      <c r="AOE10" s="436"/>
      <c r="AOF10" s="436"/>
      <c r="AOG10" s="436"/>
      <c r="AOH10" s="436"/>
      <c r="AOI10" s="436"/>
      <c r="AOJ10" s="436"/>
      <c r="AOK10" s="436"/>
      <c r="AOL10" s="436"/>
      <c r="AOM10" s="436"/>
      <c r="AON10" s="436"/>
      <c r="AOO10" s="436"/>
      <c r="AOP10" s="436"/>
      <c r="AOQ10" s="436"/>
      <c r="AOR10" s="436"/>
      <c r="AOS10" s="436"/>
      <c r="AOT10" s="436"/>
      <c r="AOU10" s="436"/>
      <c r="AOV10" s="436"/>
      <c r="AOW10" s="436"/>
      <c r="AOX10" s="436"/>
      <c r="AOY10" s="436"/>
      <c r="AOZ10" s="436"/>
      <c r="APA10" s="436"/>
      <c r="APB10" s="436"/>
      <c r="APC10" s="436"/>
      <c r="APD10" s="436"/>
      <c r="APE10" s="436"/>
      <c r="APF10" s="436"/>
      <c r="APG10" s="436"/>
      <c r="APH10" s="436"/>
      <c r="API10" s="436"/>
      <c r="APJ10" s="436"/>
      <c r="APK10" s="436"/>
      <c r="APL10" s="436"/>
      <c r="APM10" s="436"/>
      <c r="APN10" s="436"/>
      <c r="APO10" s="436"/>
      <c r="APP10" s="436"/>
      <c r="APQ10" s="436"/>
      <c r="APR10" s="436"/>
      <c r="APS10" s="436"/>
      <c r="APT10" s="436"/>
      <c r="APU10" s="436"/>
      <c r="APV10" s="436"/>
      <c r="APW10" s="436"/>
      <c r="APX10" s="436"/>
      <c r="APY10" s="436"/>
      <c r="APZ10" s="436"/>
      <c r="AQA10" s="436"/>
      <c r="AQB10" s="436"/>
      <c r="AQC10" s="436"/>
      <c r="AQD10" s="436"/>
      <c r="AQE10" s="436"/>
      <c r="AQF10" s="436"/>
      <c r="AQG10" s="436"/>
      <c r="AQH10" s="436"/>
      <c r="AQI10" s="436"/>
      <c r="AQJ10" s="436"/>
      <c r="AQK10" s="436"/>
      <c r="AQL10" s="436"/>
      <c r="AQM10" s="436"/>
      <c r="AQN10" s="436"/>
      <c r="AQO10" s="436"/>
      <c r="AQP10" s="436"/>
      <c r="AQQ10" s="436"/>
      <c r="AQR10" s="436"/>
      <c r="AQS10" s="436"/>
      <c r="AQT10" s="436"/>
      <c r="AQU10" s="436"/>
      <c r="AQV10" s="436"/>
      <c r="AQW10" s="436"/>
      <c r="AQX10" s="436"/>
      <c r="AQY10" s="436"/>
      <c r="AQZ10" s="436"/>
      <c r="ARA10" s="436"/>
      <c r="ARB10" s="436"/>
      <c r="ARC10" s="436"/>
      <c r="ARD10" s="436"/>
      <c r="ARE10" s="436"/>
      <c r="ARF10" s="436"/>
      <c r="ARG10" s="436"/>
      <c r="ARH10" s="436"/>
      <c r="ARI10" s="436"/>
      <c r="ARJ10" s="436"/>
      <c r="ARK10" s="436"/>
      <c r="ARL10" s="436"/>
      <c r="ARM10" s="436"/>
      <c r="ARN10" s="436"/>
      <c r="ARO10" s="436"/>
      <c r="ARP10" s="436"/>
      <c r="ARQ10" s="436"/>
      <c r="ARR10" s="436"/>
      <c r="ARS10" s="436"/>
      <c r="ART10" s="436"/>
      <c r="ARU10" s="436"/>
      <c r="ARV10" s="436"/>
      <c r="ARW10" s="436"/>
      <c r="ARX10" s="436"/>
      <c r="ARY10" s="436"/>
      <c r="ARZ10" s="436"/>
      <c r="ASA10" s="436"/>
      <c r="ASB10" s="436"/>
      <c r="ASC10" s="436"/>
      <c r="ASD10" s="436"/>
      <c r="ASE10" s="436"/>
      <c r="ASF10" s="436"/>
      <c r="ASG10" s="436"/>
      <c r="ASH10" s="436"/>
      <c r="ASI10" s="436"/>
      <c r="ASJ10" s="436"/>
      <c r="ASK10" s="436"/>
      <c r="ASL10" s="436"/>
      <c r="ASM10" s="436"/>
      <c r="ASN10" s="436"/>
      <c r="ASO10" s="436"/>
      <c r="ASP10" s="436"/>
      <c r="ASQ10" s="436"/>
      <c r="ASR10" s="436"/>
      <c r="ASS10" s="436"/>
      <c r="AST10" s="436"/>
      <c r="ASU10" s="436"/>
      <c r="ASV10" s="436"/>
      <c r="ASW10" s="436"/>
      <c r="ASX10" s="436"/>
      <c r="ASY10" s="436"/>
      <c r="ASZ10" s="436"/>
      <c r="ATA10" s="436"/>
      <c r="ATB10" s="436"/>
      <c r="ATC10" s="436"/>
      <c r="ATD10" s="436"/>
      <c r="ATE10" s="436"/>
      <c r="ATF10" s="436"/>
      <c r="ATG10" s="436"/>
      <c r="ATH10" s="436"/>
      <c r="ATI10" s="436"/>
      <c r="ATJ10" s="436"/>
      <c r="ATK10" s="436"/>
      <c r="ATL10" s="436"/>
      <c r="ATM10" s="436"/>
      <c r="ATN10" s="436"/>
      <c r="ATO10" s="436"/>
      <c r="ATP10" s="436"/>
      <c r="ATQ10" s="436"/>
      <c r="ATR10" s="436"/>
      <c r="ATS10" s="436"/>
      <c r="ATT10" s="436"/>
      <c r="ATU10" s="436"/>
      <c r="ATV10" s="436"/>
      <c r="ATW10" s="436"/>
      <c r="ATX10" s="436"/>
      <c r="ATY10" s="436"/>
      <c r="ATZ10" s="436"/>
      <c r="AUA10" s="436"/>
      <c r="AUB10" s="436"/>
      <c r="AUC10" s="436"/>
      <c r="AUD10" s="436"/>
      <c r="AUE10" s="436"/>
      <c r="AUF10" s="436"/>
      <c r="AUG10" s="436"/>
      <c r="AUH10" s="436"/>
      <c r="AUI10" s="436"/>
      <c r="AUJ10" s="436"/>
      <c r="AUK10" s="436"/>
      <c r="AUL10" s="436"/>
      <c r="AUM10" s="436"/>
      <c r="AUN10" s="436"/>
      <c r="AUO10" s="436"/>
      <c r="AUP10" s="436"/>
      <c r="AUQ10" s="436"/>
      <c r="AUR10" s="436"/>
      <c r="AUS10" s="436"/>
      <c r="AUT10" s="436"/>
      <c r="AUU10" s="436"/>
      <c r="AUV10" s="699">
        <f t="shared" ref="AUV10" si="182">BM10/P10</f>
        <v>62231</v>
      </c>
      <c r="AUW10" s="699">
        <f t="shared" ref="AUW10" si="183">AUV10/1.302</f>
        <v>47796.47</v>
      </c>
      <c r="AUX10" s="699">
        <f t="shared" ref="AUX10" si="184">AUV10-AUW10</f>
        <v>14434.53</v>
      </c>
      <c r="AUY10" s="699">
        <f t="shared" ref="AUY10" si="185">BP10/P10</f>
        <v>220</v>
      </c>
      <c r="AUZ10" s="699">
        <f t="shared" ref="AUZ10" si="186">BQ10/T10</f>
        <v>161.35</v>
      </c>
      <c r="AVA10" s="699">
        <f t="shared" ref="AVA10" si="187">BR10/U10</f>
        <v>0.43</v>
      </c>
      <c r="AVB10" s="699">
        <f t="shared" ref="AVB10" si="188">AVC10+AVD10+AVE10+AVF10</f>
        <v>3710</v>
      </c>
      <c r="AVC10" s="699">
        <f t="shared" ref="AVC10" si="189">BT10/P10</f>
        <v>520</v>
      </c>
      <c r="AVD10" s="699">
        <f t="shared" ref="AVD10" si="190">BU10/P10</f>
        <v>2140</v>
      </c>
      <c r="AVE10" s="699">
        <f t="shared" ref="AVE10" si="191">BV10/P10</f>
        <v>310</v>
      </c>
      <c r="AVF10" s="699">
        <f t="shared" ref="AVF10" si="192">BW10/P10</f>
        <v>740</v>
      </c>
      <c r="AVG10" s="699">
        <f t="shared" ref="AVG10" si="193">BX10/P10</f>
        <v>6708.4</v>
      </c>
      <c r="AVH10" s="699">
        <f t="shared" ref="AVH10" si="194">BY10/P10</f>
        <v>5080</v>
      </c>
      <c r="AVI10" s="699">
        <f t="shared" ref="AVI10" si="195">BZ10/P10</f>
        <v>540</v>
      </c>
      <c r="AVJ10" s="699">
        <f t="shared" ref="AVJ10" si="196">CA10/P10</f>
        <v>770</v>
      </c>
      <c r="AVK10" s="699">
        <f t="shared" ref="AVK10" si="197">CB10/P10</f>
        <v>80</v>
      </c>
      <c r="AVL10" s="699">
        <f t="shared" ref="AVL10" si="198">CC10/P10</f>
        <v>300</v>
      </c>
      <c r="AVM10" s="699">
        <f t="shared" ref="AVM10" si="199">CD10/P10</f>
        <v>15482.9</v>
      </c>
      <c r="AVN10" s="699">
        <f t="shared" ref="AVN10" si="200">AVM10/1.302</f>
        <v>11891.63</v>
      </c>
      <c r="AVO10" s="699">
        <f t="shared" ref="AVO10" si="201">AVM10-AVN10</f>
        <v>3591.27</v>
      </c>
      <c r="AVP10" s="699">
        <f t="shared" ref="AVP10" si="202">CG10/P10</f>
        <v>3520</v>
      </c>
      <c r="AVQ10" s="699">
        <f t="shared" ref="AVQ10" si="203">CH10/P10</f>
        <v>100962.3</v>
      </c>
    </row>
    <row r="11" spans="1:1265" s="436" customFormat="1" ht="30" customHeight="1" x14ac:dyDescent="0.25">
      <c r="A11" s="641">
        <v>1</v>
      </c>
      <c r="B11" s="641">
        <v>1</v>
      </c>
      <c r="C11" s="662" t="s">
        <v>246</v>
      </c>
      <c r="D11" s="2"/>
      <c r="E11" s="431" t="s">
        <v>344</v>
      </c>
      <c r="F11" s="641" t="s">
        <v>31</v>
      </c>
      <c r="G11" s="641">
        <v>1</v>
      </c>
      <c r="H11" s="655" t="s">
        <v>10</v>
      </c>
      <c r="I11" s="641">
        <v>0</v>
      </c>
      <c r="J11" s="431" t="s">
        <v>356</v>
      </c>
      <c r="K11" s="641">
        <v>3</v>
      </c>
      <c r="L11" s="680" t="s">
        <v>349</v>
      </c>
      <c r="M11" s="432" t="s">
        <v>256</v>
      </c>
      <c r="N11" s="431" t="s">
        <v>401</v>
      </c>
      <c r="O11" s="641">
        <v>2</v>
      </c>
      <c r="P11" s="695">
        <v>4</v>
      </c>
      <c r="Q11" s="632">
        <v>4</v>
      </c>
      <c r="R11" s="632">
        <v>4</v>
      </c>
      <c r="S11" s="669">
        <f>SUMIF('Территориальный кк'!$A:$A,'2020'!$B11,'Территориальный кк'!D:D)</f>
        <v>1.1519999999999999</v>
      </c>
      <c r="T11" s="670">
        <f>SUMIF('Территориальный кк'!$A:$A,'2020'!$B11,'Территориальный кк'!E:E)</f>
        <v>2.7269999999999999</v>
      </c>
      <c r="U11" s="433">
        <f>SUMIFS(Нормативы!G:G,Нормативы!$B:$B,$G11,Нормативы!$D:$D,'2020'!$I11,Нормативы!$F:$F,'2020'!$K11)*O11</f>
        <v>128380</v>
      </c>
      <c r="V11" s="433">
        <f t="shared" si="98"/>
        <v>98602.2</v>
      </c>
      <c r="W11" s="433">
        <f t="shared" si="99"/>
        <v>29777.8</v>
      </c>
      <c r="X11" s="433">
        <f>SUMIFS(Нормативы!J:J,Нормативы!$B:$B,$G11,Нормативы!$D:$D,'2020'!$I11,Нормативы!$F:$F,'2020'!$K11)</f>
        <v>8830</v>
      </c>
      <c r="Y11" s="433">
        <f>SUMIFS(Нормативы!K:K,Нормативы!$B:$B,$G11,Нормативы!$D:$D,'2020'!$I11,Нормативы!$F:$F,'2020'!$K11)</f>
        <v>1766</v>
      </c>
      <c r="Z11" s="433">
        <f>SUMIFS(Нормативы!L:L,Нормативы!$B:$B,$G11,Нормативы!$D:$D,'2020'!$I11,Нормативы!$F:$F,'2020'!$K11)</f>
        <v>8110</v>
      </c>
      <c r="AA11" s="433">
        <f t="shared" si="100"/>
        <v>19930</v>
      </c>
      <c r="AB11" s="433">
        <f>SUMIFS(Нормативы!N:N,Нормативы!$B:$B,$G11,Нормативы!$D:$D,'2020'!$I11,Нормативы!$F:$F,'2020'!$K11)*O11</f>
        <v>1040</v>
      </c>
      <c r="AC11" s="433">
        <f>SUMIFS(Нормативы!O:O,Нормативы!$B:$B,$G11,Нормативы!$D:$D,'2020'!$I11,Нормативы!$F:$F,'2020'!$K11)</f>
        <v>17290</v>
      </c>
      <c r="AD11" s="433">
        <f>SUMIFS(Нормативы!P:P,Нормативы!$B:$B,$G11,Нормативы!$D:$D,'2020'!$I11,Нормативы!$F:$F,'2020'!$K11)*O11</f>
        <v>720</v>
      </c>
      <c r="AE11" s="433">
        <f>SUMIFS(Нормативы!Q:Q,Нормативы!$B:$B,$G11,Нормативы!$D:$D,'2020'!$I11,Нормативы!$F:$F,'2020'!$K11)</f>
        <v>880</v>
      </c>
      <c r="AF11" s="433">
        <f>SUMIFS(Нормативы!R:R,Нормативы!$B:$B,$G11,Нормативы!$D:$D,'2020'!$I11,Нормативы!$F:$F,'2020'!$K11)</f>
        <v>2680</v>
      </c>
      <c r="AG11" s="433">
        <f>SUMIFS(Нормативы!S:S,Нормативы!$B:$B,$G11,Нормативы!$D:$D,'2020'!$I11,Нормативы!$F:$F,'2020'!$K11)</f>
        <v>5800</v>
      </c>
      <c r="AH11" s="433">
        <f>SUMIFS(Нормативы!T:T,Нормативы!$B:$B,$G11,Нормативы!$D:$D,'2020'!$I11,Нормативы!$F:$F,'2020'!$K11)</f>
        <v>540</v>
      </c>
      <c r="AI11" s="433">
        <f>SUMIFS(Нормативы!U:U,Нормативы!$B:$B,$G11,Нормативы!$D:$D,'2020'!$I11,Нормативы!$F:$F,'2020'!$K11)</f>
        <v>770</v>
      </c>
      <c r="AJ11" s="433">
        <f>SUMIFS(Нормативы!V:V,Нормативы!$B:$B,$G11,Нормативы!$D:$D,'2020'!$I11,Нормативы!$F:$F,'2020'!$K11)</f>
        <v>80</v>
      </c>
      <c r="AK11" s="433">
        <f>SUMIFS(Нормативы!W:W,Нормативы!$B:$B,$G11,Нормативы!$D:$D,'2020'!$I11,Нормативы!$F:$F,'2020'!$K11)</f>
        <v>1050</v>
      </c>
      <c r="AL11" s="433">
        <f>SUMIFS(Нормативы!X:X,Нормативы!$B:$B,$G11,Нормативы!$D:$D,'2020'!$I11,Нормативы!$F:$F,'2020'!$K11)*O11</f>
        <v>32240</v>
      </c>
      <c r="AM11" s="433">
        <f t="shared" si="101"/>
        <v>24761.9</v>
      </c>
      <c r="AN11" s="433">
        <f t="shared" si="102"/>
        <v>7478.1</v>
      </c>
      <c r="AO11" s="433">
        <f>SUMIFS(Нормативы!AA:AA,Нормативы!$B:$B,$G11,Нормативы!$D:$D,'2020'!$I11,Нормативы!$F:$F,'2020'!$K11)</f>
        <v>3520</v>
      </c>
      <c r="AP11" s="434">
        <f t="shared" si="103"/>
        <v>211930</v>
      </c>
      <c r="AQ11" s="609">
        <f t="shared" si="104"/>
        <v>513520</v>
      </c>
      <c r="AR11" s="433">
        <f t="shared" si="105"/>
        <v>394408.6</v>
      </c>
      <c r="AS11" s="433">
        <f t="shared" si="106"/>
        <v>119111.4</v>
      </c>
      <c r="AT11" s="435">
        <f t="shared" si="0"/>
        <v>35320</v>
      </c>
      <c r="AU11" s="435">
        <f t="shared" si="1"/>
        <v>7064</v>
      </c>
      <c r="AV11" s="435">
        <f t="shared" si="2"/>
        <v>32440</v>
      </c>
      <c r="AW11" s="435">
        <f t="shared" si="3"/>
        <v>79720</v>
      </c>
      <c r="AX11" s="435">
        <f t="shared" si="4"/>
        <v>4160</v>
      </c>
      <c r="AY11" s="435">
        <f t="shared" si="5"/>
        <v>69160</v>
      </c>
      <c r="AZ11" s="435">
        <f t="shared" si="6"/>
        <v>2880</v>
      </c>
      <c r="BA11" s="435">
        <f t="shared" si="7"/>
        <v>3520</v>
      </c>
      <c r="BB11" s="435">
        <f t="shared" si="107"/>
        <v>10720</v>
      </c>
      <c r="BC11" s="435">
        <f t="shared" si="8"/>
        <v>23200</v>
      </c>
      <c r="BD11" s="435">
        <f t="shared" si="9"/>
        <v>2160</v>
      </c>
      <c r="BE11" s="435">
        <f t="shared" si="10"/>
        <v>3080</v>
      </c>
      <c r="BF11" s="435">
        <f t="shared" si="11"/>
        <v>320</v>
      </c>
      <c r="BG11" s="435">
        <f t="shared" si="12"/>
        <v>4200</v>
      </c>
      <c r="BH11" s="435">
        <f t="shared" si="13"/>
        <v>128960</v>
      </c>
      <c r="BI11" s="433">
        <f t="shared" si="108"/>
        <v>99047.6</v>
      </c>
      <c r="BJ11" s="433">
        <f t="shared" si="109"/>
        <v>29912.400000000001</v>
      </c>
      <c r="BK11" s="435">
        <f t="shared" si="14"/>
        <v>14080</v>
      </c>
      <c r="BL11" s="434">
        <f t="shared" si="15"/>
        <v>847720</v>
      </c>
      <c r="BM11" s="613">
        <f t="shared" si="110"/>
        <v>591575</v>
      </c>
      <c r="BN11" s="433">
        <f t="shared" si="16"/>
        <v>454358.7</v>
      </c>
      <c r="BO11" s="433">
        <f t="shared" si="17"/>
        <v>137216.29999999999</v>
      </c>
      <c r="BP11" s="435">
        <f t="shared" si="111"/>
        <v>35320</v>
      </c>
      <c r="BQ11" s="435">
        <f t="shared" si="112"/>
        <v>7064</v>
      </c>
      <c r="BR11" s="435">
        <f t="shared" si="113"/>
        <v>32440</v>
      </c>
      <c r="BS11" s="435">
        <f t="shared" si="18"/>
        <v>79720</v>
      </c>
      <c r="BT11" s="34">
        <f t="shared" si="19"/>
        <v>4160</v>
      </c>
      <c r="BU11" s="34">
        <f t="shared" si="20"/>
        <v>69160</v>
      </c>
      <c r="BV11" s="34">
        <f t="shared" si="21"/>
        <v>2880</v>
      </c>
      <c r="BW11" s="34">
        <f t="shared" si="22"/>
        <v>3520</v>
      </c>
      <c r="BX11" s="435">
        <f t="shared" si="23"/>
        <v>29233</v>
      </c>
      <c r="BY11" s="435">
        <f t="shared" si="24"/>
        <v>23200</v>
      </c>
      <c r="BZ11" s="435">
        <f t="shared" si="25"/>
        <v>2160</v>
      </c>
      <c r="CA11" s="435">
        <f t="shared" si="26"/>
        <v>3080</v>
      </c>
      <c r="CB11" s="435">
        <f t="shared" si="27"/>
        <v>320</v>
      </c>
      <c r="CC11" s="435">
        <f t="shared" si="28"/>
        <v>4200</v>
      </c>
      <c r="CD11" s="435">
        <f t="shared" si="29"/>
        <v>148562</v>
      </c>
      <c r="CE11" s="433">
        <f t="shared" si="114"/>
        <v>114102.9</v>
      </c>
      <c r="CF11" s="433">
        <f t="shared" si="115"/>
        <v>34459.1</v>
      </c>
      <c r="CG11" s="435">
        <f t="shared" si="30"/>
        <v>14080</v>
      </c>
      <c r="CH11" s="434">
        <f t="shared" si="31"/>
        <v>963890</v>
      </c>
      <c r="CI11" s="88">
        <f t="shared" si="32"/>
        <v>147893.75</v>
      </c>
      <c r="CJ11" s="90">
        <f t="shared" si="33"/>
        <v>113589.675</v>
      </c>
      <c r="CK11" s="90">
        <f t="shared" si="34"/>
        <v>34304.074999999997</v>
      </c>
      <c r="CL11" s="88">
        <f t="shared" si="35"/>
        <v>8830</v>
      </c>
      <c r="CM11" s="88">
        <f t="shared" si="36"/>
        <v>1766</v>
      </c>
      <c r="CN11" s="88">
        <f t="shared" si="37"/>
        <v>8110</v>
      </c>
      <c r="CO11" s="88">
        <f t="shared" si="38"/>
        <v>19930</v>
      </c>
      <c r="CP11" s="88">
        <f t="shared" si="39"/>
        <v>1040</v>
      </c>
      <c r="CQ11" s="88">
        <f t="shared" si="40"/>
        <v>17290</v>
      </c>
      <c r="CR11" s="88">
        <f t="shared" si="41"/>
        <v>720</v>
      </c>
      <c r="CS11" s="88">
        <f t="shared" si="42"/>
        <v>880</v>
      </c>
      <c r="CT11" s="88">
        <f t="shared" si="43"/>
        <v>7308.25</v>
      </c>
      <c r="CU11" s="88">
        <f t="shared" si="44"/>
        <v>5800</v>
      </c>
      <c r="CV11" s="88">
        <f t="shared" si="45"/>
        <v>540</v>
      </c>
      <c r="CW11" s="88">
        <f t="shared" si="46"/>
        <v>770</v>
      </c>
      <c r="CX11" s="88">
        <f t="shared" si="47"/>
        <v>80</v>
      </c>
      <c r="CY11" s="88">
        <f t="shared" si="48"/>
        <v>1050</v>
      </c>
      <c r="CZ11" s="88">
        <f t="shared" si="49"/>
        <v>37140.5</v>
      </c>
      <c r="DA11" s="90">
        <f t="shared" si="50"/>
        <v>28525.724999999999</v>
      </c>
      <c r="DB11" s="90">
        <f t="shared" si="51"/>
        <v>8614.7749999999996</v>
      </c>
      <c r="DC11" s="88">
        <f t="shared" si="52"/>
        <v>3520</v>
      </c>
      <c r="DD11" s="88">
        <f t="shared" si="53"/>
        <v>240972.5</v>
      </c>
      <c r="AUV11" s="699">
        <f t="shared" si="65"/>
        <v>147893.75</v>
      </c>
      <c r="AUW11" s="699">
        <f t="shared" si="66"/>
        <v>113589.67</v>
      </c>
      <c r="AUX11" s="699">
        <f t="shared" si="67"/>
        <v>34304.080000000002</v>
      </c>
      <c r="AUY11" s="699">
        <f t="shared" si="68"/>
        <v>8830</v>
      </c>
      <c r="AUZ11" s="699">
        <f t="shared" si="69"/>
        <v>2590.39</v>
      </c>
      <c r="AVA11" s="699">
        <f t="shared" si="69"/>
        <v>0.25</v>
      </c>
      <c r="AVB11" s="699">
        <f t="shared" si="70"/>
        <v>19930</v>
      </c>
      <c r="AVC11" s="699">
        <f t="shared" si="71"/>
        <v>1040</v>
      </c>
      <c r="AVD11" s="699">
        <f t="shared" si="72"/>
        <v>17290</v>
      </c>
      <c r="AVE11" s="699">
        <f t="shared" si="73"/>
        <v>720</v>
      </c>
      <c r="AVF11" s="699">
        <f t="shared" si="74"/>
        <v>880</v>
      </c>
      <c r="AVG11" s="699">
        <f t="shared" si="75"/>
        <v>7308.25</v>
      </c>
      <c r="AVH11" s="699">
        <f t="shared" si="76"/>
        <v>5800</v>
      </c>
      <c r="AVI11" s="699">
        <f t="shared" si="77"/>
        <v>540</v>
      </c>
      <c r="AVJ11" s="699">
        <f t="shared" si="78"/>
        <v>770</v>
      </c>
      <c r="AVK11" s="699">
        <f t="shared" si="79"/>
        <v>80</v>
      </c>
      <c r="AVL11" s="699">
        <f t="shared" si="80"/>
        <v>1050</v>
      </c>
      <c r="AVM11" s="699">
        <f t="shared" si="81"/>
        <v>37140.5</v>
      </c>
      <c r="AVN11" s="699">
        <f t="shared" si="82"/>
        <v>28525.73</v>
      </c>
      <c r="AVO11" s="699">
        <f t="shared" si="83"/>
        <v>8614.77</v>
      </c>
      <c r="AVP11" s="699">
        <f t="shared" si="84"/>
        <v>3520</v>
      </c>
      <c r="AVQ11" s="699">
        <f t="shared" si="85"/>
        <v>240972.5</v>
      </c>
    </row>
    <row r="12" spans="1:1265" s="436" customFormat="1" ht="30" customHeight="1" x14ac:dyDescent="0.25">
      <c r="A12" s="641">
        <v>1</v>
      </c>
      <c r="B12" s="641">
        <v>1</v>
      </c>
      <c r="C12" s="662" t="s">
        <v>246</v>
      </c>
      <c r="D12" s="2"/>
      <c r="E12" s="431" t="s">
        <v>344</v>
      </c>
      <c r="F12" s="641" t="s">
        <v>31</v>
      </c>
      <c r="G12" s="641">
        <v>1</v>
      </c>
      <c r="H12" s="655" t="s">
        <v>8</v>
      </c>
      <c r="I12" s="641">
        <v>3</v>
      </c>
      <c r="J12" s="431" t="s">
        <v>356</v>
      </c>
      <c r="K12" s="641">
        <v>3</v>
      </c>
      <c r="L12" s="680" t="s">
        <v>349</v>
      </c>
      <c r="M12" s="432" t="s">
        <v>257</v>
      </c>
      <c r="N12" s="431" t="s">
        <v>387</v>
      </c>
      <c r="O12" s="641">
        <v>1</v>
      </c>
      <c r="P12" s="695">
        <v>61</v>
      </c>
      <c r="Q12" s="632">
        <v>61</v>
      </c>
      <c r="R12" s="632">
        <v>61</v>
      </c>
      <c r="S12" s="669">
        <f>SUMIF('Территориальный кк'!$A:$A,'2020'!$B12,'Территориальный кк'!D:D)</f>
        <v>1.1519999999999999</v>
      </c>
      <c r="T12" s="670">
        <f>SUMIF('Территориальный кк'!$A:$A,'2020'!$B12,'Территориальный кк'!E:E)</f>
        <v>2.7269999999999999</v>
      </c>
      <c r="U12" s="433">
        <f>SUMIFS(Нормативы!G:G,Нормативы!$B:$B,$G12,Нормативы!$D:$D,'2020'!$I12,Нормативы!$F:$F,'2020'!$K12)*O12</f>
        <v>6419</v>
      </c>
      <c r="V12" s="433">
        <f t="shared" si="98"/>
        <v>4930.1000000000004</v>
      </c>
      <c r="W12" s="433">
        <f t="shared" si="99"/>
        <v>1488.9</v>
      </c>
      <c r="X12" s="433">
        <f>SUMIFS(Нормативы!J:J,Нормативы!$B:$B,$G12,Нормативы!$D:$D,'2020'!$I12,Нормативы!$F:$F,'2020'!$K12)</f>
        <v>883</v>
      </c>
      <c r="Y12" s="433">
        <f>SUMIFS(Нормативы!K:K,Нормативы!$B:$B,$G12,Нормативы!$D:$D,'2020'!$I12,Нормативы!$F:$F,'2020'!$K12)</f>
        <v>177</v>
      </c>
      <c r="Z12" s="433">
        <f>SUMIFS(Нормативы!L:L,Нормативы!$B:$B,$G12,Нормативы!$D:$D,'2020'!$I12,Нормативы!$F:$F,'2020'!$K12)</f>
        <v>811</v>
      </c>
      <c r="AA12" s="433">
        <f t="shared" si="100"/>
        <v>1905</v>
      </c>
      <c r="AB12" s="433">
        <f>SUMIFS(Нормативы!N:N,Нормативы!$B:$B,$G12,Нормативы!$D:$D,'2020'!$I12,Нормативы!$F:$F,'2020'!$K12)*O12</f>
        <v>52</v>
      </c>
      <c r="AC12" s="433">
        <f>SUMIFS(Нормативы!O:O,Нормативы!$B:$B,$G12,Нормативы!$D:$D,'2020'!$I12,Нормативы!$F:$F,'2020'!$K12)</f>
        <v>1729</v>
      </c>
      <c r="AD12" s="433">
        <f>SUMIFS(Нормативы!P:P,Нормативы!$B:$B,$G12,Нормативы!$D:$D,'2020'!$I12,Нормативы!$F:$F,'2020'!$K12)*O12</f>
        <v>36</v>
      </c>
      <c r="AE12" s="433">
        <f>SUMIFS(Нормативы!Q:Q,Нормативы!$B:$B,$G12,Нормативы!$D:$D,'2020'!$I12,Нормативы!$F:$F,'2020'!$K12)</f>
        <v>88</v>
      </c>
      <c r="AF12" s="433">
        <f>SUMIFS(Нормативы!R:R,Нормативы!$B:$B,$G12,Нормативы!$D:$D,'2020'!$I12,Нормативы!$F:$F,'2020'!$K12)</f>
        <v>268</v>
      </c>
      <c r="AG12" s="433">
        <f>SUMIFS(Нормативы!S:S,Нормативы!$B:$B,$G12,Нормативы!$D:$D,'2020'!$I12,Нормативы!$F:$F,'2020'!$K12)</f>
        <v>580</v>
      </c>
      <c r="AH12" s="433">
        <f>SUMIFS(Нормативы!T:T,Нормативы!$B:$B,$G12,Нормативы!$D:$D,'2020'!$I12,Нормативы!$F:$F,'2020'!$K12)</f>
        <v>54</v>
      </c>
      <c r="AI12" s="433">
        <f>SUMIFS(Нормативы!U:U,Нормативы!$B:$B,$G12,Нормативы!$D:$D,'2020'!$I12,Нормативы!$F:$F,'2020'!$K12)</f>
        <v>77</v>
      </c>
      <c r="AJ12" s="433">
        <f>SUMIFS(Нормативы!V:V,Нормативы!$B:$B,$G12,Нормативы!$D:$D,'2020'!$I12,Нормативы!$F:$F,'2020'!$K12)</f>
        <v>8</v>
      </c>
      <c r="AK12" s="433">
        <f>SUMIFS(Нормативы!W:W,Нормативы!$B:$B,$G12,Нормативы!$D:$D,'2020'!$I12,Нормативы!$F:$F,'2020'!$K12)</f>
        <v>105</v>
      </c>
      <c r="AL12" s="433">
        <f>SUMIFS(Нормативы!X:X,Нормативы!$B:$B,$G12,Нормативы!$D:$D,'2020'!$I12,Нормативы!$F:$F,'2020'!$K12)*O12</f>
        <v>1612</v>
      </c>
      <c r="AM12" s="433">
        <f t="shared" si="101"/>
        <v>1238.0999999999999</v>
      </c>
      <c r="AN12" s="433">
        <f t="shared" si="102"/>
        <v>373.9</v>
      </c>
      <c r="AO12" s="433">
        <f>SUMIFS(Нормативы!AA:AA,Нормативы!$B:$B,$G12,Нормативы!$D:$D,'2020'!$I12,Нормативы!$F:$F,'2020'!$K12)</f>
        <v>0</v>
      </c>
      <c r="AP12" s="434">
        <f t="shared" si="103"/>
        <v>12722</v>
      </c>
      <c r="AQ12" s="609">
        <f t="shared" si="104"/>
        <v>391559</v>
      </c>
      <c r="AR12" s="433">
        <f t="shared" si="105"/>
        <v>300736.59999999998</v>
      </c>
      <c r="AS12" s="433">
        <f t="shared" si="106"/>
        <v>90822.399999999994</v>
      </c>
      <c r="AT12" s="435">
        <f t="shared" si="0"/>
        <v>53863</v>
      </c>
      <c r="AU12" s="435">
        <f t="shared" si="1"/>
        <v>10797</v>
      </c>
      <c r="AV12" s="435">
        <f t="shared" si="2"/>
        <v>49471</v>
      </c>
      <c r="AW12" s="435">
        <f t="shared" si="3"/>
        <v>116205</v>
      </c>
      <c r="AX12" s="435">
        <f t="shared" si="4"/>
        <v>3172</v>
      </c>
      <c r="AY12" s="435">
        <f t="shared" si="5"/>
        <v>105469</v>
      </c>
      <c r="AZ12" s="435">
        <f t="shared" si="6"/>
        <v>2196</v>
      </c>
      <c r="BA12" s="435">
        <f t="shared" si="7"/>
        <v>5368</v>
      </c>
      <c r="BB12" s="435">
        <f t="shared" si="107"/>
        <v>16348</v>
      </c>
      <c r="BC12" s="435">
        <f t="shared" si="8"/>
        <v>35380</v>
      </c>
      <c r="BD12" s="435">
        <f t="shared" si="9"/>
        <v>3294</v>
      </c>
      <c r="BE12" s="435">
        <f t="shared" si="10"/>
        <v>4697</v>
      </c>
      <c r="BF12" s="435">
        <f t="shared" si="11"/>
        <v>488</v>
      </c>
      <c r="BG12" s="435">
        <f t="shared" si="12"/>
        <v>6405</v>
      </c>
      <c r="BH12" s="435">
        <f t="shared" si="13"/>
        <v>98332</v>
      </c>
      <c r="BI12" s="433">
        <f t="shared" si="108"/>
        <v>75523.8</v>
      </c>
      <c r="BJ12" s="433">
        <f t="shared" si="109"/>
        <v>22808.2</v>
      </c>
      <c r="BK12" s="435">
        <f t="shared" si="14"/>
        <v>0</v>
      </c>
      <c r="BL12" s="434">
        <f t="shared" si="15"/>
        <v>776042</v>
      </c>
      <c r="BM12" s="613">
        <f t="shared" si="110"/>
        <v>451076</v>
      </c>
      <c r="BN12" s="433">
        <f t="shared" si="16"/>
        <v>346448.5</v>
      </c>
      <c r="BO12" s="433">
        <f t="shared" si="17"/>
        <v>104627.5</v>
      </c>
      <c r="BP12" s="435">
        <f t="shared" si="111"/>
        <v>53863</v>
      </c>
      <c r="BQ12" s="435">
        <f t="shared" si="112"/>
        <v>10797</v>
      </c>
      <c r="BR12" s="435">
        <f t="shared" si="113"/>
        <v>49471</v>
      </c>
      <c r="BS12" s="435">
        <f t="shared" si="18"/>
        <v>116205</v>
      </c>
      <c r="BT12" s="34">
        <f t="shared" si="19"/>
        <v>3172</v>
      </c>
      <c r="BU12" s="34">
        <f t="shared" si="20"/>
        <v>105469</v>
      </c>
      <c r="BV12" s="34">
        <f t="shared" si="21"/>
        <v>2196</v>
      </c>
      <c r="BW12" s="34">
        <f t="shared" si="22"/>
        <v>5368</v>
      </c>
      <c r="BX12" s="435">
        <f t="shared" si="23"/>
        <v>44581</v>
      </c>
      <c r="BY12" s="435">
        <f t="shared" si="24"/>
        <v>35380</v>
      </c>
      <c r="BZ12" s="435">
        <f t="shared" si="25"/>
        <v>3294</v>
      </c>
      <c r="CA12" s="435">
        <f t="shared" si="26"/>
        <v>4697</v>
      </c>
      <c r="CB12" s="435">
        <f t="shared" si="27"/>
        <v>488</v>
      </c>
      <c r="CC12" s="435">
        <f t="shared" si="28"/>
        <v>6405</v>
      </c>
      <c r="CD12" s="435">
        <f t="shared" si="29"/>
        <v>113278</v>
      </c>
      <c r="CE12" s="433">
        <f t="shared" si="114"/>
        <v>87003.1</v>
      </c>
      <c r="CF12" s="433">
        <f t="shared" si="115"/>
        <v>26274.9</v>
      </c>
      <c r="CG12" s="435">
        <f t="shared" si="30"/>
        <v>0</v>
      </c>
      <c r="CH12" s="434">
        <f t="shared" si="31"/>
        <v>878738</v>
      </c>
      <c r="CI12" s="88">
        <f t="shared" si="32"/>
        <v>7394.6885000000002</v>
      </c>
      <c r="CJ12" s="90">
        <f t="shared" si="33"/>
        <v>5679.4835999999996</v>
      </c>
      <c r="CK12" s="90">
        <f t="shared" si="34"/>
        <v>1715.2049</v>
      </c>
      <c r="CL12" s="88">
        <f t="shared" si="35"/>
        <v>883</v>
      </c>
      <c r="CM12" s="88">
        <f t="shared" si="36"/>
        <v>177</v>
      </c>
      <c r="CN12" s="88">
        <f t="shared" si="37"/>
        <v>811</v>
      </c>
      <c r="CO12" s="88">
        <f t="shared" si="38"/>
        <v>1905</v>
      </c>
      <c r="CP12" s="88">
        <f t="shared" si="39"/>
        <v>52</v>
      </c>
      <c r="CQ12" s="88">
        <f t="shared" si="40"/>
        <v>1729</v>
      </c>
      <c r="CR12" s="88">
        <f t="shared" si="41"/>
        <v>36</v>
      </c>
      <c r="CS12" s="88">
        <f t="shared" si="42"/>
        <v>88</v>
      </c>
      <c r="CT12" s="88">
        <f t="shared" si="43"/>
        <v>730.83609999999999</v>
      </c>
      <c r="CU12" s="88">
        <f t="shared" si="44"/>
        <v>580</v>
      </c>
      <c r="CV12" s="88">
        <f t="shared" si="45"/>
        <v>54</v>
      </c>
      <c r="CW12" s="88">
        <f t="shared" si="46"/>
        <v>77</v>
      </c>
      <c r="CX12" s="88">
        <f t="shared" si="47"/>
        <v>8</v>
      </c>
      <c r="CY12" s="88">
        <f t="shared" si="48"/>
        <v>105</v>
      </c>
      <c r="CZ12" s="88">
        <f t="shared" si="49"/>
        <v>1857.0164</v>
      </c>
      <c r="DA12" s="90">
        <f t="shared" si="50"/>
        <v>1426.2802999999999</v>
      </c>
      <c r="DB12" s="90">
        <f t="shared" si="51"/>
        <v>430.73610000000002</v>
      </c>
      <c r="DC12" s="88">
        <f t="shared" si="52"/>
        <v>0</v>
      </c>
      <c r="DD12" s="88">
        <f t="shared" si="53"/>
        <v>14405.540999999999</v>
      </c>
      <c r="AUV12" s="699">
        <f t="shared" si="65"/>
        <v>7394.69</v>
      </c>
      <c r="AUW12" s="699">
        <f t="shared" si="66"/>
        <v>5679.49</v>
      </c>
      <c r="AUX12" s="699">
        <f t="shared" si="67"/>
        <v>1715.2</v>
      </c>
      <c r="AUY12" s="699">
        <f t="shared" si="68"/>
        <v>883</v>
      </c>
      <c r="AUZ12" s="699">
        <f t="shared" si="69"/>
        <v>3959.3</v>
      </c>
      <c r="AVA12" s="699">
        <f t="shared" si="69"/>
        <v>7.71</v>
      </c>
      <c r="AVB12" s="699">
        <f t="shared" si="70"/>
        <v>1905</v>
      </c>
      <c r="AVC12" s="699">
        <f t="shared" si="71"/>
        <v>52</v>
      </c>
      <c r="AVD12" s="699">
        <f t="shared" si="72"/>
        <v>1729</v>
      </c>
      <c r="AVE12" s="699">
        <f t="shared" si="73"/>
        <v>36</v>
      </c>
      <c r="AVF12" s="699">
        <f t="shared" si="74"/>
        <v>88</v>
      </c>
      <c r="AVG12" s="699">
        <f t="shared" si="75"/>
        <v>730.84</v>
      </c>
      <c r="AVH12" s="699">
        <f t="shared" si="76"/>
        <v>580</v>
      </c>
      <c r="AVI12" s="699">
        <f t="shared" si="77"/>
        <v>54</v>
      </c>
      <c r="AVJ12" s="699">
        <f t="shared" si="78"/>
        <v>77</v>
      </c>
      <c r="AVK12" s="699">
        <f t="shared" si="79"/>
        <v>8</v>
      </c>
      <c r="AVL12" s="699">
        <f t="shared" si="80"/>
        <v>105</v>
      </c>
      <c r="AVM12" s="699">
        <f t="shared" si="81"/>
        <v>1857.02</v>
      </c>
      <c r="AVN12" s="699">
        <f t="shared" si="82"/>
        <v>1426.28</v>
      </c>
      <c r="AVO12" s="699">
        <f t="shared" si="83"/>
        <v>430.74</v>
      </c>
      <c r="AVP12" s="699">
        <f t="shared" si="84"/>
        <v>0</v>
      </c>
      <c r="AVQ12" s="699">
        <f t="shared" si="85"/>
        <v>14405.54</v>
      </c>
    </row>
    <row r="13" spans="1:1265" s="436" customFormat="1" ht="30" customHeight="1" x14ac:dyDescent="0.25">
      <c r="A13" s="641">
        <v>1</v>
      </c>
      <c r="B13" s="641">
        <v>1</v>
      </c>
      <c r="C13" s="662" t="s">
        <v>246</v>
      </c>
      <c r="D13" s="2"/>
      <c r="E13" s="431" t="s">
        <v>344</v>
      </c>
      <c r="F13" s="641" t="s">
        <v>31</v>
      </c>
      <c r="G13" s="641">
        <v>1</v>
      </c>
      <c r="H13" s="655" t="s">
        <v>10</v>
      </c>
      <c r="I13" s="641">
        <v>0</v>
      </c>
      <c r="J13" s="431" t="s">
        <v>357</v>
      </c>
      <c r="K13" s="641">
        <v>3</v>
      </c>
      <c r="L13" s="680" t="s">
        <v>349</v>
      </c>
      <c r="M13" s="432" t="s">
        <v>258</v>
      </c>
      <c r="N13" s="431" t="s">
        <v>387</v>
      </c>
      <c r="O13" s="641">
        <v>1</v>
      </c>
      <c r="P13" s="695">
        <v>32</v>
      </c>
      <c r="Q13" s="632">
        <v>32</v>
      </c>
      <c r="R13" s="632">
        <v>32</v>
      </c>
      <c r="S13" s="669">
        <f>SUMIF('Территориальный кк'!$A:$A,'2020'!$B13,'Территориальный кк'!D:D)</f>
        <v>1.1519999999999999</v>
      </c>
      <c r="T13" s="670">
        <f>SUMIF('Территориальный кк'!$A:$A,'2020'!$B13,'Территориальный кк'!E:E)</f>
        <v>2.7269999999999999</v>
      </c>
      <c r="U13" s="433">
        <f>SUMIFS(Нормативы!G:G,Нормативы!$B:$B,$G13,Нормативы!$D:$D,'2020'!$I13,Нормативы!$F:$F,'2020'!$K13)*O13</f>
        <v>64190</v>
      </c>
      <c r="V13" s="433">
        <f t="shared" si="98"/>
        <v>49301.1</v>
      </c>
      <c r="W13" s="433">
        <f t="shared" si="99"/>
        <v>14888.9</v>
      </c>
      <c r="X13" s="433">
        <f>SUMIFS(Нормативы!J:J,Нормативы!$B:$B,$G13,Нормативы!$D:$D,'2020'!$I13,Нормативы!$F:$F,'2020'!$K13)</f>
        <v>8830</v>
      </c>
      <c r="Y13" s="433">
        <f>SUMIFS(Нормативы!K:K,Нормативы!$B:$B,$G13,Нормативы!$D:$D,'2020'!$I13,Нормативы!$F:$F,'2020'!$K13)</f>
        <v>1766</v>
      </c>
      <c r="Z13" s="433">
        <f>SUMIFS(Нормативы!L:L,Нормативы!$B:$B,$G13,Нормативы!$D:$D,'2020'!$I13,Нормативы!$F:$F,'2020'!$K13)</f>
        <v>8110</v>
      </c>
      <c r="AA13" s="433">
        <f t="shared" si="100"/>
        <v>19050</v>
      </c>
      <c r="AB13" s="433">
        <f>SUMIFS(Нормативы!N:N,Нормативы!$B:$B,$G13,Нормативы!$D:$D,'2020'!$I13,Нормативы!$F:$F,'2020'!$K13)*O13</f>
        <v>520</v>
      </c>
      <c r="AC13" s="433">
        <f>SUMIFS(Нормативы!O:O,Нормативы!$B:$B,$G13,Нормативы!$D:$D,'2020'!$I13,Нормативы!$F:$F,'2020'!$K13)</f>
        <v>17290</v>
      </c>
      <c r="AD13" s="433">
        <f>SUMIFS(Нормативы!P:P,Нормативы!$B:$B,$G13,Нормативы!$D:$D,'2020'!$I13,Нормативы!$F:$F,'2020'!$K13)*O13</f>
        <v>360</v>
      </c>
      <c r="AE13" s="433">
        <f>SUMIFS(Нормативы!Q:Q,Нормативы!$B:$B,$G13,Нормативы!$D:$D,'2020'!$I13,Нормативы!$F:$F,'2020'!$K13)</f>
        <v>880</v>
      </c>
      <c r="AF13" s="433">
        <f>SUMIFS(Нормативы!R:R,Нормативы!$B:$B,$G13,Нормативы!$D:$D,'2020'!$I13,Нормативы!$F:$F,'2020'!$K13)</f>
        <v>2680</v>
      </c>
      <c r="AG13" s="433">
        <f>SUMIFS(Нормативы!S:S,Нормативы!$B:$B,$G13,Нормативы!$D:$D,'2020'!$I13,Нормативы!$F:$F,'2020'!$K13)</f>
        <v>5800</v>
      </c>
      <c r="AH13" s="433">
        <f>SUMIFS(Нормативы!T:T,Нормативы!$B:$B,$G13,Нормативы!$D:$D,'2020'!$I13,Нормативы!$F:$F,'2020'!$K13)</f>
        <v>540</v>
      </c>
      <c r="AI13" s="433">
        <f>SUMIFS(Нормативы!U:U,Нормативы!$B:$B,$G13,Нормативы!$D:$D,'2020'!$I13,Нормативы!$F:$F,'2020'!$K13)</f>
        <v>770</v>
      </c>
      <c r="AJ13" s="433">
        <f>SUMIFS(Нормативы!V:V,Нормативы!$B:$B,$G13,Нормативы!$D:$D,'2020'!$I13,Нормативы!$F:$F,'2020'!$K13)</f>
        <v>80</v>
      </c>
      <c r="AK13" s="433">
        <f>SUMIFS(Нормативы!W:W,Нормативы!$B:$B,$G13,Нормативы!$D:$D,'2020'!$I13,Нормативы!$F:$F,'2020'!$K13)</f>
        <v>1050</v>
      </c>
      <c r="AL13" s="433">
        <f>SUMIFS(Нормативы!X:X,Нормативы!$B:$B,$G13,Нормативы!$D:$D,'2020'!$I13,Нормативы!$F:$F,'2020'!$K13)*O13</f>
        <v>16120</v>
      </c>
      <c r="AM13" s="433">
        <f t="shared" si="101"/>
        <v>12381</v>
      </c>
      <c r="AN13" s="433">
        <f t="shared" si="102"/>
        <v>3739</v>
      </c>
      <c r="AO13" s="433">
        <f>SUMIFS(Нормативы!AA:AA,Нормативы!$B:$B,$G13,Нормативы!$D:$D,'2020'!$I13,Нормативы!$F:$F,'2020'!$K13)</f>
        <v>3520</v>
      </c>
      <c r="AP13" s="434">
        <f t="shared" si="103"/>
        <v>130740</v>
      </c>
      <c r="AQ13" s="609">
        <f t="shared" si="104"/>
        <v>2054080</v>
      </c>
      <c r="AR13" s="433">
        <f t="shared" si="105"/>
        <v>1577634.4</v>
      </c>
      <c r="AS13" s="433">
        <f t="shared" si="106"/>
        <v>476445.6</v>
      </c>
      <c r="AT13" s="435">
        <f t="shared" si="0"/>
        <v>282560</v>
      </c>
      <c r="AU13" s="435">
        <f t="shared" si="1"/>
        <v>56512</v>
      </c>
      <c r="AV13" s="435">
        <f t="shared" si="2"/>
        <v>259520</v>
      </c>
      <c r="AW13" s="435">
        <f t="shared" si="3"/>
        <v>609600</v>
      </c>
      <c r="AX13" s="435">
        <f t="shared" si="4"/>
        <v>16640</v>
      </c>
      <c r="AY13" s="435">
        <f t="shared" si="5"/>
        <v>553280</v>
      </c>
      <c r="AZ13" s="435">
        <f t="shared" si="6"/>
        <v>11520</v>
      </c>
      <c r="BA13" s="435">
        <f t="shared" si="7"/>
        <v>28160</v>
      </c>
      <c r="BB13" s="435">
        <f t="shared" si="107"/>
        <v>85760</v>
      </c>
      <c r="BC13" s="435">
        <f t="shared" si="8"/>
        <v>185600</v>
      </c>
      <c r="BD13" s="435">
        <f t="shared" si="9"/>
        <v>17280</v>
      </c>
      <c r="BE13" s="435">
        <f t="shared" si="10"/>
        <v>24640</v>
      </c>
      <c r="BF13" s="435">
        <f t="shared" si="11"/>
        <v>2560</v>
      </c>
      <c r="BG13" s="435">
        <f t="shared" si="12"/>
        <v>33600</v>
      </c>
      <c r="BH13" s="435">
        <f t="shared" si="13"/>
        <v>515840</v>
      </c>
      <c r="BI13" s="433">
        <f t="shared" si="108"/>
        <v>396190.5</v>
      </c>
      <c r="BJ13" s="433">
        <f t="shared" si="109"/>
        <v>119649.5</v>
      </c>
      <c r="BK13" s="435">
        <f t="shared" si="14"/>
        <v>112640</v>
      </c>
      <c r="BL13" s="434">
        <f t="shared" si="15"/>
        <v>4183680</v>
      </c>
      <c r="BM13" s="613">
        <f t="shared" si="110"/>
        <v>2366300</v>
      </c>
      <c r="BN13" s="433">
        <f t="shared" si="16"/>
        <v>1817434.7</v>
      </c>
      <c r="BO13" s="433">
        <f t="shared" si="17"/>
        <v>548865.30000000005</v>
      </c>
      <c r="BP13" s="435">
        <f t="shared" si="111"/>
        <v>282560</v>
      </c>
      <c r="BQ13" s="435">
        <f t="shared" si="112"/>
        <v>56512</v>
      </c>
      <c r="BR13" s="435">
        <f t="shared" si="113"/>
        <v>259520</v>
      </c>
      <c r="BS13" s="435">
        <f t="shared" si="18"/>
        <v>609600</v>
      </c>
      <c r="BT13" s="34">
        <f t="shared" si="19"/>
        <v>16640</v>
      </c>
      <c r="BU13" s="34">
        <f t="shared" si="20"/>
        <v>553280</v>
      </c>
      <c r="BV13" s="34">
        <f t="shared" si="21"/>
        <v>11520</v>
      </c>
      <c r="BW13" s="34">
        <f t="shared" si="22"/>
        <v>28160</v>
      </c>
      <c r="BX13" s="435">
        <f t="shared" si="23"/>
        <v>233868</v>
      </c>
      <c r="BY13" s="435">
        <f t="shared" si="24"/>
        <v>185600</v>
      </c>
      <c r="BZ13" s="435">
        <f t="shared" si="25"/>
        <v>17280</v>
      </c>
      <c r="CA13" s="435">
        <f t="shared" si="26"/>
        <v>24640</v>
      </c>
      <c r="CB13" s="435">
        <f t="shared" si="27"/>
        <v>2560</v>
      </c>
      <c r="CC13" s="435">
        <f t="shared" si="28"/>
        <v>33600</v>
      </c>
      <c r="CD13" s="435">
        <f t="shared" si="29"/>
        <v>594248</v>
      </c>
      <c r="CE13" s="433">
        <f t="shared" si="114"/>
        <v>456411.7</v>
      </c>
      <c r="CF13" s="433">
        <f t="shared" si="115"/>
        <v>137836.29999999999</v>
      </c>
      <c r="CG13" s="435">
        <f t="shared" si="30"/>
        <v>112640</v>
      </c>
      <c r="CH13" s="434">
        <f t="shared" si="31"/>
        <v>4722416</v>
      </c>
      <c r="CI13" s="88">
        <f t="shared" si="32"/>
        <v>73946.875</v>
      </c>
      <c r="CJ13" s="90">
        <f t="shared" si="33"/>
        <v>56794.8344</v>
      </c>
      <c r="CK13" s="90">
        <f t="shared" si="34"/>
        <v>17152.0406</v>
      </c>
      <c r="CL13" s="88">
        <f t="shared" si="35"/>
        <v>8830</v>
      </c>
      <c r="CM13" s="88">
        <f t="shared" si="36"/>
        <v>1766</v>
      </c>
      <c r="CN13" s="88">
        <f t="shared" si="37"/>
        <v>8110</v>
      </c>
      <c r="CO13" s="88">
        <f t="shared" si="38"/>
        <v>19050</v>
      </c>
      <c r="CP13" s="88">
        <f t="shared" si="39"/>
        <v>520</v>
      </c>
      <c r="CQ13" s="88">
        <f t="shared" si="40"/>
        <v>17290</v>
      </c>
      <c r="CR13" s="88">
        <f t="shared" si="41"/>
        <v>360</v>
      </c>
      <c r="CS13" s="88">
        <f t="shared" si="42"/>
        <v>880</v>
      </c>
      <c r="CT13" s="88">
        <f t="shared" si="43"/>
        <v>7308.375</v>
      </c>
      <c r="CU13" s="88">
        <f t="shared" si="44"/>
        <v>5800</v>
      </c>
      <c r="CV13" s="88">
        <f t="shared" si="45"/>
        <v>540</v>
      </c>
      <c r="CW13" s="88">
        <f t="shared" si="46"/>
        <v>770</v>
      </c>
      <c r="CX13" s="88">
        <f t="shared" si="47"/>
        <v>80</v>
      </c>
      <c r="CY13" s="88">
        <f t="shared" si="48"/>
        <v>1050</v>
      </c>
      <c r="CZ13" s="88">
        <f t="shared" si="49"/>
        <v>18570.25</v>
      </c>
      <c r="DA13" s="90">
        <f t="shared" si="50"/>
        <v>14262.865599999999</v>
      </c>
      <c r="DB13" s="90">
        <f t="shared" si="51"/>
        <v>4307.3843999999999</v>
      </c>
      <c r="DC13" s="88">
        <f t="shared" si="52"/>
        <v>3520</v>
      </c>
      <c r="DD13" s="88">
        <f t="shared" si="53"/>
        <v>147575.5</v>
      </c>
      <c r="AUV13" s="699">
        <f t="shared" si="65"/>
        <v>73946.880000000005</v>
      </c>
      <c r="AUW13" s="699">
        <f t="shared" si="66"/>
        <v>56794.84</v>
      </c>
      <c r="AUX13" s="699">
        <f t="shared" si="67"/>
        <v>17152.04</v>
      </c>
      <c r="AUY13" s="699">
        <f t="shared" si="68"/>
        <v>8830</v>
      </c>
      <c r="AUZ13" s="699">
        <f t="shared" si="69"/>
        <v>20723.14</v>
      </c>
      <c r="AVA13" s="699">
        <f t="shared" si="69"/>
        <v>4.04</v>
      </c>
      <c r="AVB13" s="699">
        <f t="shared" si="70"/>
        <v>19050</v>
      </c>
      <c r="AVC13" s="699">
        <f t="shared" si="71"/>
        <v>520</v>
      </c>
      <c r="AVD13" s="699">
        <f t="shared" si="72"/>
        <v>17290</v>
      </c>
      <c r="AVE13" s="699">
        <f t="shared" si="73"/>
        <v>360</v>
      </c>
      <c r="AVF13" s="699">
        <f t="shared" si="74"/>
        <v>880</v>
      </c>
      <c r="AVG13" s="699">
        <f t="shared" si="75"/>
        <v>7308.38</v>
      </c>
      <c r="AVH13" s="699">
        <f t="shared" si="76"/>
        <v>5800</v>
      </c>
      <c r="AVI13" s="699">
        <f t="shared" si="77"/>
        <v>540</v>
      </c>
      <c r="AVJ13" s="699">
        <f t="shared" si="78"/>
        <v>770</v>
      </c>
      <c r="AVK13" s="699">
        <f t="shared" si="79"/>
        <v>80</v>
      </c>
      <c r="AVL13" s="699">
        <f t="shared" si="80"/>
        <v>1050</v>
      </c>
      <c r="AVM13" s="699">
        <f t="shared" si="81"/>
        <v>18570.25</v>
      </c>
      <c r="AVN13" s="699">
        <f t="shared" si="82"/>
        <v>14262.86</v>
      </c>
      <c r="AVO13" s="699">
        <f t="shared" si="83"/>
        <v>4307.3900000000003</v>
      </c>
      <c r="AVP13" s="699">
        <f t="shared" si="84"/>
        <v>3520</v>
      </c>
      <c r="AVQ13" s="699">
        <f t="shared" si="85"/>
        <v>147575.5</v>
      </c>
    </row>
    <row r="14" spans="1:1265" s="436" customFormat="1" ht="30" customHeight="1" x14ac:dyDescent="0.25">
      <c r="A14" s="641">
        <v>1</v>
      </c>
      <c r="B14" s="641">
        <v>1</v>
      </c>
      <c r="C14" s="662" t="s">
        <v>246</v>
      </c>
      <c r="D14" s="430"/>
      <c r="E14" s="431" t="s">
        <v>344</v>
      </c>
      <c r="F14" s="641" t="s">
        <v>31</v>
      </c>
      <c r="G14" s="641">
        <v>1</v>
      </c>
      <c r="H14" s="655" t="s">
        <v>10</v>
      </c>
      <c r="I14" s="641">
        <v>0</v>
      </c>
      <c r="J14" s="431" t="s">
        <v>357</v>
      </c>
      <c r="K14" s="641">
        <v>3</v>
      </c>
      <c r="L14" s="680" t="s">
        <v>349</v>
      </c>
      <c r="M14" s="432" t="s">
        <v>259</v>
      </c>
      <c r="N14" s="431" t="s">
        <v>401</v>
      </c>
      <c r="O14" s="641">
        <v>2</v>
      </c>
      <c r="P14" s="695">
        <v>1</v>
      </c>
      <c r="Q14" s="632">
        <v>1</v>
      </c>
      <c r="R14" s="632">
        <v>1</v>
      </c>
      <c r="S14" s="669">
        <f>SUMIF('Территориальный кк'!$A:$A,'2020'!$B14,'Территориальный кк'!D:D)</f>
        <v>1.1519999999999999</v>
      </c>
      <c r="T14" s="670">
        <f>SUMIF('Территориальный кк'!$A:$A,'2020'!$B14,'Территориальный кк'!E:E)</f>
        <v>2.7269999999999999</v>
      </c>
      <c r="U14" s="433">
        <f>SUMIFS(Нормативы!G:G,Нормативы!$B:$B,$G14,Нормативы!$D:$D,'2020'!$I14,Нормативы!$F:$F,'2020'!$K14)*O14</f>
        <v>128380</v>
      </c>
      <c r="V14" s="433">
        <f t="shared" si="98"/>
        <v>98602.2</v>
      </c>
      <c r="W14" s="433">
        <f t="shared" si="99"/>
        <v>29777.8</v>
      </c>
      <c r="X14" s="433">
        <f>SUMIFS(Нормативы!J:J,Нормативы!$B:$B,$G14,Нормативы!$D:$D,'2020'!$I14,Нормативы!$F:$F,'2020'!$K14)</f>
        <v>8830</v>
      </c>
      <c r="Y14" s="433">
        <f>SUMIFS(Нормативы!K:K,Нормативы!$B:$B,$G14,Нормативы!$D:$D,'2020'!$I14,Нормативы!$F:$F,'2020'!$K14)</f>
        <v>1766</v>
      </c>
      <c r="Z14" s="433">
        <f>SUMIFS(Нормативы!L:L,Нормативы!$B:$B,$G14,Нормативы!$D:$D,'2020'!$I14,Нормативы!$F:$F,'2020'!$K14)</f>
        <v>8110</v>
      </c>
      <c r="AA14" s="433">
        <f t="shared" si="100"/>
        <v>19930</v>
      </c>
      <c r="AB14" s="433">
        <f>SUMIFS(Нормативы!N:N,Нормативы!$B:$B,$G14,Нормативы!$D:$D,'2020'!$I14,Нормативы!$F:$F,'2020'!$K14)*O14</f>
        <v>1040</v>
      </c>
      <c r="AC14" s="433">
        <f>SUMIFS(Нормативы!O:O,Нормативы!$B:$B,$G14,Нормативы!$D:$D,'2020'!$I14,Нормативы!$F:$F,'2020'!$K14)</f>
        <v>17290</v>
      </c>
      <c r="AD14" s="433">
        <f>SUMIFS(Нормативы!P:P,Нормативы!$B:$B,$G14,Нормативы!$D:$D,'2020'!$I14,Нормативы!$F:$F,'2020'!$K14)*O14</f>
        <v>720</v>
      </c>
      <c r="AE14" s="433">
        <f>SUMIFS(Нормативы!Q:Q,Нормативы!$B:$B,$G14,Нормативы!$D:$D,'2020'!$I14,Нормативы!$F:$F,'2020'!$K14)</f>
        <v>880</v>
      </c>
      <c r="AF14" s="433">
        <f>SUMIFS(Нормативы!R:R,Нормативы!$B:$B,$G14,Нормативы!$D:$D,'2020'!$I14,Нормативы!$F:$F,'2020'!$K14)</f>
        <v>2680</v>
      </c>
      <c r="AG14" s="433">
        <f>SUMIFS(Нормативы!S:S,Нормативы!$B:$B,$G14,Нормативы!$D:$D,'2020'!$I14,Нормативы!$F:$F,'2020'!$K14)</f>
        <v>5800</v>
      </c>
      <c r="AH14" s="433">
        <f>SUMIFS(Нормативы!T:T,Нормативы!$B:$B,$G14,Нормативы!$D:$D,'2020'!$I14,Нормативы!$F:$F,'2020'!$K14)</f>
        <v>540</v>
      </c>
      <c r="AI14" s="433">
        <f>SUMIFS(Нормативы!U:U,Нормативы!$B:$B,$G14,Нормативы!$D:$D,'2020'!$I14,Нормативы!$F:$F,'2020'!$K14)</f>
        <v>770</v>
      </c>
      <c r="AJ14" s="433">
        <f>SUMIFS(Нормативы!V:V,Нормативы!$B:$B,$G14,Нормативы!$D:$D,'2020'!$I14,Нормативы!$F:$F,'2020'!$K14)</f>
        <v>80</v>
      </c>
      <c r="AK14" s="433">
        <f>SUMIFS(Нормативы!W:W,Нормативы!$B:$B,$G14,Нормативы!$D:$D,'2020'!$I14,Нормативы!$F:$F,'2020'!$K14)</f>
        <v>1050</v>
      </c>
      <c r="AL14" s="433">
        <f>SUMIFS(Нормативы!X:X,Нормативы!$B:$B,$G14,Нормативы!$D:$D,'2020'!$I14,Нормативы!$F:$F,'2020'!$K14)*O14</f>
        <v>32240</v>
      </c>
      <c r="AM14" s="433">
        <f t="shared" si="101"/>
        <v>24761.9</v>
      </c>
      <c r="AN14" s="433">
        <f t="shared" si="102"/>
        <v>7478.1</v>
      </c>
      <c r="AO14" s="433">
        <f>SUMIFS(Нормативы!AA:AA,Нормативы!$B:$B,$G14,Нормативы!$D:$D,'2020'!$I14,Нормативы!$F:$F,'2020'!$K14)</f>
        <v>3520</v>
      </c>
      <c r="AP14" s="434">
        <f t="shared" si="103"/>
        <v>211930</v>
      </c>
      <c r="AQ14" s="609">
        <f t="shared" si="104"/>
        <v>128380</v>
      </c>
      <c r="AR14" s="433">
        <f t="shared" si="105"/>
        <v>98602.2</v>
      </c>
      <c r="AS14" s="433">
        <f t="shared" si="106"/>
        <v>29777.8</v>
      </c>
      <c r="AT14" s="435">
        <f t="shared" si="0"/>
        <v>8830</v>
      </c>
      <c r="AU14" s="435">
        <f t="shared" si="1"/>
        <v>1766</v>
      </c>
      <c r="AV14" s="435">
        <f t="shared" si="2"/>
        <v>8110</v>
      </c>
      <c r="AW14" s="435">
        <f t="shared" si="3"/>
        <v>19930</v>
      </c>
      <c r="AX14" s="435">
        <f t="shared" si="4"/>
        <v>1040</v>
      </c>
      <c r="AY14" s="435">
        <f t="shared" si="5"/>
        <v>17290</v>
      </c>
      <c r="AZ14" s="435">
        <f t="shared" si="6"/>
        <v>720</v>
      </c>
      <c r="BA14" s="435">
        <f t="shared" si="7"/>
        <v>880</v>
      </c>
      <c r="BB14" s="435">
        <f t="shared" si="107"/>
        <v>2680</v>
      </c>
      <c r="BC14" s="435">
        <f t="shared" si="8"/>
        <v>5800</v>
      </c>
      <c r="BD14" s="435">
        <f t="shared" si="9"/>
        <v>540</v>
      </c>
      <c r="BE14" s="435">
        <f t="shared" si="10"/>
        <v>770</v>
      </c>
      <c r="BF14" s="435">
        <f t="shared" si="11"/>
        <v>80</v>
      </c>
      <c r="BG14" s="435">
        <f t="shared" si="12"/>
        <v>1050</v>
      </c>
      <c r="BH14" s="435">
        <f t="shared" si="13"/>
        <v>32240</v>
      </c>
      <c r="BI14" s="433">
        <f t="shared" si="108"/>
        <v>24761.9</v>
      </c>
      <c r="BJ14" s="433">
        <f t="shared" si="109"/>
        <v>7478.1</v>
      </c>
      <c r="BK14" s="435">
        <f t="shared" si="14"/>
        <v>3520</v>
      </c>
      <c r="BL14" s="434">
        <f t="shared" si="15"/>
        <v>211930</v>
      </c>
      <c r="BM14" s="613">
        <f t="shared" si="110"/>
        <v>147894</v>
      </c>
      <c r="BN14" s="433">
        <f t="shared" si="16"/>
        <v>113589.9</v>
      </c>
      <c r="BO14" s="433">
        <f t="shared" si="17"/>
        <v>34304.1</v>
      </c>
      <c r="BP14" s="435">
        <f t="shared" si="111"/>
        <v>8830</v>
      </c>
      <c r="BQ14" s="435">
        <f t="shared" si="112"/>
        <v>1766</v>
      </c>
      <c r="BR14" s="435">
        <f t="shared" si="113"/>
        <v>8110</v>
      </c>
      <c r="BS14" s="435">
        <f t="shared" si="18"/>
        <v>19930</v>
      </c>
      <c r="BT14" s="435">
        <f t="shared" si="19"/>
        <v>1040</v>
      </c>
      <c r="BU14" s="435">
        <f t="shared" si="20"/>
        <v>17290</v>
      </c>
      <c r="BV14" s="435">
        <f t="shared" si="21"/>
        <v>720</v>
      </c>
      <c r="BW14" s="435">
        <f t="shared" si="22"/>
        <v>880</v>
      </c>
      <c r="BX14" s="435">
        <f t="shared" si="23"/>
        <v>7308</v>
      </c>
      <c r="BY14" s="435">
        <f t="shared" si="24"/>
        <v>5800</v>
      </c>
      <c r="BZ14" s="435">
        <f t="shared" si="25"/>
        <v>540</v>
      </c>
      <c r="CA14" s="435">
        <f t="shared" si="26"/>
        <v>770</v>
      </c>
      <c r="CB14" s="435">
        <f t="shared" si="27"/>
        <v>80</v>
      </c>
      <c r="CC14" s="435">
        <f t="shared" si="28"/>
        <v>1050</v>
      </c>
      <c r="CD14" s="435">
        <f t="shared" si="29"/>
        <v>37140</v>
      </c>
      <c r="CE14" s="433">
        <f t="shared" si="114"/>
        <v>28525.3</v>
      </c>
      <c r="CF14" s="433">
        <f t="shared" si="115"/>
        <v>8614.7000000000007</v>
      </c>
      <c r="CG14" s="435">
        <f t="shared" si="30"/>
        <v>3520</v>
      </c>
      <c r="CH14" s="434">
        <f t="shared" si="31"/>
        <v>240972</v>
      </c>
      <c r="CI14" s="591">
        <f t="shared" si="32"/>
        <v>147894</v>
      </c>
      <c r="CJ14" s="591">
        <f t="shared" si="33"/>
        <v>113589.9</v>
      </c>
      <c r="CK14" s="591">
        <f t="shared" si="34"/>
        <v>34304.1</v>
      </c>
      <c r="CL14" s="591">
        <f t="shared" si="35"/>
        <v>8830</v>
      </c>
      <c r="CM14" s="591">
        <f t="shared" si="36"/>
        <v>1766</v>
      </c>
      <c r="CN14" s="591">
        <f t="shared" si="37"/>
        <v>8110</v>
      </c>
      <c r="CO14" s="591">
        <f t="shared" si="38"/>
        <v>19930</v>
      </c>
      <c r="CP14" s="591">
        <f t="shared" si="39"/>
        <v>1040</v>
      </c>
      <c r="CQ14" s="591">
        <f t="shared" si="40"/>
        <v>17290</v>
      </c>
      <c r="CR14" s="591">
        <f t="shared" si="41"/>
        <v>720</v>
      </c>
      <c r="CS14" s="591">
        <f t="shared" si="42"/>
        <v>880</v>
      </c>
      <c r="CT14" s="591">
        <f t="shared" si="43"/>
        <v>7308</v>
      </c>
      <c r="CU14" s="591">
        <f t="shared" si="44"/>
        <v>5800</v>
      </c>
      <c r="CV14" s="591">
        <f t="shared" si="45"/>
        <v>540</v>
      </c>
      <c r="CW14" s="591">
        <f t="shared" si="46"/>
        <v>770</v>
      </c>
      <c r="CX14" s="591">
        <f t="shared" si="47"/>
        <v>80</v>
      </c>
      <c r="CY14" s="591">
        <f t="shared" si="48"/>
        <v>1050</v>
      </c>
      <c r="CZ14" s="591">
        <f t="shared" si="49"/>
        <v>37140</v>
      </c>
      <c r="DA14" s="591">
        <f t="shared" si="50"/>
        <v>28525.3</v>
      </c>
      <c r="DB14" s="591">
        <f t="shared" si="51"/>
        <v>8614.7000000000007</v>
      </c>
      <c r="DC14" s="591">
        <f t="shared" si="52"/>
        <v>3520</v>
      </c>
      <c r="DD14" s="591">
        <f t="shared" si="53"/>
        <v>240972</v>
      </c>
      <c r="AUV14" s="699">
        <f t="shared" si="65"/>
        <v>147894</v>
      </c>
      <c r="AUW14" s="699">
        <f t="shared" si="66"/>
        <v>113589.86</v>
      </c>
      <c r="AUX14" s="699">
        <f t="shared" si="67"/>
        <v>34304.14</v>
      </c>
      <c r="AUY14" s="699">
        <f t="shared" si="68"/>
        <v>8830</v>
      </c>
      <c r="AUZ14" s="699">
        <f t="shared" si="69"/>
        <v>647.6</v>
      </c>
      <c r="AVA14" s="699">
        <f t="shared" si="69"/>
        <v>0.06</v>
      </c>
      <c r="AVB14" s="699">
        <f t="shared" si="70"/>
        <v>19930</v>
      </c>
      <c r="AVC14" s="699">
        <f t="shared" si="71"/>
        <v>1040</v>
      </c>
      <c r="AVD14" s="699">
        <f t="shared" si="72"/>
        <v>17290</v>
      </c>
      <c r="AVE14" s="699">
        <f t="shared" si="73"/>
        <v>720</v>
      </c>
      <c r="AVF14" s="699">
        <f t="shared" si="74"/>
        <v>880</v>
      </c>
      <c r="AVG14" s="699">
        <f t="shared" si="75"/>
        <v>7308</v>
      </c>
      <c r="AVH14" s="699">
        <f t="shared" si="76"/>
        <v>5800</v>
      </c>
      <c r="AVI14" s="699">
        <f t="shared" si="77"/>
        <v>540</v>
      </c>
      <c r="AVJ14" s="699">
        <f t="shared" si="78"/>
        <v>770</v>
      </c>
      <c r="AVK14" s="699">
        <f t="shared" si="79"/>
        <v>80</v>
      </c>
      <c r="AVL14" s="699">
        <f t="shared" si="80"/>
        <v>1050</v>
      </c>
      <c r="AVM14" s="699">
        <f t="shared" si="81"/>
        <v>37140</v>
      </c>
      <c r="AVN14" s="699">
        <f t="shared" si="82"/>
        <v>28525.35</v>
      </c>
      <c r="AVO14" s="699">
        <f t="shared" si="83"/>
        <v>8614.65</v>
      </c>
      <c r="AVP14" s="699">
        <f t="shared" si="84"/>
        <v>3520</v>
      </c>
      <c r="AVQ14" s="699">
        <f t="shared" si="85"/>
        <v>240972</v>
      </c>
    </row>
    <row r="15" spans="1:1265" s="436" customFormat="1" ht="30" customHeight="1" x14ac:dyDescent="0.25">
      <c r="A15" s="641">
        <v>1</v>
      </c>
      <c r="B15" s="641">
        <v>1</v>
      </c>
      <c r="C15" s="662" t="s">
        <v>246</v>
      </c>
      <c r="D15" s="2"/>
      <c r="E15" s="431" t="s">
        <v>344</v>
      </c>
      <c r="F15" s="641" t="s">
        <v>31</v>
      </c>
      <c r="G15" s="641">
        <v>1</v>
      </c>
      <c r="H15" s="655" t="s">
        <v>8</v>
      </c>
      <c r="I15" s="641">
        <v>3</v>
      </c>
      <c r="J15" s="431" t="s">
        <v>357</v>
      </c>
      <c r="K15" s="641">
        <v>3</v>
      </c>
      <c r="L15" s="680" t="s">
        <v>349</v>
      </c>
      <c r="M15" s="432" t="s">
        <v>260</v>
      </c>
      <c r="N15" s="431" t="s">
        <v>387</v>
      </c>
      <c r="O15" s="641">
        <v>1</v>
      </c>
      <c r="P15" s="695">
        <v>30</v>
      </c>
      <c r="Q15" s="632">
        <v>30</v>
      </c>
      <c r="R15" s="632">
        <v>30</v>
      </c>
      <c r="S15" s="669">
        <f>SUMIF('Территориальный кк'!$A:$A,'2020'!$B15,'Территориальный кк'!D:D)</f>
        <v>1.1519999999999999</v>
      </c>
      <c r="T15" s="670">
        <f>SUMIF('Территориальный кк'!$A:$A,'2020'!$B15,'Территориальный кк'!E:E)</f>
        <v>2.7269999999999999</v>
      </c>
      <c r="U15" s="433">
        <f>SUMIFS(Нормативы!G:G,Нормативы!$B:$B,$G15,Нормативы!$D:$D,'2020'!$I15,Нормативы!$F:$F,'2020'!$K15)*O15</f>
        <v>6419</v>
      </c>
      <c r="V15" s="433">
        <f t="shared" si="98"/>
        <v>4930.1000000000004</v>
      </c>
      <c r="W15" s="433">
        <f t="shared" si="99"/>
        <v>1488.9</v>
      </c>
      <c r="X15" s="433">
        <f>SUMIFS(Нормативы!J:J,Нормативы!$B:$B,$G15,Нормативы!$D:$D,'2020'!$I15,Нормативы!$F:$F,'2020'!$K15)</f>
        <v>883</v>
      </c>
      <c r="Y15" s="433">
        <f>SUMIFS(Нормативы!K:K,Нормативы!$B:$B,$G15,Нормативы!$D:$D,'2020'!$I15,Нормативы!$F:$F,'2020'!$K15)</f>
        <v>177</v>
      </c>
      <c r="Z15" s="433">
        <f>SUMIFS(Нормативы!L:L,Нормативы!$B:$B,$G15,Нормативы!$D:$D,'2020'!$I15,Нормативы!$F:$F,'2020'!$K15)</f>
        <v>811</v>
      </c>
      <c r="AA15" s="433">
        <f t="shared" si="100"/>
        <v>1905</v>
      </c>
      <c r="AB15" s="433">
        <f>SUMIFS(Нормативы!N:N,Нормативы!$B:$B,$G15,Нормативы!$D:$D,'2020'!$I15,Нормативы!$F:$F,'2020'!$K15)*O15</f>
        <v>52</v>
      </c>
      <c r="AC15" s="433">
        <f>SUMIFS(Нормативы!O:O,Нормативы!$B:$B,$G15,Нормативы!$D:$D,'2020'!$I15,Нормативы!$F:$F,'2020'!$K15)</f>
        <v>1729</v>
      </c>
      <c r="AD15" s="433">
        <f>SUMIFS(Нормативы!P:P,Нормативы!$B:$B,$G15,Нормативы!$D:$D,'2020'!$I15,Нормативы!$F:$F,'2020'!$K15)*O15</f>
        <v>36</v>
      </c>
      <c r="AE15" s="433">
        <f>SUMIFS(Нормативы!Q:Q,Нормативы!$B:$B,$G15,Нормативы!$D:$D,'2020'!$I15,Нормативы!$F:$F,'2020'!$K15)</f>
        <v>88</v>
      </c>
      <c r="AF15" s="433">
        <f>SUMIFS(Нормативы!R:R,Нормативы!$B:$B,$G15,Нормативы!$D:$D,'2020'!$I15,Нормативы!$F:$F,'2020'!$K15)</f>
        <v>268</v>
      </c>
      <c r="AG15" s="433">
        <f>SUMIFS(Нормативы!S:S,Нормативы!$B:$B,$G15,Нормативы!$D:$D,'2020'!$I15,Нормативы!$F:$F,'2020'!$K15)</f>
        <v>580</v>
      </c>
      <c r="AH15" s="433">
        <f>SUMIFS(Нормативы!T:T,Нормативы!$B:$B,$G15,Нормативы!$D:$D,'2020'!$I15,Нормативы!$F:$F,'2020'!$K15)</f>
        <v>54</v>
      </c>
      <c r="AI15" s="433">
        <f>SUMIFS(Нормативы!U:U,Нормативы!$B:$B,$G15,Нормативы!$D:$D,'2020'!$I15,Нормативы!$F:$F,'2020'!$K15)</f>
        <v>77</v>
      </c>
      <c r="AJ15" s="433">
        <f>SUMIFS(Нормативы!V:V,Нормативы!$B:$B,$G15,Нормативы!$D:$D,'2020'!$I15,Нормативы!$F:$F,'2020'!$K15)</f>
        <v>8</v>
      </c>
      <c r="AK15" s="433">
        <f>SUMIFS(Нормативы!W:W,Нормативы!$B:$B,$G15,Нормативы!$D:$D,'2020'!$I15,Нормативы!$F:$F,'2020'!$K15)</f>
        <v>105</v>
      </c>
      <c r="AL15" s="433">
        <f>SUMIFS(Нормативы!X:X,Нормативы!$B:$B,$G15,Нормативы!$D:$D,'2020'!$I15,Нормативы!$F:$F,'2020'!$K15)*O15</f>
        <v>1612</v>
      </c>
      <c r="AM15" s="433">
        <f t="shared" si="101"/>
        <v>1238.0999999999999</v>
      </c>
      <c r="AN15" s="433">
        <f t="shared" si="102"/>
        <v>373.9</v>
      </c>
      <c r="AO15" s="433">
        <f>SUMIFS(Нормативы!AA:AA,Нормативы!$B:$B,$G15,Нормативы!$D:$D,'2020'!$I15,Нормативы!$F:$F,'2020'!$K15)</f>
        <v>0</v>
      </c>
      <c r="AP15" s="434">
        <f t="shared" si="103"/>
        <v>12722</v>
      </c>
      <c r="AQ15" s="609">
        <f t="shared" si="104"/>
        <v>192570</v>
      </c>
      <c r="AR15" s="433">
        <f t="shared" si="105"/>
        <v>147903.20000000001</v>
      </c>
      <c r="AS15" s="433">
        <f t="shared" si="106"/>
        <v>44666.8</v>
      </c>
      <c r="AT15" s="435">
        <f t="shared" si="0"/>
        <v>26490</v>
      </c>
      <c r="AU15" s="435">
        <f t="shared" si="1"/>
        <v>5310</v>
      </c>
      <c r="AV15" s="435">
        <f t="shared" si="2"/>
        <v>24330</v>
      </c>
      <c r="AW15" s="435">
        <f t="shared" si="3"/>
        <v>57150</v>
      </c>
      <c r="AX15" s="435">
        <f t="shared" si="4"/>
        <v>1560</v>
      </c>
      <c r="AY15" s="435">
        <f t="shared" si="5"/>
        <v>51870</v>
      </c>
      <c r="AZ15" s="435">
        <f t="shared" si="6"/>
        <v>1080</v>
      </c>
      <c r="BA15" s="435">
        <f t="shared" si="7"/>
        <v>2640</v>
      </c>
      <c r="BB15" s="435">
        <f t="shared" si="107"/>
        <v>8040</v>
      </c>
      <c r="BC15" s="435">
        <f t="shared" si="8"/>
        <v>17400</v>
      </c>
      <c r="BD15" s="435">
        <f t="shared" si="9"/>
        <v>1620</v>
      </c>
      <c r="BE15" s="435">
        <f t="shared" si="10"/>
        <v>2310</v>
      </c>
      <c r="BF15" s="435">
        <f t="shared" si="11"/>
        <v>240</v>
      </c>
      <c r="BG15" s="435">
        <f t="shared" si="12"/>
        <v>3150</v>
      </c>
      <c r="BH15" s="435">
        <f t="shared" si="13"/>
        <v>48360</v>
      </c>
      <c r="BI15" s="433">
        <f t="shared" si="108"/>
        <v>37142.9</v>
      </c>
      <c r="BJ15" s="433">
        <f t="shared" si="109"/>
        <v>11217.1</v>
      </c>
      <c r="BK15" s="435">
        <f t="shared" si="14"/>
        <v>0</v>
      </c>
      <c r="BL15" s="434">
        <f t="shared" si="15"/>
        <v>381660</v>
      </c>
      <c r="BM15" s="613">
        <f t="shared" si="110"/>
        <v>221841</v>
      </c>
      <c r="BN15" s="433">
        <f t="shared" si="16"/>
        <v>170384.8</v>
      </c>
      <c r="BO15" s="433">
        <f t="shared" si="17"/>
        <v>51456.2</v>
      </c>
      <c r="BP15" s="435">
        <f t="shared" si="111"/>
        <v>26490</v>
      </c>
      <c r="BQ15" s="435">
        <f t="shared" si="112"/>
        <v>5310</v>
      </c>
      <c r="BR15" s="435">
        <f t="shared" si="113"/>
        <v>24330</v>
      </c>
      <c r="BS15" s="435">
        <f t="shared" si="18"/>
        <v>57150</v>
      </c>
      <c r="BT15" s="34">
        <f t="shared" si="19"/>
        <v>1560</v>
      </c>
      <c r="BU15" s="34">
        <f t="shared" si="20"/>
        <v>51870</v>
      </c>
      <c r="BV15" s="34">
        <f t="shared" si="21"/>
        <v>1080</v>
      </c>
      <c r="BW15" s="34">
        <f t="shared" si="22"/>
        <v>2640</v>
      </c>
      <c r="BX15" s="435">
        <f t="shared" si="23"/>
        <v>21925</v>
      </c>
      <c r="BY15" s="435">
        <f t="shared" si="24"/>
        <v>17400</v>
      </c>
      <c r="BZ15" s="435">
        <f t="shared" si="25"/>
        <v>1620</v>
      </c>
      <c r="CA15" s="435">
        <f t="shared" si="26"/>
        <v>2310</v>
      </c>
      <c r="CB15" s="435">
        <f t="shared" si="27"/>
        <v>240</v>
      </c>
      <c r="CC15" s="435">
        <f t="shared" si="28"/>
        <v>3150</v>
      </c>
      <c r="CD15" s="435">
        <f t="shared" si="29"/>
        <v>55711</v>
      </c>
      <c r="CE15" s="433">
        <f t="shared" si="114"/>
        <v>42788.800000000003</v>
      </c>
      <c r="CF15" s="433">
        <f t="shared" si="115"/>
        <v>12922.2</v>
      </c>
      <c r="CG15" s="435">
        <f t="shared" si="30"/>
        <v>0</v>
      </c>
      <c r="CH15" s="434">
        <f t="shared" si="31"/>
        <v>432167</v>
      </c>
      <c r="CI15" s="88">
        <f t="shared" si="32"/>
        <v>7394.7</v>
      </c>
      <c r="CJ15" s="90">
        <f t="shared" si="33"/>
        <v>5679.4933000000001</v>
      </c>
      <c r="CK15" s="90">
        <f t="shared" si="34"/>
        <v>1715.2067</v>
      </c>
      <c r="CL15" s="88">
        <f t="shared" si="35"/>
        <v>883</v>
      </c>
      <c r="CM15" s="88">
        <f t="shared" si="36"/>
        <v>177</v>
      </c>
      <c r="CN15" s="88">
        <f t="shared" si="37"/>
        <v>811</v>
      </c>
      <c r="CO15" s="88">
        <f t="shared" si="38"/>
        <v>1905</v>
      </c>
      <c r="CP15" s="88">
        <f t="shared" si="39"/>
        <v>52</v>
      </c>
      <c r="CQ15" s="88">
        <f t="shared" si="40"/>
        <v>1729</v>
      </c>
      <c r="CR15" s="88">
        <f t="shared" si="41"/>
        <v>36</v>
      </c>
      <c r="CS15" s="88">
        <f t="shared" si="42"/>
        <v>88</v>
      </c>
      <c r="CT15" s="88">
        <f t="shared" si="43"/>
        <v>730.83330000000001</v>
      </c>
      <c r="CU15" s="88">
        <f t="shared" si="44"/>
        <v>580</v>
      </c>
      <c r="CV15" s="88">
        <f t="shared" si="45"/>
        <v>54</v>
      </c>
      <c r="CW15" s="88">
        <f t="shared" si="46"/>
        <v>77</v>
      </c>
      <c r="CX15" s="88">
        <f t="shared" si="47"/>
        <v>8</v>
      </c>
      <c r="CY15" s="88">
        <f t="shared" si="48"/>
        <v>105</v>
      </c>
      <c r="CZ15" s="88">
        <f t="shared" si="49"/>
        <v>1857.0333000000001</v>
      </c>
      <c r="DA15" s="90">
        <f t="shared" si="50"/>
        <v>1426.2933</v>
      </c>
      <c r="DB15" s="90">
        <f t="shared" si="51"/>
        <v>430.74</v>
      </c>
      <c r="DC15" s="88">
        <f t="shared" si="52"/>
        <v>0</v>
      </c>
      <c r="DD15" s="88">
        <f t="shared" si="53"/>
        <v>14405.566699999999</v>
      </c>
      <c r="AUV15" s="699">
        <f t="shared" si="65"/>
        <v>7394.7</v>
      </c>
      <c r="AUW15" s="699">
        <f t="shared" si="66"/>
        <v>5679.49</v>
      </c>
      <c r="AUX15" s="699">
        <f t="shared" si="67"/>
        <v>1715.21</v>
      </c>
      <c r="AUY15" s="699">
        <f t="shared" si="68"/>
        <v>883</v>
      </c>
      <c r="AUZ15" s="699">
        <f t="shared" si="69"/>
        <v>1947.19</v>
      </c>
      <c r="AVA15" s="699">
        <f t="shared" si="69"/>
        <v>3.79</v>
      </c>
      <c r="AVB15" s="699">
        <f t="shared" si="70"/>
        <v>1905</v>
      </c>
      <c r="AVC15" s="699">
        <f t="shared" si="71"/>
        <v>52</v>
      </c>
      <c r="AVD15" s="699">
        <f t="shared" si="72"/>
        <v>1729</v>
      </c>
      <c r="AVE15" s="699">
        <f t="shared" si="73"/>
        <v>36</v>
      </c>
      <c r="AVF15" s="699">
        <f t="shared" si="74"/>
        <v>88</v>
      </c>
      <c r="AVG15" s="699">
        <f t="shared" si="75"/>
        <v>730.83</v>
      </c>
      <c r="AVH15" s="699">
        <f t="shared" si="76"/>
        <v>580</v>
      </c>
      <c r="AVI15" s="699">
        <f t="shared" si="77"/>
        <v>54</v>
      </c>
      <c r="AVJ15" s="699">
        <f t="shared" si="78"/>
        <v>77</v>
      </c>
      <c r="AVK15" s="699">
        <f t="shared" si="79"/>
        <v>8</v>
      </c>
      <c r="AVL15" s="699">
        <f t="shared" si="80"/>
        <v>105</v>
      </c>
      <c r="AVM15" s="699">
        <f t="shared" si="81"/>
        <v>1857.03</v>
      </c>
      <c r="AVN15" s="699">
        <f t="shared" si="82"/>
        <v>1426.29</v>
      </c>
      <c r="AVO15" s="699">
        <f t="shared" si="83"/>
        <v>430.74</v>
      </c>
      <c r="AVP15" s="699">
        <f t="shared" si="84"/>
        <v>0</v>
      </c>
      <c r="AVQ15" s="699">
        <f t="shared" si="85"/>
        <v>14405.57</v>
      </c>
    </row>
    <row r="16" spans="1:1265" s="436" customFormat="1" ht="30" customHeight="1" x14ac:dyDescent="0.25">
      <c r="A16" s="641">
        <v>1</v>
      </c>
      <c r="B16" s="641">
        <v>1</v>
      </c>
      <c r="C16" s="662" t="s">
        <v>246</v>
      </c>
      <c r="D16" s="2"/>
      <c r="E16" s="431" t="s">
        <v>344</v>
      </c>
      <c r="F16" s="641" t="s">
        <v>31</v>
      </c>
      <c r="G16" s="641">
        <v>1</v>
      </c>
      <c r="H16" s="655" t="s">
        <v>8</v>
      </c>
      <c r="I16" s="641">
        <v>3</v>
      </c>
      <c r="J16" s="431" t="s">
        <v>357</v>
      </c>
      <c r="K16" s="641">
        <v>3</v>
      </c>
      <c r="L16" s="680" t="s">
        <v>349</v>
      </c>
      <c r="M16" s="432" t="s">
        <v>261</v>
      </c>
      <c r="N16" s="431" t="s">
        <v>401</v>
      </c>
      <c r="O16" s="641">
        <v>2</v>
      </c>
      <c r="P16" s="695">
        <v>1</v>
      </c>
      <c r="Q16" s="632">
        <v>1</v>
      </c>
      <c r="R16" s="632">
        <v>1</v>
      </c>
      <c r="S16" s="669">
        <f>SUMIF('Территориальный кк'!$A:$A,'2020'!$B16,'Территориальный кк'!D:D)</f>
        <v>1.1519999999999999</v>
      </c>
      <c r="T16" s="670">
        <f>SUMIF('Территориальный кк'!$A:$A,'2020'!$B16,'Территориальный кк'!E:E)</f>
        <v>2.7269999999999999</v>
      </c>
      <c r="U16" s="433">
        <f>SUMIFS(Нормативы!G:G,Нормативы!$B:$B,$G16,Нормативы!$D:$D,'2020'!$I16,Нормативы!$F:$F,'2020'!$K16)*O16</f>
        <v>12838</v>
      </c>
      <c r="V16" s="433">
        <f t="shared" si="98"/>
        <v>9860.2000000000007</v>
      </c>
      <c r="W16" s="433">
        <f t="shared" si="99"/>
        <v>2977.8</v>
      </c>
      <c r="X16" s="433">
        <f>SUMIFS(Нормативы!J:J,Нормативы!$B:$B,$G16,Нормативы!$D:$D,'2020'!$I16,Нормативы!$F:$F,'2020'!$K16)</f>
        <v>883</v>
      </c>
      <c r="Y16" s="433">
        <f>SUMIFS(Нормативы!K:K,Нормативы!$B:$B,$G16,Нормативы!$D:$D,'2020'!$I16,Нормативы!$F:$F,'2020'!$K16)</f>
        <v>177</v>
      </c>
      <c r="Z16" s="433">
        <f>SUMIFS(Нормативы!L:L,Нормативы!$B:$B,$G16,Нормативы!$D:$D,'2020'!$I16,Нормативы!$F:$F,'2020'!$K16)</f>
        <v>811</v>
      </c>
      <c r="AA16" s="433">
        <f t="shared" si="100"/>
        <v>1993</v>
      </c>
      <c r="AB16" s="433">
        <f>SUMIFS(Нормативы!N:N,Нормативы!$B:$B,$G16,Нормативы!$D:$D,'2020'!$I16,Нормативы!$F:$F,'2020'!$K16)*O16</f>
        <v>104</v>
      </c>
      <c r="AC16" s="433">
        <f>SUMIFS(Нормативы!O:O,Нормативы!$B:$B,$G16,Нормативы!$D:$D,'2020'!$I16,Нормативы!$F:$F,'2020'!$K16)</f>
        <v>1729</v>
      </c>
      <c r="AD16" s="433">
        <f>SUMIFS(Нормативы!P:P,Нормативы!$B:$B,$G16,Нормативы!$D:$D,'2020'!$I16,Нормативы!$F:$F,'2020'!$K16)*O16</f>
        <v>72</v>
      </c>
      <c r="AE16" s="433">
        <f>SUMIFS(Нормативы!Q:Q,Нормативы!$B:$B,$G16,Нормативы!$D:$D,'2020'!$I16,Нормативы!$F:$F,'2020'!$K16)</f>
        <v>88</v>
      </c>
      <c r="AF16" s="433">
        <f>SUMIFS(Нормативы!R:R,Нормативы!$B:$B,$G16,Нормативы!$D:$D,'2020'!$I16,Нормативы!$F:$F,'2020'!$K16)</f>
        <v>268</v>
      </c>
      <c r="AG16" s="433">
        <f>SUMIFS(Нормативы!S:S,Нормативы!$B:$B,$G16,Нормативы!$D:$D,'2020'!$I16,Нормативы!$F:$F,'2020'!$K16)</f>
        <v>580</v>
      </c>
      <c r="AH16" s="433">
        <f>SUMIFS(Нормативы!T:T,Нормативы!$B:$B,$G16,Нормативы!$D:$D,'2020'!$I16,Нормативы!$F:$F,'2020'!$K16)</f>
        <v>54</v>
      </c>
      <c r="AI16" s="433">
        <f>SUMIFS(Нормативы!U:U,Нормативы!$B:$B,$G16,Нормативы!$D:$D,'2020'!$I16,Нормативы!$F:$F,'2020'!$K16)</f>
        <v>77</v>
      </c>
      <c r="AJ16" s="433">
        <f>SUMIFS(Нормативы!V:V,Нормативы!$B:$B,$G16,Нормативы!$D:$D,'2020'!$I16,Нормативы!$F:$F,'2020'!$K16)</f>
        <v>8</v>
      </c>
      <c r="AK16" s="433">
        <f>SUMIFS(Нормативы!W:W,Нормативы!$B:$B,$G16,Нормативы!$D:$D,'2020'!$I16,Нормативы!$F:$F,'2020'!$K16)</f>
        <v>105</v>
      </c>
      <c r="AL16" s="433">
        <f>SUMIFS(Нормативы!X:X,Нормативы!$B:$B,$G16,Нормативы!$D:$D,'2020'!$I16,Нормативы!$F:$F,'2020'!$K16)*O16</f>
        <v>3224</v>
      </c>
      <c r="AM16" s="433">
        <f t="shared" si="101"/>
        <v>2476.1999999999998</v>
      </c>
      <c r="AN16" s="433">
        <f t="shared" si="102"/>
        <v>747.8</v>
      </c>
      <c r="AO16" s="433">
        <f>SUMIFS(Нормативы!AA:AA,Нормативы!$B:$B,$G16,Нормативы!$D:$D,'2020'!$I16,Нормативы!$F:$F,'2020'!$K16)</f>
        <v>0</v>
      </c>
      <c r="AP16" s="434">
        <f t="shared" si="103"/>
        <v>20841</v>
      </c>
      <c r="AQ16" s="609">
        <f t="shared" si="104"/>
        <v>12838</v>
      </c>
      <c r="AR16" s="433">
        <f t="shared" si="105"/>
        <v>9860.2000000000007</v>
      </c>
      <c r="AS16" s="433">
        <f t="shared" si="106"/>
        <v>2977.8</v>
      </c>
      <c r="AT16" s="435">
        <f t="shared" si="0"/>
        <v>883</v>
      </c>
      <c r="AU16" s="435">
        <f t="shared" si="1"/>
        <v>177</v>
      </c>
      <c r="AV16" s="435">
        <f t="shared" si="2"/>
        <v>811</v>
      </c>
      <c r="AW16" s="435">
        <f t="shared" si="3"/>
        <v>1993</v>
      </c>
      <c r="AX16" s="435">
        <f t="shared" si="4"/>
        <v>104</v>
      </c>
      <c r="AY16" s="435">
        <f t="shared" si="5"/>
        <v>1729</v>
      </c>
      <c r="AZ16" s="435">
        <f t="shared" si="6"/>
        <v>72</v>
      </c>
      <c r="BA16" s="435">
        <f t="shared" si="7"/>
        <v>88</v>
      </c>
      <c r="BB16" s="435">
        <f t="shared" si="107"/>
        <v>268</v>
      </c>
      <c r="BC16" s="435">
        <f t="shared" si="8"/>
        <v>580</v>
      </c>
      <c r="BD16" s="435">
        <f t="shared" si="9"/>
        <v>54</v>
      </c>
      <c r="BE16" s="435">
        <f t="shared" si="10"/>
        <v>77</v>
      </c>
      <c r="BF16" s="435">
        <f t="shared" si="11"/>
        <v>8</v>
      </c>
      <c r="BG16" s="435">
        <f t="shared" si="12"/>
        <v>105</v>
      </c>
      <c r="BH16" s="435">
        <f t="shared" si="13"/>
        <v>3224</v>
      </c>
      <c r="BI16" s="433">
        <f t="shared" si="108"/>
        <v>2476.1999999999998</v>
      </c>
      <c r="BJ16" s="433">
        <f t="shared" si="109"/>
        <v>747.8</v>
      </c>
      <c r="BK16" s="435">
        <f t="shared" si="14"/>
        <v>0</v>
      </c>
      <c r="BL16" s="434">
        <f t="shared" si="15"/>
        <v>20841</v>
      </c>
      <c r="BM16" s="613">
        <f t="shared" si="110"/>
        <v>14789</v>
      </c>
      <c r="BN16" s="433">
        <f t="shared" si="16"/>
        <v>11358.7</v>
      </c>
      <c r="BO16" s="433">
        <f t="shared" si="17"/>
        <v>3430.3</v>
      </c>
      <c r="BP16" s="435">
        <f t="shared" si="111"/>
        <v>883</v>
      </c>
      <c r="BQ16" s="435">
        <f t="shared" si="112"/>
        <v>177</v>
      </c>
      <c r="BR16" s="435">
        <f t="shared" si="113"/>
        <v>811</v>
      </c>
      <c r="BS16" s="435">
        <f t="shared" si="18"/>
        <v>1993</v>
      </c>
      <c r="BT16" s="34">
        <f t="shared" si="19"/>
        <v>104</v>
      </c>
      <c r="BU16" s="34">
        <f t="shared" si="20"/>
        <v>1729</v>
      </c>
      <c r="BV16" s="34">
        <f t="shared" si="21"/>
        <v>72</v>
      </c>
      <c r="BW16" s="34">
        <f t="shared" si="22"/>
        <v>88</v>
      </c>
      <c r="BX16" s="435">
        <f t="shared" si="23"/>
        <v>731</v>
      </c>
      <c r="BY16" s="435">
        <f t="shared" si="24"/>
        <v>580</v>
      </c>
      <c r="BZ16" s="435">
        <f t="shared" si="25"/>
        <v>54</v>
      </c>
      <c r="CA16" s="435">
        <f t="shared" si="26"/>
        <v>77</v>
      </c>
      <c r="CB16" s="435">
        <f t="shared" si="27"/>
        <v>8</v>
      </c>
      <c r="CC16" s="435">
        <f t="shared" si="28"/>
        <v>105</v>
      </c>
      <c r="CD16" s="435">
        <f t="shared" si="29"/>
        <v>3714</v>
      </c>
      <c r="CE16" s="433">
        <f t="shared" si="114"/>
        <v>2852.5</v>
      </c>
      <c r="CF16" s="433">
        <f t="shared" si="115"/>
        <v>861.5</v>
      </c>
      <c r="CG16" s="435">
        <f t="shared" si="30"/>
        <v>0</v>
      </c>
      <c r="CH16" s="434">
        <f t="shared" si="31"/>
        <v>23745</v>
      </c>
      <c r="CI16" s="88">
        <f t="shared" si="32"/>
        <v>14789</v>
      </c>
      <c r="CJ16" s="90">
        <f t="shared" si="33"/>
        <v>11358.7</v>
      </c>
      <c r="CK16" s="90">
        <f t="shared" si="34"/>
        <v>3430.3</v>
      </c>
      <c r="CL16" s="88">
        <f t="shared" si="35"/>
        <v>883</v>
      </c>
      <c r="CM16" s="88">
        <f t="shared" si="36"/>
        <v>177</v>
      </c>
      <c r="CN16" s="88">
        <f t="shared" si="37"/>
        <v>811</v>
      </c>
      <c r="CO16" s="88">
        <f t="shared" si="38"/>
        <v>1993</v>
      </c>
      <c r="CP16" s="88">
        <f t="shared" si="39"/>
        <v>104</v>
      </c>
      <c r="CQ16" s="88">
        <f t="shared" si="40"/>
        <v>1729</v>
      </c>
      <c r="CR16" s="88">
        <f t="shared" si="41"/>
        <v>72</v>
      </c>
      <c r="CS16" s="88">
        <f t="shared" si="42"/>
        <v>88</v>
      </c>
      <c r="CT16" s="88">
        <f t="shared" si="43"/>
        <v>731</v>
      </c>
      <c r="CU16" s="88">
        <f t="shared" si="44"/>
        <v>580</v>
      </c>
      <c r="CV16" s="88">
        <f t="shared" si="45"/>
        <v>54</v>
      </c>
      <c r="CW16" s="88">
        <f t="shared" si="46"/>
        <v>77</v>
      </c>
      <c r="CX16" s="88">
        <f t="shared" si="47"/>
        <v>8</v>
      </c>
      <c r="CY16" s="88">
        <f t="shared" si="48"/>
        <v>105</v>
      </c>
      <c r="CZ16" s="88">
        <f t="shared" si="49"/>
        <v>3714</v>
      </c>
      <c r="DA16" s="90">
        <f t="shared" si="50"/>
        <v>2852.5</v>
      </c>
      <c r="DB16" s="90">
        <f t="shared" si="51"/>
        <v>861.5</v>
      </c>
      <c r="DC16" s="88">
        <f t="shared" si="52"/>
        <v>0</v>
      </c>
      <c r="DD16" s="88">
        <f>ROUND(CH16/$P16,4)</f>
        <v>23745</v>
      </c>
      <c r="AUV16" s="699">
        <f t="shared" si="65"/>
        <v>14789</v>
      </c>
      <c r="AUW16" s="699">
        <f t="shared" si="66"/>
        <v>11358.68</v>
      </c>
      <c r="AUX16" s="699">
        <f t="shared" si="67"/>
        <v>3430.32</v>
      </c>
      <c r="AUY16" s="699">
        <f t="shared" si="68"/>
        <v>883</v>
      </c>
      <c r="AUZ16" s="699">
        <f t="shared" si="69"/>
        <v>64.91</v>
      </c>
      <c r="AVA16" s="699">
        <f t="shared" si="69"/>
        <v>0.06</v>
      </c>
      <c r="AVB16" s="699">
        <f t="shared" si="70"/>
        <v>1993</v>
      </c>
      <c r="AVC16" s="699">
        <f t="shared" si="71"/>
        <v>104</v>
      </c>
      <c r="AVD16" s="699">
        <f t="shared" si="72"/>
        <v>1729</v>
      </c>
      <c r="AVE16" s="699">
        <f t="shared" si="73"/>
        <v>72</v>
      </c>
      <c r="AVF16" s="699">
        <f t="shared" si="74"/>
        <v>88</v>
      </c>
      <c r="AVG16" s="699">
        <f t="shared" si="75"/>
        <v>731</v>
      </c>
      <c r="AVH16" s="699">
        <f t="shared" si="76"/>
        <v>580</v>
      </c>
      <c r="AVI16" s="699">
        <f t="shared" si="77"/>
        <v>54</v>
      </c>
      <c r="AVJ16" s="699">
        <f t="shared" si="78"/>
        <v>77</v>
      </c>
      <c r="AVK16" s="699">
        <f t="shared" si="79"/>
        <v>8</v>
      </c>
      <c r="AVL16" s="699">
        <f t="shared" si="80"/>
        <v>105</v>
      </c>
      <c r="AVM16" s="699">
        <f t="shared" si="81"/>
        <v>3714</v>
      </c>
      <c r="AVN16" s="699">
        <f t="shared" si="82"/>
        <v>2852.53</v>
      </c>
      <c r="AVO16" s="699">
        <f t="shared" si="83"/>
        <v>861.47</v>
      </c>
      <c r="AVP16" s="699">
        <f t="shared" si="84"/>
        <v>0</v>
      </c>
      <c r="AVQ16" s="699">
        <f t="shared" si="85"/>
        <v>23745</v>
      </c>
    </row>
    <row r="17" spans="1:108 1244:1265" s="436" customFormat="1" ht="30" customHeight="1" x14ac:dyDescent="0.25">
      <c r="A17" s="641">
        <v>1</v>
      </c>
      <c r="B17" s="641">
        <v>1</v>
      </c>
      <c r="C17" s="662" t="s">
        <v>246</v>
      </c>
      <c r="D17" s="2"/>
      <c r="E17" s="431" t="s">
        <v>344</v>
      </c>
      <c r="F17" s="641" t="s">
        <v>31</v>
      </c>
      <c r="G17" s="641">
        <v>1</v>
      </c>
      <c r="H17" s="655" t="s">
        <v>10</v>
      </c>
      <c r="I17" s="641">
        <v>0</v>
      </c>
      <c r="J17" s="431" t="s">
        <v>358</v>
      </c>
      <c r="K17" s="641">
        <v>1</v>
      </c>
      <c r="L17" s="680" t="s">
        <v>349</v>
      </c>
      <c r="M17" s="432" t="s">
        <v>262</v>
      </c>
      <c r="N17" s="431" t="s">
        <v>387</v>
      </c>
      <c r="O17" s="641">
        <v>1</v>
      </c>
      <c r="P17" s="695">
        <v>12</v>
      </c>
      <c r="Q17" s="632">
        <v>12</v>
      </c>
      <c r="R17" s="632">
        <v>12</v>
      </c>
      <c r="S17" s="669">
        <f>SUMIF('Территориальный кк'!$A:$A,'2020'!$B17,'Территориальный кк'!D:D)</f>
        <v>1.1519999999999999</v>
      </c>
      <c r="T17" s="670">
        <f>SUMIF('Территориальный кк'!$A:$A,'2020'!$B17,'Территориальный кк'!E:E)</f>
        <v>2.7269999999999999</v>
      </c>
      <c r="U17" s="433">
        <f>SUMIFS(Нормативы!G:G,Нормативы!$B:$B,$G17,Нормативы!$D:$D,'2020'!$I17,Нормативы!$F:$F,'2020'!$K17)*O17</f>
        <v>54020</v>
      </c>
      <c r="V17" s="433">
        <f t="shared" si="98"/>
        <v>41490</v>
      </c>
      <c r="W17" s="433">
        <f t="shared" si="99"/>
        <v>12530</v>
      </c>
      <c r="X17" s="433">
        <f>SUMIFS(Нормативы!J:J,Нормативы!$B:$B,$G17,Нормативы!$D:$D,'2020'!$I17,Нормативы!$F:$F,'2020'!$K17)</f>
        <v>220</v>
      </c>
      <c r="Y17" s="433">
        <f>SUMIFS(Нормативы!K:K,Нормативы!$B:$B,$G17,Нормативы!$D:$D,'2020'!$I17,Нормативы!$F:$F,'2020'!$K17)</f>
        <v>44</v>
      </c>
      <c r="Z17" s="433">
        <f>SUMIFS(Нормативы!L:L,Нормативы!$B:$B,$G17,Нормативы!$D:$D,'2020'!$I17,Нормативы!$F:$F,'2020'!$K17)</f>
        <v>2320</v>
      </c>
      <c r="AA17" s="433">
        <f t="shared" si="100"/>
        <v>3710</v>
      </c>
      <c r="AB17" s="433">
        <f>SUMIFS(Нормативы!N:N,Нормативы!$B:$B,$G17,Нормативы!$D:$D,'2020'!$I17,Нормативы!$F:$F,'2020'!$K17)*O17</f>
        <v>520</v>
      </c>
      <c r="AC17" s="433">
        <f>SUMIFS(Нормативы!O:O,Нормативы!$B:$B,$G17,Нормативы!$D:$D,'2020'!$I17,Нормативы!$F:$F,'2020'!$K17)</f>
        <v>2140</v>
      </c>
      <c r="AD17" s="433">
        <f>SUMIFS(Нормативы!P:P,Нормативы!$B:$B,$G17,Нормативы!$D:$D,'2020'!$I17,Нормативы!$F:$F,'2020'!$K17)*O17</f>
        <v>310</v>
      </c>
      <c r="AE17" s="433">
        <f>SUMIFS(Нормативы!Q:Q,Нормативы!$B:$B,$G17,Нормативы!$D:$D,'2020'!$I17,Нормативы!$F:$F,'2020'!$K17)</f>
        <v>740</v>
      </c>
      <c r="AF17" s="433">
        <f>SUMIFS(Нормативы!R:R,Нормативы!$B:$B,$G17,Нормативы!$D:$D,'2020'!$I17,Нормативы!$F:$F,'2020'!$K17)</f>
        <v>2460</v>
      </c>
      <c r="AG17" s="433">
        <f>SUMIFS(Нормативы!S:S,Нормативы!$B:$B,$G17,Нормативы!$D:$D,'2020'!$I17,Нормативы!$F:$F,'2020'!$K17)</f>
        <v>5080</v>
      </c>
      <c r="AH17" s="433">
        <f>SUMIFS(Нормативы!T:T,Нормативы!$B:$B,$G17,Нормативы!$D:$D,'2020'!$I17,Нормативы!$F:$F,'2020'!$K17)</f>
        <v>540</v>
      </c>
      <c r="AI17" s="433">
        <f>SUMIFS(Нормативы!U:U,Нормативы!$B:$B,$G17,Нормативы!$D:$D,'2020'!$I17,Нормативы!$F:$F,'2020'!$K17)</f>
        <v>770</v>
      </c>
      <c r="AJ17" s="433">
        <f>SUMIFS(Нормативы!V:V,Нормативы!$B:$B,$G17,Нормативы!$D:$D,'2020'!$I17,Нормативы!$F:$F,'2020'!$K17)</f>
        <v>80</v>
      </c>
      <c r="AK17" s="433">
        <f>SUMIFS(Нормативы!W:W,Нормативы!$B:$B,$G17,Нормативы!$D:$D,'2020'!$I17,Нормативы!$F:$F,'2020'!$K17)</f>
        <v>300</v>
      </c>
      <c r="AL17" s="433">
        <f>SUMIFS(Нормативы!X:X,Нормативы!$B:$B,$G17,Нормативы!$D:$D,'2020'!$I17,Нормативы!$F:$F,'2020'!$K17)*O17</f>
        <v>13440</v>
      </c>
      <c r="AM17" s="433">
        <f t="shared" si="101"/>
        <v>10322.6</v>
      </c>
      <c r="AN17" s="433">
        <f t="shared" si="102"/>
        <v>3117.4</v>
      </c>
      <c r="AO17" s="433">
        <f>SUMIFS(Нормативы!AA:AA,Нормативы!$B:$B,$G17,Нормативы!$D:$D,'2020'!$I17,Нормативы!$F:$F,'2020'!$K17)</f>
        <v>3520</v>
      </c>
      <c r="AP17" s="434">
        <f t="shared" si="103"/>
        <v>86460</v>
      </c>
      <c r="AQ17" s="609">
        <f t="shared" si="104"/>
        <v>648240</v>
      </c>
      <c r="AR17" s="433">
        <f t="shared" si="105"/>
        <v>497880.2</v>
      </c>
      <c r="AS17" s="433">
        <f t="shared" si="106"/>
        <v>150359.79999999999</v>
      </c>
      <c r="AT17" s="435">
        <f t="shared" si="0"/>
        <v>2640</v>
      </c>
      <c r="AU17" s="435">
        <f t="shared" si="1"/>
        <v>528</v>
      </c>
      <c r="AV17" s="435">
        <f t="shared" si="2"/>
        <v>27840</v>
      </c>
      <c r="AW17" s="435">
        <f t="shared" si="3"/>
        <v>44520</v>
      </c>
      <c r="AX17" s="435">
        <f t="shared" si="4"/>
        <v>6240</v>
      </c>
      <c r="AY17" s="435">
        <f t="shared" si="5"/>
        <v>25680</v>
      </c>
      <c r="AZ17" s="435">
        <f t="shared" si="6"/>
        <v>3720</v>
      </c>
      <c r="BA17" s="435">
        <f t="shared" si="7"/>
        <v>8880</v>
      </c>
      <c r="BB17" s="435">
        <f t="shared" si="107"/>
        <v>29520</v>
      </c>
      <c r="BC17" s="435">
        <f t="shared" si="8"/>
        <v>60960</v>
      </c>
      <c r="BD17" s="435">
        <f t="shared" si="9"/>
        <v>6480</v>
      </c>
      <c r="BE17" s="435">
        <f t="shared" si="10"/>
        <v>9240</v>
      </c>
      <c r="BF17" s="435">
        <f t="shared" si="11"/>
        <v>960</v>
      </c>
      <c r="BG17" s="435">
        <f t="shared" si="12"/>
        <v>3600</v>
      </c>
      <c r="BH17" s="435">
        <f t="shared" si="13"/>
        <v>161280</v>
      </c>
      <c r="BI17" s="433">
        <f t="shared" si="108"/>
        <v>123871</v>
      </c>
      <c r="BJ17" s="433">
        <f t="shared" si="109"/>
        <v>37409</v>
      </c>
      <c r="BK17" s="435">
        <f t="shared" si="14"/>
        <v>42240</v>
      </c>
      <c r="BL17" s="434">
        <f t="shared" si="15"/>
        <v>1037520</v>
      </c>
      <c r="BM17" s="613">
        <f t="shared" si="110"/>
        <v>746772</v>
      </c>
      <c r="BN17" s="433">
        <f t="shared" si="16"/>
        <v>573557.6</v>
      </c>
      <c r="BO17" s="433">
        <f t="shared" si="17"/>
        <v>173214.4</v>
      </c>
      <c r="BP17" s="435">
        <f t="shared" si="111"/>
        <v>2640</v>
      </c>
      <c r="BQ17" s="435">
        <f t="shared" si="112"/>
        <v>528</v>
      </c>
      <c r="BR17" s="435">
        <f t="shared" si="113"/>
        <v>27840</v>
      </c>
      <c r="BS17" s="435">
        <f t="shared" si="18"/>
        <v>44520</v>
      </c>
      <c r="BT17" s="34">
        <f t="shared" si="19"/>
        <v>6240</v>
      </c>
      <c r="BU17" s="34">
        <f t="shared" si="20"/>
        <v>25680</v>
      </c>
      <c r="BV17" s="34">
        <f t="shared" si="21"/>
        <v>3720</v>
      </c>
      <c r="BW17" s="34">
        <f t="shared" si="22"/>
        <v>8880</v>
      </c>
      <c r="BX17" s="435">
        <f t="shared" si="23"/>
        <v>80501</v>
      </c>
      <c r="BY17" s="435">
        <f t="shared" si="24"/>
        <v>60960</v>
      </c>
      <c r="BZ17" s="435">
        <f t="shared" si="25"/>
        <v>6480</v>
      </c>
      <c r="CA17" s="435">
        <f t="shared" si="26"/>
        <v>9240</v>
      </c>
      <c r="CB17" s="435">
        <f t="shared" si="27"/>
        <v>960</v>
      </c>
      <c r="CC17" s="435">
        <f t="shared" si="28"/>
        <v>3600</v>
      </c>
      <c r="CD17" s="435">
        <f t="shared" si="29"/>
        <v>185795</v>
      </c>
      <c r="CE17" s="433">
        <f t="shared" si="114"/>
        <v>142699.70000000001</v>
      </c>
      <c r="CF17" s="433">
        <f t="shared" si="115"/>
        <v>43095.3</v>
      </c>
      <c r="CG17" s="435">
        <f t="shared" si="30"/>
        <v>42240</v>
      </c>
      <c r="CH17" s="434">
        <f t="shared" si="31"/>
        <v>1211548</v>
      </c>
      <c r="CI17" s="88">
        <f t="shared" si="32"/>
        <v>62231</v>
      </c>
      <c r="CJ17" s="90">
        <f t="shared" si="33"/>
        <v>47796.466699999997</v>
      </c>
      <c r="CK17" s="90">
        <f t="shared" si="34"/>
        <v>14434.533299999999</v>
      </c>
      <c r="CL17" s="88">
        <f t="shared" si="35"/>
        <v>220</v>
      </c>
      <c r="CM17" s="88">
        <f t="shared" si="36"/>
        <v>44</v>
      </c>
      <c r="CN17" s="88">
        <f t="shared" si="37"/>
        <v>2320</v>
      </c>
      <c r="CO17" s="88">
        <f t="shared" si="38"/>
        <v>3710</v>
      </c>
      <c r="CP17" s="88">
        <f t="shared" si="39"/>
        <v>520</v>
      </c>
      <c r="CQ17" s="88">
        <f t="shared" si="40"/>
        <v>2140</v>
      </c>
      <c r="CR17" s="88">
        <f t="shared" si="41"/>
        <v>310</v>
      </c>
      <c r="CS17" s="88">
        <f t="shared" si="42"/>
        <v>740</v>
      </c>
      <c r="CT17" s="88">
        <f t="shared" si="43"/>
        <v>6708.4166999999998</v>
      </c>
      <c r="CU17" s="88">
        <f t="shared" si="44"/>
        <v>5080</v>
      </c>
      <c r="CV17" s="88">
        <f t="shared" si="45"/>
        <v>540</v>
      </c>
      <c r="CW17" s="88">
        <f t="shared" si="46"/>
        <v>770</v>
      </c>
      <c r="CX17" s="88">
        <f t="shared" si="47"/>
        <v>80</v>
      </c>
      <c r="CY17" s="88">
        <f t="shared" si="48"/>
        <v>300</v>
      </c>
      <c r="CZ17" s="88">
        <f t="shared" si="49"/>
        <v>15482.9167</v>
      </c>
      <c r="DA17" s="90">
        <f t="shared" si="50"/>
        <v>11891.6417</v>
      </c>
      <c r="DB17" s="90">
        <f t="shared" si="51"/>
        <v>3591.2750000000001</v>
      </c>
      <c r="DC17" s="88">
        <f t="shared" si="52"/>
        <v>3520</v>
      </c>
      <c r="DD17" s="88">
        <f t="shared" si="53"/>
        <v>100962.3333</v>
      </c>
      <c r="AUV17" s="699">
        <f t="shared" si="65"/>
        <v>62231</v>
      </c>
      <c r="AUW17" s="699">
        <f t="shared" si="66"/>
        <v>47796.47</v>
      </c>
      <c r="AUX17" s="699">
        <f t="shared" si="67"/>
        <v>14434.53</v>
      </c>
      <c r="AUY17" s="699">
        <f t="shared" si="68"/>
        <v>220</v>
      </c>
      <c r="AUZ17" s="699">
        <f t="shared" si="69"/>
        <v>193.62</v>
      </c>
      <c r="AVA17" s="699">
        <f t="shared" si="69"/>
        <v>0.52</v>
      </c>
      <c r="AVB17" s="699">
        <f t="shared" si="70"/>
        <v>3710</v>
      </c>
      <c r="AVC17" s="699">
        <f t="shared" si="71"/>
        <v>520</v>
      </c>
      <c r="AVD17" s="699">
        <f t="shared" si="72"/>
        <v>2140</v>
      </c>
      <c r="AVE17" s="699">
        <f t="shared" si="73"/>
        <v>310</v>
      </c>
      <c r="AVF17" s="699">
        <f t="shared" si="74"/>
        <v>740</v>
      </c>
      <c r="AVG17" s="699">
        <f t="shared" si="75"/>
        <v>6708.42</v>
      </c>
      <c r="AVH17" s="699">
        <f t="shared" si="76"/>
        <v>5080</v>
      </c>
      <c r="AVI17" s="699">
        <f t="shared" si="77"/>
        <v>540</v>
      </c>
      <c r="AVJ17" s="699">
        <f t="shared" si="78"/>
        <v>770</v>
      </c>
      <c r="AVK17" s="699">
        <f t="shared" si="79"/>
        <v>80</v>
      </c>
      <c r="AVL17" s="699">
        <f t="shared" si="80"/>
        <v>300</v>
      </c>
      <c r="AVM17" s="699">
        <f t="shared" si="81"/>
        <v>15482.92</v>
      </c>
      <c r="AVN17" s="699">
        <f t="shared" si="82"/>
        <v>11891.64</v>
      </c>
      <c r="AVO17" s="699">
        <f t="shared" si="83"/>
        <v>3591.28</v>
      </c>
      <c r="AVP17" s="699">
        <f t="shared" si="84"/>
        <v>3520</v>
      </c>
      <c r="AVQ17" s="699">
        <f t="shared" si="85"/>
        <v>100962.33</v>
      </c>
    </row>
    <row r="18" spans="1:108 1244:1265" s="436" customFormat="1" ht="30" customHeight="1" x14ac:dyDescent="0.25">
      <c r="A18" s="641">
        <v>1</v>
      </c>
      <c r="B18" s="641">
        <v>1</v>
      </c>
      <c r="C18" s="662" t="s">
        <v>246</v>
      </c>
      <c r="D18" s="2"/>
      <c r="E18" s="431" t="s">
        <v>344</v>
      </c>
      <c r="F18" s="641" t="s">
        <v>31</v>
      </c>
      <c r="G18" s="641">
        <v>1</v>
      </c>
      <c r="H18" s="655" t="s">
        <v>10</v>
      </c>
      <c r="I18" s="641">
        <v>0</v>
      </c>
      <c r="J18" s="431" t="s">
        <v>359</v>
      </c>
      <c r="K18" s="641">
        <v>1</v>
      </c>
      <c r="L18" s="680" t="s">
        <v>349</v>
      </c>
      <c r="M18" s="432" t="s">
        <v>263</v>
      </c>
      <c r="N18" s="431" t="s">
        <v>387</v>
      </c>
      <c r="O18" s="641">
        <v>1</v>
      </c>
      <c r="P18" s="695">
        <v>10</v>
      </c>
      <c r="Q18" s="632">
        <v>10</v>
      </c>
      <c r="R18" s="632">
        <v>10</v>
      </c>
      <c r="S18" s="669">
        <f>SUMIF('Территориальный кк'!$A:$A,'2020'!$B18,'Территориальный кк'!D:D)</f>
        <v>1.1519999999999999</v>
      </c>
      <c r="T18" s="670">
        <f>SUMIF('Территориальный кк'!$A:$A,'2020'!$B18,'Территориальный кк'!E:E)</f>
        <v>2.7269999999999999</v>
      </c>
      <c r="U18" s="433">
        <f>SUMIFS(Нормативы!G:G,Нормативы!$B:$B,$G18,Нормативы!$D:$D,'2020'!$I18,Нормативы!$F:$F,'2020'!$K18)*O18</f>
        <v>54020</v>
      </c>
      <c r="V18" s="433">
        <f t="shared" si="98"/>
        <v>41490</v>
      </c>
      <c r="W18" s="433">
        <f t="shared" si="99"/>
        <v>12530</v>
      </c>
      <c r="X18" s="433">
        <f>SUMIFS(Нормативы!J:J,Нормативы!$B:$B,$G18,Нормативы!$D:$D,'2020'!$I18,Нормативы!$F:$F,'2020'!$K18)</f>
        <v>220</v>
      </c>
      <c r="Y18" s="433">
        <f>SUMIFS(Нормативы!K:K,Нормативы!$B:$B,$G18,Нормативы!$D:$D,'2020'!$I18,Нормативы!$F:$F,'2020'!$K18)</f>
        <v>44</v>
      </c>
      <c r="Z18" s="433">
        <f>SUMIFS(Нормативы!L:L,Нормативы!$B:$B,$G18,Нормативы!$D:$D,'2020'!$I18,Нормативы!$F:$F,'2020'!$K18)</f>
        <v>2320</v>
      </c>
      <c r="AA18" s="433">
        <f t="shared" si="100"/>
        <v>3710</v>
      </c>
      <c r="AB18" s="433">
        <f>SUMIFS(Нормативы!N:N,Нормативы!$B:$B,$G18,Нормативы!$D:$D,'2020'!$I18,Нормативы!$F:$F,'2020'!$K18)*O18</f>
        <v>520</v>
      </c>
      <c r="AC18" s="433">
        <f>SUMIFS(Нормативы!O:O,Нормативы!$B:$B,$G18,Нормативы!$D:$D,'2020'!$I18,Нормативы!$F:$F,'2020'!$K18)</f>
        <v>2140</v>
      </c>
      <c r="AD18" s="433">
        <f>SUMIFS(Нормативы!P:P,Нормативы!$B:$B,$G18,Нормативы!$D:$D,'2020'!$I18,Нормативы!$F:$F,'2020'!$K18)*O18</f>
        <v>310</v>
      </c>
      <c r="AE18" s="433">
        <f>SUMIFS(Нормативы!Q:Q,Нормативы!$B:$B,$G18,Нормативы!$D:$D,'2020'!$I18,Нормативы!$F:$F,'2020'!$K18)</f>
        <v>740</v>
      </c>
      <c r="AF18" s="433">
        <f>SUMIFS(Нормативы!R:R,Нормативы!$B:$B,$G18,Нормативы!$D:$D,'2020'!$I18,Нормативы!$F:$F,'2020'!$K18)</f>
        <v>2460</v>
      </c>
      <c r="AG18" s="433">
        <f>SUMIFS(Нормативы!S:S,Нормативы!$B:$B,$G18,Нормативы!$D:$D,'2020'!$I18,Нормативы!$F:$F,'2020'!$K18)</f>
        <v>5080</v>
      </c>
      <c r="AH18" s="433">
        <f>SUMIFS(Нормативы!T:T,Нормативы!$B:$B,$G18,Нормативы!$D:$D,'2020'!$I18,Нормативы!$F:$F,'2020'!$K18)</f>
        <v>540</v>
      </c>
      <c r="AI18" s="433">
        <f>SUMIFS(Нормативы!U:U,Нормативы!$B:$B,$G18,Нормативы!$D:$D,'2020'!$I18,Нормативы!$F:$F,'2020'!$K18)</f>
        <v>770</v>
      </c>
      <c r="AJ18" s="433">
        <f>SUMIFS(Нормативы!V:V,Нормативы!$B:$B,$G18,Нормативы!$D:$D,'2020'!$I18,Нормативы!$F:$F,'2020'!$K18)</f>
        <v>80</v>
      </c>
      <c r="AK18" s="433">
        <f>SUMIFS(Нормативы!W:W,Нормативы!$B:$B,$G18,Нормативы!$D:$D,'2020'!$I18,Нормативы!$F:$F,'2020'!$K18)</f>
        <v>300</v>
      </c>
      <c r="AL18" s="433">
        <f>SUMIFS(Нормативы!X:X,Нормативы!$B:$B,$G18,Нормативы!$D:$D,'2020'!$I18,Нормативы!$F:$F,'2020'!$K18)*O18</f>
        <v>13440</v>
      </c>
      <c r="AM18" s="433">
        <f t="shared" si="101"/>
        <v>10322.6</v>
      </c>
      <c r="AN18" s="433">
        <f t="shared" si="102"/>
        <v>3117.4</v>
      </c>
      <c r="AO18" s="433">
        <f>SUMIFS(Нормативы!AA:AA,Нормативы!$B:$B,$G18,Нормативы!$D:$D,'2020'!$I18,Нормативы!$F:$F,'2020'!$K18)</f>
        <v>3520</v>
      </c>
      <c r="AP18" s="434">
        <f t="shared" si="103"/>
        <v>86460</v>
      </c>
      <c r="AQ18" s="609">
        <f t="shared" si="104"/>
        <v>540200</v>
      </c>
      <c r="AR18" s="433">
        <f t="shared" si="105"/>
        <v>414900.2</v>
      </c>
      <c r="AS18" s="433">
        <f t="shared" si="106"/>
        <v>125299.8</v>
      </c>
      <c r="AT18" s="435">
        <f t="shared" si="0"/>
        <v>2200</v>
      </c>
      <c r="AU18" s="435">
        <f t="shared" si="1"/>
        <v>440</v>
      </c>
      <c r="AV18" s="435">
        <f t="shared" si="2"/>
        <v>23200</v>
      </c>
      <c r="AW18" s="435">
        <f t="shared" si="3"/>
        <v>37100</v>
      </c>
      <c r="AX18" s="435">
        <f t="shared" si="4"/>
        <v>5200</v>
      </c>
      <c r="AY18" s="435">
        <f t="shared" si="5"/>
        <v>21400</v>
      </c>
      <c r="AZ18" s="435">
        <f t="shared" si="6"/>
        <v>3100</v>
      </c>
      <c r="BA18" s="435">
        <f t="shared" si="7"/>
        <v>7400</v>
      </c>
      <c r="BB18" s="435">
        <f t="shared" si="107"/>
        <v>24600</v>
      </c>
      <c r="BC18" s="435">
        <f t="shared" si="8"/>
        <v>50800</v>
      </c>
      <c r="BD18" s="435">
        <f t="shared" si="9"/>
        <v>5400</v>
      </c>
      <c r="BE18" s="435">
        <f t="shared" si="10"/>
        <v>7700</v>
      </c>
      <c r="BF18" s="435">
        <f t="shared" si="11"/>
        <v>800</v>
      </c>
      <c r="BG18" s="435">
        <f t="shared" si="12"/>
        <v>3000</v>
      </c>
      <c r="BH18" s="435">
        <f t="shared" si="13"/>
        <v>134400</v>
      </c>
      <c r="BI18" s="433">
        <f t="shared" si="108"/>
        <v>103225.8</v>
      </c>
      <c r="BJ18" s="433">
        <f t="shared" si="109"/>
        <v>31174.2</v>
      </c>
      <c r="BK18" s="435">
        <f t="shared" si="14"/>
        <v>35200</v>
      </c>
      <c r="BL18" s="434">
        <f t="shared" si="15"/>
        <v>864600</v>
      </c>
      <c r="BM18" s="613">
        <f t="shared" si="110"/>
        <v>622310</v>
      </c>
      <c r="BN18" s="433">
        <f t="shared" si="16"/>
        <v>477964.7</v>
      </c>
      <c r="BO18" s="433">
        <f t="shared" si="17"/>
        <v>144345.29999999999</v>
      </c>
      <c r="BP18" s="435">
        <f t="shared" si="111"/>
        <v>2200</v>
      </c>
      <c r="BQ18" s="435">
        <f t="shared" si="112"/>
        <v>440</v>
      </c>
      <c r="BR18" s="435">
        <f t="shared" si="113"/>
        <v>23200</v>
      </c>
      <c r="BS18" s="435">
        <f t="shared" si="18"/>
        <v>37100</v>
      </c>
      <c r="BT18" s="34">
        <f t="shared" si="19"/>
        <v>5200</v>
      </c>
      <c r="BU18" s="34">
        <f t="shared" si="20"/>
        <v>21400</v>
      </c>
      <c r="BV18" s="34">
        <f t="shared" si="21"/>
        <v>3100</v>
      </c>
      <c r="BW18" s="34">
        <f t="shared" si="22"/>
        <v>7400</v>
      </c>
      <c r="BX18" s="435">
        <f t="shared" si="23"/>
        <v>67084</v>
      </c>
      <c r="BY18" s="435">
        <f t="shared" si="24"/>
        <v>50800</v>
      </c>
      <c r="BZ18" s="435">
        <f t="shared" si="25"/>
        <v>5400</v>
      </c>
      <c r="CA18" s="435">
        <f t="shared" si="26"/>
        <v>7700</v>
      </c>
      <c r="CB18" s="435">
        <f t="shared" si="27"/>
        <v>800</v>
      </c>
      <c r="CC18" s="435">
        <f t="shared" si="28"/>
        <v>3000</v>
      </c>
      <c r="CD18" s="435">
        <f t="shared" si="29"/>
        <v>154829</v>
      </c>
      <c r="CE18" s="433">
        <f t="shared" si="114"/>
        <v>118916.3</v>
      </c>
      <c r="CF18" s="433">
        <f t="shared" si="115"/>
        <v>35912.699999999997</v>
      </c>
      <c r="CG18" s="435">
        <f t="shared" si="30"/>
        <v>35200</v>
      </c>
      <c r="CH18" s="434">
        <f t="shared" si="31"/>
        <v>1009623</v>
      </c>
      <c r="CI18" s="88">
        <f t="shared" si="32"/>
        <v>62231</v>
      </c>
      <c r="CJ18" s="90">
        <f t="shared" si="33"/>
        <v>47796.47</v>
      </c>
      <c r="CK18" s="90">
        <f t="shared" si="34"/>
        <v>14434.53</v>
      </c>
      <c r="CL18" s="88">
        <f t="shared" si="35"/>
        <v>220</v>
      </c>
      <c r="CM18" s="88">
        <f t="shared" si="36"/>
        <v>44</v>
      </c>
      <c r="CN18" s="88">
        <f t="shared" si="37"/>
        <v>2320</v>
      </c>
      <c r="CO18" s="88">
        <f t="shared" si="38"/>
        <v>3710</v>
      </c>
      <c r="CP18" s="88">
        <f t="shared" si="39"/>
        <v>520</v>
      </c>
      <c r="CQ18" s="88">
        <f t="shared" si="40"/>
        <v>2140</v>
      </c>
      <c r="CR18" s="88">
        <f t="shared" si="41"/>
        <v>310</v>
      </c>
      <c r="CS18" s="88">
        <f t="shared" si="42"/>
        <v>740</v>
      </c>
      <c r="CT18" s="88">
        <f t="shared" si="43"/>
        <v>6708.4</v>
      </c>
      <c r="CU18" s="88">
        <f t="shared" si="44"/>
        <v>5080</v>
      </c>
      <c r="CV18" s="88">
        <f t="shared" si="45"/>
        <v>540</v>
      </c>
      <c r="CW18" s="88">
        <f t="shared" si="46"/>
        <v>770</v>
      </c>
      <c r="CX18" s="88">
        <f t="shared" si="47"/>
        <v>80</v>
      </c>
      <c r="CY18" s="88">
        <f t="shared" si="48"/>
        <v>300</v>
      </c>
      <c r="CZ18" s="88">
        <f t="shared" si="49"/>
        <v>15482.9</v>
      </c>
      <c r="DA18" s="90">
        <f t="shared" si="50"/>
        <v>11891.63</v>
      </c>
      <c r="DB18" s="90">
        <f t="shared" si="51"/>
        <v>3591.27</v>
      </c>
      <c r="DC18" s="88">
        <f t="shared" si="52"/>
        <v>3520</v>
      </c>
      <c r="DD18" s="88">
        <f t="shared" si="53"/>
        <v>100962.3</v>
      </c>
      <c r="AUV18" s="699">
        <f t="shared" si="65"/>
        <v>62231</v>
      </c>
      <c r="AUW18" s="699">
        <f t="shared" si="66"/>
        <v>47796.47</v>
      </c>
      <c r="AUX18" s="699">
        <f t="shared" si="67"/>
        <v>14434.53</v>
      </c>
      <c r="AUY18" s="699">
        <f t="shared" si="68"/>
        <v>220</v>
      </c>
      <c r="AUZ18" s="699">
        <f t="shared" si="69"/>
        <v>161.35</v>
      </c>
      <c r="AVA18" s="699">
        <f t="shared" si="69"/>
        <v>0.43</v>
      </c>
      <c r="AVB18" s="699">
        <f t="shared" si="70"/>
        <v>3710</v>
      </c>
      <c r="AVC18" s="699">
        <f t="shared" si="71"/>
        <v>520</v>
      </c>
      <c r="AVD18" s="699">
        <f t="shared" si="72"/>
        <v>2140</v>
      </c>
      <c r="AVE18" s="699">
        <f t="shared" si="73"/>
        <v>310</v>
      </c>
      <c r="AVF18" s="699">
        <f t="shared" si="74"/>
        <v>740</v>
      </c>
      <c r="AVG18" s="699">
        <f t="shared" si="75"/>
        <v>6708.4</v>
      </c>
      <c r="AVH18" s="699">
        <f t="shared" si="76"/>
        <v>5080</v>
      </c>
      <c r="AVI18" s="699">
        <f t="shared" si="77"/>
        <v>540</v>
      </c>
      <c r="AVJ18" s="699">
        <f t="shared" si="78"/>
        <v>770</v>
      </c>
      <c r="AVK18" s="699">
        <f t="shared" si="79"/>
        <v>80</v>
      </c>
      <c r="AVL18" s="699">
        <f t="shared" si="80"/>
        <v>300</v>
      </c>
      <c r="AVM18" s="699">
        <f t="shared" si="81"/>
        <v>15482.9</v>
      </c>
      <c r="AVN18" s="699">
        <f t="shared" si="82"/>
        <v>11891.63</v>
      </c>
      <c r="AVO18" s="699">
        <f t="shared" si="83"/>
        <v>3591.27</v>
      </c>
      <c r="AVP18" s="699">
        <f t="shared" si="84"/>
        <v>3520</v>
      </c>
      <c r="AVQ18" s="699">
        <f t="shared" si="85"/>
        <v>100962.3</v>
      </c>
    </row>
    <row r="19" spans="1:108 1244:1265" s="436" customFormat="1" ht="30" customHeight="1" x14ac:dyDescent="0.25">
      <c r="A19" s="641">
        <v>1</v>
      </c>
      <c r="B19" s="641">
        <v>1</v>
      </c>
      <c r="C19" s="662" t="s">
        <v>246</v>
      </c>
      <c r="D19" s="2"/>
      <c r="E19" s="431" t="s">
        <v>344</v>
      </c>
      <c r="F19" s="641" t="s">
        <v>31</v>
      </c>
      <c r="G19" s="641">
        <v>1</v>
      </c>
      <c r="H19" s="655" t="s">
        <v>8</v>
      </c>
      <c r="I19" s="641">
        <v>3</v>
      </c>
      <c r="J19" s="431" t="s">
        <v>359</v>
      </c>
      <c r="K19" s="641">
        <v>1</v>
      </c>
      <c r="L19" s="680" t="s">
        <v>349</v>
      </c>
      <c r="M19" s="432" t="s">
        <v>264</v>
      </c>
      <c r="N19" s="431" t="s">
        <v>387</v>
      </c>
      <c r="O19" s="641">
        <v>1</v>
      </c>
      <c r="P19" s="695">
        <v>13</v>
      </c>
      <c r="Q19" s="632">
        <v>13</v>
      </c>
      <c r="R19" s="632">
        <v>13</v>
      </c>
      <c r="S19" s="669">
        <f>SUMIF('Территориальный кк'!$A:$A,'2020'!$B19,'Территориальный кк'!D:D)</f>
        <v>1.1519999999999999</v>
      </c>
      <c r="T19" s="670">
        <f>SUMIF('Территориальный кк'!$A:$A,'2020'!$B19,'Территориальный кк'!E:E)</f>
        <v>2.7269999999999999</v>
      </c>
      <c r="U19" s="433">
        <f>SUMIFS(Нормативы!G:G,Нормативы!$B:$B,$G19,Нормативы!$D:$D,'2020'!$I19,Нормативы!$F:$F,'2020'!$K19)*O19</f>
        <v>5402</v>
      </c>
      <c r="V19" s="433">
        <f t="shared" si="98"/>
        <v>4149</v>
      </c>
      <c r="W19" s="433">
        <f t="shared" si="99"/>
        <v>1253</v>
      </c>
      <c r="X19" s="433">
        <f>SUMIFS(Нормативы!J:J,Нормативы!$B:$B,$G19,Нормативы!$D:$D,'2020'!$I19,Нормативы!$F:$F,'2020'!$K19)</f>
        <v>22</v>
      </c>
      <c r="Y19" s="433">
        <f>SUMIFS(Нормативы!K:K,Нормативы!$B:$B,$G19,Нормативы!$D:$D,'2020'!$I19,Нормативы!$F:$F,'2020'!$K19)</f>
        <v>4</v>
      </c>
      <c r="Z19" s="433">
        <f>SUMIFS(Нормативы!L:L,Нормативы!$B:$B,$G19,Нормативы!$D:$D,'2020'!$I19,Нормативы!$F:$F,'2020'!$K19)</f>
        <v>232</v>
      </c>
      <c r="AA19" s="433">
        <f t="shared" si="100"/>
        <v>371</v>
      </c>
      <c r="AB19" s="433">
        <f>SUMIFS(Нормативы!N:N,Нормативы!$B:$B,$G19,Нормативы!$D:$D,'2020'!$I19,Нормативы!$F:$F,'2020'!$K19)*O19</f>
        <v>52</v>
      </c>
      <c r="AC19" s="433">
        <f>SUMIFS(Нормативы!O:O,Нормативы!$B:$B,$G19,Нормативы!$D:$D,'2020'!$I19,Нормативы!$F:$F,'2020'!$K19)</f>
        <v>214</v>
      </c>
      <c r="AD19" s="433">
        <f>SUMIFS(Нормативы!P:P,Нормативы!$B:$B,$G19,Нормативы!$D:$D,'2020'!$I19,Нормативы!$F:$F,'2020'!$K19)*O19</f>
        <v>31</v>
      </c>
      <c r="AE19" s="433">
        <f>SUMIFS(Нормативы!Q:Q,Нормативы!$B:$B,$G19,Нормативы!$D:$D,'2020'!$I19,Нормативы!$F:$F,'2020'!$K19)</f>
        <v>74</v>
      </c>
      <c r="AF19" s="433">
        <f>SUMIFS(Нормативы!R:R,Нормативы!$B:$B,$G19,Нормативы!$D:$D,'2020'!$I19,Нормативы!$F:$F,'2020'!$K19)</f>
        <v>246</v>
      </c>
      <c r="AG19" s="433">
        <f>SUMIFS(Нормативы!S:S,Нормативы!$B:$B,$G19,Нормативы!$D:$D,'2020'!$I19,Нормативы!$F:$F,'2020'!$K19)</f>
        <v>508</v>
      </c>
      <c r="AH19" s="433">
        <f>SUMIFS(Нормативы!T:T,Нормативы!$B:$B,$G19,Нормативы!$D:$D,'2020'!$I19,Нормативы!$F:$F,'2020'!$K19)</f>
        <v>54</v>
      </c>
      <c r="AI19" s="433">
        <f>SUMIFS(Нормативы!U:U,Нормативы!$B:$B,$G19,Нормативы!$D:$D,'2020'!$I19,Нормативы!$F:$F,'2020'!$K19)</f>
        <v>77</v>
      </c>
      <c r="AJ19" s="433">
        <f>SUMIFS(Нормативы!V:V,Нормативы!$B:$B,$G19,Нормативы!$D:$D,'2020'!$I19,Нормативы!$F:$F,'2020'!$K19)</f>
        <v>8</v>
      </c>
      <c r="AK19" s="433">
        <f>SUMIFS(Нормативы!W:W,Нормативы!$B:$B,$G19,Нормативы!$D:$D,'2020'!$I19,Нормативы!$F:$F,'2020'!$K19)</f>
        <v>30</v>
      </c>
      <c r="AL19" s="433">
        <f>SUMIFS(Нормативы!X:X,Нормативы!$B:$B,$G19,Нормативы!$D:$D,'2020'!$I19,Нормативы!$F:$F,'2020'!$K19)*O19</f>
        <v>1344</v>
      </c>
      <c r="AM19" s="433">
        <f t="shared" si="101"/>
        <v>1032.3</v>
      </c>
      <c r="AN19" s="433">
        <f t="shared" si="102"/>
        <v>311.7</v>
      </c>
      <c r="AO19" s="433">
        <f>SUMIFS(Нормативы!AA:AA,Нормативы!$B:$B,$G19,Нормативы!$D:$D,'2020'!$I19,Нормативы!$F:$F,'2020'!$K19)</f>
        <v>0</v>
      </c>
      <c r="AP19" s="434">
        <f t="shared" si="103"/>
        <v>8294</v>
      </c>
      <c r="AQ19" s="609">
        <f t="shared" si="104"/>
        <v>70226</v>
      </c>
      <c r="AR19" s="433">
        <f t="shared" si="105"/>
        <v>53937</v>
      </c>
      <c r="AS19" s="433">
        <f t="shared" si="106"/>
        <v>16289</v>
      </c>
      <c r="AT19" s="435">
        <f t="shared" si="0"/>
        <v>286</v>
      </c>
      <c r="AU19" s="435">
        <f t="shared" si="1"/>
        <v>52</v>
      </c>
      <c r="AV19" s="435">
        <f t="shared" si="2"/>
        <v>3016</v>
      </c>
      <c r="AW19" s="435">
        <f t="shared" si="3"/>
        <v>4823</v>
      </c>
      <c r="AX19" s="435">
        <f t="shared" si="4"/>
        <v>676</v>
      </c>
      <c r="AY19" s="435">
        <f t="shared" si="5"/>
        <v>2782</v>
      </c>
      <c r="AZ19" s="435">
        <f t="shared" si="6"/>
        <v>403</v>
      </c>
      <c r="BA19" s="435">
        <f t="shared" si="7"/>
        <v>962</v>
      </c>
      <c r="BB19" s="435">
        <f t="shared" si="107"/>
        <v>3198</v>
      </c>
      <c r="BC19" s="435">
        <f t="shared" si="8"/>
        <v>6604</v>
      </c>
      <c r="BD19" s="435">
        <f t="shared" si="9"/>
        <v>702</v>
      </c>
      <c r="BE19" s="435">
        <f t="shared" si="10"/>
        <v>1001</v>
      </c>
      <c r="BF19" s="435">
        <f t="shared" si="11"/>
        <v>104</v>
      </c>
      <c r="BG19" s="435">
        <f t="shared" si="12"/>
        <v>390</v>
      </c>
      <c r="BH19" s="435">
        <f t="shared" si="13"/>
        <v>17472</v>
      </c>
      <c r="BI19" s="433">
        <f t="shared" si="108"/>
        <v>13419.4</v>
      </c>
      <c r="BJ19" s="433">
        <f t="shared" si="109"/>
        <v>4052.6</v>
      </c>
      <c r="BK19" s="435">
        <f t="shared" si="14"/>
        <v>0</v>
      </c>
      <c r="BL19" s="434">
        <f t="shared" si="15"/>
        <v>107822</v>
      </c>
      <c r="BM19" s="613">
        <f t="shared" si="110"/>
        <v>80900</v>
      </c>
      <c r="BN19" s="433">
        <f t="shared" si="16"/>
        <v>62135.199999999997</v>
      </c>
      <c r="BO19" s="433">
        <f t="shared" si="17"/>
        <v>18764.8</v>
      </c>
      <c r="BP19" s="435">
        <f t="shared" si="111"/>
        <v>286</v>
      </c>
      <c r="BQ19" s="435">
        <f t="shared" si="112"/>
        <v>52</v>
      </c>
      <c r="BR19" s="435">
        <f t="shared" si="113"/>
        <v>3016</v>
      </c>
      <c r="BS19" s="435">
        <f t="shared" si="18"/>
        <v>4823</v>
      </c>
      <c r="BT19" s="34">
        <f t="shared" si="19"/>
        <v>676</v>
      </c>
      <c r="BU19" s="34">
        <f t="shared" si="20"/>
        <v>2782</v>
      </c>
      <c r="BV19" s="34">
        <f t="shared" si="21"/>
        <v>403</v>
      </c>
      <c r="BW19" s="34">
        <f t="shared" si="22"/>
        <v>962</v>
      </c>
      <c r="BX19" s="435">
        <f t="shared" si="23"/>
        <v>8721</v>
      </c>
      <c r="BY19" s="435">
        <f t="shared" si="24"/>
        <v>6604</v>
      </c>
      <c r="BZ19" s="435">
        <f t="shared" si="25"/>
        <v>702</v>
      </c>
      <c r="CA19" s="435">
        <f t="shared" si="26"/>
        <v>1001</v>
      </c>
      <c r="CB19" s="435">
        <f t="shared" si="27"/>
        <v>104</v>
      </c>
      <c r="CC19" s="435">
        <f t="shared" si="28"/>
        <v>390</v>
      </c>
      <c r="CD19" s="435">
        <f t="shared" si="29"/>
        <v>20128</v>
      </c>
      <c r="CE19" s="433">
        <f t="shared" si="114"/>
        <v>15459.3</v>
      </c>
      <c r="CF19" s="433">
        <f t="shared" si="115"/>
        <v>4668.7</v>
      </c>
      <c r="CG19" s="435">
        <f t="shared" si="30"/>
        <v>0</v>
      </c>
      <c r="CH19" s="434">
        <f t="shared" si="31"/>
        <v>126675</v>
      </c>
      <c r="CI19" s="88">
        <f t="shared" si="32"/>
        <v>6223.0769</v>
      </c>
      <c r="CJ19" s="90">
        <f t="shared" si="33"/>
        <v>4779.6307999999999</v>
      </c>
      <c r="CK19" s="90">
        <f t="shared" si="34"/>
        <v>1443.4462000000001</v>
      </c>
      <c r="CL19" s="88">
        <f t="shared" si="35"/>
        <v>22</v>
      </c>
      <c r="CM19" s="88">
        <f t="shared" si="36"/>
        <v>4</v>
      </c>
      <c r="CN19" s="88">
        <f t="shared" si="37"/>
        <v>232</v>
      </c>
      <c r="CO19" s="88">
        <f t="shared" si="38"/>
        <v>371</v>
      </c>
      <c r="CP19" s="88">
        <f t="shared" si="39"/>
        <v>52</v>
      </c>
      <c r="CQ19" s="88">
        <f t="shared" si="40"/>
        <v>214</v>
      </c>
      <c r="CR19" s="88">
        <f t="shared" si="41"/>
        <v>31</v>
      </c>
      <c r="CS19" s="88">
        <f t="shared" si="42"/>
        <v>74</v>
      </c>
      <c r="CT19" s="88">
        <f t="shared" si="43"/>
        <v>670.84619999999995</v>
      </c>
      <c r="CU19" s="88">
        <f t="shared" si="44"/>
        <v>508</v>
      </c>
      <c r="CV19" s="88">
        <f t="shared" si="45"/>
        <v>54</v>
      </c>
      <c r="CW19" s="88">
        <f t="shared" si="46"/>
        <v>77</v>
      </c>
      <c r="CX19" s="88">
        <f t="shared" si="47"/>
        <v>8</v>
      </c>
      <c r="CY19" s="88">
        <f t="shared" si="48"/>
        <v>30</v>
      </c>
      <c r="CZ19" s="88">
        <f t="shared" si="49"/>
        <v>1548.3077000000001</v>
      </c>
      <c r="DA19" s="90">
        <f t="shared" si="50"/>
        <v>1189.1768999999999</v>
      </c>
      <c r="DB19" s="90">
        <f t="shared" si="51"/>
        <v>359.13080000000002</v>
      </c>
      <c r="DC19" s="88">
        <f t="shared" si="52"/>
        <v>0</v>
      </c>
      <c r="DD19" s="88">
        <f t="shared" si="53"/>
        <v>9744.2307999999994</v>
      </c>
      <c r="AUV19" s="699">
        <f t="shared" si="65"/>
        <v>6223.08</v>
      </c>
      <c r="AUW19" s="699">
        <f t="shared" si="66"/>
        <v>4779.63</v>
      </c>
      <c r="AUX19" s="699">
        <f t="shared" si="67"/>
        <v>1443.45</v>
      </c>
      <c r="AUY19" s="699">
        <f t="shared" si="68"/>
        <v>22</v>
      </c>
      <c r="AUZ19" s="699">
        <f t="shared" si="69"/>
        <v>19.07</v>
      </c>
      <c r="AVA19" s="699">
        <f t="shared" si="69"/>
        <v>0.56000000000000005</v>
      </c>
      <c r="AVB19" s="699">
        <f t="shared" si="70"/>
        <v>371</v>
      </c>
      <c r="AVC19" s="699">
        <f t="shared" si="71"/>
        <v>52</v>
      </c>
      <c r="AVD19" s="699">
        <f t="shared" si="72"/>
        <v>214</v>
      </c>
      <c r="AVE19" s="699">
        <f t="shared" si="73"/>
        <v>31</v>
      </c>
      <c r="AVF19" s="699">
        <f t="shared" si="74"/>
        <v>74</v>
      </c>
      <c r="AVG19" s="699">
        <f t="shared" si="75"/>
        <v>670.85</v>
      </c>
      <c r="AVH19" s="699">
        <f t="shared" si="76"/>
        <v>508</v>
      </c>
      <c r="AVI19" s="699">
        <f t="shared" si="77"/>
        <v>54</v>
      </c>
      <c r="AVJ19" s="699">
        <f t="shared" si="78"/>
        <v>77</v>
      </c>
      <c r="AVK19" s="699">
        <f t="shared" si="79"/>
        <v>8</v>
      </c>
      <c r="AVL19" s="699">
        <f t="shared" si="80"/>
        <v>30</v>
      </c>
      <c r="AVM19" s="699">
        <f t="shared" si="81"/>
        <v>1548.31</v>
      </c>
      <c r="AVN19" s="699">
        <f t="shared" si="82"/>
        <v>1189.18</v>
      </c>
      <c r="AVO19" s="699">
        <f t="shared" si="83"/>
        <v>359.13</v>
      </c>
      <c r="AVP19" s="699">
        <f t="shared" si="84"/>
        <v>0</v>
      </c>
      <c r="AVQ19" s="699">
        <f t="shared" si="85"/>
        <v>9744.23</v>
      </c>
    </row>
    <row r="20" spans="1:108 1244:1265" s="436" customFormat="1" ht="30" customHeight="1" x14ac:dyDescent="0.25">
      <c r="A20" s="641">
        <v>1</v>
      </c>
      <c r="B20" s="641">
        <v>1</v>
      </c>
      <c r="C20" s="662" t="s">
        <v>246</v>
      </c>
      <c r="D20" s="2"/>
      <c r="E20" s="431" t="s">
        <v>344</v>
      </c>
      <c r="F20" s="641" t="s">
        <v>31</v>
      </c>
      <c r="G20" s="641">
        <v>1</v>
      </c>
      <c r="H20" s="655" t="s">
        <v>10</v>
      </c>
      <c r="I20" s="641">
        <v>0</v>
      </c>
      <c r="J20" s="431" t="s">
        <v>360</v>
      </c>
      <c r="K20" s="641">
        <v>3</v>
      </c>
      <c r="L20" s="680" t="s">
        <v>349</v>
      </c>
      <c r="M20" s="432" t="s">
        <v>265</v>
      </c>
      <c r="N20" s="431" t="s">
        <v>387</v>
      </c>
      <c r="O20" s="641">
        <v>1</v>
      </c>
      <c r="P20" s="695">
        <v>131</v>
      </c>
      <c r="Q20" s="632">
        <v>131</v>
      </c>
      <c r="R20" s="632">
        <v>131</v>
      </c>
      <c r="S20" s="669">
        <f>SUMIF('Территориальный кк'!$A:$A,'2020'!$B20,'Территориальный кк'!D:D)</f>
        <v>1.1519999999999999</v>
      </c>
      <c r="T20" s="670">
        <f>SUMIF('Территориальный кк'!$A:$A,'2020'!$B20,'Территориальный кк'!E:E)</f>
        <v>2.7269999999999999</v>
      </c>
      <c r="U20" s="433">
        <f>SUMIFS(Нормативы!G:G,Нормативы!$B:$B,$G20,Нормативы!$D:$D,'2020'!$I20,Нормативы!$F:$F,'2020'!$K20)*O20</f>
        <v>64190</v>
      </c>
      <c r="V20" s="433">
        <f t="shared" si="98"/>
        <v>49301.1</v>
      </c>
      <c r="W20" s="433">
        <f t="shared" si="99"/>
        <v>14888.9</v>
      </c>
      <c r="X20" s="433">
        <f>SUMIFS(Нормативы!J:J,Нормативы!$B:$B,$G20,Нормативы!$D:$D,'2020'!$I20,Нормативы!$F:$F,'2020'!$K20)</f>
        <v>8830</v>
      </c>
      <c r="Y20" s="433">
        <f>SUMIFS(Нормативы!K:K,Нормативы!$B:$B,$G20,Нормативы!$D:$D,'2020'!$I20,Нормативы!$F:$F,'2020'!$K20)</f>
        <v>1766</v>
      </c>
      <c r="Z20" s="433">
        <f>SUMIFS(Нормативы!L:L,Нормативы!$B:$B,$G20,Нормативы!$D:$D,'2020'!$I20,Нормативы!$F:$F,'2020'!$K20)</f>
        <v>8110</v>
      </c>
      <c r="AA20" s="433">
        <f t="shared" si="100"/>
        <v>19050</v>
      </c>
      <c r="AB20" s="433">
        <f>SUMIFS(Нормативы!N:N,Нормативы!$B:$B,$G20,Нормативы!$D:$D,'2020'!$I20,Нормативы!$F:$F,'2020'!$K20)*O20</f>
        <v>520</v>
      </c>
      <c r="AC20" s="433">
        <f>SUMIFS(Нормативы!O:O,Нормативы!$B:$B,$G20,Нормативы!$D:$D,'2020'!$I20,Нормативы!$F:$F,'2020'!$K20)</f>
        <v>17290</v>
      </c>
      <c r="AD20" s="433">
        <f>SUMIFS(Нормативы!P:P,Нормативы!$B:$B,$G20,Нормативы!$D:$D,'2020'!$I20,Нормативы!$F:$F,'2020'!$K20)*O20</f>
        <v>360</v>
      </c>
      <c r="AE20" s="433">
        <f>SUMIFS(Нормативы!Q:Q,Нормативы!$B:$B,$G20,Нормативы!$D:$D,'2020'!$I20,Нормативы!$F:$F,'2020'!$K20)</f>
        <v>880</v>
      </c>
      <c r="AF20" s="433">
        <f>SUMIFS(Нормативы!R:R,Нормативы!$B:$B,$G20,Нормативы!$D:$D,'2020'!$I20,Нормативы!$F:$F,'2020'!$K20)</f>
        <v>2680</v>
      </c>
      <c r="AG20" s="433">
        <f>SUMIFS(Нормативы!S:S,Нормативы!$B:$B,$G20,Нормативы!$D:$D,'2020'!$I20,Нормативы!$F:$F,'2020'!$K20)</f>
        <v>5800</v>
      </c>
      <c r="AH20" s="433">
        <f>SUMIFS(Нормативы!T:T,Нормативы!$B:$B,$G20,Нормативы!$D:$D,'2020'!$I20,Нормативы!$F:$F,'2020'!$K20)</f>
        <v>540</v>
      </c>
      <c r="AI20" s="433">
        <f>SUMIFS(Нормативы!U:U,Нормативы!$B:$B,$G20,Нормативы!$D:$D,'2020'!$I20,Нормативы!$F:$F,'2020'!$K20)</f>
        <v>770</v>
      </c>
      <c r="AJ20" s="433">
        <f>SUMIFS(Нормативы!V:V,Нормативы!$B:$B,$G20,Нормативы!$D:$D,'2020'!$I20,Нормативы!$F:$F,'2020'!$K20)</f>
        <v>80</v>
      </c>
      <c r="AK20" s="433">
        <f>SUMIFS(Нормативы!W:W,Нормативы!$B:$B,$G20,Нормативы!$D:$D,'2020'!$I20,Нормативы!$F:$F,'2020'!$K20)</f>
        <v>1050</v>
      </c>
      <c r="AL20" s="433">
        <f>SUMIFS(Нормативы!X:X,Нормативы!$B:$B,$G20,Нормативы!$D:$D,'2020'!$I20,Нормативы!$F:$F,'2020'!$K20)*O20</f>
        <v>16120</v>
      </c>
      <c r="AM20" s="433">
        <f t="shared" si="101"/>
        <v>12381</v>
      </c>
      <c r="AN20" s="433">
        <f t="shared" si="102"/>
        <v>3739</v>
      </c>
      <c r="AO20" s="433">
        <f>SUMIFS(Нормативы!AA:AA,Нормативы!$B:$B,$G20,Нормативы!$D:$D,'2020'!$I20,Нормативы!$F:$F,'2020'!$K20)</f>
        <v>3520</v>
      </c>
      <c r="AP20" s="434">
        <f t="shared" si="103"/>
        <v>130740</v>
      </c>
      <c r="AQ20" s="609">
        <f t="shared" si="104"/>
        <v>8408890</v>
      </c>
      <c r="AR20" s="433">
        <f t="shared" si="105"/>
        <v>6458440.9000000004</v>
      </c>
      <c r="AS20" s="433">
        <f t="shared" si="106"/>
        <v>1950449.1</v>
      </c>
      <c r="AT20" s="435">
        <f t="shared" si="0"/>
        <v>1156730</v>
      </c>
      <c r="AU20" s="435">
        <f t="shared" si="1"/>
        <v>231346</v>
      </c>
      <c r="AV20" s="435">
        <f t="shared" si="2"/>
        <v>1062410</v>
      </c>
      <c r="AW20" s="435">
        <f t="shared" si="3"/>
        <v>2495550</v>
      </c>
      <c r="AX20" s="435">
        <f t="shared" si="4"/>
        <v>68120</v>
      </c>
      <c r="AY20" s="435">
        <f t="shared" si="5"/>
        <v>2264990</v>
      </c>
      <c r="AZ20" s="435">
        <f t="shared" si="6"/>
        <v>47160</v>
      </c>
      <c r="BA20" s="435">
        <f t="shared" si="7"/>
        <v>115280</v>
      </c>
      <c r="BB20" s="435">
        <f t="shared" si="107"/>
        <v>351080</v>
      </c>
      <c r="BC20" s="435">
        <f t="shared" si="8"/>
        <v>759800</v>
      </c>
      <c r="BD20" s="435">
        <f t="shared" si="9"/>
        <v>70740</v>
      </c>
      <c r="BE20" s="435">
        <f t="shared" si="10"/>
        <v>100870</v>
      </c>
      <c r="BF20" s="435">
        <f t="shared" si="11"/>
        <v>10480</v>
      </c>
      <c r="BG20" s="435">
        <f t="shared" si="12"/>
        <v>137550</v>
      </c>
      <c r="BH20" s="435">
        <f t="shared" si="13"/>
        <v>2111720</v>
      </c>
      <c r="BI20" s="433">
        <f t="shared" si="108"/>
        <v>1621904.8</v>
      </c>
      <c r="BJ20" s="433">
        <f t="shared" si="109"/>
        <v>489815.2</v>
      </c>
      <c r="BK20" s="435">
        <f t="shared" si="14"/>
        <v>461120</v>
      </c>
      <c r="BL20" s="434">
        <f t="shared" si="15"/>
        <v>17126940</v>
      </c>
      <c r="BM20" s="613">
        <f t="shared" si="110"/>
        <v>9687041</v>
      </c>
      <c r="BN20" s="433">
        <f t="shared" si="16"/>
        <v>7440123.7000000002</v>
      </c>
      <c r="BO20" s="433">
        <f t="shared" si="17"/>
        <v>2246917.2999999998</v>
      </c>
      <c r="BP20" s="435">
        <f t="shared" si="111"/>
        <v>1156730</v>
      </c>
      <c r="BQ20" s="435">
        <f t="shared" si="112"/>
        <v>231346</v>
      </c>
      <c r="BR20" s="435">
        <f t="shared" si="113"/>
        <v>1062410</v>
      </c>
      <c r="BS20" s="435">
        <f t="shared" si="18"/>
        <v>2495550</v>
      </c>
      <c r="BT20" s="34">
        <f t="shared" si="19"/>
        <v>68120</v>
      </c>
      <c r="BU20" s="34">
        <f t="shared" si="20"/>
        <v>2264990</v>
      </c>
      <c r="BV20" s="34">
        <f t="shared" si="21"/>
        <v>47160</v>
      </c>
      <c r="BW20" s="34">
        <f t="shared" si="22"/>
        <v>115280</v>
      </c>
      <c r="BX20" s="435">
        <f t="shared" si="23"/>
        <v>957395</v>
      </c>
      <c r="BY20" s="435">
        <f t="shared" si="24"/>
        <v>759800</v>
      </c>
      <c r="BZ20" s="435">
        <f t="shared" si="25"/>
        <v>70740</v>
      </c>
      <c r="CA20" s="435">
        <f t="shared" si="26"/>
        <v>100870</v>
      </c>
      <c r="CB20" s="435">
        <f t="shared" si="27"/>
        <v>10480</v>
      </c>
      <c r="CC20" s="435">
        <f t="shared" si="28"/>
        <v>137550</v>
      </c>
      <c r="CD20" s="435">
        <f t="shared" si="29"/>
        <v>2432701</v>
      </c>
      <c r="CE20" s="433">
        <f t="shared" si="114"/>
        <v>1868433.9</v>
      </c>
      <c r="CF20" s="433">
        <f t="shared" si="115"/>
        <v>564267.1</v>
      </c>
      <c r="CG20" s="435">
        <f t="shared" si="30"/>
        <v>461120</v>
      </c>
      <c r="CH20" s="434">
        <f t="shared" si="31"/>
        <v>19332387</v>
      </c>
      <c r="CI20" s="88">
        <f t="shared" si="32"/>
        <v>73946.877900000007</v>
      </c>
      <c r="CJ20" s="90">
        <f t="shared" si="33"/>
        <v>56794.837399999997</v>
      </c>
      <c r="CK20" s="90">
        <f t="shared" si="34"/>
        <v>17152.040499999999</v>
      </c>
      <c r="CL20" s="88">
        <f t="shared" si="35"/>
        <v>8830</v>
      </c>
      <c r="CM20" s="88">
        <f t="shared" si="36"/>
        <v>1766</v>
      </c>
      <c r="CN20" s="88">
        <f t="shared" si="37"/>
        <v>8110</v>
      </c>
      <c r="CO20" s="88">
        <f t="shared" si="38"/>
        <v>19050</v>
      </c>
      <c r="CP20" s="88">
        <f t="shared" si="39"/>
        <v>520</v>
      </c>
      <c r="CQ20" s="88">
        <f t="shared" si="40"/>
        <v>17290</v>
      </c>
      <c r="CR20" s="88">
        <f t="shared" si="41"/>
        <v>360</v>
      </c>
      <c r="CS20" s="88">
        <f t="shared" si="42"/>
        <v>880</v>
      </c>
      <c r="CT20" s="88">
        <f t="shared" si="43"/>
        <v>7308.3588</v>
      </c>
      <c r="CU20" s="88">
        <f t="shared" si="44"/>
        <v>5800</v>
      </c>
      <c r="CV20" s="88">
        <f t="shared" si="45"/>
        <v>540</v>
      </c>
      <c r="CW20" s="88">
        <f t="shared" si="46"/>
        <v>770</v>
      </c>
      <c r="CX20" s="88">
        <f t="shared" si="47"/>
        <v>80</v>
      </c>
      <c r="CY20" s="88">
        <f t="shared" si="48"/>
        <v>1050</v>
      </c>
      <c r="CZ20" s="88">
        <f t="shared" si="49"/>
        <v>18570.2366</v>
      </c>
      <c r="DA20" s="90">
        <f t="shared" si="50"/>
        <v>14262.8542</v>
      </c>
      <c r="DB20" s="90">
        <f t="shared" si="51"/>
        <v>4307.3824000000004</v>
      </c>
      <c r="DC20" s="88">
        <f t="shared" si="52"/>
        <v>3520</v>
      </c>
      <c r="DD20" s="88">
        <f t="shared" si="53"/>
        <v>147575.47330000001</v>
      </c>
      <c r="AUV20" s="699">
        <f t="shared" si="65"/>
        <v>73946.880000000005</v>
      </c>
      <c r="AUW20" s="699">
        <f t="shared" si="66"/>
        <v>56794.84</v>
      </c>
      <c r="AUX20" s="699">
        <f t="shared" si="67"/>
        <v>17152.04</v>
      </c>
      <c r="AUY20" s="699">
        <f t="shared" si="68"/>
        <v>8830</v>
      </c>
      <c r="AUZ20" s="699">
        <f t="shared" si="69"/>
        <v>84835.35</v>
      </c>
      <c r="AVA20" s="699">
        <f t="shared" si="69"/>
        <v>16.55</v>
      </c>
      <c r="AVB20" s="699">
        <f t="shared" si="70"/>
        <v>19050</v>
      </c>
      <c r="AVC20" s="699">
        <f t="shared" si="71"/>
        <v>520</v>
      </c>
      <c r="AVD20" s="699">
        <f t="shared" si="72"/>
        <v>17290</v>
      </c>
      <c r="AVE20" s="699">
        <f t="shared" si="73"/>
        <v>360</v>
      </c>
      <c r="AVF20" s="699">
        <f t="shared" si="74"/>
        <v>880</v>
      </c>
      <c r="AVG20" s="699">
        <f t="shared" si="75"/>
        <v>7308.36</v>
      </c>
      <c r="AVH20" s="699">
        <f t="shared" si="76"/>
        <v>5800</v>
      </c>
      <c r="AVI20" s="699">
        <f t="shared" si="77"/>
        <v>540</v>
      </c>
      <c r="AVJ20" s="699">
        <f t="shared" si="78"/>
        <v>770</v>
      </c>
      <c r="AVK20" s="699">
        <f t="shared" si="79"/>
        <v>80</v>
      </c>
      <c r="AVL20" s="699">
        <f t="shared" si="80"/>
        <v>1050</v>
      </c>
      <c r="AVM20" s="699">
        <f t="shared" si="81"/>
        <v>18570.240000000002</v>
      </c>
      <c r="AVN20" s="699">
        <f t="shared" si="82"/>
        <v>14262.86</v>
      </c>
      <c r="AVO20" s="699">
        <f t="shared" si="83"/>
        <v>4307.38</v>
      </c>
      <c r="AVP20" s="699">
        <f t="shared" si="84"/>
        <v>3520</v>
      </c>
      <c r="AVQ20" s="699">
        <f t="shared" si="85"/>
        <v>147575.47</v>
      </c>
    </row>
    <row r="21" spans="1:108 1244:1265" s="436" customFormat="1" ht="30" customHeight="1" x14ac:dyDescent="0.25">
      <c r="A21" s="641">
        <v>1</v>
      </c>
      <c r="B21" s="641">
        <v>1</v>
      </c>
      <c r="C21" s="662" t="s">
        <v>246</v>
      </c>
      <c r="D21" s="2"/>
      <c r="E21" s="431" t="s">
        <v>344</v>
      </c>
      <c r="F21" s="641" t="s">
        <v>31</v>
      </c>
      <c r="G21" s="641">
        <v>1</v>
      </c>
      <c r="H21" s="655" t="s">
        <v>8</v>
      </c>
      <c r="I21" s="641">
        <v>3</v>
      </c>
      <c r="J21" s="431" t="s">
        <v>360</v>
      </c>
      <c r="K21" s="641">
        <v>3</v>
      </c>
      <c r="L21" s="680" t="s">
        <v>349</v>
      </c>
      <c r="M21" s="432" t="s">
        <v>266</v>
      </c>
      <c r="N21" s="431" t="s">
        <v>387</v>
      </c>
      <c r="O21" s="641">
        <v>1</v>
      </c>
      <c r="P21" s="695">
        <v>40</v>
      </c>
      <c r="Q21" s="632">
        <v>40</v>
      </c>
      <c r="R21" s="632">
        <v>40</v>
      </c>
      <c r="S21" s="669">
        <f>SUMIF('Территориальный кк'!$A:$A,'2020'!$B21,'Территориальный кк'!D:D)</f>
        <v>1.1519999999999999</v>
      </c>
      <c r="T21" s="670">
        <f>SUMIF('Территориальный кк'!$A:$A,'2020'!$B21,'Территориальный кк'!E:E)</f>
        <v>2.7269999999999999</v>
      </c>
      <c r="U21" s="433">
        <f>SUMIFS(Нормативы!G:G,Нормативы!$B:$B,$G21,Нормативы!$D:$D,'2020'!$I21,Нормативы!$F:$F,'2020'!$K21)*O21</f>
        <v>6419</v>
      </c>
      <c r="V21" s="433">
        <f t="shared" si="98"/>
        <v>4930.1000000000004</v>
      </c>
      <c r="W21" s="433">
        <f t="shared" si="99"/>
        <v>1488.9</v>
      </c>
      <c r="X21" s="433">
        <f>SUMIFS(Нормативы!J:J,Нормативы!$B:$B,$G21,Нормативы!$D:$D,'2020'!$I21,Нормативы!$F:$F,'2020'!$K21)</f>
        <v>883</v>
      </c>
      <c r="Y21" s="433">
        <f>SUMIFS(Нормативы!K:K,Нормативы!$B:$B,$G21,Нормативы!$D:$D,'2020'!$I21,Нормативы!$F:$F,'2020'!$K21)</f>
        <v>177</v>
      </c>
      <c r="Z21" s="433">
        <f>SUMIFS(Нормативы!L:L,Нормативы!$B:$B,$G21,Нормативы!$D:$D,'2020'!$I21,Нормативы!$F:$F,'2020'!$K21)</f>
        <v>811</v>
      </c>
      <c r="AA21" s="433">
        <f t="shared" si="100"/>
        <v>1905</v>
      </c>
      <c r="AB21" s="433">
        <f>SUMIFS(Нормативы!N:N,Нормативы!$B:$B,$G21,Нормативы!$D:$D,'2020'!$I21,Нормативы!$F:$F,'2020'!$K21)*O21</f>
        <v>52</v>
      </c>
      <c r="AC21" s="433">
        <f>SUMIFS(Нормативы!O:O,Нормативы!$B:$B,$G21,Нормативы!$D:$D,'2020'!$I21,Нормативы!$F:$F,'2020'!$K21)</f>
        <v>1729</v>
      </c>
      <c r="AD21" s="433">
        <f>SUMIFS(Нормативы!P:P,Нормативы!$B:$B,$G21,Нормативы!$D:$D,'2020'!$I21,Нормативы!$F:$F,'2020'!$K21)*O21</f>
        <v>36</v>
      </c>
      <c r="AE21" s="433">
        <f>SUMIFS(Нормативы!Q:Q,Нормативы!$B:$B,$G21,Нормативы!$D:$D,'2020'!$I21,Нормативы!$F:$F,'2020'!$K21)</f>
        <v>88</v>
      </c>
      <c r="AF21" s="433">
        <f>SUMIFS(Нормативы!R:R,Нормативы!$B:$B,$G21,Нормативы!$D:$D,'2020'!$I21,Нормативы!$F:$F,'2020'!$K21)</f>
        <v>268</v>
      </c>
      <c r="AG21" s="433">
        <f>SUMIFS(Нормативы!S:S,Нормативы!$B:$B,$G21,Нормативы!$D:$D,'2020'!$I21,Нормативы!$F:$F,'2020'!$K21)</f>
        <v>580</v>
      </c>
      <c r="AH21" s="433">
        <f>SUMIFS(Нормативы!T:T,Нормативы!$B:$B,$G21,Нормативы!$D:$D,'2020'!$I21,Нормативы!$F:$F,'2020'!$K21)</f>
        <v>54</v>
      </c>
      <c r="AI21" s="433">
        <f>SUMIFS(Нормативы!U:U,Нормативы!$B:$B,$G21,Нормативы!$D:$D,'2020'!$I21,Нормативы!$F:$F,'2020'!$K21)</f>
        <v>77</v>
      </c>
      <c r="AJ21" s="433">
        <f>SUMIFS(Нормативы!V:V,Нормативы!$B:$B,$G21,Нормативы!$D:$D,'2020'!$I21,Нормативы!$F:$F,'2020'!$K21)</f>
        <v>8</v>
      </c>
      <c r="AK21" s="433">
        <f>SUMIFS(Нормативы!W:W,Нормативы!$B:$B,$G21,Нормативы!$D:$D,'2020'!$I21,Нормативы!$F:$F,'2020'!$K21)</f>
        <v>105</v>
      </c>
      <c r="AL21" s="433">
        <f>SUMIFS(Нормативы!X:X,Нормативы!$B:$B,$G21,Нормативы!$D:$D,'2020'!$I21,Нормативы!$F:$F,'2020'!$K21)*O21</f>
        <v>1612</v>
      </c>
      <c r="AM21" s="433">
        <f t="shared" si="101"/>
        <v>1238.0999999999999</v>
      </c>
      <c r="AN21" s="433">
        <f t="shared" si="102"/>
        <v>373.9</v>
      </c>
      <c r="AO21" s="433">
        <f>SUMIFS(Нормативы!AA:AA,Нормативы!$B:$B,$G21,Нормативы!$D:$D,'2020'!$I21,Нормативы!$F:$F,'2020'!$K21)</f>
        <v>0</v>
      </c>
      <c r="AP21" s="434">
        <f t="shared" si="103"/>
        <v>12722</v>
      </c>
      <c r="AQ21" s="609">
        <f t="shared" si="104"/>
        <v>256760</v>
      </c>
      <c r="AR21" s="433">
        <f t="shared" si="105"/>
        <v>197204.3</v>
      </c>
      <c r="AS21" s="433">
        <f t="shared" si="106"/>
        <v>59555.7</v>
      </c>
      <c r="AT21" s="435">
        <f t="shared" si="0"/>
        <v>35320</v>
      </c>
      <c r="AU21" s="435">
        <f t="shared" si="1"/>
        <v>7080</v>
      </c>
      <c r="AV21" s="435">
        <f t="shared" si="2"/>
        <v>32440</v>
      </c>
      <c r="AW21" s="435">
        <f t="shared" si="3"/>
        <v>76200</v>
      </c>
      <c r="AX21" s="435">
        <f t="shared" si="4"/>
        <v>2080</v>
      </c>
      <c r="AY21" s="435">
        <f t="shared" si="5"/>
        <v>69160</v>
      </c>
      <c r="AZ21" s="435">
        <f t="shared" si="6"/>
        <v>1440</v>
      </c>
      <c r="BA21" s="435">
        <f t="shared" si="7"/>
        <v>3520</v>
      </c>
      <c r="BB21" s="435">
        <f t="shared" si="107"/>
        <v>10720</v>
      </c>
      <c r="BC21" s="435">
        <f t="shared" si="8"/>
        <v>23200</v>
      </c>
      <c r="BD21" s="435">
        <f t="shared" si="9"/>
        <v>2160</v>
      </c>
      <c r="BE21" s="435">
        <f t="shared" si="10"/>
        <v>3080</v>
      </c>
      <c r="BF21" s="435">
        <f t="shared" si="11"/>
        <v>320</v>
      </c>
      <c r="BG21" s="435">
        <f t="shared" si="12"/>
        <v>4200</v>
      </c>
      <c r="BH21" s="435">
        <f t="shared" si="13"/>
        <v>64480</v>
      </c>
      <c r="BI21" s="433">
        <f t="shared" si="108"/>
        <v>49523.8</v>
      </c>
      <c r="BJ21" s="433">
        <f t="shared" si="109"/>
        <v>14956.2</v>
      </c>
      <c r="BK21" s="435">
        <f t="shared" si="14"/>
        <v>0</v>
      </c>
      <c r="BL21" s="434">
        <f t="shared" si="15"/>
        <v>508880</v>
      </c>
      <c r="BM21" s="613">
        <f t="shared" si="110"/>
        <v>295788</v>
      </c>
      <c r="BN21" s="433">
        <f t="shared" si="16"/>
        <v>227179.7</v>
      </c>
      <c r="BO21" s="433">
        <f t="shared" si="17"/>
        <v>68608.3</v>
      </c>
      <c r="BP21" s="435">
        <f t="shared" si="111"/>
        <v>35320</v>
      </c>
      <c r="BQ21" s="435">
        <f t="shared" si="112"/>
        <v>7080</v>
      </c>
      <c r="BR21" s="435">
        <f t="shared" si="113"/>
        <v>32440</v>
      </c>
      <c r="BS21" s="435">
        <f t="shared" si="18"/>
        <v>76200</v>
      </c>
      <c r="BT21" s="34">
        <f t="shared" si="19"/>
        <v>2080</v>
      </c>
      <c r="BU21" s="34">
        <f t="shared" si="20"/>
        <v>69160</v>
      </c>
      <c r="BV21" s="34">
        <f t="shared" si="21"/>
        <v>1440</v>
      </c>
      <c r="BW21" s="34">
        <f t="shared" si="22"/>
        <v>3520</v>
      </c>
      <c r="BX21" s="435">
        <f t="shared" si="23"/>
        <v>29233</v>
      </c>
      <c r="BY21" s="435">
        <f t="shared" si="24"/>
        <v>23200</v>
      </c>
      <c r="BZ21" s="435">
        <f t="shared" si="25"/>
        <v>2160</v>
      </c>
      <c r="CA21" s="435">
        <f t="shared" si="26"/>
        <v>3080</v>
      </c>
      <c r="CB21" s="435">
        <f t="shared" si="27"/>
        <v>320</v>
      </c>
      <c r="CC21" s="435">
        <f t="shared" si="28"/>
        <v>4200</v>
      </c>
      <c r="CD21" s="435">
        <f t="shared" si="29"/>
        <v>74281</v>
      </c>
      <c r="CE21" s="433">
        <f t="shared" si="114"/>
        <v>57051.5</v>
      </c>
      <c r="CF21" s="433">
        <f t="shared" si="115"/>
        <v>17229.5</v>
      </c>
      <c r="CG21" s="435">
        <f t="shared" si="30"/>
        <v>0</v>
      </c>
      <c r="CH21" s="434">
        <f t="shared" si="31"/>
        <v>576222</v>
      </c>
      <c r="CI21" s="88">
        <f t="shared" si="32"/>
        <v>7394.7</v>
      </c>
      <c r="CJ21" s="90">
        <f t="shared" si="33"/>
        <v>5679.4925000000003</v>
      </c>
      <c r="CK21" s="90">
        <f t="shared" si="34"/>
        <v>1715.2075</v>
      </c>
      <c r="CL21" s="88">
        <f t="shared" si="35"/>
        <v>883</v>
      </c>
      <c r="CM21" s="88">
        <f t="shared" si="36"/>
        <v>177</v>
      </c>
      <c r="CN21" s="88">
        <f t="shared" si="37"/>
        <v>811</v>
      </c>
      <c r="CO21" s="88">
        <f t="shared" si="38"/>
        <v>1905</v>
      </c>
      <c r="CP21" s="88">
        <f t="shared" si="39"/>
        <v>52</v>
      </c>
      <c r="CQ21" s="88">
        <f t="shared" si="40"/>
        <v>1729</v>
      </c>
      <c r="CR21" s="88">
        <f t="shared" si="41"/>
        <v>36</v>
      </c>
      <c r="CS21" s="88">
        <f t="shared" si="42"/>
        <v>88</v>
      </c>
      <c r="CT21" s="88">
        <f t="shared" si="43"/>
        <v>730.82500000000005</v>
      </c>
      <c r="CU21" s="88">
        <f t="shared" si="44"/>
        <v>580</v>
      </c>
      <c r="CV21" s="88">
        <f t="shared" si="45"/>
        <v>54</v>
      </c>
      <c r="CW21" s="88">
        <f t="shared" si="46"/>
        <v>77</v>
      </c>
      <c r="CX21" s="88">
        <f t="shared" si="47"/>
        <v>8</v>
      </c>
      <c r="CY21" s="88">
        <f t="shared" si="48"/>
        <v>105</v>
      </c>
      <c r="CZ21" s="88">
        <f t="shared" si="49"/>
        <v>1857.0250000000001</v>
      </c>
      <c r="DA21" s="90">
        <f t="shared" si="50"/>
        <v>1426.2874999999999</v>
      </c>
      <c r="DB21" s="90">
        <f t="shared" si="51"/>
        <v>430.73750000000001</v>
      </c>
      <c r="DC21" s="88">
        <f t="shared" si="52"/>
        <v>0</v>
      </c>
      <c r="DD21" s="88">
        <f t="shared" si="53"/>
        <v>14405.55</v>
      </c>
      <c r="AUV21" s="699">
        <f t="shared" si="65"/>
        <v>7394.7</v>
      </c>
      <c r="AUW21" s="699">
        <f t="shared" si="66"/>
        <v>5679.49</v>
      </c>
      <c r="AUX21" s="699">
        <f t="shared" si="67"/>
        <v>1715.21</v>
      </c>
      <c r="AUY21" s="699">
        <f t="shared" si="68"/>
        <v>883</v>
      </c>
      <c r="AUZ21" s="699">
        <f t="shared" ref="AUY21:AVB84" si="204">BQ21/T21</f>
        <v>2596.2600000000002</v>
      </c>
      <c r="AVA21" s="699">
        <f t="shared" si="204"/>
        <v>5.05</v>
      </c>
      <c r="AVB21" s="699">
        <f t="shared" si="70"/>
        <v>1905</v>
      </c>
      <c r="AVC21" s="699">
        <f t="shared" si="71"/>
        <v>52</v>
      </c>
      <c r="AVD21" s="699">
        <f t="shared" si="72"/>
        <v>1729</v>
      </c>
      <c r="AVE21" s="699">
        <f t="shared" si="73"/>
        <v>36</v>
      </c>
      <c r="AVF21" s="699">
        <f t="shared" si="74"/>
        <v>88</v>
      </c>
      <c r="AVG21" s="699">
        <f t="shared" si="75"/>
        <v>730.83</v>
      </c>
      <c r="AVH21" s="699">
        <f t="shared" si="76"/>
        <v>580</v>
      </c>
      <c r="AVI21" s="699">
        <f t="shared" si="77"/>
        <v>54</v>
      </c>
      <c r="AVJ21" s="699">
        <f t="shared" si="78"/>
        <v>77</v>
      </c>
      <c r="AVK21" s="699">
        <f t="shared" si="79"/>
        <v>8</v>
      </c>
      <c r="AVL21" s="699">
        <f t="shared" si="80"/>
        <v>105</v>
      </c>
      <c r="AVM21" s="699">
        <f t="shared" si="81"/>
        <v>1857.03</v>
      </c>
      <c r="AVN21" s="699">
        <f t="shared" si="82"/>
        <v>1426.29</v>
      </c>
      <c r="AVO21" s="699">
        <f t="shared" si="83"/>
        <v>430.74</v>
      </c>
      <c r="AVP21" s="699">
        <f t="shared" si="84"/>
        <v>0</v>
      </c>
      <c r="AVQ21" s="699">
        <f t="shared" si="85"/>
        <v>14405.55</v>
      </c>
    </row>
    <row r="22" spans="1:108 1244:1265" s="436" customFormat="1" ht="30" customHeight="1" x14ac:dyDescent="0.25">
      <c r="A22" s="641">
        <v>1</v>
      </c>
      <c r="B22" s="641">
        <v>1</v>
      </c>
      <c r="C22" s="662" t="s">
        <v>246</v>
      </c>
      <c r="D22" s="2"/>
      <c r="E22" s="431" t="s">
        <v>345</v>
      </c>
      <c r="F22" s="641" t="s">
        <v>38</v>
      </c>
      <c r="G22" s="641">
        <v>2</v>
      </c>
      <c r="H22" s="655" t="s">
        <v>10</v>
      </c>
      <c r="I22" s="641">
        <v>0</v>
      </c>
      <c r="J22" s="431" t="s">
        <v>361</v>
      </c>
      <c r="K22" s="641">
        <v>3</v>
      </c>
      <c r="L22" s="680" t="s">
        <v>350</v>
      </c>
      <c r="M22" s="432" t="s">
        <v>267</v>
      </c>
      <c r="N22" s="431" t="s">
        <v>387</v>
      </c>
      <c r="O22" s="641">
        <v>1</v>
      </c>
      <c r="P22" s="695">
        <v>10</v>
      </c>
      <c r="Q22" s="632">
        <v>10</v>
      </c>
      <c r="R22" s="632">
        <v>10</v>
      </c>
      <c r="S22" s="669">
        <f>SUMIF('Территориальный кк'!$A:$A,'2020'!$B22,'Территориальный кк'!D:D)</f>
        <v>1.1519999999999999</v>
      </c>
      <c r="T22" s="670">
        <f>SUMIF('Территориальный кк'!$A:$A,'2020'!$B22,'Территориальный кк'!E:E)</f>
        <v>2.7269999999999999</v>
      </c>
      <c r="U22" s="433">
        <f>SUMIFS(Нормативы!G:G,Нормативы!$B:$B,$G22,Нормативы!$D:$D,'2020'!$I22,Нормативы!$F:$F,'2020'!$K22)*O22</f>
        <v>70600</v>
      </c>
      <c r="V22" s="433">
        <f t="shared" si="98"/>
        <v>54224.3</v>
      </c>
      <c r="W22" s="433">
        <f t="shared" si="99"/>
        <v>16375.7</v>
      </c>
      <c r="X22" s="433">
        <f>SUMIFS(Нормативы!J:J,Нормативы!$B:$B,$G22,Нормативы!$D:$D,'2020'!$I22,Нормативы!$F:$F,'2020'!$K22)</f>
        <v>8860</v>
      </c>
      <c r="Y22" s="433">
        <f>SUMIFS(Нормативы!K:K,Нормативы!$B:$B,$G22,Нормативы!$D:$D,'2020'!$I22,Нормативы!$F:$F,'2020'!$K22)</f>
        <v>0</v>
      </c>
      <c r="Z22" s="433">
        <f>SUMIFS(Нормативы!L:L,Нормативы!$B:$B,$G22,Нормативы!$D:$D,'2020'!$I22,Нормативы!$F:$F,'2020'!$K22)</f>
        <v>8110</v>
      </c>
      <c r="AA22" s="433">
        <f t="shared" si="100"/>
        <v>21610</v>
      </c>
      <c r="AB22" s="433">
        <f>SUMIFS(Нормативы!N:N,Нормативы!$B:$B,$G22,Нормативы!$D:$D,'2020'!$I22,Нормативы!$F:$F,'2020'!$K22)*O22</f>
        <v>520</v>
      </c>
      <c r="AC22" s="433">
        <f>SUMIFS(Нормативы!O:O,Нормативы!$B:$B,$G22,Нормативы!$D:$D,'2020'!$I22,Нормативы!$F:$F,'2020'!$K22)</f>
        <v>19720</v>
      </c>
      <c r="AD22" s="433">
        <f>SUMIFS(Нормативы!P:P,Нормативы!$B:$B,$G22,Нормативы!$D:$D,'2020'!$I22,Нормативы!$F:$F,'2020'!$K22)*O22</f>
        <v>400</v>
      </c>
      <c r="AE22" s="433">
        <f>SUMIFS(Нормативы!Q:Q,Нормативы!$B:$B,$G22,Нормативы!$D:$D,'2020'!$I22,Нормативы!$F:$F,'2020'!$K22)</f>
        <v>970</v>
      </c>
      <c r="AF22" s="433">
        <f>SUMIFS(Нормативы!R:R,Нормативы!$B:$B,$G22,Нормативы!$D:$D,'2020'!$I22,Нормативы!$F:$F,'2020'!$K22)</f>
        <v>2680</v>
      </c>
      <c r="AG22" s="433">
        <f>SUMIFS(Нормативы!S:S,Нормативы!$B:$B,$G22,Нормативы!$D:$D,'2020'!$I22,Нормативы!$F:$F,'2020'!$K22)</f>
        <v>5800</v>
      </c>
      <c r="AH22" s="433">
        <f>SUMIFS(Нормативы!T:T,Нормативы!$B:$B,$G22,Нормативы!$D:$D,'2020'!$I22,Нормативы!$F:$F,'2020'!$K22)</f>
        <v>540</v>
      </c>
      <c r="AI22" s="433">
        <f>SUMIFS(Нормативы!U:U,Нормативы!$B:$B,$G22,Нормативы!$D:$D,'2020'!$I22,Нормативы!$F:$F,'2020'!$K22)</f>
        <v>770</v>
      </c>
      <c r="AJ22" s="433">
        <f>SUMIFS(Нормативы!V:V,Нормативы!$B:$B,$G22,Нормативы!$D:$D,'2020'!$I22,Нормативы!$F:$F,'2020'!$K22)</f>
        <v>80</v>
      </c>
      <c r="AK22" s="433">
        <f>SUMIFS(Нормативы!W:W,Нормативы!$B:$B,$G22,Нормативы!$D:$D,'2020'!$I22,Нормативы!$F:$F,'2020'!$K22)</f>
        <v>330</v>
      </c>
      <c r="AL22" s="433">
        <f>SUMIFS(Нормативы!X:X,Нормативы!$B:$B,$G22,Нормативы!$D:$D,'2020'!$I22,Нормативы!$F:$F,'2020'!$K22)*O22</f>
        <v>16120</v>
      </c>
      <c r="AM22" s="433">
        <f t="shared" si="101"/>
        <v>12381</v>
      </c>
      <c r="AN22" s="433">
        <f t="shared" si="102"/>
        <v>3739</v>
      </c>
      <c r="AO22" s="433">
        <f>SUMIFS(Нормативы!AA:AA,Нормативы!$B:$B,$G22,Нормативы!$D:$D,'2020'!$I22,Нормативы!$F:$F,'2020'!$K22)</f>
        <v>3520</v>
      </c>
      <c r="AP22" s="434">
        <f t="shared" si="103"/>
        <v>139020</v>
      </c>
      <c r="AQ22" s="609">
        <f t="shared" si="104"/>
        <v>706000</v>
      </c>
      <c r="AR22" s="433">
        <f t="shared" si="105"/>
        <v>542242.69999999995</v>
      </c>
      <c r="AS22" s="433">
        <f t="shared" si="106"/>
        <v>163757.29999999999</v>
      </c>
      <c r="AT22" s="435">
        <f t="shared" si="0"/>
        <v>88600</v>
      </c>
      <c r="AU22" s="435">
        <f t="shared" si="1"/>
        <v>0</v>
      </c>
      <c r="AV22" s="435">
        <f t="shared" si="2"/>
        <v>81100</v>
      </c>
      <c r="AW22" s="435">
        <f t="shared" si="3"/>
        <v>216100</v>
      </c>
      <c r="AX22" s="435">
        <f t="shared" si="4"/>
        <v>5200</v>
      </c>
      <c r="AY22" s="435">
        <f t="shared" si="5"/>
        <v>197200</v>
      </c>
      <c r="AZ22" s="435">
        <f t="shared" si="6"/>
        <v>4000</v>
      </c>
      <c r="BA22" s="435">
        <f t="shared" si="7"/>
        <v>9700</v>
      </c>
      <c r="BB22" s="435">
        <f t="shared" si="107"/>
        <v>26800</v>
      </c>
      <c r="BC22" s="435">
        <f t="shared" si="8"/>
        <v>58000</v>
      </c>
      <c r="BD22" s="435">
        <f t="shared" si="9"/>
        <v>5400</v>
      </c>
      <c r="BE22" s="435">
        <f t="shared" si="10"/>
        <v>7700</v>
      </c>
      <c r="BF22" s="435">
        <f t="shared" si="11"/>
        <v>800</v>
      </c>
      <c r="BG22" s="435">
        <f t="shared" si="12"/>
        <v>3300</v>
      </c>
      <c r="BH22" s="435">
        <f t="shared" si="13"/>
        <v>161200</v>
      </c>
      <c r="BI22" s="433">
        <f t="shared" si="108"/>
        <v>123809.5</v>
      </c>
      <c r="BJ22" s="433">
        <f t="shared" si="109"/>
        <v>37390.5</v>
      </c>
      <c r="BK22" s="435">
        <f t="shared" si="14"/>
        <v>35200</v>
      </c>
      <c r="BL22" s="434">
        <f t="shared" si="15"/>
        <v>1390200</v>
      </c>
      <c r="BM22" s="613">
        <f t="shared" si="110"/>
        <v>813312</v>
      </c>
      <c r="BN22" s="433">
        <f t="shared" si="16"/>
        <v>624663.6</v>
      </c>
      <c r="BO22" s="433">
        <f t="shared" si="17"/>
        <v>188648.4</v>
      </c>
      <c r="BP22" s="435">
        <f t="shared" si="111"/>
        <v>88600</v>
      </c>
      <c r="BQ22" s="435">
        <f t="shared" si="112"/>
        <v>0</v>
      </c>
      <c r="BR22" s="435">
        <f t="shared" si="113"/>
        <v>81100</v>
      </c>
      <c r="BS22" s="435">
        <f t="shared" si="18"/>
        <v>216100</v>
      </c>
      <c r="BT22" s="34">
        <f t="shared" si="19"/>
        <v>5200</v>
      </c>
      <c r="BU22" s="34">
        <f t="shared" si="20"/>
        <v>197200</v>
      </c>
      <c r="BV22" s="34">
        <f t="shared" si="21"/>
        <v>4000</v>
      </c>
      <c r="BW22" s="34">
        <f t="shared" si="22"/>
        <v>9700</v>
      </c>
      <c r="BX22" s="435">
        <f t="shared" si="23"/>
        <v>73084</v>
      </c>
      <c r="BY22" s="435">
        <f t="shared" si="24"/>
        <v>58000</v>
      </c>
      <c r="BZ22" s="435">
        <f t="shared" si="25"/>
        <v>5400</v>
      </c>
      <c r="CA22" s="435">
        <f t="shared" si="26"/>
        <v>7700</v>
      </c>
      <c r="CB22" s="435">
        <f t="shared" si="27"/>
        <v>800</v>
      </c>
      <c r="CC22" s="435">
        <f t="shared" si="28"/>
        <v>3300</v>
      </c>
      <c r="CD22" s="435">
        <f t="shared" si="29"/>
        <v>185702</v>
      </c>
      <c r="CE22" s="433">
        <f t="shared" si="114"/>
        <v>142628.29999999999</v>
      </c>
      <c r="CF22" s="433">
        <f t="shared" si="115"/>
        <v>43073.7</v>
      </c>
      <c r="CG22" s="435">
        <f t="shared" si="30"/>
        <v>35200</v>
      </c>
      <c r="CH22" s="434">
        <f t="shared" si="31"/>
        <v>1568298</v>
      </c>
      <c r="CI22" s="88">
        <f t="shared" si="32"/>
        <v>81331.199999999997</v>
      </c>
      <c r="CJ22" s="90">
        <f t="shared" si="33"/>
        <v>62466.36</v>
      </c>
      <c r="CK22" s="90">
        <f t="shared" si="34"/>
        <v>18864.84</v>
      </c>
      <c r="CL22" s="88">
        <f t="shared" si="35"/>
        <v>8860</v>
      </c>
      <c r="CM22" s="88">
        <f t="shared" si="36"/>
        <v>0</v>
      </c>
      <c r="CN22" s="88">
        <f t="shared" si="37"/>
        <v>8110</v>
      </c>
      <c r="CO22" s="88">
        <f t="shared" si="38"/>
        <v>21610</v>
      </c>
      <c r="CP22" s="88">
        <f t="shared" si="39"/>
        <v>520</v>
      </c>
      <c r="CQ22" s="88">
        <f t="shared" si="40"/>
        <v>19720</v>
      </c>
      <c r="CR22" s="88">
        <f t="shared" si="41"/>
        <v>400</v>
      </c>
      <c r="CS22" s="88">
        <f t="shared" si="42"/>
        <v>970</v>
      </c>
      <c r="CT22" s="88">
        <f t="shared" si="43"/>
        <v>7308.4</v>
      </c>
      <c r="CU22" s="88">
        <f t="shared" si="44"/>
        <v>5800</v>
      </c>
      <c r="CV22" s="88">
        <f t="shared" si="45"/>
        <v>540</v>
      </c>
      <c r="CW22" s="88">
        <f t="shared" si="46"/>
        <v>770</v>
      </c>
      <c r="CX22" s="88">
        <f t="shared" si="47"/>
        <v>80</v>
      </c>
      <c r="CY22" s="88">
        <f t="shared" si="48"/>
        <v>330</v>
      </c>
      <c r="CZ22" s="88">
        <f t="shared" si="49"/>
        <v>18570.2</v>
      </c>
      <c r="DA22" s="90">
        <f t="shared" si="50"/>
        <v>14262.83</v>
      </c>
      <c r="DB22" s="90">
        <f t="shared" si="51"/>
        <v>4307.37</v>
      </c>
      <c r="DC22" s="88">
        <f t="shared" si="52"/>
        <v>3520</v>
      </c>
      <c r="DD22" s="88">
        <f t="shared" si="53"/>
        <v>156829.79999999999</v>
      </c>
      <c r="AUV22" s="699">
        <f t="shared" si="65"/>
        <v>81331.199999999997</v>
      </c>
      <c r="AUW22" s="699">
        <f t="shared" si="66"/>
        <v>62466.36</v>
      </c>
      <c r="AUX22" s="699">
        <f t="shared" si="67"/>
        <v>18864.84</v>
      </c>
      <c r="AUY22" s="699">
        <f t="shared" si="68"/>
        <v>8860</v>
      </c>
      <c r="AUZ22" s="699">
        <f t="shared" si="204"/>
        <v>0</v>
      </c>
      <c r="AVA22" s="699">
        <f t="shared" si="204"/>
        <v>1.1499999999999999</v>
      </c>
      <c r="AVB22" s="699">
        <f t="shared" si="70"/>
        <v>21610</v>
      </c>
      <c r="AVC22" s="699">
        <f t="shared" si="71"/>
        <v>520</v>
      </c>
      <c r="AVD22" s="699">
        <f t="shared" si="72"/>
        <v>19720</v>
      </c>
      <c r="AVE22" s="699">
        <f t="shared" si="73"/>
        <v>400</v>
      </c>
      <c r="AVF22" s="699">
        <f t="shared" si="74"/>
        <v>970</v>
      </c>
      <c r="AVG22" s="699">
        <f t="shared" si="75"/>
        <v>7308.4</v>
      </c>
      <c r="AVH22" s="699">
        <f t="shared" si="76"/>
        <v>5800</v>
      </c>
      <c r="AVI22" s="699">
        <f t="shared" si="77"/>
        <v>540</v>
      </c>
      <c r="AVJ22" s="699">
        <f t="shared" si="78"/>
        <v>770</v>
      </c>
      <c r="AVK22" s="699">
        <f t="shared" si="79"/>
        <v>80</v>
      </c>
      <c r="AVL22" s="699">
        <f t="shared" si="80"/>
        <v>330</v>
      </c>
      <c r="AVM22" s="699">
        <f t="shared" si="81"/>
        <v>18570.2</v>
      </c>
      <c r="AVN22" s="699">
        <f t="shared" si="82"/>
        <v>14262.83</v>
      </c>
      <c r="AVO22" s="699">
        <f t="shared" si="83"/>
        <v>4307.37</v>
      </c>
      <c r="AVP22" s="699">
        <f t="shared" si="84"/>
        <v>3520</v>
      </c>
      <c r="AVQ22" s="699">
        <f t="shared" si="85"/>
        <v>156829.79999999999</v>
      </c>
    </row>
    <row r="23" spans="1:108 1244:1265" s="436" customFormat="1" ht="30" customHeight="1" x14ac:dyDescent="0.25">
      <c r="A23" s="641">
        <v>1</v>
      </c>
      <c r="B23" s="641">
        <v>1</v>
      </c>
      <c r="C23" s="662" t="s">
        <v>246</v>
      </c>
      <c r="D23" s="2"/>
      <c r="E23" s="431" t="s">
        <v>345</v>
      </c>
      <c r="F23" s="641" t="s">
        <v>38</v>
      </c>
      <c r="G23" s="641">
        <v>2</v>
      </c>
      <c r="H23" s="655" t="s">
        <v>10</v>
      </c>
      <c r="I23" s="641">
        <v>0</v>
      </c>
      <c r="J23" s="431" t="s">
        <v>362</v>
      </c>
      <c r="K23" s="641">
        <v>3</v>
      </c>
      <c r="L23" s="680" t="s">
        <v>350</v>
      </c>
      <c r="M23" s="432" t="s">
        <v>268</v>
      </c>
      <c r="N23" s="431" t="s">
        <v>387</v>
      </c>
      <c r="O23" s="641">
        <v>1</v>
      </c>
      <c r="P23" s="695">
        <v>3</v>
      </c>
      <c r="Q23" s="632">
        <v>3</v>
      </c>
      <c r="R23" s="632">
        <v>3</v>
      </c>
      <c r="S23" s="669">
        <f>SUMIF('Территориальный кк'!$A:$A,'2020'!$B23,'Территориальный кк'!D:D)</f>
        <v>1.1519999999999999</v>
      </c>
      <c r="T23" s="670">
        <f>SUMIF('Территориальный кк'!$A:$A,'2020'!$B23,'Территориальный кк'!E:E)</f>
        <v>2.7269999999999999</v>
      </c>
      <c r="U23" s="433">
        <f>SUMIFS(Нормативы!G:G,Нормативы!$B:$B,$G23,Нормативы!$D:$D,'2020'!$I23,Нормативы!$F:$F,'2020'!$K23)*O23</f>
        <v>70600</v>
      </c>
      <c r="V23" s="433">
        <f t="shared" si="98"/>
        <v>54224.3</v>
      </c>
      <c r="W23" s="433">
        <f t="shared" si="99"/>
        <v>16375.7</v>
      </c>
      <c r="X23" s="433">
        <f>SUMIFS(Нормативы!J:J,Нормативы!$B:$B,$G23,Нормативы!$D:$D,'2020'!$I23,Нормативы!$F:$F,'2020'!$K23)</f>
        <v>8860</v>
      </c>
      <c r="Y23" s="433">
        <f>SUMIFS(Нормативы!K:K,Нормативы!$B:$B,$G23,Нормативы!$D:$D,'2020'!$I23,Нормативы!$F:$F,'2020'!$K23)</f>
        <v>0</v>
      </c>
      <c r="Z23" s="433">
        <f>SUMIFS(Нормативы!L:L,Нормативы!$B:$B,$G23,Нормативы!$D:$D,'2020'!$I23,Нормативы!$F:$F,'2020'!$K23)</f>
        <v>8110</v>
      </c>
      <c r="AA23" s="433">
        <f t="shared" si="100"/>
        <v>21610</v>
      </c>
      <c r="AB23" s="433">
        <f>SUMIFS(Нормативы!N:N,Нормативы!$B:$B,$G23,Нормативы!$D:$D,'2020'!$I23,Нормативы!$F:$F,'2020'!$K23)*O23</f>
        <v>520</v>
      </c>
      <c r="AC23" s="433">
        <f>SUMIFS(Нормативы!O:O,Нормативы!$B:$B,$G23,Нормативы!$D:$D,'2020'!$I23,Нормативы!$F:$F,'2020'!$K23)</f>
        <v>19720</v>
      </c>
      <c r="AD23" s="433">
        <f>SUMIFS(Нормативы!P:P,Нормативы!$B:$B,$G23,Нормативы!$D:$D,'2020'!$I23,Нормативы!$F:$F,'2020'!$K23)*O23</f>
        <v>400</v>
      </c>
      <c r="AE23" s="433">
        <f>SUMIFS(Нормативы!Q:Q,Нормативы!$B:$B,$G23,Нормативы!$D:$D,'2020'!$I23,Нормативы!$F:$F,'2020'!$K23)</f>
        <v>970</v>
      </c>
      <c r="AF23" s="433">
        <f>SUMIFS(Нормативы!R:R,Нормативы!$B:$B,$G23,Нормативы!$D:$D,'2020'!$I23,Нормативы!$F:$F,'2020'!$K23)</f>
        <v>2680</v>
      </c>
      <c r="AG23" s="433">
        <f>SUMIFS(Нормативы!S:S,Нормативы!$B:$B,$G23,Нормативы!$D:$D,'2020'!$I23,Нормативы!$F:$F,'2020'!$K23)</f>
        <v>5800</v>
      </c>
      <c r="AH23" s="433">
        <f>SUMIFS(Нормативы!T:T,Нормативы!$B:$B,$G23,Нормативы!$D:$D,'2020'!$I23,Нормативы!$F:$F,'2020'!$K23)</f>
        <v>540</v>
      </c>
      <c r="AI23" s="433">
        <f>SUMIFS(Нормативы!U:U,Нормативы!$B:$B,$G23,Нормативы!$D:$D,'2020'!$I23,Нормативы!$F:$F,'2020'!$K23)</f>
        <v>770</v>
      </c>
      <c r="AJ23" s="433">
        <f>SUMIFS(Нормативы!V:V,Нормативы!$B:$B,$G23,Нормативы!$D:$D,'2020'!$I23,Нормативы!$F:$F,'2020'!$K23)</f>
        <v>80</v>
      </c>
      <c r="AK23" s="433">
        <f>SUMIFS(Нормативы!W:W,Нормативы!$B:$B,$G23,Нормативы!$D:$D,'2020'!$I23,Нормативы!$F:$F,'2020'!$K23)</f>
        <v>330</v>
      </c>
      <c r="AL23" s="433">
        <f>SUMIFS(Нормативы!X:X,Нормативы!$B:$B,$G23,Нормативы!$D:$D,'2020'!$I23,Нормативы!$F:$F,'2020'!$K23)*O23</f>
        <v>16120</v>
      </c>
      <c r="AM23" s="433">
        <f t="shared" si="101"/>
        <v>12381</v>
      </c>
      <c r="AN23" s="433">
        <f t="shared" si="102"/>
        <v>3739</v>
      </c>
      <c r="AO23" s="433">
        <f>SUMIFS(Нормативы!AA:AA,Нормативы!$B:$B,$G23,Нормативы!$D:$D,'2020'!$I23,Нормативы!$F:$F,'2020'!$K23)</f>
        <v>3520</v>
      </c>
      <c r="AP23" s="434">
        <f t="shared" si="103"/>
        <v>139020</v>
      </c>
      <c r="AQ23" s="609">
        <f t="shared" si="104"/>
        <v>211800</v>
      </c>
      <c r="AR23" s="433">
        <f t="shared" si="105"/>
        <v>162672.79999999999</v>
      </c>
      <c r="AS23" s="433">
        <f t="shared" si="106"/>
        <v>49127.199999999997</v>
      </c>
      <c r="AT23" s="435">
        <f t="shared" si="0"/>
        <v>26580</v>
      </c>
      <c r="AU23" s="435">
        <f t="shared" si="1"/>
        <v>0</v>
      </c>
      <c r="AV23" s="435">
        <f t="shared" si="2"/>
        <v>24330</v>
      </c>
      <c r="AW23" s="435">
        <f t="shared" si="3"/>
        <v>64830</v>
      </c>
      <c r="AX23" s="435">
        <f t="shared" si="4"/>
        <v>1560</v>
      </c>
      <c r="AY23" s="435">
        <f t="shared" si="5"/>
        <v>59160</v>
      </c>
      <c r="AZ23" s="435">
        <f t="shared" si="6"/>
        <v>1200</v>
      </c>
      <c r="BA23" s="435">
        <f t="shared" si="7"/>
        <v>2910</v>
      </c>
      <c r="BB23" s="435">
        <f t="shared" si="107"/>
        <v>8040</v>
      </c>
      <c r="BC23" s="435">
        <f t="shared" si="8"/>
        <v>17400</v>
      </c>
      <c r="BD23" s="435">
        <f t="shared" si="9"/>
        <v>1620</v>
      </c>
      <c r="BE23" s="435">
        <f t="shared" si="10"/>
        <v>2310</v>
      </c>
      <c r="BF23" s="435">
        <f t="shared" si="11"/>
        <v>240</v>
      </c>
      <c r="BG23" s="435">
        <f t="shared" si="12"/>
        <v>990</v>
      </c>
      <c r="BH23" s="435">
        <f t="shared" si="13"/>
        <v>48360</v>
      </c>
      <c r="BI23" s="433">
        <f t="shared" si="108"/>
        <v>37142.9</v>
      </c>
      <c r="BJ23" s="433">
        <f t="shared" si="109"/>
        <v>11217.1</v>
      </c>
      <c r="BK23" s="435">
        <f t="shared" si="14"/>
        <v>10560</v>
      </c>
      <c r="BL23" s="434">
        <f t="shared" si="15"/>
        <v>417060</v>
      </c>
      <c r="BM23" s="613">
        <f t="shared" si="110"/>
        <v>243994</v>
      </c>
      <c r="BN23" s="433">
        <f t="shared" si="16"/>
        <v>187399.4</v>
      </c>
      <c r="BO23" s="433">
        <f t="shared" si="17"/>
        <v>56594.6</v>
      </c>
      <c r="BP23" s="435">
        <f t="shared" si="111"/>
        <v>26580</v>
      </c>
      <c r="BQ23" s="435">
        <f t="shared" si="112"/>
        <v>0</v>
      </c>
      <c r="BR23" s="435">
        <f t="shared" si="113"/>
        <v>24330</v>
      </c>
      <c r="BS23" s="435">
        <f t="shared" si="18"/>
        <v>64830</v>
      </c>
      <c r="BT23" s="34">
        <f t="shared" si="19"/>
        <v>1560</v>
      </c>
      <c r="BU23" s="34">
        <f t="shared" si="20"/>
        <v>59160</v>
      </c>
      <c r="BV23" s="34">
        <f t="shared" si="21"/>
        <v>1200</v>
      </c>
      <c r="BW23" s="34">
        <f t="shared" si="22"/>
        <v>2910</v>
      </c>
      <c r="BX23" s="435">
        <f t="shared" si="23"/>
        <v>21925</v>
      </c>
      <c r="BY23" s="435">
        <f t="shared" si="24"/>
        <v>17400</v>
      </c>
      <c r="BZ23" s="435">
        <f t="shared" si="25"/>
        <v>1620</v>
      </c>
      <c r="CA23" s="435">
        <f t="shared" si="26"/>
        <v>2310</v>
      </c>
      <c r="CB23" s="435">
        <f t="shared" si="27"/>
        <v>240</v>
      </c>
      <c r="CC23" s="435">
        <f t="shared" si="28"/>
        <v>990</v>
      </c>
      <c r="CD23" s="435">
        <f t="shared" si="29"/>
        <v>55711</v>
      </c>
      <c r="CE23" s="433">
        <f t="shared" si="114"/>
        <v>42788.800000000003</v>
      </c>
      <c r="CF23" s="433">
        <f t="shared" si="115"/>
        <v>12922.2</v>
      </c>
      <c r="CG23" s="435">
        <f t="shared" si="30"/>
        <v>10560</v>
      </c>
      <c r="CH23" s="434">
        <f t="shared" si="31"/>
        <v>470490</v>
      </c>
      <c r="CI23" s="88">
        <f t="shared" si="32"/>
        <v>81331.333299999998</v>
      </c>
      <c r="CJ23" s="90">
        <f t="shared" si="33"/>
        <v>62466.466699999997</v>
      </c>
      <c r="CK23" s="90">
        <f t="shared" si="34"/>
        <v>18864.866699999999</v>
      </c>
      <c r="CL23" s="88">
        <f t="shared" si="35"/>
        <v>8860</v>
      </c>
      <c r="CM23" s="88">
        <f t="shared" si="36"/>
        <v>0</v>
      </c>
      <c r="CN23" s="88">
        <f t="shared" si="37"/>
        <v>8110</v>
      </c>
      <c r="CO23" s="88">
        <f t="shared" si="38"/>
        <v>21610</v>
      </c>
      <c r="CP23" s="88">
        <f t="shared" si="39"/>
        <v>520</v>
      </c>
      <c r="CQ23" s="88">
        <f t="shared" si="40"/>
        <v>19720</v>
      </c>
      <c r="CR23" s="88">
        <f t="shared" si="41"/>
        <v>400</v>
      </c>
      <c r="CS23" s="88">
        <f t="shared" si="42"/>
        <v>970</v>
      </c>
      <c r="CT23" s="88">
        <f t="shared" si="43"/>
        <v>7308.3333000000002</v>
      </c>
      <c r="CU23" s="88">
        <f t="shared" si="44"/>
        <v>5800</v>
      </c>
      <c r="CV23" s="88">
        <f t="shared" si="45"/>
        <v>540</v>
      </c>
      <c r="CW23" s="88">
        <f t="shared" si="46"/>
        <v>770</v>
      </c>
      <c r="CX23" s="88">
        <f t="shared" si="47"/>
        <v>80</v>
      </c>
      <c r="CY23" s="88">
        <f t="shared" si="48"/>
        <v>330</v>
      </c>
      <c r="CZ23" s="88">
        <f t="shared" si="49"/>
        <v>18570.333299999998</v>
      </c>
      <c r="DA23" s="90">
        <f t="shared" si="50"/>
        <v>14262.933300000001</v>
      </c>
      <c r="DB23" s="90">
        <f t="shared" si="51"/>
        <v>4307.3999999999996</v>
      </c>
      <c r="DC23" s="88">
        <f t="shared" si="52"/>
        <v>3520</v>
      </c>
      <c r="DD23" s="88">
        <f t="shared" si="53"/>
        <v>156830</v>
      </c>
      <c r="AUV23" s="699">
        <f t="shared" si="65"/>
        <v>81331.33</v>
      </c>
      <c r="AUW23" s="699">
        <f t="shared" si="66"/>
        <v>62466.46</v>
      </c>
      <c r="AUX23" s="699">
        <f t="shared" si="67"/>
        <v>18864.87</v>
      </c>
      <c r="AUY23" s="699">
        <f t="shared" si="68"/>
        <v>8860</v>
      </c>
      <c r="AUZ23" s="699">
        <f t="shared" si="204"/>
        <v>0</v>
      </c>
      <c r="AVA23" s="699">
        <f t="shared" si="204"/>
        <v>0.34</v>
      </c>
      <c r="AVB23" s="699">
        <f t="shared" si="70"/>
        <v>21610</v>
      </c>
      <c r="AVC23" s="699">
        <f t="shared" si="71"/>
        <v>520</v>
      </c>
      <c r="AVD23" s="699">
        <f t="shared" si="72"/>
        <v>19720</v>
      </c>
      <c r="AVE23" s="699">
        <f t="shared" si="73"/>
        <v>400</v>
      </c>
      <c r="AVF23" s="699">
        <f t="shared" si="74"/>
        <v>970</v>
      </c>
      <c r="AVG23" s="699">
        <f t="shared" si="75"/>
        <v>7308.33</v>
      </c>
      <c r="AVH23" s="699">
        <f t="shared" si="76"/>
        <v>5800</v>
      </c>
      <c r="AVI23" s="699">
        <f t="shared" si="77"/>
        <v>540</v>
      </c>
      <c r="AVJ23" s="699">
        <f t="shared" si="78"/>
        <v>770</v>
      </c>
      <c r="AVK23" s="699">
        <f t="shared" si="79"/>
        <v>80</v>
      </c>
      <c r="AVL23" s="699">
        <f t="shared" si="80"/>
        <v>330</v>
      </c>
      <c r="AVM23" s="699">
        <f t="shared" si="81"/>
        <v>18570.330000000002</v>
      </c>
      <c r="AVN23" s="699">
        <f t="shared" si="82"/>
        <v>14262.93</v>
      </c>
      <c r="AVO23" s="699">
        <f t="shared" si="83"/>
        <v>4307.3999999999996</v>
      </c>
      <c r="AVP23" s="699">
        <f t="shared" si="84"/>
        <v>3520</v>
      </c>
      <c r="AVQ23" s="699">
        <f t="shared" si="85"/>
        <v>156830</v>
      </c>
    </row>
    <row r="24" spans="1:108 1244:1265" s="436" customFormat="1" ht="30" customHeight="1" x14ac:dyDescent="0.25">
      <c r="A24" s="641">
        <v>1</v>
      </c>
      <c r="B24" s="641">
        <v>1</v>
      </c>
      <c r="C24" s="662" t="s">
        <v>246</v>
      </c>
      <c r="D24" s="2"/>
      <c r="E24" s="431" t="s">
        <v>345</v>
      </c>
      <c r="F24" s="641" t="s">
        <v>38</v>
      </c>
      <c r="G24" s="641">
        <v>2</v>
      </c>
      <c r="H24" s="655" t="s">
        <v>10</v>
      </c>
      <c r="I24" s="641">
        <v>0</v>
      </c>
      <c r="J24" s="431" t="s">
        <v>363</v>
      </c>
      <c r="K24" s="641">
        <v>3</v>
      </c>
      <c r="L24" s="680" t="s">
        <v>350</v>
      </c>
      <c r="M24" s="432" t="s">
        <v>269</v>
      </c>
      <c r="N24" s="431" t="s">
        <v>387</v>
      </c>
      <c r="O24" s="641">
        <v>1</v>
      </c>
      <c r="P24" s="695">
        <v>6</v>
      </c>
      <c r="Q24" s="632">
        <v>6</v>
      </c>
      <c r="R24" s="632">
        <v>6</v>
      </c>
      <c r="S24" s="669">
        <f>SUMIF('Территориальный кк'!$A:$A,'2020'!$B24,'Территориальный кк'!D:D)</f>
        <v>1.1519999999999999</v>
      </c>
      <c r="T24" s="670">
        <f>SUMIF('Территориальный кк'!$A:$A,'2020'!$B24,'Территориальный кк'!E:E)</f>
        <v>2.7269999999999999</v>
      </c>
      <c r="U24" s="433">
        <f>SUMIFS(Нормативы!G:G,Нормативы!$B:$B,$G24,Нормативы!$D:$D,'2020'!$I24,Нормативы!$F:$F,'2020'!$K24)*O24</f>
        <v>70600</v>
      </c>
      <c r="V24" s="433">
        <f t="shared" si="98"/>
        <v>54224.3</v>
      </c>
      <c r="W24" s="433">
        <f t="shared" si="99"/>
        <v>16375.7</v>
      </c>
      <c r="X24" s="433">
        <f>SUMIFS(Нормативы!J:J,Нормативы!$B:$B,$G24,Нормативы!$D:$D,'2020'!$I24,Нормативы!$F:$F,'2020'!$K24)</f>
        <v>8860</v>
      </c>
      <c r="Y24" s="433">
        <f>SUMIFS(Нормативы!K:K,Нормативы!$B:$B,$G24,Нормативы!$D:$D,'2020'!$I24,Нормативы!$F:$F,'2020'!$K24)</f>
        <v>0</v>
      </c>
      <c r="Z24" s="433">
        <f>SUMIFS(Нормативы!L:L,Нормативы!$B:$B,$G24,Нормативы!$D:$D,'2020'!$I24,Нормативы!$F:$F,'2020'!$K24)</f>
        <v>8110</v>
      </c>
      <c r="AA24" s="433">
        <f t="shared" si="100"/>
        <v>21610</v>
      </c>
      <c r="AB24" s="433">
        <f>SUMIFS(Нормативы!N:N,Нормативы!$B:$B,$G24,Нормативы!$D:$D,'2020'!$I24,Нормативы!$F:$F,'2020'!$K24)*O24</f>
        <v>520</v>
      </c>
      <c r="AC24" s="433">
        <f>SUMIFS(Нормативы!O:O,Нормативы!$B:$B,$G24,Нормативы!$D:$D,'2020'!$I24,Нормативы!$F:$F,'2020'!$K24)</f>
        <v>19720</v>
      </c>
      <c r="AD24" s="433">
        <f>SUMIFS(Нормативы!P:P,Нормативы!$B:$B,$G24,Нормативы!$D:$D,'2020'!$I24,Нормативы!$F:$F,'2020'!$K24)*O24</f>
        <v>400</v>
      </c>
      <c r="AE24" s="433">
        <f>SUMIFS(Нормативы!Q:Q,Нормативы!$B:$B,$G24,Нормативы!$D:$D,'2020'!$I24,Нормативы!$F:$F,'2020'!$K24)</f>
        <v>970</v>
      </c>
      <c r="AF24" s="433">
        <f>SUMIFS(Нормативы!R:R,Нормативы!$B:$B,$G24,Нормативы!$D:$D,'2020'!$I24,Нормативы!$F:$F,'2020'!$K24)</f>
        <v>2680</v>
      </c>
      <c r="AG24" s="433">
        <f>SUMIFS(Нормативы!S:S,Нормативы!$B:$B,$G24,Нормативы!$D:$D,'2020'!$I24,Нормативы!$F:$F,'2020'!$K24)</f>
        <v>5800</v>
      </c>
      <c r="AH24" s="433">
        <f>SUMIFS(Нормативы!T:T,Нормативы!$B:$B,$G24,Нормативы!$D:$D,'2020'!$I24,Нормативы!$F:$F,'2020'!$K24)</f>
        <v>540</v>
      </c>
      <c r="AI24" s="433">
        <f>SUMIFS(Нормативы!U:U,Нормативы!$B:$B,$G24,Нормативы!$D:$D,'2020'!$I24,Нормативы!$F:$F,'2020'!$K24)</f>
        <v>770</v>
      </c>
      <c r="AJ24" s="433">
        <f>SUMIFS(Нормативы!V:V,Нормативы!$B:$B,$G24,Нормативы!$D:$D,'2020'!$I24,Нормативы!$F:$F,'2020'!$K24)</f>
        <v>80</v>
      </c>
      <c r="AK24" s="433">
        <f>SUMIFS(Нормативы!W:W,Нормативы!$B:$B,$G24,Нормативы!$D:$D,'2020'!$I24,Нормативы!$F:$F,'2020'!$K24)</f>
        <v>330</v>
      </c>
      <c r="AL24" s="433">
        <f>SUMIFS(Нормативы!X:X,Нормативы!$B:$B,$G24,Нормативы!$D:$D,'2020'!$I24,Нормативы!$F:$F,'2020'!$K24)*O24</f>
        <v>16120</v>
      </c>
      <c r="AM24" s="433">
        <f t="shared" si="101"/>
        <v>12381</v>
      </c>
      <c r="AN24" s="433">
        <f t="shared" si="102"/>
        <v>3739</v>
      </c>
      <c r="AO24" s="433">
        <f>SUMIFS(Нормативы!AA:AA,Нормативы!$B:$B,$G24,Нормативы!$D:$D,'2020'!$I24,Нормативы!$F:$F,'2020'!$K24)</f>
        <v>3520</v>
      </c>
      <c r="AP24" s="434">
        <f t="shared" si="103"/>
        <v>139020</v>
      </c>
      <c r="AQ24" s="609">
        <f t="shared" si="104"/>
        <v>423600</v>
      </c>
      <c r="AR24" s="433">
        <f t="shared" si="105"/>
        <v>325345.59999999998</v>
      </c>
      <c r="AS24" s="433">
        <f t="shared" si="106"/>
        <v>98254.399999999994</v>
      </c>
      <c r="AT24" s="435">
        <f t="shared" si="0"/>
        <v>53160</v>
      </c>
      <c r="AU24" s="435">
        <f t="shared" si="1"/>
        <v>0</v>
      </c>
      <c r="AV24" s="435">
        <f t="shared" si="2"/>
        <v>48660</v>
      </c>
      <c r="AW24" s="435">
        <f t="shared" si="3"/>
        <v>129660</v>
      </c>
      <c r="AX24" s="435">
        <f t="shared" si="4"/>
        <v>3120</v>
      </c>
      <c r="AY24" s="435">
        <f t="shared" si="5"/>
        <v>118320</v>
      </c>
      <c r="AZ24" s="435">
        <f t="shared" si="6"/>
        <v>2400</v>
      </c>
      <c r="BA24" s="435">
        <f t="shared" si="7"/>
        <v>5820</v>
      </c>
      <c r="BB24" s="435">
        <f t="shared" si="107"/>
        <v>16080</v>
      </c>
      <c r="BC24" s="435">
        <f t="shared" si="8"/>
        <v>34800</v>
      </c>
      <c r="BD24" s="435">
        <f t="shared" si="9"/>
        <v>3240</v>
      </c>
      <c r="BE24" s="435">
        <f t="shared" si="10"/>
        <v>4620</v>
      </c>
      <c r="BF24" s="435">
        <f t="shared" si="11"/>
        <v>480</v>
      </c>
      <c r="BG24" s="435">
        <f t="shared" si="12"/>
        <v>1980</v>
      </c>
      <c r="BH24" s="435">
        <f t="shared" si="13"/>
        <v>96720</v>
      </c>
      <c r="BI24" s="433">
        <f t="shared" si="108"/>
        <v>74285.7</v>
      </c>
      <c r="BJ24" s="433">
        <f t="shared" si="109"/>
        <v>22434.3</v>
      </c>
      <c r="BK24" s="435">
        <f t="shared" si="14"/>
        <v>21120</v>
      </c>
      <c r="BL24" s="434">
        <f t="shared" si="15"/>
        <v>834120</v>
      </c>
      <c r="BM24" s="613">
        <f t="shared" si="110"/>
        <v>487987</v>
      </c>
      <c r="BN24" s="433">
        <f t="shared" si="16"/>
        <v>374798</v>
      </c>
      <c r="BO24" s="433">
        <f t="shared" si="17"/>
        <v>113189</v>
      </c>
      <c r="BP24" s="435">
        <f t="shared" si="111"/>
        <v>53160</v>
      </c>
      <c r="BQ24" s="435">
        <f t="shared" si="112"/>
        <v>0</v>
      </c>
      <c r="BR24" s="435">
        <f t="shared" si="113"/>
        <v>48660</v>
      </c>
      <c r="BS24" s="435">
        <f t="shared" si="18"/>
        <v>129660</v>
      </c>
      <c r="BT24" s="34">
        <f t="shared" si="19"/>
        <v>3120</v>
      </c>
      <c r="BU24" s="34">
        <f t="shared" si="20"/>
        <v>118320</v>
      </c>
      <c r="BV24" s="34">
        <f t="shared" si="21"/>
        <v>2400</v>
      </c>
      <c r="BW24" s="34">
        <f t="shared" si="22"/>
        <v>5820</v>
      </c>
      <c r="BX24" s="435">
        <f t="shared" si="23"/>
        <v>43850</v>
      </c>
      <c r="BY24" s="435">
        <f t="shared" si="24"/>
        <v>34800</v>
      </c>
      <c r="BZ24" s="435">
        <f t="shared" si="25"/>
        <v>3240</v>
      </c>
      <c r="CA24" s="435">
        <f t="shared" si="26"/>
        <v>4620</v>
      </c>
      <c r="CB24" s="435">
        <f t="shared" si="27"/>
        <v>480</v>
      </c>
      <c r="CC24" s="435">
        <f t="shared" si="28"/>
        <v>1980</v>
      </c>
      <c r="CD24" s="435">
        <f t="shared" si="29"/>
        <v>111421</v>
      </c>
      <c r="CE24" s="433">
        <f t="shared" si="114"/>
        <v>85576.8</v>
      </c>
      <c r="CF24" s="433">
        <f t="shared" si="115"/>
        <v>25844.2</v>
      </c>
      <c r="CG24" s="435">
        <f t="shared" si="30"/>
        <v>21120</v>
      </c>
      <c r="CH24" s="434">
        <f t="shared" si="31"/>
        <v>940978</v>
      </c>
      <c r="CI24" s="88">
        <f t="shared" si="32"/>
        <v>81331.166700000002</v>
      </c>
      <c r="CJ24" s="90">
        <f t="shared" si="33"/>
        <v>62466.333299999998</v>
      </c>
      <c r="CK24" s="90">
        <f t="shared" si="34"/>
        <v>18864.833299999998</v>
      </c>
      <c r="CL24" s="88">
        <f t="shared" si="35"/>
        <v>8860</v>
      </c>
      <c r="CM24" s="88">
        <f t="shared" si="36"/>
        <v>0</v>
      </c>
      <c r="CN24" s="88">
        <f t="shared" si="37"/>
        <v>8110</v>
      </c>
      <c r="CO24" s="88">
        <f t="shared" si="38"/>
        <v>21610</v>
      </c>
      <c r="CP24" s="88">
        <f t="shared" si="39"/>
        <v>520</v>
      </c>
      <c r="CQ24" s="88">
        <f t="shared" si="40"/>
        <v>19720</v>
      </c>
      <c r="CR24" s="88">
        <f t="shared" si="41"/>
        <v>400</v>
      </c>
      <c r="CS24" s="88">
        <f t="shared" si="42"/>
        <v>970</v>
      </c>
      <c r="CT24" s="88">
        <f t="shared" si="43"/>
        <v>7308.3333000000002</v>
      </c>
      <c r="CU24" s="88">
        <f t="shared" si="44"/>
        <v>5800</v>
      </c>
      <c r="CV24" s="88">
        <f t="shared" si="45"/>
        <v>540</v>
      </c>
      <c r="CW24" s="88">
        <f t="shared" si="46"/>
        <v>770</v>
      </c>
      <c r="CX24" s="88">
        <f t="shared" si="47"/>
        <v>80</v>
      </c>
      <c r="CY24" s="88">
        <f t="shared" si="48"/>
        <v>330</v>
      </c>
      <c r="CZ24" s="88">
        <f t="shared" si="49"/>
        <v>18570.166700000002</v>
      </c>
      <c r="DA24" s="90">
        <f t="shared" si="50"/>
        <v>14262.8</v>
      </c>
      <c r="DB24" s="90">
        <f t="shared" si="51"/>
        <v>4307.3666999999996</v>
      </c>
      <c r="DC24" s="88">
        <f t="shared" si="52"/>
        <v>3520</v>
      </c>
      <c r="DD24" s="88">
        <f t="shared" si="53"/>
        <v>156829.6667</v>
      </c>
      <c r="AUV24" s="699">
        <f t="shared" si="65"/>
        <v>81331.17</v>
      </c>
      <c r="AUW24" s="699">
        <f t="shared" si="66"/>
        <v>62466.34</v>
      </c>
      <c r="AUX24" s="699">
        <f t="shared" si="67"/>
        <v>18864.830000000002</v>
      </c>
      <c r="AUY24" s="699">
        <f t="shared" si="68"/>
        <v>8860</v>
      </c>
      <c r="AUZ24" s="699">
        <f t="shared" si="204"/>
        <v>0</v>
      </c>
      <c r="AVA24" s="699">
        <f t="shared" si="204"/>
        <v>0.69</v>
      </c>
      <c r="AVB24" s="699">
        <f t="shared" si="70"/>
        <v>21610</v>
      </c>
      <c r="AVC24" s="699">
        <f t="shared" si="71"/>
        <v>520</v>
      </c>
      <c r="AVD24" s="699">
        <f t="shared" si="72"/>
        <v>19720</v>
      </c>
      <c r="AVE24" s="699">
        <f t="shared" si="73"/>
        <v>400</v>
      </c>
      <c r="AVF24" s="699">
        <f t="shared" si="74"/>
        <v>970</v>
      </c>
      <c r="AVG24" s="699">
        <f t="shared" si="75"/>
        <v>7308.33</v>
      </c>
      <c r="AVH24" s="699">
        <f t="shared" si="76"/>
        <v>5800</v>
      </c>
      <c r="AVI24" s="699">
        <f t="shared" si="77"/>
        <v>540</v>
      </c>
      <c r="AVJ24" s="699">
        <f t="shared" si="78"/>
        <v>770</v>
      </c>
      <c r="AVK24" s="699">
        <f t="shared" si="79"/>
        <v>80</v>
      </c>
      <c r="AVL24" s="699">
        <f t="shared" si="80"/>
        <v>330</v>
      </c>
      <c r="AVM24" s="699">
        <f t="shared" si="81"/>
        <v>18570.169999999998</v>
      </c>
      <c r="AVN24" s="699">
        <f t="shared" si="82"/>
        <v>14262.8</v>
      </c>
      <c r="AVO24" s="699">
        <f t="shared" si="83"/>
        <v>4307.37</v>
      </c>
      <c r="AVP24" s="699">
        <f t="shared" si="84"/>
        <v>3520</v>
      </c>
      <c r="AVQ24" s="699">
        <f t="shared" si="85"/>
        <v>156829.67000000001</v>
      </c>
    </row>
    <row r="25" spans="1:108 1244:1265" s="436" customFormat="1" ht="30" customHeight="1" x14ac:dyDescent="0.25">
      <c r="A25" s="641">
        <v>1</v>
      </c>
      <c r="B25" s="641">
        <v>1</v>
      </c>
      <c r="C25" s="662" t="s">
        <v>246</v>
      </c>
      <c r="D25" s="2"/>
      <c r="E25" s="431" t="s">
        <v>345</v>
      </c>
      <c r="F25" s="641" t="s">
        <v>38</v>
      </c>
      <c r="G25" s="641">
        <v>2</v>
      </c>
      <c r="H25" s="655" t="s">
        <v>10</v>
      </c>
      <c r="I25" s="641">
        <v>0</v>
      </c>
      <c r="J25" s="431" t="s">
        <v>364</v>
      </c>
      <c r="K25" s="641">
        <v>3</v>
      </c>
      <c r="L25" s="680" t="s">
        <v>350</v>
      </c>
      <c r="M25" s="432" t="s">
        <v>270</v>
      </c>
      <c r="N25" s="431" t="s">
        <v>387</v>
      </c>
      <c r="O25" s="641">
        <v>1</v>
      </c>
      <c r="P25" s="695">
        <v>38</v>
      </c>
      <c r="Q25" s="632">
        <v>38</v>
      </c>
      <c r="R25" s="632">
        <v>38</v>
      </c>
      <c r="S25" s="669">
        <f>SUMIF('Территориальный кк'!$A:$A,'2020'!$B25,'Территориальный кк'!D:D)</f>
        <v>1.1519999999999999</v>
      </c>
      <c r="T25" s="670">
        <f>SUMIF('Территориальный кк'!$A:$A,'2020'!$B25,'Территориальный кк'!E:E)</f>
        <v>2.7269999999999999</v>
      </c>
      <c r="U25" s="433">
        <f>SUMIFS(Нормативы!G:G,Нормативы!$B:$B,$G25,Нормативы!$D:$D,'2020'!$I25,Нормативы!$F:$F,'2020'!$K25)*O25</f>
        <v>70600</v>
      </c>
      <c r="V25" s="433">
        <f t="shared" si="98"/>
        <v>54224.3</v>
      </c>
      <c r="W25" s="433">
        <f t="shared" si="99"/>
        <v>16375.7</v>
      </c>
      <c r="X25" s="433">
        <f>SUMIFS(Нормативы!J:J,Нормативы!$B:$B,$G25,Нормативы!$D:$D,'2020'!$I25,Нормативы!$F:$F,'2020'!$K25)</f>
        <v>8860</v>
      </c>
      <c r="Y25" s="433">
        <f>SUMIFS(Нормативы!K:K,Нормативы!$B:$B,$G25,Нормативы!$D:$D,'2020'!$I25,Нормативы!$F:$F,'2020'!$K25)</f>
        <v>0</v>
      </c>
      <c r="Z25" s="433">
        <f>SUMIFS(Нормативы!L:L,Нормативы!$B:$B,$G25,Нормативы!$D:$D,'2020'!$I25,Нормативы!$F:$F,'2020'!$K25)</f>
        <v>8110</v>
      </c>
      <c r="AA25" s="433">
        <f t="shared" si="100"/>
        <v>21610</v>
      </c>
      <c r="AB25" s="433">
        <f>SUMIFS(Нормативы!N:N,Нормативы!$B:$B,$G25,Нормативы!$D:$D,'2020'!$I25,Нормативы!$F:$F,'2020'!$K25)*O25</f>
        <v>520</v>
      </c>
      <c r="AC25" s="433">
        <f>SUMIFS(Нормативы!O:O,Нормативы!$B:$B,$G25,Нормативы!$D:$D,'2020'!$I25,Нормативы!$F:$F,'2020'!$K25)</f>
        <v>19720</v>
      </c>
      <c r="AD25" s="433">
        <f>SUMIFS(Нормативы!P:P,Нормативы!$B:$B,$G25,Нормативы!$D:$D,'2020'!$I25,Нормативы!$F:$F,'2020'!$K25)*O25</f>
        <v>400</v>
      </c>
      <c r="AE25" s="433">
        <f>SUMIFS(Нормативы!Q:Q,Нормативы!$B:$B,$G25,Нормативы!$D:$D,'2020'!$I25,Нормативы!$F:$F,'2020'!$K25)</f>
        <v>970</v>
      </c>
      <c r="AF25" s="433">
        <f>SUMIFS(Нормативы!R:R,Нормативы!$B:$B,$G25,Нормативы!$D:$D,'2020'!$I25,Нормативы!$F:$F,'2020'!$K25)</f>
        <v>2680</v>
      </c>
      <c r="AG25" s="433">
        <f>SUMIFS(Нормативы!S:S,Нормативы!$B:$B,$G25,Нормативы!$D:$D,'2020'!$I25,Нормативы!$F:$F,'2020'!$K25)</f>
        <v>5800</v>
      </c>
      <c r="AH25" s="433">
        <f>SUMIFS(Нормативы!T:T,Нормативы!$B:$B,$G25,Нормативы!$D:$D,'2020'!$I25,Нормативы!$F:$F,'2020'!$K25)</f>
        <v>540</v>
      </c>
      <c r="AI25" s="433">
        <f>SUMIFS(Нормативы!U:U,Нормативы!$B:$B,$G25,Нормативы!$D:$D,'2020'!$I25,Нормативы!$F:$F,'2020'!$K25)</f>
        <v>770</v>
      </c>
      <c r="AJ25" s="433">
        <f>SUMIFS(Нормативы!V:V,Нормативы!$B:$B,$G25,Нормативы!$D:$D,'2020'!$I25,Нормативы!$F:$F,'2020'!$K25)</f>
        <v>80</v>
      </c>
      <c r="AK25" s="433">
        <f>SUMIFS(Нормативы!W:W,Нормативы!$B:$B,$G25,Нормативы!$D:$D,'2020'!$I25,Нормативы!$F:$F,'2020'!$K25)</f>
        <v>330</v>
      </c>
      <c r="AL25" s="433">
        <f>SUMIFS(Нормативы!X:X,Нормативы!$B:$B,$G25,Нормативы!$D:$D,'2020'!$I25,Нормативы!$F:$F,'2020'!$K25)*O25</f>
        <v>16120</v>
      </c>
      <c r="AM25" s="433">
        <f t="shared" si="101"/>
        <v>12381</v>
      </c>
      <c r="AN25" s="433">
        <f t="shared" si="102"/>
        <v>3739</v>
      </c>
      <c r="AO25" s="433">
        <f>SUMIFS(Нормативы!AA:AA,Нормативы!$B:$B,$G25,Нормативы!$D:$D,'2020'!$I25,Нормативы!$F:$F,'2020'!$K25)</f>
        <v>3520</v>
      </c>
      <c r="AP25" s="434">
        <f t="shared" si="103"/>
        <v>139020</v>
      </c>
      <c r="AQ25" s="609">
        <f t="shared" si="104"/>
        <v>2682800</v>
      </c>
      <c r="AR25" s="433">
        <f t="shared" si="105"/>
        <v>2060522.3</v>
      </c>
      <c r="AS25" s="433">
        <f t="shared" si="106"/>
        <v>622277.69999999995</v>
      </c>
      <c r="AT25" s="435">
        <f t="shared" si="0"/>
        <v>336680</v>
      </c>
      <c r="AU25" s="435">
        <f t="shared" si="1"/>
        <v>0</v>
      </c>
      <c r="AV25" s="435">
        <f t="shared" si="2"/>
        <v>308180</v>
      </c>
      <c r="AW25" s="435">
        <f t="shared" si="3"/>
        <v>821180</v>
      </c>
      <c r="AX25" s="435">
        <f t="shared" si="4"/>
        <v>19760</v>
      </c>
      <c r="AY25" s="435">
        <f t="shared" si="5"/>
        <v>749360</v>
      </c>
      <c r="AZ25" s="435">
        <f t="shared" si="6"/>
        <v>15200</v>
      </c>
      <c r="BA25" s="435">
        <f t="shared" si="7"/>
        <v>36860</v>
      </c>
      <c r="BB25" s="435">
        <f t="shared" si="107"/>
        <v>101840</v>
      </c>
      <c r="BC25" s="435">
        <f t="shared" si="8"/>
        <v>220400</v>
      </c>
      <c r="BD25" s="435">
        <f t="shared" si="9"/>
        <v>20520</v>
      </c>
      <c r="BE25" s="435">
        <f t="shared" si="10"/>
        <v>29260</v>
      </c>
      <c r="BF25" s="435">
        <f t="shared" si="11"/>
        <v>3040</v>
      </c>
      <c r="BG25" s="435">
        <f t="shared" si="12"/>
        <v>12540</v>
      </c>
      <c r="BH25" s="435">
        <f t="shared" si="13"/>
        <v>612560</v>
      </c>
      <c r="BI25" s="433">
        <f t="shared" si="108"/>
        <v>470476.2</v>
      </c>
      <c r="BJ25" s="433">
        <f t="shared" si="109"/>
        <v>142083.79999999999</v>
      </c>
      <c r="BK25" s="435">
        <f t="shared" si="14"/>
        <v>133760</v>
      </c>
      <c r="BL25" s="434">
        <f t="shared" si="15"/>
        <v>5282760</v>
      </c>
      <c r="BM25" s="613">
        <f t="shared" si="110"/>
        <v>3090586</v>
      </c>
      <c r="BN25" s="433">
        <f t="shared" si="16"/>
        <v>2373722</v>
      </c>
      <c r="BO25" s="433">
        <f t="shared" si="17"/>
        <v>716864</v>
      </c>
      <c r="BP25" s="435">
        <f t="shared" si="111"/>
        <v>336680</v>
      </c>
      <c r="BQ25" s="435">
        <f t="shared" si="112"/>
        <v>0</v>
      </c>
      <c r="BR25" s="435">
        <f t="shared" si="113"/>
        <v>308180</v>
      </c>
      <c r="BS25" s="435">
        <f t="shared" si="18"/>
        <v>821180</v>
      </c>
      <c r="BT25" s="34">
        <f t="shared" si="19"/>
        <v>19760</v>
      </c>
      <c r="BU25" s="34">
        <f t="shared" si="20"/>
        <v>749360</v>
      </c>
      <c r="BV25" s="34">
        <f t="shared" si="21"/>
        <v>15200</v>
      </c>
      <c r="BW25" s="34">
        <f t="shared" si="22"/>
        <v>36860</v>
      </c>
      <c r="BX25" s="435">
        <f t="shared" si="23"/>
        <v>277718</v>
      </c>
      <c r="BY25" s="435">
        <f t="shared" si="24"/>
        <v>220400</v>
      </c>
      <c r="BZ25" s="435">
        <f t="shared" si="25"/>
        <v>20520</v>
      </c>
      <c r="CA25" s="435">
        <f t="shared" si="26"/>
        <v>29260</v>
      </c>
      <c r="CB25" s="435">
        <f t="shared" si="27"/>
        <v>3040</v>
      </c>
      <c r="CC25" s="435">
        <f t="shared" si="28"/>
        <v>12540</v>
      </c>
      <c r="CD25" s="435">
        <f t="shared" si="29"/>
        <v>705669</v>
      </c>
      <c r="CE25" s="433">
        <f t="shared" si="114"/>
        <v>541988.5</v>
      </c>
      <c r="CF25" s="433">
        <f t="shared" si="115"/>
        <v>163680.5</v>
      </c>
      <c r="CG25" s="435">
        <f t="shared" si="30"/>
        <v>133760</v>
      </c>
      <c r="CH25" s="434">
        <f t="shared" si="31"/>
        <v>5959533</v>
      </c>
      <c r="CI25" s="88">
        <f t="shared" si="32"/>
        <v>81331.210500000001</v>
      </c>
      <c r="CJ25" s="90">
        <f t="shared" si="33"/>
        <v>62466.368399999999</v>
      </c>
      <c r="CK25" s="90">
        <f t="shared" si="34"/>
        <v>18864.842100000002</v>
      </c>
      <c r="CL25" s="88">
        <f t="shared" si="35"/>
        <v>8860</v>
      </c>
      <c r="CM25" s="88">
        <f t="shared" si="36"/>
        <v>0</v>
      </c>
      <c r="CN25" s="88">
        <f t="shared" si="37"/>
        <v>8110</v>
      </c>
      <c r="CO25" s="88">
        <f t="shared" si="38"/>
        <v>21610</v>
      </c>
      <c r="CP25" s="88">
        <f t="shared" si="39"/>
        <v>520</v>
      </c>
      <c r="CQ25" s="88">
        <f t="shared" si="40"/>
        <v>19720</v>
      </c>
      <c r="CR25" s="88">
        <f t="shared" si="41"/>
        <v>400</v>
      </c>
      <c r="CS25" s="88">
        <f t="shared" si="42"/>
        <v>970</v>
      </c>
      <c r="CT25" s="88">
        <f t="shared" si="43"/>
        <v>7308.3684000000003</v>
      </c>
      <c r="CU25" s="88">
        <f t="shared" si="44"/>
        <v>5800</v>
      </c>
      <c r="CV25" s="88">
        <f t="shared" si="45"/>
        <v>540</v>
      </c>
      <c r="CW25" s="88">
        <f t="shared" si="46"/>
        <v>770</v>
      </c>
      <c r="CX25" s="88">
        <f t="shared" si="47"/>
        <v>80</v>
      </c>
      <c r="CY25" s="88">
        <f t="shared" si="48"/>
        <v>330</v>
      </c>
      <c r="CZ25" s="88">
        <f t="shared" si="49"/>
        <v>18570.236799999999</v>
      </c>
      <c r="DA25" s="90">
        <f t="shared" si="50"/>
        <v>14262.855299999999</v>
      </c>
      <c r="DB25" s="90">
        <f t="shared" si="51"/>
        <v>4307.3815999999997</v>
      </c>
      <c r="DC25" s="88">
        <f t="shared" si="52"/>
        <v>3520</v>
      </c>
      <c r="DD25" s="88">
        <f t="shared" si="53"/>
        <v>156829.81580000001</v>
      </c>
      <c r="AUV25" s="699">
        <f t="shared" si="65"/>
        <v>81331.210000000006</v>
      </c>
      <c r="AUW25" s="699">
        <f t="shared" si="66"/>
        <v>62466.37</v>
      </c>
      <c r="AUX25" s="699">
        <f t="shared" si="67"/>
        <v>18864.84</v>
      </c>
      <c r="AUY25" s="699">
        <f t="shared" si="68"/>
        <v>8860</v>
      </c>
      <c r="AUZ25" s="699">
        <f t="shared" si="204"/>
        <v>0</v>
      </c>
      <c r="AVA25" s="699">
        <f t="shared" si="204"/>
        <v>4.37</v>
      </c>
      <c r="AVB25" s="699">
        <f t="shared" si="70"/>
        <v>21610</v>
      </c>
      <c r="AVC25" s="699">
        <f t="shared" si="71"/>
        <v>520</v>
      </c>
      <c r="AVD25" s="699">
        <f t="shared" si="72"/>
        <v>19720</v>
      </c>
      <c r="AVE25" s="699">
        <f t="shared" si="73"/>
        <v>400</v>
      </c>
      <c r="AVF25" s="699">
        <f t="shared" si="74"/>
        <v>970</v>
      </c>
      <c r="AVG25" s="699">
        <f t="shared" si="75"/>
        <v>7308.37</v>
      </c>
      <c r="AVH25" s="699">
        <f t="shared" si="76"/>
        <v>5800</v>
      </c>
      <c r="AVI25" s="699">
        <f t="shared" si="77"/>
        <v>540</v>
      </c>
      <c r="AVJ25" s="699">
        <f t="shared" si="78"/>
        <v>770</v>
      </c>
      <c r="AVK25" s="699">
        <f t="shared" si="79"/>
        <v>80</v>
      </c>
      <c r="AVL25" s="699">
        <f t="shared" si="80"/>
        <v>330</v>
      </c>
      <c r="AVM25" s="699">
        <f t="shared" si="81"/>
        <v>18570.240000000002</v>
      </c>
      <c r="AVN25" s="699">
        <f t="shared" si="82"/>
        <v>14262.86</v>
      </c>
      <c r="AVO25" s="699">
        <f t="shared" si="83"/>
        <v>4307.38</v>
      </c>
      <c r="AVP25" s="699">
        <f t="shared" si="84"/>
        <v>3520</v>
      </c>
      <c r="AVQ25" s="699">
        <f t="shared" si="85"/>
        <v>156829.82</v>
      </c>
    </row>
    <row r="26" spans="1:108 1244:1265" s="436" customFormat="1" ht="30" customHeight="1" x14ac:dyDescent="0.25">
      <c r="A26" s="641">
        <v>1</v>
      </c>
      <c r="B26" s="641">
        <v>1</v>
      </c>
      <c r="C26" s="662" t="s">
        <v>246</v>
      </c>
      <c r="D26" s="2"/>
      <c r="E26" s="431" t="s">
        <v>346</v>
      </c>
      <c r="F26" s="641" t="s">
        <v>39</v>
      </c>
      <c r="G26" s="641">
        <v>3</v>
      </c>
      <c r="H26" s="655" t="s">
        <v>10</v>
      </c>
      <c r="I26" s="641">
        <v>0</v>
      </c>
      <c r="J26" s="431" t="s">
        <v>365</v>
      </c>
      <c r="K26" s="641">
        <v>2</v>
      </c>
      <c r="L26" s="680" t="s">
        <v>351</v>
      </c>
      <c r="M26" s="432" t="s">
        <v>271</v>
      </c>
      <c r="N26" s="431" t="s">
        <v>387</v>
      </c>
      <c r="O26" s="641">
        <v>1</v>
      </c>
      <c r="P26" s="695">
        <v>1</v>
      </c>
      <c r="Q26" s="632">
        <v>1</v>
      </c>
      <c r="R26" s="632">
        <v>1</v>
      </c>
      <c r="S26" s="669">
        <f>SUMIF('Территориальный кк'!$A:$A,'2020'!$B26,'Территориальный кк'!D:D)</f>
        <v>1.1519999999999999</v>
      </c>
      <c r="T26" s="670">
        <f>SUMIF('Территориальный кк'!$A:$A,'2020'!$B26,'Территориальный кк'!E:E)</f>
        <v>2.7269999999999999</v>
      </c>
      <c r="U26" s="433">
        <f>SUMIFS(Нормативы!G:G,Нормативы!$B:$B,$G26,Нормативы!$D:$D,'2020'!$I26,Нормативы!$F:$F,'2020'!$K26)*O26</f>
        <v>78450</v>
      </c>
      <c r="V26" s="433">
        <f t="shared" si="98"/>
        <v>60253.5</v>
      </c>
      <c r="W26" s="433">
        <f t="shared" si="99"/>
        <v>18196.5</v>
      </c>
      <c r="X26" s="433">
        <f>SUMIFS(Нормативы!J:J,Нормативы!$B:$B,$G26,Нормативы!$D:$D,'2020'!$I26,Нормативы!$F:$F,'2020'!$K26)</f>
        <v>1610</v>
      </c>
      <c r="Y26" s="433">
        <f>SUMIFS(Нормативы!K:K,Нормативы!$B:$B,$G26,Нормативы!$D:$D,'2020'!$I26,Нормативы!$F:$F,'2020'!$K26)</f>
        <v>322</v>
      </c>
      <c r="Z26" s="433">
        <f>SUMIFS(Нормативы!L:L,Нормативы!$B:$B,$G26,Нормативы!$D:$D,'2020'!$I26,Нормативы!$F:$F,'2020'!$K26)</f>
        <v>3480</v>
      </c>
      <c r="AA26" s="433">
        <f t="shared" si="100"/>
        <v>8580</v>
      </c>
      <c r="AB26" s="433">
        <f>SUMIFS(Нормативы!N:N,Нормативы!$B:$B,$G26,Нормативы!$D:$D,'2020'!$I26,Нормативы!$F:$F,'2020'!$K26)*O26</f>
        <v>880</v>
      </c>
      <c r="AC26" s="433">
        <f>SUMIFS(Нормативы!O:O,Нормативы!$B:$B,$G26,Нормативы!$D:$D,'2020'!$I26,Нормативы!$F:$F,'2020'!$K26)</f>
        <v>6180</v>
      </c>
      <c r="AD26" s="433">
        <f>SUMIFS(Нормативы!P:P,Нормативы!$B:$B,$G26,Нормативы!$D:$D,'2020'!$I26,Нормативы!$F:$F,'2020'!$K26)*O26</f>
        <v>440</v>
      </c>
      <c r="AE26" s="433">
        <f>SUMIFS(Нормативы!Q:Q,Нормативы!$B:$B,$G26,Нормативы!$D:$D,'2020'!$I26,Нормативы!$F:$F,'2020'!$K26)</f>
        <v>1080</v>
      </c>
      <c r="AF26" s="433">
        <f>SUMIFS(Нормативы!R:R,Нормативы!$B:$B,$G26,Нормативы!$D:$D,'2020'!$I26,Нормативы!$F:$F,'2020'!$K26)</f>
        <v>2490</v>
      </c>
      <c r="AG26" s="433">
        <f>SUMIFS(Нормативы!S:S,Нормативы!$B:$B,$G26,Нормативы!$D:$D,'2020'!$I26,Нормативы!$F:$F,'2020'!$K26)</f>
        <v>5800</v>
      </c>
      <c r="AH26" s="433">
        <f>SUMIFS(Нормативы!T:T,Нормативы!$B:$B,$G26,Нормативы!$D:$D,'2020'!$I26,Нормативы!$F:$F,'2020'!$K26)</f>
        <v>540</v>
      </c>
      <c r="AI26" s="433">
        <f>SUMIFS(Нормативы!U:U,Нормативы!$B:$B,$G26,Нормативы!$D:$D,'2020'!$I26,Нормативы!$F:$F,'2020'!$K26)</f>
        <v>770</v>
      </c>
      <c r="AJ26" s="433">
        <f>SUMIFS(Нормативы!V:V,Нормативы!$B:$B,$G26,Нормативы!$D:$D,'2020'!$I26,Нормативы!$F:$F,'2020'!$K26)</f>
        <v>170</v>
      </c>
      <c r="AK26" s="433">
        <f>SUMIFS(Нормативы!W:W,Нормативы!$B:$B,$G26,Нормативы!$D:$D,'2020'!$I26,Нормативы!$F:$F,'2020'!$K26)</f>
        <v>200</v>
      </c>
      <c r="AL26" s="433">
        <f>SUMIFS(Нормативы!X:X,Нормативы!$B:$B,$G26,Нормативы!$D:$D,'2020'!$I26,Нормативы!$F:$F,'2020'!$K26)*O26</f>
        <v>13440</v>
      </c>
      <c r="AM26" s="433">
        <f t="shared" si="101"/>
        <v>10322.6</v>
      </c>
      <c r="AN26" s="433">
        <f t="shared" si="102"/>
        <v>3117.4</v>
      </c>
      <c r="AO26" s="433">
        <f>SUMIFS(Нормативы!AA:AA,Нормативы!$B:$B,$G26,Нормативы!$D:$D,'2020'!$I26,Нормативы!$F:$F,'2020'!$K26)</f>
        <v>0</v>
      </c>
      <c r="AP26" s="434">
        <f t="shared" si="103"/>
        <v>115530</v>
      </c>
      <c r="AQ26" s="609">
        <f t="shared" si="104"/>
        <v>78450</v>
      </c>
      <c r="AR26" s="433">
        <f t="shared" si="105"/>
        <v>60253.5</v>
      </c>
      <c r="AS26" s="433">
        <f t="shared" si="106"/>
        <v>18196.5</v>
      </c>
      <c r="AT26" s="435">
        <f t="shared" si="0"/>
        <v>1610</v>
      </c>
      <c r="AU26" s="435">
        <f t="shared" si="1"/>
        <v>322</v>
      </c>
      <c r="AV26" s="435">
        <f t="shared" si="2"/>
        <v>3480</v>
      </c>
      <c r="AW26" s="435">
        <f t="shared" si="3"/>
        <v>8580</v>
      </c>
      <c r="AX26" s="435">
        <f t="shared" si="4"/>
        <v>880</v>
      </c>
      <c r="AY26" s="435">
        <f t="shared" si="5"/>
        <v>6180</v>
      </c>
      <c r="AZ26" s="435">
        <f t="shared" si="6"/>
        <v>440</v>
      </c>
      <c r="BA26" s="435">
        <f t="shared" si="7"/>
        <v>1080</v>
      </c>
      <c r="BB26" s="435">
        <f t="shared" si="107"/>
        <v>2490</v>
      </c>
      <c r="BC26" s="435">
        <f t="shared" si="8"/>
        <v>5800</v>
      </c>
      <c r="BD26" s="435">
        <f t="shared" si="9"/>
        <v>540</v>
      </c>
      <c r="BE26" s="435">
        <f t="shared" si="10"/>
        <v>770</v>
      </c>
      <c r="BF26" s="435">
        <f t="shared" si="11"/>
        <v>170</v>
      </c>
      <c r="BG26" s="435">
        <f t="shared" si="12"/>
        <v>200</v>
      </c>
      <c r="BH26" s="435">
        <f t="shared" si="13"/>
        <v>13440</v>
      </c>
      <c r="BI26" s="433">
        <f t="shared" si="108"/>
        <v>10322.6</v>
      </c>
      <c r="BJ26" s="433">
        <f t="shared" si="109"/>
        <v>3117.4</v>
      </c>
      <c r="BK26" s="435">
        <f t="shared" si="14"/>
        <v>0</v>
      </c>
      <c r="BL26" s="434">
        <f t="shared" si="15"/>
        <v>115530</v>
      </c>
      <c r="BM26" s="613">
        <f t="shared" si="110"/>
        <v>90374</v>
      </c>
      <c r="BN26" s="433">
        <f t="shared" si="16"/>
        <v>69411.7</v>
      </c>
      <c r="BO26" s="433">
        <f t="shared" si="17"/>
        <v>20962.3</v>
      </c>
      <c r="BP26" s="435">
        <f t="shared" si="111"/>
        <v>1610</v>
      </c>
      <c r="BQ26" s="435">
        <f t="shared" si="112"/>
        <v>322</v>
      </c>
      <c r="BR26" s="435">
        <f t="shared" si="113"/>
        <v>3480</v>
      </c>
      <c r="BS26" s="435">
        <f t="shared" si="18"/>
        <v>8580</v>
      </c>
      <c r="BT26" s="34">
        <f t="shared" si="19"/>
        <v>880</v>
      </c>
      <c r="BU26" s="34">
        <f t="shared" si="20"/>
        <v>6180</v>
      </c>
      <c r="BV26" s="34">
        <f t="shared" si="21"/>
        <v>440</v>
      </c>
      <c r="BW26" s="34">
        <f t="shared" si="22"/>
        <v>1080</v>
      </c>
      <c r="BX26" s="435">
        <f t="shared" si="23"/>
        <v>6790</v>
      </c>
      <c r="BY26" s="435">
        <f t="shared" si="24"/>
        <v>5800</v>
      </c>
      <c r="BZ26" s="435">
        <f t="shared" si="25"/>
        <v>540</v>
      </c>
      <c r="CA26" s="435">
        <f t="shared" si="26"/>
        <v>770</v>
      </c>
      <c r="CB26" s="435">
        <f t="shared" si="27"/>
        <v>170</v>
      </c>
      <c r="CC26" s="435">
        <f t="shared" si="28"/>
        <v>200</v>
      </c>
      <c r="CD26" s="435">
        <f t="shared" si="29"/>
        <v>15483</v>
      </c>
      <c r="CE26" s="433">
        <f t="shared" si="114"/>
        <v>11891.7</v>
      </c>
      <c r="CF26" s="433">
        <f t="shared" si="115"/>
        <v>3591.3</v>
      </c>
      <c r="CG26" s="435">
        <f t="shared" si="30"/>
        <v>0</v>
      </c>
      <c r="CH26" s="434">
        <f t="shared" si="31"/>
        <v>133797</v>
      </c>
      <c r="CI26" s="88">
        <f t="shared" si="32"/>
        <v>90374</v>
      </c>
      <c r="CJ26" s="90">
        <f t="shared" si="33"/>
        <v>69411.7</v>
      </c>
      <c r="CK26" s="90">
        <f t="shared" si="34"/>
        <v>20962.3</v>
      </c>
      <c r="CL26" s="88">
        <f t="shared" si="35"/>
        <v>1610</v>
      </c>
      <c r="CM26" s="88">
        <f t="shared" si="36"/>
        <v>322</v>
      </c>
      <c r="CN26" s="88">
        <f t="shared" si="37"/>
        <v>3480</v>
      </c>
      <c r="CO26" s="88">
        <f t="shared" si="38"/>
        <v>8580</v>
      </c>
      <c r="CP26" s="88">
        <f t="shared" si="39"/>
        <v>880</v>
      </c>
      <c r="CQ26" s="88">
        <f t="shared" si="40"/>
        <v>6180</v>
      </c>
      <c r="CR26" s="88">
        <f t="shared" si="41"/>
        <v>440</v>
      </c>
      <c r="CS26" s="88">
        <f t="shared" si="42"/>
        <v>1080</v>
      </c>
      <c r="CT26" s="88">
        <f t="shared" si="43"/>
        <v>6790</v>
      </c>
      <c r="CU26" s="88">
        <f t="shared" si="44"/>
        <v>5800</v>
      </c>
      <c r="CV26" s="88">
        <f t="shared" si="45"/>
        <v>540</v>
      </c>
      <c r="CW26" s="88">
        <f t="shared" si="46"/>
        <v>770</v>
      </c>
      <c r="CX26" s="88">
        <f t="shared" si="47"/>
        <v>170</v>
      </c>
      <c r="CY26" s="88">
        <f t="shared" si="48"/>
        <v>200</v>
      </c>
      <c r="CZ26" s="88">
        <f t="shared" si="49"/>
        <v>15483</v>
      </c>
      <c r="DA26" s="90">
        <f t="shared" si="50"/>
        <v>11891.7</v>
      </c>
      <c r="DB26" s="90">
        <f t="shared" si="51"/>
        <v>3591.3</v>
      </c>
      <c r="DC26" s="88">
        <f t="shared" si="52"/>
        <v>0</v>
      </c>
      <c r="DD26" s="88">
        <f t="shared" si="53"/>
        <v>133797</v>
      </c>
      <c r="AUV26" s="699">
        <f t="shared" si="65"/>
        <v>90374</v>
      </c>
      <c r="AUW26" s="699">
        <f t="shared" si="66"/>
        <v>69411.67</v>
      </c>
      <c r="AUX26" s="699">
        <f t="shared" si="67"/>
        <v>20962.330000000002</v>
      </c>
      <c r="AUY26" s="699">
        <f t="shared" si="68"/>
        <v>1610</v>
      </c>
      <c r="AUZ26" s="699">
        <f t="shared" si="204"/>
        <v>118.08</v>
      </c>
      <c r="AVA26" s="699">
        <f t="shared" si="204"/>
        <v>0.04</v>
      </c>
      <c r="AVB26" s="699">
        <f t="shared" si="70"/>
        <v>8580</v>
      </c>
      <c r="AVC26" s="699">
        <f t="shared" si="71"/>
        <v>880</v>
      </c>
      <c r="AVD26" s="699">
        <f t="shared" si="72"/>
        <v>6180</v>
      </c>
      <c r="AVE26" s="699">
        <f t="shared" si="73"/>
        <v>440</v>
      </c>
      <c r="AVF26" s="699">
        <f t="shared" si="74"/>
        <v>1080</v>
      </c>
      <c r="AVG26" s="699">
        <f t="shared" si="75"/>
        <v>6790</v>
      </c>
      <c r="AVH26" s="699">
        <f t="shared" si="76"/>
        <v>5800</v>
      </c>
      <c r="AVI26" s="699">
        <f t="shared" si="77"/>
        <v>540</v>
      </c>
      <c r="AVJ26" s="699">
        <f t="shared" si="78"/>
        <v>770</v>
      </c>
      <c r="AVK26" s="699">
        <f t="shared" si="79"/>
        <v>170</v>
      </c>
      <c r="AVL26" s="699">
        <f t="shared" si="80"/>
        <v>200</v>
      </c>
      <c r="AVM26" s="699">
        <f t="shared" si="81"/>
        <v>15483</v>
      </c>
      <c r="AVN26" s="699">
        <f t="shared" si="82"/>
        <v>11891.71</v>
      </c>
      <c r="AVO26" s="699">
        <f t="shared" si="83"/>
        <v>3591.29</v>
      </c>
      <c r="AVP26" s="699">
        <f t="shared" si="84"/>
        <v>0</v>
      </c>
      <c r="AVQ26" s="699">
        <f t="shared" si="85"/>
        <v>133797</v>
      </c>
    </row>
    <row r="27" spans="1:108 1244:1265" s="436" customFormat="1" ht="30" customHeight="1" x14ac:dyDescent="0.25">
      <c r="A27" s="641">
        <v>1</v>
      </c>
      <c r="B27" s="641">
        <v>1</v>
      </c>
      <c r="C27" s="662" t="s">
        <v>246</v>
      </c>
      <c r="D27" s="2"/>
      <c r="E27" s="431" t="s">
        <v>346</v>
      </c>
      <c r="F27" s="641" t="s">
        <v>39</v>
      </c>
      <c r="G27" s="641">
        <v>3</v>
      </c>
      <c r="H27" s="655" t="s">
        <v>10</v>
      </c>
      <c r="I27" s="641">
        <v>0</v>
      </c>
      <c r="J27" s="431" t="s">
        <v>366</v>
      </c>
      <c r="K27" s="641">
        <v>3</v>
      </c>
      <c r="L27" s="680" t="s">
        <v>351</v>
      </c>
      <c r="M27" s="432" t="s">
        <v>272</v>
      </c>
      <c r="N27" s="431" t="s">
        <v>387</v>
      </c>
      <c r="O27" s="641">
        <v>1</v>
      </c>
      <c r="P27" s="695">
        <v>4</v>
      </c>
      <c r="Q27" s="632">
        <v>4</v>
      </c>
      <c r="R27" s="632">
        <v>4</v>
      </c>
      <c r="S27" s="669">
        <f>SUMIF('Территориальный кк'!$A:$A,'2020'!$B27,'Территориальный кк'!D:D)</f>
        <v>1.1519999999999999</v>
      </c>
      <c r="T27" s="670">
        <f>SUMIF('Территориальный кк'!$A:$A,'2020'!$B27,'Территориальный кк'!E:E)</f>
        <v>2.7269999999999999</v>
      </c>
      <c r="U27" s="433">
        <f>SUMIFS(Нормативы!G:G,Нормативы!$B:$B,$G27,Нормативы!$D:$D,'2020'!$I27,Нормативы!$F:$F,'2020'!$K27)*O27</f>
        <v>78450</v>
      </c>
      <c r="V27" s="433">
        <f t="shared" si="98"/>
        <v>60253.5</v>
      </c>
      <c r="W27" s="433">
        <f t="shared" si="99"/>
        <v>18196.5</v>
      </c>
      <c r="X27" s="433">
        <f>SUMIFS(Нормативы!J:J,Нормативы!$B:$B,$G27,Нормативы!$D:$D,'2020'!$I27,Нормативы!$F:$F,'2020'!$K27)</f>
        <v>6840</v>
      </c>
      <c r="Y27" s="433">
        <f>SUMIFS(Нормативы!K:K,Нормативы!$B:$B,$G27,Нормативы!$D:$D,'2020'!$I27,Нормативы!$F:$F,'2020'!$K27)</f>
        <v>1368</v>
      </c>
      <c r="Z27" s="433">
        <f>SUMIFS(Нормативы!L:L,Нормативы!$B:$B,$G27,Нормативы!$D:$D,'2020'!$I27,Нормативы!$F:$F,'2020'!$K27)</f>
        <v>8110</v>
      </c>
      <c r="AA27" s="433">
        <f t="shared" si="100"/>
        <v>23360</v>
      </c>
      <c r="AB27" s="433">
        <f>SUMIFS(Нормативы!N:N,Нормативы!$B:$B,$G27,Нормативы!$D:$D,'2020'!$I27,Нормативы!$F:$F,'2020'!$K27)*O27</f>
        <v>880</v>
      </c>
      <c r="AC27" s="433">
        <f>SUMIFS(Нормативы!O:O,Нормативы!$B:$B,$G27,Нормативы!$D:$D,'2020'!$I27,Нормативы!$F:$F,'2020'!$K27)</f>
        <v>20960</v>
      </c>
      <c r="AD27" s="433">
        <f>SUMIFS(Нормативы!P:P,Нормативы!$B:$B,$G27,Нормативы!$D:$D,'2020'!$I27,Нормативы!$F:$F,'2020'!$K27)*O27</f>
        <v>440</v>
      </c>
      <c r="AE27" s="433">
        <f>SUMIFS(Нормативы!Q:Q,Нормативы!$B:$B,$G27,Нормативы!$D:$D,'2020'!$I27,Нормативы!$F:$F,'2020'!$K27)</f>
        <v>1080</v>
      </c>
      <c r="AF27" s="433">
        <f>SUMIFS(Нормативы!R:R,Нормативы!$B:$B,$G27,Нормативы!$D:$D,'2020'!$I27,Нормативы!$F:$F,'2020'!$K27)</f>
        <v>2700</v>
      </c>
      <c r="AG27" s="433">
        <f>SUMIFS(Нормативы!S:S,Нормативы!$B:$B,$G27,Нормативы!$D:$D,'2020'!$I27,Нормативы!$F:$F,'2020'!$K27)</f>
        <v>5800</v>
      </c>
      <c r="AH27" s="433">
        <f>SUMIFS(Нормативы!T:T,Нормативы!$B:$B,$G27,Нормативы!$D:$D,'2020'!$I27,Нормативы!$F:$F,'2020'!$K27)</f>
        <v>540</v>
      </c>
      <c r="AI27" s="433">
        <f>SUMIFS(Нормативы!U:U,Нормативы!$B:$B,$G27,Нормативы!$D:$D,'2020'!$I27,Нормативы!$F:$F,'2020'!$K27)</f>
        <v>770</v>
      </c>
      <c r="AJ27" s="433">
        <f>SUMIFS(Нормативы!V:V,Нормативы!$B:$B,$G27,Нормативы!$D:$D,'2020'!$I27,Нормативы!$F:$F,'2020'!$K27)</f>
        <v>170</v>
      </c>
      <c r="AK27" s="433">
        <f>SUMIFS(Нормативы!W:W,Нормативы!$B:$B,$G27,Нормативы!$D:$D,'2020'!$I27,Нормативы!$F:$F,'2020'!$K27)</f>
        <v>200</v>
      </c>
      <c r="AL27" s="433">
        <f>SUMIFS(Нормативы!X:X,Нормативы!$B:$B,$G27,Нормативы!$D:$D,'2020'!$I27,Нормативы!$F:$F,'2020'!$K27)*O27</f>
        <v>13440</v>
      </c>
      <c r="AM27" s="433">
        <f t="shared" si="101"/>
        <v>10322.6</v>
      </c>
      <c r="AN27" s="433">
        <f t="shared" si="102"/>
        <v>3117.4</v>
      </c>
      <c r="AO27" s="433">
        <f>SUMIFS(Нормативы!AA:AA,Нормативы!$B:$B,$G27,Нормативы!$D:$D,'2020'!$I27,Нормативы!$F:$F,'2020'!$K27)</f>
        <v>0</v>
      </c>
      <c r="AP27" s="434">
        <f t="shared" si="103"/>
        <v>140380</v>
      </c>
      <c r="AQ27" s="609">
        <f t="shared" si="104"/>
        <v>313800</v>
      </c>
      <c r="AR27" s="433">
        <f t="shared" si="105"/>
        <v>241013.8</v>
      </c>
      <c r="AS27" s="433">
        <f t="shared" si="106"/>
        <v>72786.2</v>
      </c>
      <c r="AT27" s="435">
        <f t="shared" si="0"/>
        <v>27360</v>
      </c>
      <c r="AU27" s="435">
        <f t="shared" si="1"/>
        <v>5472</v>
      </c>
      <c r="AV27" s="435">
        <f t="shared" si="2"/>
        <v>32440</v>
      </c>
      <c r="AW27" s="435">
        <f t="shared" si="3"/>
        <v>93440</v>
      </c>
      <c r="AX27" s="435">
        <f t="shared" si="4"/>
        <v>3520</v>
      </c>
      <c r="AY27" s="435">
        <f t="shared" si="5"/>
        <v>83840</v>
      </c>
      <c r="AZ27" s="435">
        <f t="shared" si="6"/>
        <v>1760</v>
      </c>
      <c r="BA27" s="435">
        <f t="shared" si="7"/>
        <v>4320</v>
      </c>
      <c r="BB27" s="435">
        <f t="shared" si="107"/>
        <v>10800</v>
      </c>
      <c r="BC27" s="435">
        <f t="shared" si="8"/>
        <v>23200</v>
      </c>
      <c r="BD27" s="435">
        <f t="shared" si="9"/>
        <v>2160</v>
      </c>
      <c r="BE27" s="435">
        <f t="shared" si="10"/>
        <v>3080</v>
      </c>
      <c r="BF27" s="435">
        <f t="shared" si="11"/>
        <v>680</v>
      </c>
      <c r="BG27" s="435">
        <f t="shared" si="12"/>
        <v>800</v>
      </c>
      <c r="BH27" s="435">
        <f t="shared" si="13"/>
        <v>53760</v>
      </c>
      <c r="BI27" s="433">
        <f t="shared" si="108"/>
        <v>41290.300000000003</v>
      </c>
      <c r="BJ27" s="433">
        <f t="shared" si="109"/>
        <v>12469.7</v>
      </c>
      <c r="BK27" s="435">
        <f t="shared" si="14"/>
        <v>0</v>
      </c>
      <c r="BL27" s="434">
        <f t="shared" si="15"/>
        <v>561520</v>
      </c>
      <c r="BM27" s="613">
        <f t="shared" si="110"/>
        <v>361498</v>
      </c>
      <c r="BN27" s="433">
        <f t="shared" si="16"/>
        <v>277648.2</v>
      </c>
      <c r="BO27" s="433">
        <f t="shared" si="17"/>
        <v>83849.8</v>
      </c>
      <c r="BP27" s="435">
        <f t="shared" si="111"/>
        <v>27360</v>
      </c>
      <c r="BQ27" s="435">
        <f t="shared" si="112"/>
        <v>5472</v>
      </c>
      <c r="BR27" s="435">
        <f t="shared" si="113"/>
        <v>32440</v>
      </c>
      <c r="BS27" s="435">
        <f t="shared" si="18"/>
        <v>93440</v>
      </c>
      <c r="BT27" s="34">
        <f t="shared" si="19"/>
        <v>3520</v>
      </c>
      <c r="BU27" s="34">
        <f t="shared" si="20"/>
        <v>83840</v>
      </c>
      <c r="BV27" s="34">
        <f t="shared" si="21"/>
        <v>1760</v>
      </c>
      <c r="BW27" s="34">
        <f t="shared" si="22"/>
        <v>4320</v>
      </c>
      <c r="BX27" s="435">
        <f t="shared" si="23"/>
        <v>29452</v>
      </c>
      <c r="BY27" s="435">
        <f t="shared" si="24"/>
        <v>23200</v>
      </c>
      <c r="BZ27" s="435">
        <f t="shared" si="25"/>
        <v>2160</v>
      </c>
      <c r="CA27" s="435">
        <f t="shared" si="26"/>
        <v>3080</v>
      </c>
      <c r="CB27" s="435">
        <f t="shared" si="27"/>
        <v>680</v>
      </c>
      <c r="CC27" s="435">
        <f t="shared" si="28"/>
        <v>800</v>
      </c>
      <c r="CD27" s="435">
        <f t="shared" si="29"/>
        <v>61932</v>
      </c>
      <c r="CE27" s="433">
        <f t="shared" si="114"/>
        <v>47566.8</v>
      </c>
      <c r="CF27" s="433">
        <f t="shared" si="115"/>
        <v>14365.2</v>
      </c>
      <c r="CG27" s="435">
        <f t="shared" si="30"/>
        <v>0</v>
      </c>
      <c r="CH27" s="434">
        <f t="shared" si="31"/>
        <v>636042</v>
      </c>
      <c r="CI27" s="88">
        <f t="shared" si="32"/>
        <v>90374.5</v>
      </c>
      <c r="CJ27" s="90">
        <f t="shared" si="33"/>
        <v>69412.05</v>
      </c>
      <c r="CK27" s="90">
        <f t="shared" si="34"/>
        <v>20962.45</v>
      </c>
      <c r="CL27" s="88">
        <f t="shared" si="35"/>
        <v>6840</v>
      </c>
      <c r="CM27" s="88">
        <f t="shared" si="36"/>
        <v>1368</v>
      </c>
      <c r="CN27" s="88">
        <f t="shared" si="37"/>
        <v>8110</v>
      </c>
      <c r="CO27" s="88">
        <f t="shared" si="38"/>
        <v>23360</v>
      </c>
      <c r="CP27" s="88">
        <f t="shared" si="39"/>
        <v>880</v>
      </c>
      <c r="CQ27" s="88">
        <f t="shared" si="40"/>
        <v>20960</v>
      </c>
      <c r="CR27" s="88">
        <f t="shared" si="41"/>
        <v>440</v>
      </c>
      <c r="CS27" s="88">
        <f t="shared" si="42"/>
        <v>1080</v>
      </c>
      <c r="CT27" s="88">
        <f t="shared" si="43"/>
        <v>7363</v>
      </c>
      <c r="CU27" s="88">
        <f t="shared" si="44"/>
        <v>5800</v>
      </c>
      <c r="CV27" s="88">
        <f t="shared" si="45"/>
        <v>540</v>
      </c>
      <c r="CW27" s="88">
        <f t="shared" si="46"/>
        <v>770</v>
      </c>
      <c r="CX27" s="88">
        <f t="shared" si="47"/>
        <v>170</v>
      </c>
      <c r="CY27" s="88">
        <f t="shared" si="48"/>
        <v>200</v>
      </c>
      <c r="CZ27" s="88">
        <f t="shared" si="49"/>
        <v>15483</v>
      </c>
      <c r="DA27" s="90">
        <f t="shared" si="50"/>
        <v>11891.7</v>
      </c>
      <c r="DB27" s="90">
        <f t="shared" si="51"/>
        <v>3591.3</v>
      </c>
      <c r="DC27" s="88">
        <f t="shared" si="52"/>
        <v>0</v>
      </c>
      <c r="DD27" s="88">
        <f t="shared" si="53"/>
        <v>159010.5</v>
      </c>
      <c r="AUV27" s="699">
        <f t="shared" si="65"/>
        <v>90374.5</v>
      </c>
      <c r="AUW27" s="699">
        <f t="shared" si="66"/>
        <v>69412.06</v>
      </c>
      <c r="AUX27" s="699">
        <f t="shared" si="67"/>
        <v>20962.439999999999</v>
      </c>
      <c r="AUY27" s="699">
        <f t="shared" si="68"/>
        <v>6840</v>
      </c>
      <c r="AUZ27" s="699">
        <f t="shared" si="204"/>
        <v>2006.6</v>
      </c>
      <c r="AVA27" s="699">
        <f t="shared" si="204"/>
        <v>0.41</v>
      </c>
      <c r="AVB27" s="699">
        <f t="shared" si="70"/>
        <v>23360</v>
      </c>
      <c r="AVC27" s="699">
        <f t="shared" si="71"/>
        <v>880</v>
      </c>
      <c r="AVD27" s="699">
        <f t="shared" si="72"/>
        <v>20960</v>
      </c>
      <c r="AVE27" s="699">
        <f t="shared" si="73"/>
        <v>440</v>
      </c>
      <c r="AVF27" s="699">
        <f t="shared" si="74"/>
        <v>1080</v>
      </c>
      <c r="AVG27" s="699">
        <f t="shared" si="75"/>
        <v>7363</v>
      </c>
      <c r="AVH27" s="699">
        <f t="shared" si="76"/>
        <v>5800</v>
      </c>
      <c r="AVI27" s="699">
        <f t="shared" si="77"/>
        <v>540</v>
      </c>
      <c r="AVJ27" s="699">
        <f t="shared" si="78"/>
        <v>770</v>
      </c>
      <c r="AVK27" s="699">
        <f t="shared" si="79"/>
        <v>170</v>
      </c>
      <c r="AVL27" s="699">
        <f t="shared" si="80"/>
        <v>200</v>
      </c>
      <c r="AVM27" s="699">
        <f t="shared" si="81"/>
        <v>15483</v>
      </c>
      <c r="AVN27" s="699">
        <f t="shared" si="82"/>
        <v>11891.71</v>
      </c>
      <c r="AVO27" s="699">
        <f t="shared" si="83"/>
        <v>3591.29</v>
      </c>
      <c r="AVP27" s="699">
        <f t="shared" si="84"/>
        <v>0</v>
      </c>
      <c r="AVQ27" s="699">
        <f t="shared" si="85"/>
        <v>159010.5</v>
      </c>
    </row>
    <row r="28" spans="1:108 1244:1265" s="436" customFormat="1" ht="30" customHeight="1" x14ac:dyDescent="0.25">
      <c r="A28" s="641">
        <v>1</v>
      </c>
      <c r="B28" s="641">
        <v>1</v>
      </c>
      <c r="C28" s="662" t="s">
        <v>246</v>
      </c>
      <c r="D28" s="2"/>
      <c r="E28" s="431" t="s">
        <v>346</v>
      </c>
      <c r="F28" s="641" t="s">
        <v>39</v>
      </c>
      <c r="G28" s="641">
        <v>3</v>
      </c>
      <c r="H28" s="655" t="s">
        <v>10</v>
      </c>
      <c r="I28" s="641">
        <v>0</v>
      </c>
      <c r="J28" s="431" t="s">
        <v>367</v>
      </c>
      <c r="K28" s="641">
        <v>3</v>
      </c>
      <c r="L28" s="680" t="s">
        <v>351</v>
      </c>
      <c r="M28" s="432" t="s">
        <v>273</v>
      </c>
      <c r="N28" s="431" t="s">
        <v>387</v>
      </c>
      <c r="O28" s="641">
        <v>1</v>
      </c>
      <c r="P28" s="695">
        <v>3</v>
      </c>
      <c r="Q28" s="632">
        <v>3</v>
      </c>
      <c r="R28" s="632">
        <v>3</v>
      </c>
      <c r="S28" s="669">
        <f>SUMIF('Территориальный кк'!$A:$A,'2020'!$B28,'Территориальный кк'!D:D)</f>
        <v>1.1519999999999999</v>
      </c>
      <c r="T28" s="670">
        <f>SUMIF('Территориальный кк'!$A:$A,'2020'!$B28,'Территориальный кк'!E:E)</f>
        <v>2.7269999999999999</v>
      </c>
      <c r="U28" s="433">
        <f>SUMIFS(Нормативы!G:G,Нормативы!$B:$B,$G28,Нормативы!$D:$D,'2020'!$I28,Нормативы!$F:$F,'2020'!$K28)*O28</f>
        <v>78450</v>
      </c>
      <c r="V28" s="433">
        <f t="shared" si="98"/>
        <v>60253.5</v>
      </c>
      <c r="W28" s="433">
        <f t="shared" si="99"/>
        <v>18196.5</v>
      </c>
      <c r="X28" s="433">
        <f>SUMIFS(Нормативы!J:J,Нормативы!$B:$B,$G28,Нормативы!$D:$D,'2020'!$I28,Нормативы!$F:$F,'2020'!$K28)</f>
        <v>6840</v>
      </c>
      <c r="Y28" s="433">
        <f>SUMIFS(Нормативы!K:K,Нормативы!$B:$B,$G28,Нормативы!$D:$D,'2020'!$I28,Нормативы!$F:$F,'2020'!$K28)</f>
        <v>1368</v>
      </c>
      <c r="Z28" s="433">
        <f>SUMIFS(Нормативы!L:L,Нормативы!$B:$B,$G28,Нормативы!$D:$D,'2020'!$I28,Нормативы!$F:$F,'2020'!$K28)</f>
        <v>8110</v>
      </c>
      <c r="AA28" s="433">
        <f t="shared" si="100"/>
        <v>23360</v>
      </c>
      <c r="AB28" s="433">
        <f>SUMIFS(Нормативы!N:N,Нормативы!$B:$B,$G28,Нормативы!$D:$D,'2020'!$I28,Нормативы!$F:$F,'2020'!$K28)*O28</f>
        <v>880</v>
      </c>
      <c r="AC28" s="433">
        <f>SUMIFS(Нормативы!O:O,Нормативы!$B:$B,$G28,Нормативы!$D:$D,'2020'!$I28,Нормативы!$F:$F,'2020'!$K28)</f>
        <v>20960</v>
      </c>
      <c r="AD28" s="433">
        <f>SUMIFS(Нормативы!P:P,Нормативы!$B:$B,$G28,Нормативы!$D:$D,'2020'!$I28,Нормативы!$F:$F,'2020'!$K28)*O28</f>
        <v>440</v>
      </c>
      <c r="AE28" s="433">
        <f>SUMIFS(Нормативы!Q:Q,Нормативы!$B:$B,$G28,Нормативы!$D:$D,'2020'!$I28,Нормативы!$F:$F,'2020'!$K28)</f>
        <v>1080</v>
      </c>
      <c r="AF28" s="433">
        <f>SUMIFS(Нормативы!R:R,Нормативы!$B:$B,$G28,Нормативы!$D:$D,'2020'!$I28,Нормативы!$F:$F,'2020'!$K28)</f>
        <v>2700</v>
      </c>
      <c r="AG28" s="433">
        <f>SUMIFS(Нормативы!S:S,Нормативы!$B:$B,$G28,Нормативы!$D:$D,'2020'!$I28,Нормативы!$F:$F,'2020'!$K28)</f>
        <v>5800</v>
      </c>
      <c r="AH28" s="433">
        <f>SUMIFS(Нормативы!T:T,Нормативы!$B:$B,$G28,Нормативы!$D:$D,'2020'!$I28,Нормативы!$F:$F,'2020'!$K28)</f>
        <v>540</v>
      </c>
      <c r="AI28" s="433">
        <f>SUMIFS(Нормативы!U:U,Нормативы!$B:$B,$G28,Нормативы!$D:$D,'2020'!$I28,Нормативы!$F:$F,'2020'!$K28)</f>
        <v>770</v>
      </c>
      <c r="AJ28" s="433">
        <f>SUMIFS(Нормативы!V:V,Нормативы!$B:$B,$G28,Нормативы!$D:$D,'2020'!$I28,Нормативы!$F:$F,'2020'!$K28)</f>
        <v>170</v>
      </c>
      <c r="AK28" s="433">
        <f>SUMIFS(Нормативы!W:W,Нормативы!$B:$B,$G28,Нормативы!$D:$D,'2020'!$I28,Нормативы!$F:$F,'2020'!$K28)</f>
        <v>200</v>
      </c>
      <c r="AL28" s="433">
        <f>SUMIFS(Нормативы!X:X,Нормативы!$B:$B,$G28,Нормативы!$D:$D,'2020'!$I28,Нормативы!$F:$F,'2020'!$K28)*O28</f>
        <v>13440</v>
      </c>
      <c r="AM28" s="433">
        <f t="shared" si="101"/>
        <v>10322.6</v>
      </c>
      <c r="AN28" s="433">
        <f t="shared" si="102"/>
        <v>3117.4</v>
      </c>
      <c r="AO28" s="433">
        <f>SUMIFS(Нормативы!AA:AA,Нормативы!$B:$B,$G28,Нормативы!$D:$D,'2020'!$I28,Нормативы!$F:$F,'2020'!$K28)</f>
        <v>0</v>
      </c>
      <c r="AP28" s="434">
        <f t="shared" si="103"/>
        <v>140380</v>
      </c>
      <c r="AQ28" s="609">
        <f t="shared" si="104"/>
        <v>235350</v>
      </c>
      <c r="AR28" s="433">
        <f t="shared" si="105"/>
        <v>180760.4</v>
      </c>
      <c r="AS28" s="433">
        <f t="shared" si="106"/>
        <v>54589.599999999999</v>
      </c>
      <c r="AT28" s="435">
        <f t="shared" si="0"/>
        <v>20520</v>
      </c>
      <c r="AU28" s="435">
        <f t="shared" si="1"/>
        <v>4104</v>
      </c>
      <c r="AV28" s="435">
        <f t="shared" si="2"/>
        <v>24330</v>
      </c>
      <c r="AW28" s="435">
        <f t="shared" si="3"/>
        <v>70080</v>
      </c>
      <c r="AX28" s="435">
        <f t="shared" si="4"/>
        <v>2640</v>
      </c>
      <c r="AY28" s="435">
        <f t="shared" si="5"/>
        <v>62880</v>
      </c>
      <c r="AZ28" s="435">
        <f t="shared" si="6"/>
        <v>1320</v>
      </c>
      <c r="BA28" s="435">
        <f t="shared" si="7"/>
        <v>3240</v>
      </c>
      <c r="BB28" s="435">
        <f t="shared" si="107"/>
        <v>8100</v>
      </c>
      <c r="BC28" s="435">
        <f t="shared" si="8"/>
        <v>17400</v>
      </c>
      <c r="BD28" s="435">
        <f t="shared" si="9"/>
        <v>1620</v>
      </c>
      <c r="BE28" s="435">
        <f t="shared" si="10"/>
        <v>2310</v>
      </c>
      <c r="BF28" s="435">
        <f t="shared" si="11"/>
        <v>510</v>
      </c>
      <c r="BG28" s="435">
        <f t="shared" si="12"/>
        <v>600</v>
      </c>
      <c r="BH28" s="435">
        <f t="shared" si="13"/>
        <v>40320</v>
      </c>
      <c r="BI28" s="433">
        <f t="shared" si="108"/>
        <v>30967.7</v>
      </c>
      <c r="BJ28" s="433">
        <f t="shared" si="109"/>
        <v>9352.2999999999993</v>
      </c>
      <c r="BK28" s="435">
        <f t="shared" si="14"/>
        <v>0</v>
      </c>
      <c r="BL28" s="434">
        <f t="shared" si="15"/>
        <v>421140</v>
      </c>
      <c r="BM28" s="613">
        <f t="shared" si="110"/>
        <v>271123</v>
      </c>
      <c r="BN28" s="433">
        <f t="shared" si="16"/>
        <v>208235.8</v>
      </c>
      <c r="BO28" s="433">
        <f t="shared" si="17"/>
        <v>62887.199999999997</v>
      </c>
      <c r="BP28" s="435">
        <f t="shared" si="111"/>
        <v>20520</v>
      </c>
      <c r="BQ28" s="435">
        <f t="shared" si="112"/>
        <v>4104</v>
      </c>
      <c r="BR28" s="435">
        <f t="shared" si="113"/>
        <v>24330</v>
      </c>
      <c r="BS28" s="435">
        <f t="shared" si="18"/>
        <v>70080</v>
      </c>
      <c r="BT28" s="34">
        <f t="shared" si="19"/>
        <v>2640</v>
      </c>
      <c r="BU28" s="34">
        <f t="shared" si="20"/>
        <v>62880</v>
      </c>
      <c r="BV28" s="34">
        <f t="shared" si="21"/>
        <v>1320</v>
      </c>
      <c r="BW28" s="34">
        <f t="shared" si="22"/>
        <v>3240</v>
      </c>
      <c r="BX28" s="435">
        <f t="shared" si="23"/>
        <v>22089</v>
      </c>
      <c r="BY28" s="435">
        <f t="shared" si="24"/>
        <v>17400</v>
      </c>
      <c r="BZ28" s="435">
        <f t="shared" si="25"/>
        <v>1620</v>
      </c>
      <c r="CA28" s="435">
        <f t="shared" si="26"/>
        <v>2310</v>
      </c>
      <c r="CB28" s="435">
        <f t="shared" si="27"/>
        <v>510</v>
      </c>
      <c r="CC28" s="435">
        <f t="shared" si="28"/>
        <v>600</v>
      </c>
      <c r="CD28" s="435">
        <f t="shared" si="29"/>
        <v>46449</v>
      </c>
      <c r="CE28" s="433">
        <f t="shared" si="114"/>
        <v>35675.1</v>
      </c>
      <c r="CF28" s="433">
        <f t="shared" si="115"/>
        <v>10773.9</v>
      </c>
      <c r="CG28" s="435">
        <f t="shared" si="30"/>
        <v>0</v>
      </c>
      <c r="CH28" s="434">
        <f t="shared" si="31"/>
        <v>477031</v>
      </c>
      <c r="CI28" s="88">
        <f t="shared" si="32"/>
        <v>90374.333299999998</v>
      </c>
      <c r="CJ28" s="90">
        <f t="shared" si="33"/>
        <v>69411.933300000004</v>
      </c>
      <c r="CK28" s="90">
        <f t="shared" si="34"/>
        <v>20962.400000000001</v>
      </c>
      <c r="CL28" s="88">
        <f t="shared" si="35"/>
        <v>6840</v>
      </c>
      <c r="CM28" s="88">
        <f t="shared" si="36"/>
        <v>1368</v>
      </c>
      <c r="CN28" s="88">
        <f t="shared" si="37"/>
        <v>8110</v>
      </c>
      <c r="CO28" s="88">
        <f t="shared" si="38"/>
        <v>23360</v>
      </c>
      <c r="CP28" s="88">
        <f t="shared" si="39"/>
        <v>880</v>
      </c>
      <c r="CQ28" s="88">
        <f t="shared" si="40"/>
        <v>20960</v>
      </c>
      <c r="CR28" s="88">
        <f t="shared" si="41"/>
        <v>440</v>
      </c>
      <c r="CS28" s="88">
        <f t="shared" si="42"/>
        <v>1080</v>
      </c>
      <c r="CT28" s="88">
        <f t="shared" si="43"/>
        <v>7363</v>
      </c>
      <c r="CU28" s="88">
        <f t="shared" si="44"/>
        <v>5800</v>
      </c>
      <c r="CV28" s="88">
        <f t="shared" si="45"/>
        <v>540</v>
      </c>
      <c r="CW28" s="88">
        <f t="shared" si="46"/>
        <v>770</v>
      </c>
      <c r="CX28" s="88">
        <f t="shared" si="47"/>
        <v>170</v>
      </c>
      <c r="CY28" s="88">
        <f t="shared" si="48"/>
        <v>200</v>
      </c>
      <c r="CZ28" s="88">
        <f t="shared" si="49"/>
        <v>15483</v>
      </c>
      <c r="DA28" s="90">
        <f t="shared" si="50"/>
        <v>11891.7</v>
      </c>
      <c r="DB28" s="90">
        <f t="shared" si="51"/>
        <v>3591.3</v>
      </c>
      <c r="DC28" s="88">
        <f t="shared" si="52"/>
        <v>0</v>
      </c>
      <c r="DD28" s="88">
        <f t="shared" si="53"/>
        <v>159010.3333</v>
      </c>
      <c r="AUV28" s="699">
        <f t="shared" si="65"/>
        <v>90374.33</v>
      </c>
      <c r="AUW28" s="699">
        <f t="shared" si="66"/>
        <v>69411.929999999993</v>
      </c>
      <c r="AUX28" s="699">
        <f t="shared" si="67"/>
        <v>20962.400000000001</v>
      </c>
      <c r="AUY28" s="699">
        <f t="shared" si="68"/>
        <v>6840</v>
      </c>
      <c r="AUZ28" s="699">
        <f t="shared" si="204"/>
        <v>1504.95</v>
      </c>
      <c r="AVA28" s="699">
        <f t="shared" si="204"/>
        <v>0.31</v>
      </c>
      <c r="AVB28" s="699">
        <f t="shared" si="70"/>
        <v>23360</v>
      </c>
      <c r="AVC28" s="699">
        <f t="shared" si="71"/>
        <v>880</v>
      </c>
      <c r="AVD28" s="699">
        <f t="shared" si="72"/>
        <v>20960</v>
      </c>
      <c r="AVE28" s="699">
        <f t="shared" si="73"/>
        <v>440</v>
      </c>
      <c r="AVF28" s="699">
        <f t="shared" si="74"/>
        <v>1080</v>
      </c>
      <c r="AVG28" s="699">
        <f t="shared" si="75"/>
        <v>7363</v>
      </c>
      <c r="AVH28" s="699">
        <f t="shared" si="76"/>
        <v>5800</v>
      </c>
      <c r="AVI28" s="699">
        <f t="shared" si="77"/>
        <v>540</v>
      </c>
      <c r="AVJ28" s="699">
        <f t="shared" si="78"/>
        <v>770</v>
      </c>
      <c r="AVK28" s="699">
        <f t="shared" si="79"/>
        <v>170</v>
      </c>
      <c r="AVL28" s="699">
        <f t="shared" si="80"/>
        <v>200</v>
      </c>
      <c r="AVM28" s="699">
        <f t="shared" si="81"/>
        <v>15483</v>
      </c>
      <c r="AVN28" s="699">
        <f t="shared" si="82"/>
        <v>11891.71</v>
      </c>
      <c r="AVO28" s="699">
        <f t="shared" si="83"/>
        <v>3591.29</v>
      </c>
      <c r="AVP28" s="699">
        <f t="shared" si="84"/>
        <v>0</v>
      </c>
      <c r="AVQ28" s="699">
        <f t="shared" si="85"/>
        <v>159010.32999999999</v>
      </c>
    </row>
    <row r="29" spans="1:108 1244:1265" s="436" customFormat="1" ht="30" customHeight="1" x14ac:dyDescent="0.25">
      <c r="A29" s="641">
        <v>1</v>
      </c>
      <c r="B29" s="641">
        <v>1</v>
      </c>
      <c r="C29" s="662" t="s">
        <v>246</v>
      </c>
      <c r="D29" s="2"/>
      <c r="E29" s="431" t="s">
        <v>346</v>
      </c>
      <c r="F29" s="641" t="s">
        <v>39</v>
      </c>
      <c r="G29" s="641">
        <v>3</v>
      </c>
      <c r="H29" s="655" t="s">
        <v>10</v>
      </c>
      <c r="I29" s="641">
        <v>0</v>
      </c>
      <c r="J29" s="431" t="s">
        <v>368</v>
      </c>
      <c r="K29" s="641">
        <v>2</v>
      </c>
      <c r="L29" s="680" t="s">
        <v>351</v>
      </c>
      <c r="M29" s="432" t="s">
        <v>274</v>
      </c>
      <c r="N29" s="431" t="s">
        <v>387</v>
      </c>
      <c r="O29" s="641">
        <v>1</v>
      </c>
      <c r="P29" s="695">
        <v>2</v>
      </c>
      <c r="Q29" s="632">
        <v>2</v>
      </c>
      <c r="R29" s="632">
        <v>2</v>
      </c>
      <c r="S29" s="669">
        <f>SUMIF('Территориальный кк'!$A:$A,'2020'!$B29,'Территориальный кк'!D:D)</f>
        <v>1.1519999999999999</v>
      </c>
      <c r="T29" s="670">
        <f>SUMIF('Территориальный кк'!$A:$A,'2020'!$B29,'Территориальный кк'!E:E)</f>
        <v>2.7269999999999999</v>
      </c>
      <c r="U29" s="433">
        <f>SUMIFS(Нормативы!G:G,Нормативы!$B:$B,$G29,Нормативы!$D:$D,'2020'!$I29,Нормативы!$F:$F,'2020'!$K29)*O29</f>
        <v>78450</v>
      </c>
      <c r="V29" s="433">
        <f t="shared" si="98"/>
        <v>60253.5</v>
      </c>
      <c r="W29" s="433">
        <f t="shared" si="99"/>
        <v>18196.5</v>
      </c>
      <c r="X29" s="433">
        <f>SUMIFS(Нормативы!J:J,Нормативы!$B:$B,$G29,Нормативы!$D:$D,'2020'!$I29,Нормативы!$F:$F,'2020'!$K29)</f>
        <v>1610</v>
      </c>
      <c r="Y29" s="433">
        <f>SUMIFS(Нормативы!K:K,Нормативы!$B:$B,$G29,Нормативы!$D:$D,'2020'!$I29,Нормативы!$F:$F,'2020'!$K29)</f>
        <v>322</v>
      </c>
      <c r="Z29" s="433">
        <f>SUMIFS(Нормативы!L:L,Нормативы!$B:$B,$G29,Нормативы!$D:$D,'2020'!$I29,Нормативы!$F:$F,'2020'!$K29)</f>
        <v>3480</v>
      </c>
      <c r="AA29" s="433">
        <f t="shared" si="100"/>
        <v>8580</v>
      </c>
      <c r="AB29" s="433">
        <f>SUMIFS(Нормативы!N:N,Нормативы!$B:$B,$G29,Нормативы!$D:$D,'2020'!$I29,Нормативы!$F:$F,'2020'!$K29)*O29</f>
        <v>880</v>
      </c>
      <c r="AC29" s="433">
        <f>SUMIFS(Нормативы!O:O,Нормативы!$B:$B,$G29,Нормативы!$D:$D,'2020'!$I29,Нормативы!$F:$F,'2020'!$K29)</f>
        <v>6180</v>
      </c>
      <c r="AD29" s="433">
        <f>SUMIFS(Нормативы!P:P,Нормативы!$B:$B,$G29,Нормативы!$D:$D,'2020'!$I29,Нормативы!$F:$F,'2020'!$K29)*O29</f>
        <v>440</v>
      </c>
      <c r="AE29" s="433">
        <f>SUMIFS(Нормативы!Q:Q,Нормативы!$B:$B,$G29,Нормативы!$D:$D,'2020'!$I29,Нормативы!$F:$F,'2020'!$K29)</f>
        <v>1080</v>
      </c>
      <c r="AF29" s="433">
        <f>SUMIFS(Нормативы!R:R,Нормативы!$B:$B,$G29,Нормативы!$D:$D,'2020'!$I29,Нормативы!$F:$F,'2020'!$K29)</f>
        <v>2490</v>
      </c>
      <c r="AG29" s="433">
        <f>SUMIFS(Нормативы!S:S,Нормативы!$B:$B,$G29,Нормативы!$D:$D,'2020'!$I29,Нормативы!$F:$F,'2020'!$K29)</f>
        <v>5800</v>
      </c>
      <c r="AH29" s="433">
        <f>SUMIFS(Нормативы!T:T,Нормативы!$B:$B,$G29,Нормативы!$D:$D,'2020'!$I29,Нормативы!$F:$F,'2020'!$K29)</f>
        <v>540</v>
      </c>
      <c r="AI29" s="433">
        <f>SUMIFS(Нормативы!U:U,Нормативы!$B:$B,$G29,Нормативы!$D:$D,'2020'!$I29,Нормативы!$F:$F,'2020'!$K29)</f>
        <v>770</v>
      </c>
      <c r="AJ29" s="433">
        <f>SUMIFS(Нормативы!V:V,Нормативы!$B:$B,$G29,Нормативы!$D:$D,'2020'!$I29,Нормативы!$F:$F,'2020'!$K29)</f>
        <v>170</v>
      </c>
      <c r="AK29" s="433">
        <f>SUMIFS(Нормативы!W:W,Нормативы!$B:$B,$G29,Нормативы!$D:$D,'2020'!$I29,Нормативы!$F:$F,'2020'!$K29)</f>
        <v>200</v>
      </c>
      <c r="AL29" s="433">
        <f>SUMIFS(Нормативы!X:X,Нормативы!$B:$B,$G29,Нормативы!$D:$D,'2020'!$I29,Нормативы!$F:$F,'2020'!$K29)*O29</f>
        <v>13440</v>
      </c>
      <c r="AM29" s="433">
        <f t="shared" si="101"/>
        <v>10322.6</v>
      </c>
      <c r="AN29" s="433">
        <f t="shared" si="102"/>
        <v>3117.4</v>
      </c>
      <c r="AO29" s="433">
        <f>SUMIFS(Нормативы!AA:AA,Нормативы!$B:$B,$G29,Нормативы!$D:$D,'2020'!$I29,Нормативы!$F:$F,'2020'!$K29)</f>
        <v>0</v>
      </c>
      <c r="AP29" s="434">
        <f t="shared" si="103"/>
        <v>115530</v>
      </c>
      <c r="AQ29" s="609">
        <f t="shared" si="104"/>
        <v>156900</v>
      </c>
      <c r="AR29" s="433">
        <f t="shared" si="105"/>
        <v>120506.9</v>
      </c>
      <c r="AS29" s="433">
        <f t="shared" si="106"/>
        <v>36393.1</v>
      </c>
      <c r="AT29" s="435">
        <f t="shared" si="0"/>
        <v>3220</v>
      </c>
      <c r="AU29" s="435">
        <f t="shared" si="1"/>
        <v>644</v>
      </c>
      <c r="AV29" s="435">
        <f t="shared" si="2"/>
        <v>6960</v>
      </c>
      <c r="AW29" s="435">
        <f t="shared" si="3"/>
        <v>17160</v>
      </c>
      <c r="AX29" s="435">
        <f t="shared" si="4"/>
        <v>1760</v>
      </c>
      <c r="AY29" s="435">
        <f t="shared" si="5"/>
        <v>12360</v>
      </c>
      <c r="AZ29" s="435">
        <f t="shared" si="6"/>
        <v>880</v>
      </c>
      <c r="BA29" s="435">
        <f t="shared" si="7"/>
        <v>2160</v>
      </c>
      <c r="BB29" s="435">
        <f t="shared" si="107"/>
        <v>4980</v>
      </c>
      <c r="BC29" s="435">
        <f t="shared" si="8"/>
        <v>11600</v>
      </c>
      <c r="BD29" s="435">
        <f t="shared" si="9"/>
        <v>1080</v>
      </c>
      <c r="BE29" s="435">
        <f t="shared" si="10"/>
        <v>1540</v>
      </c>
      <c r="BF29" s="435">
        <f t="shared" si="11"/>
        <v>340</v>
      </c>
      <c r="BG29" s="435">
        <f t="shared" si="12"/>
        <v>400</v>
      </c>
      <c r="BH29" s="435">
        <f t="shared" si="13"/>
        <v>26880</v>
      </c>
      <c r="BI29" s="433">
        <f t="shared" si="108"/>
        <v>20645.2</v>
      </c>
      <c r="BJ29" s="433">
        <f t="shared" si="109"/>
        <v>6234.8</v>
      </c>
      <c r="BK29" s="435">
        <f t="shared" si="14"/>
        <v>0</v>
      </c>
      <c r="BL29" s="434">
        <f t="shared" si="15"/>
        <v>231060</v>
      </c>
      <c r="BM29" s="613">
        <f t="shared" si="110"/>
        <v>180749</v>
      </c>
      <c r="BN29" s="433">
        <f t="shared" si="16"/>
        <v>138824.1</v>
      </c>
      <c r="BO29" s="433">
        <f t="shared" si="17"/>
        <v>41924.9</v>
      </c>
      <c r="BP29" s="435">
        <f t="shared" si="111"/>
        <v>3220</v>
      </c>
      <c r="BQ29" s="435">
        <f t="shared" si="112"/>
        <v>644</v>
      </c>
      <c r="BR29" s="435">
        <f t="shared" si="113"/>
        <v>6960</v>
      </c>
      <c r="BS29" s="435">
        <f t="shared" si="18"/>
        <v>17160</v>
      </c>
      <c r="BT29" s="34">
        <f t="shared" si="19"/>
        <v>1760</v>
      </c>
      <c r="BU29" s="34">
        <f t="shared" si="20"/>
        <v>12360</v>
      </c>
      <c r="BV29" s="34">
        <f t="shared" si="21"/>
        <v>880</v>
      </c>
      <c r="BW29" s="34">
        <f t="shared" si="22"/>
        <v>2160</v>
      </c>
      <c r="BX29" s="435">
        <f t="shared" si="23"/>
        <v>13580</v>
      </c>
      <c r="BY29" s="435">
        <f t="shared" si="24"/>
        <v>11600</v>
      </c>
      <c r="BZ29" s="435">
        <f t="shared" si="25"/>
        <v>1080</v>
      </c>
      <c r="CA29" s="435">
        <f t="shared" si="26"/>
        <v>1540</v>
      </c>
      <c r="CB29" s="435">
        <f t="shared" si="27"/>
        <v>340</v>
      </c>
      <c r="CC29" s="435">
        <f t="shared" si="28"/>
        <v>400</v>
      </c>
      <c r="CD29" s="435">
        <f t="shared" si="29"/>
        <v>30966</v>
      </c>
      <c r="CE29" s="433">
        <f t="shared" si="114"/>
        <v>23783.4</v>
      </c>
      <c r="CF29" s="433">
        <f t="shared" si="115"/>
        <v>7182.6</v>
      </c>
      <c r="CG29" s="435">
        <f t="shared" si="30"/>
        <v>0</v>
      </c>
      <c r="CH29" s="434">
        <f t="shared" si="31"/>
        <v>267595</v>
      </c>
      <c r="CI29" s="88">
        <f t="shared" si="32"/>
        <v>90374.5</v>
      </c>
      <c r="CJ29" s="90">
        <f t="shared" si="33"/>
        <v>69412.05</v>
      </c>
      <c r="CK29" s="90">
        <f t="shared" si="34"/>
        <v>20962.45</v>
      </c>
      <c r="CL29" s="88">
        <f t="shared" si="35"/>
        <v>1610</v>
      </c>
      <c r="CM29" s="88">
        <f t="shared" si="36"/>
        <v>322</v>
      </c>
      <c r="CN29" s="88">
        <f t="shared" si="37"/>
        <v>3480</v>
      </c>
      <c r="CO29" s="88">
        <f t="shared" si="38"/>
        <v>8580</v>
      </c>
      <c r="CP29" s="88">
        <f t="shared" si="39"/>
        <v>880</v>
      </c>
      <c r="CQ29" s="88">
        <f t="shared" si="40"/>
        <v>6180</v>
      </c>
      <c r="CR29" s="88">
        <f t="shared" si="41"/>
        <v>440</v>
      </c>
      <c r="CS29" s="88">
        <f t="shared" si="42"/>
        <v>1080</v>
      </c>
      <c r="CT29" s="88">
        <f t="shared" si="43"/>
        <v>6790</v>
      </c>
      <c r="CU29" s="88">
        <f t="shared" si="44"/>
        <v>5800</v>
      </c>
      <c r="CV29" s="88">
        <f t="shared" si="45"/>
        <v>540</v>
      </c>
      <c r="CW29" s="88">
        <f t="shared" si="46"/>
        <v>770</v>
      </c>
      <c r="CX29" s="88">
        <f t="shared" si="47"/>
        <v>170</v>
      </c>
      <c r="CY29" s="88">
        <f t="shared" si="48"/>
        <v>200</v>
      </c>
      <c r="CZ29" s="88">
        <f t="shared" si="49"/>
        <v>15483</v>
      </c>
      <c r="DA29" s="90">
        <f t="shared" si="50"/>
        <v>11891.7</v>
      </c>
      <c r="DB29" s="90">
        <f t="shared" si="51"/>
        <v>3591.3</v>
      </c>
      <c r="DC29" s="88">
        <f t="shared" si="52"/>
        <v>0</v>
      </c>
      <c r="DD29" s="88">
        <f>ROUND(CH29/$P29,4)</f>
        <v>133797.5</v>
      </c>
      <c r="AUV29" s="699">
        <f t="shared" si="65"/>
        <v>90374.5</v>
      </c>
      <c r="AUW29" s="699">
        <f t="shared" si="66"/>
        <v>69412.06</v>
      </c>
      <c r="AUX29" s="699">
        <f t="shared" si="67"/>
        <v>20962.439999999999</v>
      </c>
      <c r="AUY29" s="699">
        <f t="shared" si="68"/>
        <v>1610</v>
      </c>
      <c r="AUZ29" s="699">
        <f t="shared" si="204"/>
        <v>236.16</v>
      </c>
      <c r="AVA29" s="699">
        <f t="shared" si="204"/>
        <v>0.09</v>
      </c>
      <c r="AVB29" s="699">
        <f t="shared" si="70"/>
        <v>8580</v>
      </c>
      <c r="AVC29" s="699">
        <f t="shared" si="71"/>
        <v>880</v>
      </c>
      <c r="AVD29" s="699">
        <f t="shared" si="72"/>
        <v>6180</v>
      </c>
      <c r="AVE29" s="699">
        <f t="shared" si="73"/>
        <v>440</v>
      </c>
      <c r="AVF29" s="699">
        <f t="shared" si="74"/>
        <v>1080</v>
      </c>
      <c r="AVG29" s="699">
        <f t="shared" si="75"/>
        <v>6790</v>
      </c>
      <c r="AVH29" s="699">
        <f t="shared" si="76"/>
        <v>5800</v>
      </c>
      <c r="AVI29" s="699">
        <f t="shared" si="77"/>
        <v>540</v>
      </c>
      <c r="AVJ29" s="699">
        <f t="shared" si="78"/>
        <v>770</v>
      </c>
      <c r="AVK29" s="699">
        <f t="shared" si="79"/>
        <v>170</v>
      </c>
      <c r="AVL29" s="699">
        <f t="shared" si="80"/>
        <v>200</v>
      </c>
      <c r="AVM29" s="699">
        <f t="shared" si="81"/>
        <v>15483</v>
      </c>
      <c r="AVN29" s="699">
        <f t="shared" si="82"/>
        <v>11891.71</v>
      </c>
      <c r="AVO29" s="699">
        <f t="shared" si="83"/>
        <v>3591.29</v>
      </c>
      <c r="AVP29" s="699">
        <f t="shared" si="84"/>
        <v>0</v>
      </c>
      <c r="AVQ29" s="699">
        <f t="shared" si="85"/>
        <v>133797.5</v>
      </c>
    </row>
    <row r="30" spans="1:108 1244:1265" ht="30" customHeight="1" x14ac:dyDescent="0.25">
      <c r="A30" s="643">
        <v>1</v>
      </c>
      <c r="B30" s="643">
        <v>9</v>
      </c>
      <c r="C30" s="664" t="s">
        <v>247</v>
      </c>
      <c r="D30" s="2"/>
      <c r="E30" s="101" t="s">
        <v>344</v>
      </c>
      <c r="F30" s="643" t="s">
        <v>31</v>
      </c>
      <c r="G30" s="643">
        <v>1</v>
      </c>
      <c r="H30" s="658" t="s">
        <v>10</v>
      </c>
      <c r="I30" s="643">
        <v>0</v>
      </c>
      <c r="J30" s="101" t="s">
        <v>369</v>
      </c>
      <c r="K30" s="643">
        <v>1</v>
      </c>
      <c r="L30" s="683" t="s">
        <v>349</v>
      </c>
      <c r="M30" s="11" t="s">
        <v>275</v>
      </c>
      <c r="N30" s="101" t="s">
        <v>387</v>
      </c>
      <c r="O30" s="643">
        <v>1</v>
      </c>
      <c r="P30" s="632">
        <v>40</v>
      </c>
      <c r="Q30" s="632">
        <v>40</v>
      </c>
      <c r="R30" s="632">
        <v>40</v>
      </c>
      <c r="S30" s="675">
        <f>SUMIF('Территориальный кк'!$A:$A,'2020'!$B30,'Территориальный кк'!D:D)</f>
        <v>3.258</v>
      </c>
      <c r="T30" s="676">
        <f>SUMIF('Территориальный кк'!$A:$A,'2020'!$B30,'Территориальный кк'!E:E)</f>
        <v>2.8919999999999999</v>
      </c>
      <c r="U30" s="33">
        <f>SUMIFS(Нормативы!G:G,Нормативы!$B:$B,$G30,Нормативы!$D:$D,'2020'!$I30,Нормативы!$F:$F,'2020'!$K30)*O30</f>
        <v>54020</v>
      </c>
      <c r="V30" s="33">
        <f t="shared" si="98"/>
        <v>41490</v>
      </c>
      <c r="W30" s="33">
        <f t="shared" si="99"/>
        <v>12530</v>
      </c>
      <c r="X30" s="33">
        <f>SUMIFS(Нормативы!J:J,Нормативы!$B:$B,$G30,Нормативы!$D:$D,'2020'!$I30,Нормативы!$F:$F,'2020'!$K30)</f>
        <v>220</v>
      </c>
      <c r="Y30" s="33">
        <f>SUMIFS(Нормативы!K:K,Нормативы!$B:$B,$G30,Нормативы!$D:$D,'2020'!$I30,Нормативы!$F:$F,'2020'!$K30)</f>
        <v>44</v>
      </c>
      <c r="Z30" s="33">
        <f>SUMIFS(Нормативы!L:L,Нормативы!$B:$B,$G30,Нормативы!$D:$D,'2020'!$I30,Нормативы!$F:$F,'2020'!$K30)</f>
        <v>2320</v>
      </c>
      <c r="AA30" s="33">
        <f t="shared" si="100"/>
        <v>3710</v>
      </c>
      <c r="AB30" s="33">
        <f>SUMIFS(Нормативы!N:N,Нормативы!$B:$B,$G30,Нормативы!$D:$D,'2020'!$I30,Нормативы!$F:$F,'2020'!$K30)*O30</f>
        <v>520</v>
      </c>
      <c r="AC30" s="33">
        <f>SUMIFS(Нормативы!O:O,Нормативы!$B:$B,$G30,Нормативы!$D:$D,'2020'!$I30,Нормативы!$F:$F,'2020'!$K30)</f>
        <v>2140</v>
      </c>
      <c r="AD30" s="33">
        <f>SUMIFS(Нормативы!P:P,Нормативы!$B:$B,$G30,Нормативы!$D:$D,'2020'!$I30,Нормативы!$F:$F,'2020'!$K30)*O30</f>
        <v>310</v>
      </c>
      <c r="AE30" s="33">
        <f>SUMIFS(Нормативы!Q:Q,Нормативы!$B:$B,$G30,Нормативы!$D:$D,'2020'!$I30,Нормативы!$F:$F,'2020'!$K30)</f>
        <v>740</v>
      </c>
      <c r="AF30" s="33">
        <f>SUMIFS(Нормативы!R:R,Нормативы!$B:$B,$G30,Нормативы!$D:$D,'2020'!$I30,Нормативы!$F:$F,'2020'!$K30)</f>
        <v>2460</v>
      </c>
      <c r="AG30" s="33">
        <f>SUMIFS(Нормативы!S:S,Нормативы!$B:$B,$G30,Нормативы!$D:$D,'2020'!$I30,Нормативы!$F:$F,'2020'!$K30)</f>
        <v>5080</v>
      </c>
      <c r="AH30" s="33">
        <f>SUMIFS(Нормативы!T:T,Нормативы!$B:$B,$G30,Нормативы!$D:$D,'2020'!$I30,Нормативы!$F:$F,'2020'!$K30)</f>
        <v>540</v>
      </c>
      <c r="AI30" s="33">
        <f>SUMIFS(Нормативы!U:U,Нормативы!$B:$B,$G30,Нормативы!$D:$D,'2020'!$I30,Нормативы!$F:$F,'2020'!$K30)</f>
        <v>770</v>
      </c>
      <c r="AJ30" s="33">
        <f>SUMIFS(Нормативы!V:V,Нормативы!$B:$B,$G30,Нормативы!$D:$D,'2020'!$I30,Нормативы!$F:$F,'2020'!$K30)</f>
        <v>80</v>
      </c>
      <c r="AK30" s="33">
        <f>SUMIFS(Нормативы!W:W,Нормативы!$B:$B,$G30,Нормативы!$D:$D,'2020'!$I30,Нормативы!$F:$F,'2020'!$K30)</f>
        <v>300</v>
      </c>
      <c r="AL30" s="33">
        <f>SUMIFS(Нормативы!X:X,Нормативы!$B:$B,$G30,Нормативы!$D:$D,'2020'!$I30,Нормативы!$F:$F,'2020'!$K30)*O30</f>
        <v>13440</v>
      </c>
      <c r="AM30" s="33">
        <f t="shared" si="101"/>
        <v>10322.6</v>
      </c>
      <c r="AN30" s="33">
        <f t="shared" si="102"/>
        <v>3117.4</v>
      </c>
      <c r="AO30" s="33">
        <f>SUMIFS(Нормативы!AA:AA,Нормативы!$B:$B,$G30,Нормативы!$D:$D,'2020'!$I30,Нормативы!$F:$F,'2020'!$K30)</f>
        <v>3520</v>
      </c>
      <c r="AP30" s="141">
        <f t="shared" si="103"/>
        <v>86460</v>
      </c>
      <c r="AQ30" s="413">
        <f t="shared" si="104"/>
        <v>2160800</v>
      </c>
      <c r="AR30" s="33">
        <f t="shared" si="105"/>
        <v>1659600.6</v>
      </c>
      <c r="AS30" s="33">
        <f t="shared" si="106"/>
        <v>501199.4</v>
      </c>
      <c r="AT30" s="34">
        <f t="shared" si="0"/>
        <v>8800</v>
      </c>
      <c r="AU30" s="34">
        <f t="shared" si="1"/>
        <v>1760</v>
      </c>
      <c r="AV30" s="34">
        <f t="shared" si="2"/>
        <v>92800</v>
      </c>
      <c r="AW30" s="34">
        <f t="shared" si="3"/>
        <v>148400</v>
      </c>
      <c r="AX30" s="34">
        <f t="shared" si="4"/>
        <v>20800</v>
      </c>
      <c r="AY30" s="34">
        <f t="shared" si="5"/>
        <v>85600</v>
      </c>
      <c r="AZ30" s="34">
        <f t="shared" si="6"/>
        <v>12400</v>
      </c>
      <c r="BA30" s="34">
        <f t="shared" si="7"/>
        <v>29600</v>
      </c>
      <c r="BB30" s="34">
        <f t="shared" si="107"/>
        <v>98400</v>
      </c>
      <c r="BC30" s="34">
        <f t="shared" si="8"/>
        <v>203200</v>
      </c>
      <c r="BD30" s="34">
        <f t="shared" si="9"/>
        <v>21600</v>
      </c>
      <c r="BE30" s="34">
        <f t="shared" si="10"/>
        <v>30800</v>
      </c>
      <c r="BF30" s="34">
        <f t="shared" si="11"/>
        <v>3200</v>
      </c>
      <c r="BG30" s="34">
        <f t="shared" si="12"/>
        <v>12000</v>
      </c>
      <c r="BH30" s="34">
        <f t="shared" si="13"/>
        <v>537600</v>
      </c>
      <c r="BI30" s="33">
        <f t="shared" si="108"/>
        <v>412903.2</v>
      </c>
      <c r="BJ30" s="33">
        <f t="shared" si="109"/>
        <v>124696.8</v>
      </c>
      <c r="BK30" s="34">
        <f t="shared" si="14"/>
        <v>140800</v>
      </c>
      <c r="BL30" s="426">
        <f t="shared" si="15"/>
        <v>3458400</v>
      </c>
      <c r="BM30" s="616">
        <f t="shared" si="110"/>
        <v>7039886</v>
      </c>
      <c r="BN30" s="33">
        <f t="shared" si="16"/>
        <v>5406978.5</v>
      </c>
      <c r="BO30" s="33">
        <f t="shared" si="17"/>
        <v>1632907.5</v>
      </c>
      <c r="BP30" s="34">
        <f t="shared" si="111"/>
        <v>8800</v>
      </c>
      <c r="BQ30" s="34">
        <f t="shared" si="112"/>
        <v>1760</v>
      </c>
      <c r="BR30" s="34">
        <f t="shared" si="113"/>
        <v>92800</v>
      </c>
      <c r="BS30" s="34">
        <f t="shared" si="18"/>
        <v>148400</v>
      </c>
      <c r="BT30" s="34">
        <f t="shared" si="19"/>
        <v>20800</v>
      </c>
      <c r="BU30" s="34">
        <f t="shared" si="20"/>
        <v>85600</v>
      </c>
      <c r="BV30" s="34">
        <f t="shared" si="21"/>
        <v>12400</v>
      </c>
      <c r="BW30" s="34">
        <f t="shared" si="22"/>
        <v>29600</v>
      </c>
      <c r="BX30" s="34">
        <f t="shared" si="23"/>
        <v>284573</v>
      </c>
      <c r="BY30" s="34">
        <f t="shared" si="24"/>
        <v>203200</v>
      </c>
      <c r="BZ30" s="34">
        <f t="shared" si="25"/>
        <v>21600</v>
      </c>
      <c r="CA30" s="34">
        <f t="shared" si="26"/>
        <v>30800</v>
      </c>
      <c r="CB30" s="34">
        <f t="shared" si="27"/>
        <v>3200</v>
      </c>
      <c r="CC30" s="34">
        <f t="shared" si="28"/>
        <v>12000</v>
      </c>
      <c r="CD30" s="34">
        <f t="shared" si="29"/>
        <v>1751501</v>
      </c>
      <c r="CE30" s="33">
        <f t="shared" si="114"/>
        <v>1345238.9</v>
      </c>
      <c r="CF30" s="33">
        <f t="shared" si="115"/>
        <v>406262.1</v>
      </c>
      <c r="CG30" s="34">
        <f t="shared" si="30"/>
        <v>140800</v>
      </c>
      <c r="CH30" s="415">
        <f t="shared" si="31"/>
        <v>9737560</v>
      </c>
      <c r="CI30" s="88">
        <f t="shared" si="32"/>
        <v>175997.15</v>
      </c>
      <c r="CJ30" s="90">
        <f t="shared" si="33"/>
        <v>135174.46249999999</v>
      </c>
      <c r="CK30" s="90">
        <f t="shared" si="34"/>
        <v>40822.6875</v>
      </c>
      <c r="CL30" s="88">
        <f t="shared" si="35"/>
        <v>220</v>
      </c>
      <c r="CM30" s="88">
        <f t="shared" si="36"/>
        <v>44</v>
      </c>
      <c r="CN30" s="88">
        <f t="shared" si="37"/>
        <v>2320</v>
      </c>
      <c r="CO30" s="88">
        <f t="shared" si="38"/>
        <v>3710</v>
      </c>
      <c r="CP30" s="88">
        <f t="shared" si="39"/>
        <v>520</v>
      </c>
      <c r="CQ30" s="88">
        <f t="shared" si="40"/>
        <v>2140</v>
      </c>
      <c r="CR30" s="88">
        <f t="shared" si="41"/>
        <v>310</v>
      </c>
      <c r="CS30" s="88">
        <f t="shared" si="42"/>
        <v>740</v>
      </c>
      <c r="CT30" s="88">
        <f t="shared" si="43"/>
        <v>7114.3249999999998</v>
      </c>
      <c r="CU30" s="88">
        <f t="shared" si="44"/>
        <v>5080</v>
      </c>
      <c r="CV30" s="88">
        <f t="shared" si="45"/>
        <v>540</v>
      </c>
      <c r="CW30" s="88">
        <f t="shared" si="46"/>
        <v>770</v>
      </c>
      <c r="CX30" s="88">
        <f t="shared" si="47"/>
        <v>80</v>
      </c>
      <c r="CY30" s="88">
        <f t="shared" si="48"/>
        <v>300</v>
      </c>
      <c r="CZ30" s="88">
        <f t="shared" si="49"/>
        <v>43787.525000000001</v>
      </c>
      <c r="DA30" s="90">
        <f t="shared" si="50"/>
        <v>33630.972500000003</v>
      </c>
      <c r="DB30" s="90">
        <f t="shared" si="51"/>
        <v>10156.5525</v>
      </c>
      <c r="DC30" s="88">
        <f t="shared" si="52"/>
        <v>3520</v>
      </c>
      <c r="DD30" s="88">
        <f t="shared" si="53"/>
        <v>243439</v>
      </c>
      <c r="AUV30" s="699">
        <f t="shared" si="65"/>
        <v>175997.15</v>
      </c>
      <c r="AUW30" s="699">
        <f t="shared" si="66"/>
        <v>135174.46</v>
      </c>
      <c r="AUX30" s="699">
        <f t="shared" si="67"/>
        <v>40822.69</v>
      </c>
      <c r="AUY30" s="699">
        <f t="shared" si="68"/>
        <v>220</v>
      </c>
      <c r="AUZ30" s="699">
        <f t="shared" si="204"/>
        <v>608.58000000000004</v>
      </c>
      <c r="AVA30" s="699">
        <f t="shared" si="204"/>
        <v>1.72</v>
      </c>
      <c r="AVB30" s="699">
        <f t="shared" si="70"/>
        <v>3710</v>
      </c>
      <c r="AVC30" s="699">
        <f t="shared" si="71"/>
        <v>520</v>
      </c>
      <c r="AVD30" s="699">
        <f t="shared" si="72"/>
        <v>2140</v>
      </c>
      <c r="AVE30" s="699">
        <f t="shared" si="73"/>
        <v>310</v>
      </c>
      <c r="AVF30" s="699">
        <f t="shared" si="74"/>
        <v>740</v>
      </c>
      <c r="AVG30" s="699">
        <f t="shared" si="75"/>
        <v>7114.33</v>
      </c>
      <c r="AVH30" s="699">
        <f t="shared" si="76"/>
        <v>5080</v>
      </c>
      <c r="AVI30" s="699">
        <f t="shared" si="77"/>
        <v>540</v>
      </c>
      <c r="AVJ30" s="699">
        <f t="shared" si="78"/>
        <v>770</v>
      </c>
      <c r="AVK30" s="699">
        <f t="shared" si="79"/>
        <v>80</v>
      </c>
      <c r="AVL30" s="699">
        <f t="shared" si="80"/>
        <v>300</v>
      </c>
      <c r="AVM30" s="699">
        <f t="shared" si="81"/>
        <v>43787.53</v>
      </c>
      <c r="AVN30" s="699">
        <f t="shared" si="82"/>
        <v>33630.980000000003</v>
      </c>
      <c r="AVO30" s="699">
        <f t="shared" si="83"/>
        <v>10156.549999999999</v>
      </c>
      <c r="AVP30" s="699">
        <f t="shared" si="84"/>
        <v>3520</v>
      </c>
      <c r="AVQ30" s="699">
        <f t="shared" si="85"/>
        <v>243439</v>
      </c>
    </row>
    <row r="31" spans="1:108 1244:1265" ht="30" customHeight="1" x14ac:dyDescent="0.25">
      <c r="A31" s="643">
        <v>1</v>
      </c>
      <c r="B31" s="643">
        <v>9</v>
      </c>
      <c r="C31" s="664" t="s">
        <v>247</v>
      </c>
      <c r="D31" s="2"/>
      <c r="E31" s="101" t="s">
        <v>344</v>
      </c>
      <c r="F31" s="643" t="s">
        <v>31</v>
      </c>
      <c r="G31" s="643">
        <v>1</v>
      </c>
      <c r="H31" s="658" t="s">
        <v>8</v>
      </c>
      <c r="I31" s="643">
        <v>3</v>
      </c>
      <c r="J31" s="101" t="s">
        <v>370</v>
      </c>
      <c r="K31" s="643">
        <v>1</v>
      </c>
      <c r="L31" s="683" t="s">
        <v>349</v>
      </c>
      <c r="M31" s="11" t="s">
        <v>276</v>
      </c>
      <c r="N31" s="101" t="s">
        <v>387</v>
      </c>
      <c r="O31" s="643">
        <v>1</v>
      </c>
      <c r="P31" s="632">
        <v>10</v>
      </c>
      <c r="Q31" s="632">
        <v>10</v>
      </c>
      <c r="R31" s="632">
        <v>10</v>
      </c>
      <c r="S31" s="675">
        <f>SUMIF('Территориальный кк'!$A:$A,'2020'!$B31,'Территориальный кк'!D:D)</f>
        <v>3.258</v>
      </c>
      <c r="T31" s="676">
        <f>SUMIF('Территориальный кк'!$A:$A,'2020'!$B31,'Территориальный кк'!E:E)</f>
        <v>2.8919999999999999</v>
      </c>
      <c r="U31" s="33">
        <f>SUMIFS(Нормативы!G:G,Нормативы!$B:$B,$G31,Нормативы!$D:$D,'2020'!$I31,Нормативы!$F:$F,'2020'!$K31)*O31</f>
        <v>5402</v>
      </c>
      <c r="V31" s="33">
        <f t="shared" si="98"/>
        <v>4149</v>
      </c>
      <c r="W31" s="33">
        <f t="shared" si="99"/>
        <v>1253</v>
      </c>
      <c r="X31" s="33">
        <f>SUMIFS(Нормативы!J:J,Нормативы!$B:$B,$G31,Нормативы!$D:$D,'2020'!$I31,Нормативы!$F:$F,'2020'!$K31)</f>
        <v>22</v>
      </c>
      <c r="Y31" s="33">
        <f>SUMIFS(Нормативы!K:K,Нормативы!$B:$B,$G31,Нормативы!$D:$D,'2020'!$I31,Нормативы!$F:$F,'2020'!$K31)</f>
        <v>4</v>
      </c>
      <c r="Z31" s="33">
        <f>SUMIFS(Нормативы!L:L,Нормативы!$B:$B,$G31,Нормативы!$D:$D,'2020'!$I31,Нормативы!$F:$F,'2020'!$K31)</f>
        <v>232</v>
      </c>
      <c r="AA31" s="33">
        <f t="shared" si="100"/>
        <v>371</v>
      </c>
      <c r="AB31" s="33">
        <f>SUMIFS(Нормативы!N:N,Нормативы!$B:$B,$G31,Нормативы!$D:$D,'2020'!$I31,Нормативы!$F:$F,'2020'!$K31)*O31</f>
        <v>52</v>
      </c>
      <c r="AC31" s="33">
        <f>SUMIFS(Нормативы!O:O,Нормативы!$B:$B,$G31,Нормативы!$D:$D,'2020'!$I31,Нормативы!$F:$F,'2020'!$K31)</f>
        <v>214</v>
      </c>
      <c r="AD31" s="33">
        <f>SUMIFS(Нормативы!P:P,Нормативы!$B:$B,$G31,Нормативы!$D:$D,'2020'!$I31,Нормативы!$F:$F,'2020'!$K31)*O31</f>
        <v>31</v>
      </c>
      <c r="AE31" s="33">
        <f>SUMIFS(Нормативы!Q:Q,Нормативы!$B:$B,$G31,Нормативы!$D:$D,'2020'!$I31,Нормативы!$F:$F,'2020'!$K31)</f>
        <v>74</v>
      </c>
      <c r="AF31" s="33">
        <f>SUMIFS(Нормативы!R:R,Нормативы!$B:$B,$G31,Нормативы!$D:$D,'2020'!$I31,Нормативы!$F:$F,'2020'!$K31)</f>
        <v>246</v>
      </c>
      <c r="AG31" s="33">
        <f>SUMIFS(Нормативы!S:S,Нормативы!$B:$B,$G31,Нормативы!$D:$D,'2020'!$I31,Нормативы!$F:$F,'2020'!$K31)</f>
        <v>508</v>
      </c>
      <c r="AH31" s="33">
        <f>SUMIFS(Нормативы!T:T,Нормативы!$B:$B,$G31,Нормативы!$D:$D,'2020'!$I31,Нормативы!$F:$F,'2020'!$K31)</f>
        <v>54</v>
      </c>
      <c r="AI31" s="33">
        <f>SUMIFS(Нормативы!U:U,Нормативы!$B:$B,$G31,Нормативы!$D:$D,'2020'!$I31,Нормативы!$F:$F,'2020'!$K31)</f>
        <v>77</v>
      </c>
      <c r="AJ31" s="33">
        <f>SUMIFS(Нормативы!V:V,Нормативы!$B:$B,$G31,Нормативы!$D:$D,'2020'!$I31,Нормативы!$F:$F,'2020'!$K31)</f>
        <v>8</v>
      </c>
      <c r="AK31" s="33">
        <f>SUMIFS(Нормативы!W:W,Нормативы!$B:$B,$G31,Нормативы!$D:$D,'2020'!$I31,Нормативы!$F:$F,'2020'!$K31)</f>
        <v>30</v>
      </c>
      <c r="AL31" s="33">
        <f>SUMIFS(Нормативы!X:X,Нормативы!$B:$B,$G31,Нормативы!$D:$D,'2020'!$I31,Нормативы!$F:$F,'2020'!$K31)*O31</f>
        <v>1344</v>
      </c>
      <c r="AM31" s="33">
        <f t="shared" si="101"/>
        <v>1032.3</v>
      </c>
      <c r="AN31" s="33">
        <f t="shared" si="102"/>
        <v>311.7</v>
      </c>
      <c r="AO31" s="33">
        <f>SUMIFS(Нормативы!AA:AA,Нормативы!$B:$B,$G31,Нормативы!$D:$D,'2020'!$I31,Нормативы!$F:$F,'2020'!$K31)</f>
        <v>0</v>
      </c>
      <c r="AP31" s="141">
        <f t="shared" si="103"/>
        <v>8294</v>
      </c>
      <c r="AQ31" s="413">
        <f t="shared" si="104"/>
        <v>54020</v>
      </c>
      <c r="AR31" s="33">
        <f t="shared" si="105"/>
        <v>41490</v>
      </c>
      <c r="AS31" s="33">
        <f t="shared" si="106"/>
        <v>12530</v>
      </c>
      <c r="AT31" s="34">
        <f t="shared" si="0"/>
        <v>220</v>
      </c>
      <c r="AU31" s="34">
        <f t="shared" si="1"/>
        <v>40</v>
      </c>
      <c r="AV31" s="34">
        <f t="shared" si="2"/>
        <v>2320</v>
      </c>
      <c r="AW31" s="34">
        <f t="shared" si="3"/>
        <v>3710</v>
      </c>
      <c r="AX31" s="34">
        <f t="shared" si="4"/>
        <v>520</v>
      </c>
      <c r="AY31" s="34">
        <f t="shared" si="5"/>
        <v>2140</v>
      </c>
      <c r="AZ31" s="34">
        <f t="shared" si="6"/>
        <v>310</v>
      </c>
      <c r="BA31" s="34">
        <f t="shared" si="7"/>
        <v>740</v>
      </c>
      <c r="BB31" s="34">
        <f t="shared" si="107"/>
        <v>2460</v>
      </c>
      <c r="BC31" s="34">
        <f t="shared" si="8"/>
        <v>5080</v>
      </c>
      <c r="BD31" s="34">
        <f t="shared" si="9"/>
        <v>540</v>
      </c>
      <c r="BE31" s="34">
        <f t="shared" si="10"/>
        <v>770</v>
      </c>
      <c r="BF31" s="34">
        <f t="shared" si="11"/>
        <v>80</v>
      </c>
      <c r="BG31" s="34">
        <f t="shared" si="12"/>
        <v>300</v>
      </c>
      <c r="BH31" s="34">
        <f t="shared" si="13"/>
        <v>13440</v>
      </c>
      <c r="BI31" s="33">
        <f t="shared" si="108"/>
        <v>10322.6</v>
      </c>
      <c r="BJ31" s="33">
        <f t="shared" si="109"/>
        <v>3117.4</v>
      </c>
      <c r="BK31" s="34">
        <f t="shared" si="14"/>
        <v>0</v>
      </c>
      <c r="BL31" s="426">
        <f t="shared" si="15"/>
        <v>82940</v>
      </c>
      <c r="BM31" s="616">
        <f t="shared" si="110"/>
        <v>175997</v>
      </c>
      <c r="BN31" s="33">
        <f t="shared" si="16"/>
        <v>135174.29999999999</v>
      </c>
      <c r="BO31" s="33">
        <f t="shared" si="17"/>
        <v>40822.699999999997</v>
      </c>
      <c r="BP31" s="34">
        <f t="shared" si="111"/>
        <v>220</v>
      </c>
      <c r="BQ31" s="34">
        <f t="shared" si="112"/>
        <v>40</v>
      </c>
      <c r="BR31" s="34">
        <f t="shared" si="113"/>
        <v>2320</v>
      </c>
      <c r="BS31" s="34">
        <f t="shared" si="18"/>
        <v>3710</v>
      </c>
      <c r="BT31" s="34">
        <f t="shared" si="19"/>
        <v>520</v>
      </c>
      <c r="BU31" s="34">
        <f t="shared" si="20"/>
        <v>2140</v>
      </c>
      <c r="BV31" s="34">
        <f t="shared" si="21"/>
        <v>310</v>
      </c>
      <c r="BW31" s="34">
        <f t="shared" si="22"/>
        <v>740</v>
      </c>
      <c r="BX31" s="34">
        <f t="shared" si="23"/>
        <v>7114</v>
      </c>
      <c r="BY31" s="34">
        <f t="shared" si="24"/>
        <v>5080</v>
      </c>
      <c r="BZ31" s="34">
        <f t="shared" si="25"/>
        <v>540</v>
      </c>
      <c r="CA31" s="34">
        <f t="shared" si="26"/>
        <v>770</v>
      </c>
      <c r="CB31" s="34">
        <f t="shared" si="27"/>
        <v>80</v>
      </c>
      <c r="CC31" s="34">
        <f t="shared" si="28"/>
        <v>300</v>
      </c>
      <c r="CD31" s="34">
        <f t="shared" si="29"/>
        <v>43788</v>
      </c>
      <c r="CE31" s="33">
        <f t="shared" si="114"/>
        <v>33631.300000000003</v>
      </c>
      <c r="CF31" s="33">
        <f t="shared" si="115"/>
        <v>10156.700000000001</v>
      </c>
      <c r="CG31" s="34">
        <f t="shared" si="30"/>
        <v>0</v>
      </c>
      <c r="CH31" s="415">
        <f t="shared" si="31"/>
        <v>239919</v>
      </c>
      <c r="CI31" s="88">
        <f t="shared" si="32"/>
        <v>17599.7</v>
      </c>
      <c r="CJ31" s="90">
        <f t="shared" si="33"/>
        <v>13517.43</v>
      </c>
      <c r="CK31" s="90">
        <f t="shared" si="34"/>
        <v>4082.27</v>
      </c>
      <c r="CL31" s="88">
        <f t="shared" si="35"/>
        <v>22</v>
      </c>
      <c r="CM31" s="88">
        <f t="shared" si="36"/>
        <v>4</v>
      </c>
      <c r="CN31" s="88">
        <f t="shared" si="37"/>
        <v>232</v>
      </c>
      <c r="CO31" s="88">
        <f t="shared" si="38"/>
        <v>371</v>
      </c>
      <c r="CP31" s="88">
        <f t="shared" si="39"/>
        <v>52</v>
      </c>
      <c r="CQ31" s="88">
        <f t="shared" si="40"/>
        <v>214</v>
      </c>
      <c r="CR31" s="88">
        <f t="shared" si="41"/>
        <v>31</v>
      </c>
      <c r="CS31" s="88">
        <f t="shared" si="42"/>
        <v>74</v>
      </c>
      <c r="CT31" s="88">
        <f t="shared" si="43"/>
        <v>711.4</v>
      </c>
      <c r="CU31" s="88">
        <f t="shared" si="44"/>
        <v>508</v>
      </c>
      <c r="CV31" s="88">
        <f t="shared" si="45"/>
        <v>54</v>
      </c>
      <c r="CW31" s="88">
        <f t="shared" si="46"/>
        <v>77</v>
      </c>
      <c r="CX31" s="88">
        <f t="shared" si="47"/>
        <v>8</v>
      </c>
      <c r="CY31" s="88">
        <f t="shared" si="48"/>
        <v>30</v>
      </c>
      <c r="CZ31" s="88">
        <f t="shared" si="49"/>
        <v>4378.8</v>
      </c>
      <c r="DA31" s="90">
        <f t="shared" si="50"/>
        <v>3363.13</v>
      </c>
      <c r="DB31" s="90">
        <f t="shared" si="51"/>
        <v>1015.67</v>
      </c>
      <c r="DC31" s="88">
        <f t="shared" si="52"/>
        <v>0</v>
      </c>
      <c r="DD31" s="88">
        <f t="shared" si="53"/>
        <v>23991.9</v>
      </c>
      <c r="AUV31" s="699">
        <f t="shared" si="65"/>
        <v>17599.7</v>
      </c>
      <c r="AUW31" s="699">
        <f t="shared" si="66"/>
        <v>13517.43</v>
      </c>
      <c r="AUX31" s="699">
        <f t="shared" si="67"/>
        <v>4082.27</v>
      </c>
      <c r="AUY31" s="699">
        <f t="shared" si="68"/>
        <v>22</v>
      </c>
      <c r="AUZ31" s="699">
        <f t="shared" si="204"/>
        <v>13.83</v>
      </c>
      <c r="AVA31" s="699">
        <f t="shared" si="204"/>
        <v>0.43</v>
      </c>
      <c r="AVB31" s="699">
        <f t="shared" si="70"/>
        <v>371</v>
      </c>
      <c r="AVC31" s="699">
        <f t="shared" si="71"/>
        <v>52</v>
      </c>
      <c r="AVD31" s="699">
        <f t="shared" si="72"/>
        <v>214</v>
      </c>
      <c r="AVE31" s="699">
        <f t="shared" si="73"/>
        <v>31</v>
      </c>
      <c r="AVF31" s="699">
        <f t="shared" si="74"/>
        <v>74</v>
      </c>
      <c r="AVG31" s="699">
        <f t="shared" si="75"/>
        <v>711.4</v>
      </c>
      <c r="AVH31" s="699">
        <f t="shared" si="76"/>
        <v>508</v>
      </c>
      <c r="AVI31" s="699">
        <f t="shared" si="77"/>
        <v>54</v>
      </c>
      <c r="AVJ31" s="699">
        <f t="shared" si="78"/>
        <v>77</v>
      </c>
      <c r="AVK31" s="699">
        <f t="shared" si="79"/>
        <v>8</v>
      </c>
      <c r="AVL31" s="699">
        <f t="shared" si="80"/>
        <v>30</v>
      </c>
      <c r="AVM31" s="699">
        <f t="shared" si="81"/>
        <v>4378.8</v>
      </c>
      <c r="AVN31" s="699">
        <f t="shared" si="82"/>
        <v>3363.13</v>
      </c>
      <c r="AVO31" s="699">
        <f t="shared" si="83"/>
        <v>1015.67</v>
      </c>
      <c r="AVP31" s="699">
        <f t="shared" si="84"/>
        <v>0</v>
      </c>
      <c r="AVQ31" s="699">
        <f t="shared" si="85"/>
        <v>23991.9</v>
      </c>
    </row>
    <row r="32" spans="1:108 1244:1265" ht="30" customHeight="1" x14ac:dyDescent="0.25">
      <c r="A32" s="643">
        <v>1</v>
      </c>
      <c r="B32" s="643">
        <v>9</v>
      </c>
      <c r="C32" s="664" t="s">
        <v>247</v>
      </c>
      <c r="D32" s="2"/>
      <c r="E32" s="101" t="s">
        <v>344</v>
      </c>
      <c r="F32" s="643" t="s">
        <v>31</v>
      </c>
      <c r="G32" s="643">
        <v>1</v>
      </c>
      <c r="H32" s="658" t="s">
        <v>8</v>
      </c>
      <c r="I32" s="643">
        <v>3</v>
      </c>
      <c r="J32" s="101" t="s">
        <v>371</v>
      </c>
      <c r="K32" s="643">
        <v>1</v>
      </c>
      <c r="L32" s="683" t="s">
        <v>349</v>
      </c>
      <c r="M32" s="11" t="s">
        <v>277</v>
      </c>
      <c r="N32" s="101" t="s">
        <v>387</v>
      </c>
      <c r="O32" s="643">
        <v>1</v>
      </c>
      <c r="P32" s="632">
        <v>18</v>
      </c>
      <c r="Q32" s="632">
        <v>18</v>
      </c>
      <c r="R32" s="632">
        <v>18</v>
      </c>
      <c r="S32" s="675">
        <f>SUMIF('Территориальный кк'!$A:$A,'2020'!$B32,'Территориальный кк'!D:D)</f>
        <v>3.258</v>
      </c>
      <c r="T32" s="676">
        <f>SUMIF('Территориальный кк'!$A:$A,'2020'!$B32,'Территориальный кк'!E:E)</f>
        <v>2.8919999999999999</v>
      </c>
      <c r="U32" s="33">
        <f>SUMIFS(Нормативы!G:G,Нормативы!$B:$B,$G32,Нормативы!$D:$D,'2020'!$I32,Нормативы!$F:$F,'2020'!$K32)*O32</f>
        <v>5402</v>
      </c>
      <c r="V32" s="33">
        <f t="shared" si="98"/>
        <v>4149</v>
      </c>
      <c r="W32" s="33">
        <f t="shared" si="99"/>
        <v>1253</v>
      </c>
      <c r="X32" s="33">
        <f>SUMIFS(Нормативы!J:J,Нормативы!$B:$B,$G32,Нормативы!$D:$D,'2020'!$I32,Нормативы!$F:$F,'2020'!$K32)</f>
        <v>22</v>
      </c>
      <c r="Y32" s="33">
        <f>SUMIFS(Нормативы!K:K,Нормативы!$B:$B,$G32,Нормативы!$D:$D,'2020'!$I32,Нормативы!$F:$F,'2020'!$K32)</f>
        <v>4</v>
      </c>
      <c r="Z32" s="33">
        <f>SUMIFS(Нормативы!L:L,Нормативы!$B:$B,$G32,Нормативы!$D:$D,'2020'!$I32,Нормативы!$F:$F,'2020'!$K32)</f>
        <v>232</v>
      </c>
      <c r="AA32" s="33">
        <f t="shared" si="100"/>
        <v>371</v>
      </c>
      <c r="AB32" s="33">
        <f>SUMIFS(Нормативы!N:N,Нормативы!$B:$B,$G32,Нормативы!$D:$D,'2020'!$I32,Нормативы!$F:$F,'2020'!$K32)*O32</f>
        <v>52</v>
      </c>
      <c r="AC32" s="33">
        <f>SUMIFS(Нормативы!O:O,Нормативы!$B:$B,$G32,Нормативы!$D:$D,'2020'!$I32,Нормативы!$F:$F,'2020'!$K32)</f>
        <v>214</v>
      </c>
      <c r="AD32" s="33">
        <f>SUMIFS(Нормативы!P:P,Нормативы!$B:$B,$G32,Нормативы!$D:$D,'2020'!$I32,Нормативы!$F:$F,'2020'!$K32)*O32</f>
        <v>31</v>
      </c>
      <c r="AE32" s="33">
        <f>SUMIFS(Нормативы!Q:Q,Нормативы!$B:$B,$G32,Нормативы!$D:$D,'2020'!$I32,Нормативы!$F:$F,'2020'!$K32)</f>
        <v>74</v>
      </c>
      <c r="AF32" s="33">
        <f>SUMIFS(Нормативы!R:R,Нормативы!$B:$B,$G32,Нормативы!$D:$D,'2020'!$I32,Нормативы!$F:$F,'2020'!$K32)</f>
        <v>246</v>
      </c>
      <c r="AG32" s="33">
        <f>SUMIFS(Нормативы!S:S,Нормативы!$B:$B,$G32,Нормативы!$D:$D,'2020'!$I32,Нормативы!$F:$F,'2020'!$K32)</f>
        <v>508</v>
      </c>
      <c r="AH32" s="33">
        <f>SUMIFS(Нормативы!T:T,Нормативы!$B:$B,$G32,Нормативы!$D:$D,'2020'!$I32,Нормативы!$F:$F,'2020'!$K32)</f>
        <v>54</v>
      </c>
      <c r="AI32" s="33">
        <f>SUMIFS(Нормативы!U:U,Нормативы!$B:$B,$G32,Нормативы!$D:$D,'2020'!$I32,Нормативы!$F:$F,'2020'!$K32)</f>
        <v>77</v>
      </c>
      <c r="AJ32" s="33">
        <f>SUMIFS(Нормативы!V:V,Нормативы!$B:$B,$G32,Нормативы!$D:$D,'2020'!$I32,Нормативы!$F:$F,'2020'!$K32)</f>
        <v>8</v>
      </c>
      <c r="AK32" s="33">
        <f>SUMIFS(Нормативы!W:W,Нормативы!$B:$B,$G32,Нормативы!$D:$D,'2020'!$I32,Нормативы!$F:$F,'2020'!$K32)</f>
        <v>30</v>
      </c>
      <c r="AL32" s="33">
        <f>SUMIFS(Нормативы!X:X,Нормативы!$B:$B,$G32,Нормативы!$D:$D,'2020'!$I32,Нормативы!$F:$F,'2020'!$K32)*O32</f>
        <v>1344</v>
      </c>
      <c r="AM32" s="33">
        <f t="shared" si="101"/>
        <v>1032.3</v>
      </c>
      <c r="AN32" s="33">
        <f t="shared" si="102"/>
        <v>311.7</v>
      </c>
      <c r="AO32" s="33">
        <f>SUMIFS(Нормативы!AA:AA,Нормативы!$B:$B,$G32,Нормативы!$D:$D,'2020'!$I32,Нормативы!$F:$F,'2020'!$K32)</f>
        <v>0</v>
      </c>
      <c r="AP32" s="141">
        <f t="shared" si="103"/>
        <v>8294</v>
      </c>
      <c r="AQ32" s="413">
        <f t="shared" si="104"/>
        <v>97236</v>
      </c>
      <c r="AR32" s="33">
        <f t="shared" si="105"/>
        <v>74682</v>
      </c>
      <c r="AS32" s="33">
        <f t="shared" si="106"/>
        <v>22554</v>
      </c>
      <c r="AT32" s="34">
        <f t="shared" si="0"/>
        <v>396</v>
      </c>
      <c r="AU32" s="34">
        <f t="shared" si="1"/>
        <v>72</v>
      </c>
      <c r="AV32" s="34">
        <f t="shared" si="2"/>
        <v>4176</v>
      </c>
      <c r="AW32" s="34">
        <f t="shared" si="3"/>
        <v>6678</v>
      </c>
      <c r="AX32" s="34">
        <f t="shared" si="4"/>
        <v>936</v>
      </c>
      <c r="AY32" s="34">
        <f t="shared" si="5"/>
        <v>3852</v>
      </c>
      <c r="AZ32" s="34">
        <f t="shared" si="6"/>
        <v>558</v>
      </c>
      <c r="BA32" s="34">
        <f t="shared" si="7"/>
        <v>1332</v>
      </c>
      <c r="BB32" s="34">
        <f t="shared" si="107"/>
        <v>4428</v>
      </c>
      <c r="BC32" s="34">
        <f t="shared" si="8"/>
        <v>9144</v>
      </c>
      <c r="BD32" s="34">
        <f t="shared" si="9"/>
        <v>972</v>
      </c>
      <c r="BE32" s="34">
        <f t="shared" si="10"/>
        <v>1386</v>
      </c>
      <c r="BF32" s="34">
        <f t="shared" si="11"/>
        <v>144</v>
      </c>
      <c r="BG32" s="34">
        <f t="shared" si="12"/>
        <v>540</v>
      </c>
      <c r="BH32" s="34">
        <f t="shared" si="13"/>
        <v>24192</v>
      </c>
      <c r="BI32" s="33">
        <f t="shared" si="108"/>
        <v>18580.599999999999</v>
      </c>
      <c r="BJ32" s="33">
        <f t="shared" si="109"/>
        <v>5611.4</v>
      </c>
      <c r="BK32" s="34">
        <f t="shared" si="14"/>
        <v>0</v>
      </c>
      <c r="BL32" s="426">
        <f t="shared" si="15"/>
        <v>149292</v>
      </c>
      <c r="BM32" s="616">
        <f t="shared" si="110"/>
        <v>316795</v>
      </c>
      <c r="BN32" s="33">
        <f t="shared" si="16"/>
        <v>243314.1</v>
      </c>
      <c r="BO32" s="33">
        <f t="shared" si="17"/>
        <v>73480.899999999994</v>
      </c>
      <c r="BP32" s="34">
        <f t="shared" si="111"/>
        <v>396</v>
      </c>
      <c r="BQ32" s="34">
        <f t="shared" si="112"/>
        <v>72</v>
      </c>
      <c r="BR32" s="34">
        <f t="shared" si="113"/>
        <v>4176</v>
      </c>
      <c r="BS32" s="34">
        <f t="shared" si="18"/>
        <v>6678</v>
      </c>
      <c r="BT32" s="34">
        <f t="shared" si="19"/>
        <v>936</v>
      </c>
      <c r="BU32" s="34">
        <f t="shared" si="20"/>
        <v>3852</v>
      </c>
      <c r="BV32" s="34">
        <f t="shared" si="21"/>
        <v>558</v>
      </c>
      <c r="BW32" s="34">
        <f t="shared" si="22"/>
        <v>1332</v>
      </c>
      <c r="BX32" s="34">
        <f t="shared" si="23"/>
        <v>12806</v>
      </c>
      <c r="BY32" s="34">
        <f t="shared" si="24"/>
        <v>9144</v>
      </c>
      <c r="BZ32" s="34">
        <f t="shared" si="25"/>
        <v>972</v>
      </c>
      <c r="CA32" s="34">
        <f t="shared" si="26"/>
        <v>1386</v>
      </c>
      <c r="CB32" s="34">
        <f t="shared" si="27"/>
        <v>144</v>
      </c>
      <c r="CC32" s="34">
        <f t="shared" si="28"/>
        <v>540</v>
      </c>
      <c r="CD32" s="34">
        <f t="shared" si="29"/>
        <v>78818</v>
      </c>
      <c r="CE32" s="33">
        <f t="shared" si="114"/>
        <v>60536.1</v>
      </c>
      <c r="CF32" s="33">
        <f t="shared" si="115"/>
        <v>18281.900000000001</v>
      </c>
      <c r="CG32" s="34">
        <f t="shared" si="30"/>
        <v>0</v>
      </c>
      <c r="CH32" s="415">
        <f t="shared" si="31"/>
        <v>431855</v>
      </c>
      <c r="CI32" s="88">
        <f t="shared" si="32"/>
        <v>17599.7222</v>
      </c>
      <c r="CJ32" s="90">
        <f t="shared" si="33"/>
        <v>13517.45</v>
      </c>
      <c r="CK32" s="90">
        <f t="shared" si="34"/>
        <v>4082.2721999999999</v>
      </c>
      <c r="CL32" s="88">
        <f t="shared" si="35"/>
        <v>22</v>
      </c>
      <c r="CM32" s="88">
        <f t="shared" si="36"/>
        <v>4</v>
      </c>
      <c r="CN32" s="88">
        <f t="shared" si="37"/>
        <v>232</v>
      </c>
      <c r="CO32" s="88">
        <f t="shared" si="38"/>
        <v>371</v>
      </c>
      <c r="CP32" s="88">
        <f t="shared" si="39"/>
        <v>52</v>
      </c>
      <c r="CQ32" s="88">
        <f t="shared" si="40"/>
        <v>214</v>
      </c>
      <c r="CR32" s="88">
        <f t="shared" si="41"/>
        <v>31</v>
      </c>
      <c r="CS32" s="88">
        <f t="shared" si="42"/>
        <v>74</v>
      </c>
      <c r="CT32" s="88">
        <f t="shared" si="43"/>
        <v>711.44439999999997</v>
      </c>
      <c r="CU32" s="88">
        <f t="shared" si="44"/>
        <v>508</v>
      </c>
      <c r="CV32" s="88">
        <f t="shared" si="45"/>
        <v>54</v>
      </c>
      <c r="CW32" s="88">
        <f t="shared" si="46"/>
        <v>77</v>
      </c>
      <c r="CX32" s="88">
        <f t="shared" si="47"/>
        <v>8</v>
      </c>
      <c r="CY32" s="88">
        <f t="shared" si="48"/>
        <v>30</v>
      </c>
      <c r="CZ32" s="88">
        <f t="shared" si="49"/>
        <v>4378.7777999999998</v>
      </c>
      <c r="DA32" s="90">
        <f t="shared" si="50"/>
        <v>3363.1167</v>
      </c>
      <c r="DB32" s="90">
        <f t="shared" si="51"/>
        <v>1015.6611</v>
      </c>
      <c r="DC32" s="88">
        <f t="shared" si="52"/>
        <v>0</v>
      </c>
      <c r="DD32" s="88">
        <f t="shared" si="53"/>
        <v>23991.9444</v>
      </c>
      <c r="AUV32" s="699">
        <f t="shared" si="65"/>
        <v>17599.72</v>
      </c>
      <c r="AUW32" s="699">
        <f t="shared" si="66"/>
        <v>13517.45</v>
      </c>
      <c r="AUX32" s="699">
        <f t="shared" si="67"/>
        <v>4082.27</v>
      </c>
      <c r="AUY32" s="699">
        <f t="shared" si="68"/>
        <v>22</v>
      </c>
      <c r="AUZ32" s="699">
        <f t="shared" si="204"/>
        <v>24.9</v>
      </c>
      <c r="AVA32" s="699">
        <f t="shared" si="204"/>
        <v>0.77</v>
      </c>
      <c r="AVB32" s="699">
        <f t="shared" si="70"/>
        <v>371</v>
      </c>
      <c r="AVC32" s="699">
        <f t="shared" si="71"/>
        <v>52</v>
      </c>
      <c r="AVD32" s="699">
        <f t="shared" si="72"/>
        <v>214</v>
      </c>
      <c r="AVE32" s="699">
        <f t="shared" si="73"/>
        <v>31</v>
      </c>
      <c r="AVF32" s="699">
        <f t="shared" si="74"/>
        <v>74</v>
      </c>
      <c r="AVG32" s="699">
        <f t="shared" si="75"/>
        <v>711.44</v>
      </c>
      <c r="AVH32" s="699">
        <f t="shared" si="76"/>
        <v>508</v>
      </c>
      <c r="AVI32" s="699">
        <f t="shared" si="77"/>
        <v>54</v>
      </c>
      <c r="AVJ32" s="699">
        <f t="shared" si="78"/>
        <v>77</v>
      </c>
      <c r="AVK32" s="699">
        <f t="shared" si="79"/>
        <v>8</v>
      </c>
      <c r="AVL32" s="699">
        <f t="shared" si="80"/>
        <v>30</v>
      </c>
      <c r="AVM32" s="699">
        <f t="shared" si="81"/>
        <v>4378.78</v>
      </c>
      <c r="AVN32" s="699">
        <f t="shared" si="82"/>
        <v>3363.12</v>
      </c>
      <c r="AVO32" s="699">
        <f t="shared" si="83"/>
        <v>1015.66</v>
      </c>
      <c r="AVP32" s="699">
        <f t="shared" si="84"/>
        <v>0</v>
      </c>
      <c r="AVQ32" s="699">
        <f t="shared" si="85"/>
        <v>23991.94</v>
      </c>
    </row>
    <row r="33" spans="1:108 1244:1265" ht="30" customHeight="1" x14ac:dyDescent="0.25">
      <c r="A33" s="643">
        <v>1</v>
      </c>
      <c r="B33" s="643">
        <v>9</v>
      </c>
      <c r="C33" s="664" t="s">
        <v>247</v>
      </c>
      <c r="D33" s="2"/>
      <c r="E33" s="101" t="s">
        <v>344</v>
      </c>
      <c r="F33" s="643" t="s">
        <v>31</v>
      </c>
      <c r="G33" s="643">
        <v>1</v>
      </c>
      <c r="H33" s="658" t="s">
        <v>8</v>
      </c>
      <c r="I33" s="643">
        <v>3</v>
      </c>
      <c r="J33" s="101" t="s">
        <v>372</v>
      </c>
      <c r="K33" s="643">
        <v>1</v>
      </c>
      <c r="L33" s="683" t="s">
        <v>349</v>
      </c>
      <c r="M33" s="11" t="s">
        <v>278</v>
      </c>
      <c r="N33" s="101" t="s">
        <v>387</v>
      </c>
      <c r="O33" s="643">
        <v>1</v>
      </c>
      <c r="P33" s="632">
        <v>18</v>
      </c>
      <c r="Q33" s="632">
        <v>18</v>
      </c>
      <c r="R33" s="632">
        <v>18</v>
      </c>
      <c r="S33" s="675">
        <f>SUMIF('Территориальный кк'!$A:$A,'2020'!$B33,'Территориальный кк'!D:D)</f>
        <v>3.258</v>
      </c>
      <c r="T33" s="676">
        <f>SUMIF('Территориальный кк'!$A:$A,'2020'!$B33,'Территориальный кк'!E:E)</f>
        <v>2.8919999999999999</v>
      </c>
      <c r="U33" s="33">
        <f>SUMIFS(Нормативы!G:G,Нормативы!$B:$B,$G33,Нормативы!$D:$D,'2020'!$I33,Нормативы!$F:$F,'2020'!$K33)*O33</f>
        <v>5402</v>
      </c>
      <c r="V33" s="33">
        <f t="shared" si="98"/>
        <v>4149</v>
      </c>
      <c r="W33" s="33">
        <f t="shared" si="99"/>
        <v>1253</v>
      </c>
      <c r="X33" s="33">
        <f>SUMIFS(Нормативы!J:J,Нормативы!$B:$B,$G33,Нормативы!$D:$D,'2020'!$I33,Нормативы!$F:$F,'2020'!$K33)</f>
        <v>22</v>
      </c>
      <c r="Y33" s="33">
        <f>SUMIFS(Нормативы!K:K,Нормативы!$B:$B,$G33,Нормативы!$D:$D,'2020'!$I33,Нормативы!$F:$F,'2020'!$K33)</f>
        <v>4</v>
      </c>
      <c r="Z33" s="33">
        <f>SUMIFS(Нормативы!L:L,Нормативы!$B:$B,$G33,Нормативы!$D:$D,'2020'!$I33,Нормативы!$F:$F,'2020'!$K33)</f>
        <v>232</v>
      </c>
      <c r="AA33" s="33">
        <f t="shared" si="100"/>
        <v>371</v>
      </c>
      <c r="AB33" s="33">
        <f>SUMIFS(Нормативы!N:N,Нормативы!$B:$B,$G33,Нормативы!$D:$D,'2020'!$I33,Нормативы!$F:$F,'2020'!$K33)*O33</f>
        <v>52</v>
      </c>
      <c r="AC33" s="33">
        <f>SUMIFS(Нормативы!O:O,Нормативы!$B:$B,$G33,Нормативы!$D:$D,'2020'!$I33,Нормативы!$F:$F,'2020'!$K33)</f>
        <v>214</v>
      </c>
      <c r="AD33" s="33">
        <f>SUMIFS(Нормативы!P:P,Нормативы!$B:$B,$G33,Нормативы!$D:$D,'2020'!$I33,Нормативы!$F:$F,'2020'!$K33)*O33</f>
        <v>31</v>
      </c>
      <c r="AE33" s="33">
        <f>SUMIFS(Нормативы!Q:Q,Нормативы!$B:$B,$G33,Нормативы!$D:$D,'2020'!$I33,Нормативы!$F:$F,'2020'!$K33)</f>
        <v>74</v>
      </c>
      <c r="AF33" s="33">
        <f>SUMIFS(Нормативы!R:R,Нормативы!$B:$B,$G33,Нормативы!$D:$D,'2020'!$I33,Нормативы!$F:$F,'2020'!$K33)</f>
        <v>246</v>
      </c>
      <c r="AG33" s="33">
        <f>SUMIFS(Нормативы!S:S,Нормативы!$B:$B,$G33,Нормативы!$D:$D,'2020'!$I33,Нормативы!$F:$F,'2020'!$K33)</f>
        <v>508</v>
      </c>
      <c r="AH33" s="33">
        <f>SUMIFS(Нормативы!T:T,Нормативы!$B:$B,$G33,Нормативы!$D:$D,'2020'!$I33,Нормативы!$F:$F,'2020'!$K33)</f>
        <v>54</v>
      </c>
      <c r="AI33" s="33">
        <f>SUMIFS(Нормативы!U:U,Нормативы!$B:$B,$G33,Нормативы!$D:$D,'2020'!$I33,Нормативы!$F:$F,'2020'!$K33)</f>
        <v>77</v>
      </c>
      <c r="AJ33" s="33">
        <f>SUMIFS(Нормативы!V:V,Нормативы!$B:$B,$G33,Нормативы!$D:$D,'2020'!$I33,Нормативы!$F:$F,'2020'!$K33)</f>
        <v>8</v>
      </c>
      <c r="AK33" s="33">
        <f>SUMIFS(Нормативы!W:W,Нормативы!$B:$B,$G33,Нормативы!$D:$D,'2020'!$I33,Нормативы!$F:$F,'2020'!$K33)</f>
        <v>30</v>
      </c>
      <c r="AL33" s="33">
        <f>SUMIFS(Нормативы!X:X,Нормативы!$B:$B,$G33,Нормативы!$D:$D,'2020'!$I33,Нормативы!$F:$F,'2020'!$K33)*O33</f>
        <v>1344</v>
      </c>
      <c r="AM33" s="33">
        <f t="shared" si="101"/>
        <v>1032.3</v>
      </c>
      <c r="AN33" s="33">
        <f t="shared" si="102"/>
        <v>311.7</v>
      </c>
      <c r="AO33" s="33">
        <f>SUMIFS(Нормативы!AA:AA,Нормативы!$B:$B,$G33,Нормативы!$D:$D,'2020'!$I33,Нормативы!$F:$F,'2020'!$K33)</f>
        <v>0</v>
      </c>
      <c r="AP33" s="141">
        <f t="shared" si="103"/>
        <v>8294</v>
      </c>
      <c r="AQ33" s="413">
        <f t="shared" si="104"/>
        <v>97236</v>
      </c>
      <c r="AR33" s="33">
        <f t="shared" si="105"/>
        <v>74682</v>
      </c>
      <c r="AS33" s="33">
        <f t="shared" si="106"/>
        <v>22554</v>
      </c>
      <c r="AT33" s="34">
        <f t="shared" si="0"/>
        <v>396</v>
      </c>
      <c r="AU33" s="34">
        <f t="shared" si="1"/>
        <v>72</v>
      </c>
      <c r="AV33" s="34">
        <f t="shared" si="2"/>
        <v>4176</v>
      </c>
      <c r="AW33" s="34">
        <f t="shared" si="3"/>
        <v>6678</v>
      </c>
      <c r="AX33" s="34">
        <f t="shared" si="4"/>
        <v>936</v>
      </c>
      <c r="AY33" s="34">
        <f t="shared" si="5"/>
        <v>3852</v>
      </c>
      <c r="AZ33" s="34">
        <f t="shared" si="6"/>
        <v>558</v>
      </c>
      <c r="BA33" s="34">
        <f t="shared" si="7"/>
        <v>1332</v>
      </c>
      <c r="BB33" s="34">
        <f t="shared" si="107"/>
        <v>4428</v>
      </c>
      <c r="BC33" s="34">
        <f t="shared" si="8"/>
        <v>9144</v>
      </c>
      <c r="BD33" s="34">
        <f t="shared" si="9"/>
        <v>972</v>
      </c>
      <c r="BE33" s="34">
        <f t="shared" si="10"/>
        <v>1386</v>
      </c>
      <c r="BF33" s="34">
        <f t="shared" si="11"/>
        <v>144</v>
      </c>
      <c r="BG33" s="34">
        <f t="shared" si="12"/>
        <v>540</v>
      </c>
      <c r="BH33" s="34">
        <f t="shared" si="13"/>
        <v>24192</v>
      </c>
      <c r="BI33" s="33">
        <f t="shared" si="108"/>
        <v>18580.599999999999</v>
      </c>
      <c r="BJ33" s="33">
        <f t="shared" si="109"/>
        <v>5611.4</v>
      </c>
      <c r="BK33" s="34">
        <f t="shared" si="14"/>
        <v>0</v>
      </c>
      <c r="BL33" s="426">
        <f t="shared" si="15"/>
        <v>149292</v>
      </c>
      <c r="BM33" s="616">
        <f t="shared" si="110"/>
        <v>316795</v>
      </c>
      <c r="BN33" s="33">
        <f t="shared" si="16"/>
        <v>243314.1</v>
      </c>
      <c r="BO33" s="33">
        <f t="shared" si="17"/>
        <v>73480.899999999994</v>
      </c>
      <c r="BP33" s="34">
        <f t="shared" si="111"/>
        <v>396</v>
      </c>
      <c r="BQ33" s="34">
        <f t="shared" si="112"/>
        <v>72</v>
      </c>
      <c r="BR33" s="34">
        <f t="shared" si="113"/>
        <v>4176</v>
      </c>
      <c r="BS33" s="34">
        <f t="shared" si="18"/>
        <v>6678</v>
      </c>
      <c r="BT33" s="34">
        <f t="shared" si="19"/>
        <v>936</v>
      </c>
      <c r="BU33" s="34">
        <f t="shared" si="20"/>
        <v>3852</v>
      </c>
      <c r="BV33" s="34">
        <f t="shared" si="21"/>
        <v>558</v>
      </c>
      <c r="BW33" s="34">
        <f t="shared" si="22"/>
        <v>1332</v>
      </c>
      <c r="BX33" s="34">
        <f t="shared" si="23"/>
        <v>12806</v>
      </c>
      <c r="BY33" s="34">
        <f t="shared" si="24"/>
        <v>9144</v>
      </c>
      <c r="BZ33" s="34">
        <f t="shared" si="25"/>
        <v>972</v>
      </c>
      <c r="CA33" s="34">
        <f t="shared" si="26"/>
        <v>1386</v>
      </c>
      <c r="CB33" s="34">
        <f t="shared" si="27"/>
        <v>144</v>
      </c>
      <c r="CC33" s="34">
        <f t="shared" si="28"/>
        <v>540</v>
      </c>
      <c r="CD33" s="34">
        <f t="shared" si="29"/>
        <v>78818</v>
      </c>
      <c r="CE33" s="33">
        <f t="shared" si="114"/>
        <v>60536.1</v>
      </c>
      <c r="CF33" s="33">
        <f t="shared" si="115"/>
        <v>18281.900000000001</v>
      </c>
      <c r="CG33" s="34">
        <f t="shared" si="30"/>
        <v>0</v>
      </c>
      <c r="CH33" s="415">
        <f t="shared" si="31"/>
        <v>431855</v>
      </c>
      <c r="CI33" s="88">
        <f t="shared" si="32"/>
        <v>17599.7222</v>
      </c>
      <c r="CJ33" s="90">
        <f t="shared" si="33"/>
        <v>13517.45</v>
      </c>
      <c r="CK33" s="90">
        <f t="shared" si="34"/>
        <v>4082.2721999999999</v>
      </c>
      <c r="CL33" s="88">
        <f t="shared" si="35"/>
        <v>22</v>
      </c>
      <c r="CM33" s="88">
        <f t="shared" si="36"/>
        <v>4</v>
      </c>
      <c r="CN33" s="88">
        <f t="shared" si="37"/>
        <v>232</v>
      </c>
      <c r="CO33" s="88">
        <f t="shared" si="38"/>
        <v>371</v>
      </c>
      <c r="CP33" s="88">
        <f t="shared" si="39"/>
        <v>52</v>
      </c>
      <c r="CQ33" s="88">
        <f t="shared" si="40"/>
        <v>214</v>
      </c>
      <c r="CR33" s="88">
        <f t="shared" si="41"/>
        <v>31</v>
      </c>
      <c r="CS33" s="88">
        <f t="shared" si="42"/>
        <v>74</v>
      </c>
      <c r="CT33" s="88">
        <f t="shared" si="43"/>
        <v>711.44439999999997</v>
      </c>
      <c r="CU33" s="88">
        <f t="shared" si="44"/>
        <v>508</v>
      </c>
      <c r="CV33" s="88">
        <f t="shared" si="45"/>
        <v>54</v>
      </c>
      <c r="CW33" s="88">
        <f t="shared" si="46"/>
        <v>77</v>
      </c>
      <c r="CX33" s="88">
        <f t="shared" si="47"/>
        <v>8</v>
      </c>
      <c r="CY33" s="88">
        <f t="shared" si="48"/>
        <v>30</v>
      </c>
      <c r="CZ33" s="88">
        <f t="shared" si="49"/>
        <v>4378.7777999999998</v>
      </c>
      <c r="DA33" s="90">
        <f t="shared" si="50"/>
        <v>3363.1167</v>
      </c>
      <c r="DB33" s="90">
        <f t="shared" si="51"/>
        <v>1015.6611</v>
      </c>
      <c r="DC33" s="88">
        <f t="shared" si="52"/>
        <v>0</v>
      </c>
      <c r="DD33" s="88">
        <f t="shared" si="53"/>
        <v>23991.9444</v>
      </c>
      <c r="AUV33" s="699">
        <f t="shared" si="65"/>
        <v>17599.72</v>
      </c>
      <c r="AUW33" s="699">
        <f t="shared" si="66"/>
        <v>13517.45</v>
      </c>
      <c r="AUX33" s="699">
        <f t="shared" si="67"/>
        <v>4082.27</v>
      </c>
      <c r="AUY33" s="699">
        <f t="shared" si="68"/>
        <v>22</v>
      </c>
      <c r="AUZ33" s="699">
        <f t="shared" si="204"/>
        <v>24.9</v>
      </c>
      <c r="AVA33" s="699">
        <f t="shared" si="204"/>
        <v>0.77</v>
      </c>
      <c r="AVB33" s="699">
        <f t="shared" si="70"/>
        <v>371</v>
      </c>
      <c r="AVC33" s="699">
        <f t="shared" si="71"/>
        <v>52</v>
      </c>
      <c r="AVD33" s="699">
        <f t="shared" si="72"/>
        <v>214</v>
      </c>
      <c r="AVE33" s="699">
        <f t="shared" si="73"/>
        <v>31</v>
      </c>
      <c r="AVF33" s="699">
        <f t="shared" si="74"/>
        <v>74</v>
      </c>
      <c r="AVG33" s="699">
        <f t="shared" si="75"/>
        <v>711.44</v>
      </c>
      <c r="AVH33" s="699">
        <f t="shared" si="76"/>
        <v>508</v>
      </c>
      <c r="AVI33" s="699">
        <f t="shared" si="77"/>
        <v>54</v>
      </c>
      <c r="AVJ33" s="699">
        <f t="shared" si="78"/>
        <v>77</v>
      </c>
      <c r="AVK33" s="699">
        <f t="shared" si="79"/>
        <v>8</v>
      </c>
      <c r="AVL33" s="699">
        <f t="shared" si="80"/>
        <v>30</v>
      </c>
      <c r="AVM33" s="699">
        <f t="shared" si="81"/>
        <v>4378.78</v>
      </c>
      <c r="AVN33" s="699">
        <f t="shared" si="82"/>
        <v>3363.12</v>
      </c>
      <c r="AVO33" s="699">
        <f t="shared" si="83"/>
        <v>1015.66</v>
      </c>
      <c r="AVP33" s="699">
        <f t="shared" si="84"/>
        <v>0</v>
      </c>
      <c r="AVQ33" s="699">
        <f t="shared" si="85"/>
        <v>23991.94</v>
      </c>
    </row>
    <row r="34" spans="1:108 1244:1265" ht="30" customHeight="1" x14ac:dyDescent="0.25">
      <c r="A34" s="643">
        <v>1</v>
      </c>
      <c r="B34" s="643">
        <v>9</v>
      </c>
      <c r="C34" s="664" t="s">
        <v>247</v>
      </c>
      <c r="D34" s="2"/>
      <c r="E34" s="101" t="s">
        <v>344</v>
      </c>
      <c r="F34" s="643" t="s">
        <v>31</v>
      </c>
      <c r="G34" s="643">
        <v>1</v>
      </c>
      <c r="H34" s="658" t="s">
        <v>10</v>
      </c>
      <c r="I34" s="643">
        <v>0</v>
      </c>
      <c r="J34" s="101" t="s">
        <v>355</v>
      </c>
      <c r="K34" s="643">
        <v>1</v>
      </c>
      <c r="L34" s="683" t="s">
        <v>349</v>
      </c>
      <c r="M34" s="11" t="s">
        <v>279</v>
      </c>
      <c r="N34" s="101" t="s">
        <v>387</v>
      </c>
      <c r="O34" s="643">
        <v>1</v>
      </c>
      <c r="P34" s="632">
        <v>10</v>
      </c>
      <c r="Q34" s="632">
        <v>10</v>
      </c>
      <c r="R34" s="632">
        <v>10</v>
      </c>
      <c r="S34" s="675">
        <f>SUMIF('Территориальный кк'!$A:$A,'2020'!$B34,'Территориальный кк'!D:D)</f>
        <v>3.258</v>
      </c>
      <c r="T34" s="676">
        <f>SUMIF('Территориальный кк'!$A:$A,'2020'!$B34,'Территориальный кк'!E:E)</f>
        <v>2.8919999999999999</v>
      </c>
      <c r="U34" s="33">
        <f>SUMIFS(Нормативы!G:G,Нормативы!$B:$B,$G34,Нормативы!$D:$D,'2020'!$I34,Нормативы!$F:$F,'2020'!$K34)*O34</f>
        <v>54020</v>
      </c>
      <c r="V34" s="33">
        <f t="shared" si="98"/>
        <v>41490</v>
      </c>
      <c r="W34" s="33">
        <f t="shared" si="99"/>
        <v>12530</v>
      </c>
      <c r="X34" s="33">
        <f>SUMIFS(Нормативы!J:J,Нормативы!$B:$B,$G34,Нормативы!$D:$D,'2020'!$I34,Нормативы!$F:$F,'2020'!$K34)</f>
        <v>220</v>
      </c>
      <c r="Y34" s="33">
        <f>SUMIFS(Нормативы!K:K,Нормативы!$B:$B,$G34,Нормативы!$D:$D,'2020'!$I34,Нормативы!$F:$F,'2020'!$K34)</f>
        <v>44</v>
      </c>
      <c r="Z34" s="33">
        <f>SUMIFS(Нормативы!L:L,Нормативы!$B:$B,$G34,Нормативы!$D:$D,'2020'!$I34,Нормативы!$F:$F,'2020'!$K34)</f>
        <v>2320</v>
      </c>
      <c r="AA34" s="33">
        <f t="shared" si="100"/>
        <v>3710</v>
      </c>
      <c r="AB34" s="33">
        <f>SUMIFS(Нормативы!N:N,Нормативы!$B:$B,$G34,Нормативы!$D:$D,'2020'!$I34,Нормативы!$F:$F,'2020'!$K34)*O34</f>
        <v>520</v>
      </c>
      <c r="AC34" s="33">
        <f>SUMIFS(Нормативы!O:O,Нормативы!$B:$B,$G34,Нормативы!$D:$D,'2020'!$I34,Нормативы!$F:$F,'2020'!$K34)</f>
        <v>2140</v>
      </c>
      <c r="AD34" s="33">
        <f>SUMIFS(Нормативы!P:P,Нормативы!$B:$B,$G34,Нормативы!$D:$D,'2020'!$I34,Нормативы!$F:$F,'2020'!$K34)*O34</f>
        <v>310</v>
      </c>
      <c r="AE34" s="33">
        <f>SUMIFS(Нормативы!Q:Q,Нормативы!$B:$B,$G34,Нормативы!$D:$D,'2020'!$I34,Нормативы!$F:$F,'2020'!$K34)</f>
        <v>740</v>
      </c>
      <c r="AF34" s="33">
        <f>SUMIFS(Нормативы!R:R,Нормативы!$B:$B,$G34,Нормативы!$D:$D,'2020'!$I34,Нормативы!$F:$F,'2020'!$K34)</f>
        <v>2460</v>
      </c>
      <c r="AG34" s="33">
        <f>SUMIFS(Нормативы!S:S,Нормативы!$B:$B,$G34,Нормативы!$D:$D,'2020'!$I34,Нормативы!$F:$F,'2020'!$K34)</f>
        <v>5080</v>
      </c>
      <c r="AH34" s="33">
        <f>SUMIFS(Нормативы!T:T,Нормативы!$B:$B,$G34,Нормативы!$D:$D,'2020'!$I34,Нормативы!$F:$F,'2020'!$K34)</f>
        <v>540</v>
      </c>
      <c r="AI34" s="33">
        <f>SUMIFS(Нормативы!U:U,Нормативы!$B:$B,$G34,Нормативы!$D:$D,'2020'!$I34,Нормативы!$F:$F,'2020'!$K34)</f>
        <v>770</v>
      </c>
      <c r="AJ34" s="33">
        <f>SUMIFS(Нормативы!V:V,Нормативы!$B:$B,$G34,Нормативы!$D:$D,'2020'!$I34,Нормативы!$F:$F,'2020'!$K34)</f>
        <v>80</v>
      </c>
      <c r="AK34" s="33">
        <f>SUMIFS(Нормативы!W:W,Нормативы!$B:$B,$G34,Нормативы!$D:$D,'2020'!$I34,Нормативы!$F:$F,'2020'!$K34)</f>
        <v>300</v>
      </c>
      <c r="AL34" s="33">
        <f>SUMIFS(Нормативы!X:X,Нормативы!$B:$B,$G34,Нормативы!$D:$D,'2020'!$I34,Нормативы!$F:$F,'2020'!$K34)*O34</f>
        <v>13440</v>
      </c>
      <c r="AM34" s="33">
        <f t="shared" si="101"/>
        <v>10322.6</v>
      </c>
      <c r="AN34" s="33">
        <f t="shared" si="102"/>
        <v>3117.4</v>
      </c>
      <c r="AO34" s="33">
        <f>SUMIFS(Нормативы!AA:AA,Нормативы!$B:$B,$G34,Нормативы!$D:$D,'2020'!$I34,Нормативы!$F:$F,'2020'!$K34)</f>
        <v>3520</v>
      </c>
      <c r="AP34" s="141">
        <f t="shared" si="103"/>
        <v>86460</v>
      </c>
      <c r="AQ34" s="413">
        <f t="shared" si="104"/>
        <v>540200</v>
      </c>
      <c r="AR34" s="33">
        <f t="shared" si="105"/>
        <v>414900.2</v>
      </c>
      <c r="AS34" s="33">
        <f t="shared" si="106"/>
        <v>125299.8</v>
      </c>
      <c r="AT34" s="34">
        <f t="shared" si="0"/>
        <v>2200</v>
      </c>
      <c r="AU34" s="34">
        <f t="shared" si="1"/>
        <v>440</v>
      </c>
      <c r="AV34" s="34">
        <f t="shared" si="2"/>
        <v>23200</v>
      </c>
      <c r="AW34" s="34">
        <f t="shared" si="3"/>
        <v>37100</v>
      </c>
      <c r="AX34" s="34">
        <f t="shared" si="4"/>
        <v>5200</v>
      </c>
      <c r="AY34" s="34">
        <f t="shared" si="5"/>
        <v>21400</v>
      </c>
      <c r="AZ34" s="34">
        <f t="shared" si="6"/>
        <v>3100</v>
      </c>
      <c r="BA34" s="34">
        <f t="shared" si="7"/>
        <v>7400</v>
      </c>
      <c r="BB34" s="34">
        <f t="shared" si="107"/>
        <v>24600</v>
      </c>
      <c r="BC34" s="34">
        <f t="shared" si="8"/>
        <v>50800</v>
      </c>
      <c r="BD34" s="34">
        <f t="shared" si="9"/>
        <v>5400</v>
      </c>
      <c r="BE34" s="34">
        <f t="shared" si="10"/>
        <v>7700</v>
      </c>
      <c r="BF34" s="34">
        <f t="shared" si="11"/>
        <v>800</v>
      </c>
      <c r="BG34" s="34">
        <f t="shared" si="12"/>
        <v>3000</v>
      </c>
      <c r="BH34" s="34">
        <f t="shared" si="13"/>
        <v>134400</v>
      </c>
      <c r="BI34" s="33">
        <f t="shared" si="108"/>
        <v>103225.8</v>
      </c>
      <c r="BJ34" s="33">
        <f t="shared" si="109"/>
        <v>31174.2</v>
      </c>
      <c r="BK34" s="34">
        <f t="shared" si="14"/>
        <v>35200</v>
      </c>
      <c r="BL34" s="426">
        <f t="shared" si="15"/>
        <v>864600</v>
      </c>
      <c r="BM34" s="616">
        <f t="shared" si="110"/>
        <v>1759972</v>
      </c>
      <c r="BN34" s="33">
        <f t="shared" si="16"/>
        <v>1351745</v>
      </c>
      <c r="BO34" s="33">
        <f t="shared" si="17"/>
        <v>408227</v>
      </c>
      <c r="BP34" s="34">
        <f t="shared" si="111"/>
        <v>2200</v>
      </c>
      <c r="BQ34" s="34">
        <f t="shared" si="112"/>
        <v>440</v>
      </c>
      <c r="BR34" s="34">
        <f t="shared" si="113"/>
        <v>23200</v>
      </c>
      <c r="BS34" s="34">
        <f t="shared" si="18"/>
        <v>37100</v>
      </c>
      <c r="BT34" s="34">
        <f t="shared" si="19"/>
        <v>5200</v>
      </c>
      <c r="BU34" s="34">
        <f t="shared" si="20"/>
        <v>21400</v>
      </c>
      <c r="BV34" s="34">
        <f t="shared" si="21"/>
        <v>3100</v>
      </c>
      <c r="BW34" s="34">
        <f t="shared" si="22"/>
        <v>7400</v>
      </c>
      <c r="BX34" s="34">
        <f t="shared" si="23"/>
        <v>71143</v>
      </c>
      <c r="BY34" s="34">
        <f t="shared" si="24"/>
        <v>50800</v>
      </c>
      <c r="BZ34" s="34">
        <f t="shared" si="25"/>
        <v>5400</v>
      </c>
      <c r="CA34" s="34">
        <f t="shared" si="26"/>
        <v>7700</v>
      </c>
      <c r="CB34" s="34">
        <f t="shared" si="27"/>
        <v>800</v>
      </c>
      <c r="CC34" s="34">
        <f t="shared" si="28"/>
        <v>3000</v>
      </c>
      <c r="CD34" s="34">
        <f t="shared" si="29"/>
        <v>437875</v>
      </c>
      <c r="CE34" s="33">
        <f t="shared" si="114"/>
        <v>336309.5</v>
      </c>
      <c r="CF34" s="33">
        <f t="shared" si="115"/>
        <v>101565.5</v>
      </c>
      <c r="CG34" s="34">
        <f t="shared" si="30"/>
        <v>35200</v>
      </c>
      <c r="CH34" s="415">
        <f t="shared" si="31"/>
        <v>2434390</v>
      </c>
      <c r="CI34" s="88">
        <f t="shared" si="32"/>
        <v>175997.2</v>
      </c>
      <c r="CJ34" s="90">
        <f t="shared" si="33"/>
        <v>135174.5</v>
      </c>
      <c r="CK34" s="90">
        <f t="shared" si="34"/>
        <v>40822.699999999997</v>
      </c>
      <c r="CL34" s="88">
        <f t="shared" si="35"/>
        <v>220</v>
      </c>
      <c r="CM34" s="88">
        <f t="shared" si="36"/>
        <v>44</v>
      </c>
      <c r="CN34" s="88">
        <f t="shared" si="37"/>
        <v>2320</v>
      </c>
      <c r="CO34" s="88">
        <f t="shared" si="38"/>
        <v>3710</v>
      </c>
      <c r="CP34" s="88">
        <f t="shared" si="39"/>
        <v>520</v>
      </c>
      <c r="CQ34" s="88">
        <f t="shared" si="40"/>
        <v>2140</v>
      </c>
      <c r="CR34" s="88">
        <f t="shared" si="41"/>
        <v>310</v>
      </c>
      <c r="CS34" s="88">
        <f t="shared" si="42"/>
        <v>740</v>
      </c>
      <c r="CT34" s="88">
        <f t="shared" si="43"/>
        <v>7114.3</v>
      </c>
      <c r="CU34" s="88">
        <f t="shared" si="44"/>
        <v>5080</v>
      </c>
      <c r="CV34" s="88">
        <f t="shared" si="45"/>
        <v>540</v>
      </c>
      <c r="CW34" s="88">
        <f t="shared" si="46"/>
        <v>770</v>
      </c>
      <c r="CX34" s="88">
        <f t="shared" si="47"/>
        <v>80</v>
      </c>
      <c r="CY34" s="88">
        <f t="shared" si="48"/>
        <v>300</v>
      </c>
      <c r="CZ34" s="88">
        <f t="shared" si="49"/>
        <v>43787.5</v>
      </c>
      <c r="DA34" s="90">
        <f t="shared" si="50"/>
        <v>33630.949999999997</v>
      </c>
      <c r="DB34" s="90">
        <f t="shared" si="51"/>
        <v>10156.549999999999</v>
      </c>
      <c r="DC34" s="88">
        <f t="shared" si="52"/>
        <v>3520</v>
      </c>
      <c r="DD34" s="88">
        <f t="shared" si="53"/>
        <v>243439</v>
      </c>
      <c r="AUV34" s="699">
        <f t="shared" si="65"/>
        <v>175997.2</v>
      </c>
      <c r="AUW34" s="699">
        <f t="shared" si="66"/>
        <v>135174.5</v>
      </c>
      <c r="AUX34" s="699">
        <f t="shared" si="67"/>
        <v>40822.699999999997</v>
      </c>
      <c r="AUY34" s="699">
        <f t="shared" si="68"/>
        <v>220</v>
      </c>
      <c r="AUZ34" s="699">
        <f t="shared" si="204"/>
        <v>152.13999999999999</v>
      </c>
      <c r="AVA34" s="699">
        <f t="shared" si="204"/>
        <v>0.43</v>
      </c>
      <c r="AVB34" s="699">
        <f t="shared" si="70"/>
        <v>3710</v>
      </c>
      <c r="AVC34" s="699">
        <f t="shared" si="71"/>
        <v>520</v>
      </c>
      <c r="AVD34" s="699">
        <f t="shared" si="72"/>
        <v>2140</v>
      </c>
      <c r="AVE34" s="699">
        <f t="shared" si="73"/>
        <v>310</v>
      </c>
      <c r="AVF34" s="699">
        <f t="shared" si="74"/>
        <v>740</v>
      </c>
      <c r="AVG34" s="699">
        <f t="shared" si="75"/>
        <v>7114.3</v>
      </c>
      <c r="AVH34" s="699">
        <f t="shared" si="76"/>
        <v>5080</v>
      </c>
      <c r="AVI34" s="699">
        <f t="shared" si="77"/>
        <v>540</v>
      </c>
      <c r="AVJ34" s="699">
        <f t="shared" si="78"/>
        <v>770</v>
      </c>
      <c r="AVK34" s="699">
        <f t="shared" si="79"/>
        <v>80</v>
      </c>
      <c r="AVL34" s="699">
        <f t="shared" si="80"/>
        <v>300</v>
      </c>
      <c r="AVM34" s="699">
        <f t="shared" si="81"/>
        <v>43787.5</v>
      </c>
      <c r="AVN34" s="699">
        <f t="shared" si="82"/>
        <v>33630.949999999997</v>
      </c>
      <c r="AVO34" s="699">
        <f t="shared" si="83"/>
        <v>10156.549999999999</v>
      </c>
      <c r="AVP34" s="699">
        <f t="shared" si="84"/>
        <v>3520</v>
      </c>
      <c r="AVQ34" s="699">
        <f t="shared" si="85"/>
        <v>243439</v>
      </c>
    </row>
    <row r="35" spans="1:108 1244:1265" ht="30" customHeight="1" x14ac:dyDescent="0.25">
      <c r="A35" s="643">
        <v>1</v>
      </c>
      <c r="B35" s="643">
        <v>9</v>
      </c>
      <c r="C35" s="664" t="s">
        <v>247</v>
      </c>
      <c r="D35" s="2"/>
      <c r="E35" s="101" t="s">
        <v>344</v>
      </c>
      <c r="F35" s="643" t="s">
        <v>31</v>
      </c>
      <c r="G35" s="643">
        <v>1</v>
      </c>
      <c r="H35" s="658" t="s">
        <v>8</v>
      </c>
      <c r="I35" s="643">
        <v>3</v>
      </c>
      <c r="J35" s="101" t="s">
        <v>355</v>
      </c>
      <c r="K35" s="643">
        <v>1</v>
      </c>
      <c r="L35" s="683" t="s">
        <v>349</v>
      </c>
      <c r="M35" s="11" t="s">
        <v>254</v>
      </c>
      <c r="N35" s="101" t="s">
        <v>387</v>
      </c>
      <c r="O35" s="643">
        <v>1</v>
      </c>
      <c r="P35" s="632">
        <v>20</v>
      </c>
      <c r="Q35" s="632">
        <v>20</v>
      </c>
      <c r="R35" s="632">
        <v>20</v>
      </c>
      <c r="S35" s="675">
        <f>SUMIF('Территориальный кк'!$A:$A,'2020'!$B35,'Территориальный кк'!D:D)</f>
        <v>3.258</v>
      </c>
      <c r="T35" s="676">
        <f>SUMIF('Территориальный кк'!$A:$A,'2020'!$B35,'Территориальный кк'!E:E)</f>
        <v>2.8919999999999999</v>
      </c>
      <c r="U35" s="33">
        <f>SUMIFS(Нормативы!G:G,Нормативы!$B:$B,$G35,Нормативы!$D:$D,'2020'!$I35,Нормативы!$F:$F,'2020'!$K35)*O35</f>
        <v>5402</v>
      </c>
      <c r="V35" s="33">
        <f t="shared" si="98"/>
        <v>4149</v>
      </c>
      <c r="W35" s="33">
        <f t="shared" si="99"/>
        <v>1253</v>
      </c>
      <c r="X35" s="33">
        <f>SUMIFS(Нормативы!J:J,Нормативы!$B:$B,$G35,Нормативы!$D:$D,'2020'!$I35,Нормативы!$F:$F,'2020'!$K35)</f>
        <v>22</v>
      </c>
      <c r="Y35" s="33">
        <f>SUMIFS(Нормативы!K:K,Нормативы!$B:$B,$G35,Нормативы!$D:$D,'2020'!$I35,Нормативы!$F:$F,'2020'!$K35)</f>
        <v>4</v>
      </c>
      <c r="Z35" s="33">
        <f>SUMIFS(Нормативы!L:L,Нормативы!$B:$B,$G35,Нормативы!$D:$D,'2020'!$I35,Нормативы!$F:$F,'2020'!$K35)</f>
        <v>232</v>
      </c>
      <c r="AA35" s="33">
        <f t="shared" si="100"/>
        <v>371</v>
      </c>
      <c r="AB35" s="33">
        <f>SUMIFS(Нормативы!N:N,Нормативы!$B:$B,$G35,Нормативы!$D:$D,'2020'!$I35,Нормативы!$F:$F,'2020'!$K35)*O35</f>
        <v>52</v>
      </c>
      <c r="AC35" s="33">
        <f>SUMIFS(Нормативы!O:O,Нормативы!$B:$B,$G35,Нормативы!$D:$D,'2020'!$I35,Нормативы!$F:$F,'2020'!$K35)</f>
        <v>214</v>
      </c>
      <c r="AD35" s="33">
        <f>SUMIFS(Нормативы!P:P,Нормативы!$B:$B,$G35,Нормативы!$D:$D,'2020'!$I35,Нормативы!$F:$F,'2020'!$K35)*O35</f>
        <v>31</v>
      </c>
      <c r="AE35" s="33">
        <f>SUMIFS(Нормативы!Q:Q,Нормативы!$B:$B,$G35,Нормативы!$D:$D,'2020'!$I35,Нормативы!$F:$F,'2020'!$K35)</f>
        <v>74</v>
      </c>
      <c r="AF35" s="33">
        <f>SUMIFS(Нормативы!R:R,Нормативы!$B:$B,$G35,Нормативы!$D:$D,'2020'!$I35,Нормативы!$F:$F,'2020'!$K35)</f>
        <v>246</v>
      </c>
      <c r="AG35" s="33">
        <f>SUMIFS(Нормативы!S:S,Нормативы!$B:$B,$G35,Нормативы!$D:$D,'2020'!$I35,Нормативы!$F:$F,'2020'!$K35)</f>
        <v>508</v>
      </c>
      <c r="AH35" s="33">
        <f>SUMIFS(Нормативы!T:T,Нормативы!$B:$B,$G35,Нормативы!$D:$D,'2020'!$I35,Нормативы!$F:$F,'2020'!$K35)</f>
        <v>54</v>
      </c>
      <c r="AI35" s="33">
        <f>SUMIFS(Нормативы!U:U,Нормативы!$B:$B,$G35,Нормативы!$D:$D,'2020'!$I35,Нормативы!$F:$F,'2020'!$K35)</f>
        <v>77</v>
      </c>
      <c r="AJ35" s="33">
        <f>SUMIFS(Нормативы!V:V,Нормативы!$B:$B,$G35,Нормативы!$D:$D,'2020'!$I35,Нормативы!$F:$F,'2020'!$K35)</f>
        <v>8</v>
      </c>
      <c r="AK35" s="33">
        <f>SUMIFS(Нормативы!W:W,Нормативы!$B:$B,$G35,Нормативы!$D:$D,'2020'!$I35,Нормативы!$F:$F,'2020'!$K35)</f>
        <v>30</v>
      </c>
      <c r="AL35" s="33">
        <f>SUMIFS(Нормативы!X:X,Нормативы!$B:$B,$G35,Нормативы!$D:$D,'2020'!$I35,Нормативы!$F:$F,'2020'!$K35)*O35</f>
        <v>1344</v>
      </c>
      <c r="AM35" s="33">
        <f t="shared" si="101"/>
        <v>1032.3</v>
      </c>
      <c r="AN35" s="33">
        <f t="shared" si="102"/>
        <v>311.7</v>
      </c>
      <c r="AO35" s="33">
        <f>SUMIFS(Нормативы!AA:AA,Нормативы!$B:$B,$G35,Нормативы!$D:$D,'2020'!$I35,Нормативы!$F:$F,'2020'!$K35)</f>
        <v>0</v>
      </c>
      <c r="AP35" s="141">
        <f t="shared" si="103"/>
        <v>8294</v>
      </c>
      <c r="AQ35" s="413">
        <f t="shared" si="104"/>
        <v>108040</v>
      </c>
      <c r="AR35" s="33">
        <f t="shared" si="105"/>
        <v>82980</v>
      </c>
      <c r="AS35" s="33">
        <f t="shared" si="106"/>
        <v>25060</v>
      </c>
      <c r="AT35" s="34">
        <f t="shared" si="0"/>
        <v>440</v>
      </c>
      <c r="AU35" s="34">
        <f t="shared" si="1"/>
        <v>80</v>
      </c>
      <c r="AV35" s="34">
        <f t="shared" si="2"/>
        <v>4640</v>
      </c>
      <c r="AW35" s="34">
        <f t="shared" si="3"/>
        <v>7420</v>
      </c>
      <c r="AX35" s="34">
        <f t="shared" si="4"/>
        <v>1040</v>
      </c>
      <c r="AY35" s="34">
        <f t="shared" si="5"/>
        <v>4280</v>
      </c>
      <c r="AZ35" s="34">
        <f t="shared" si="6"/>
        <v>620</v>
      </c>
      <c r="BA35" s="34">
        <f t="shared" si="7"/>
        <v>1480</v>
      </c>
      <c r="BB35" s="34">
        <f t="shared" si="107"/>
        <v>4920</v>
      </c>
      <c r="BC35" s="34">
        <f t="shared" si="8"/>
        <v>10160</v>
      </c>
      <c r="BD35" s="34">
        <f t="shared" si="9"/>
        <v>1080</v>
      </c>
      <c r="BE35" s="34">
        <f t="shared" si="10"/>
        <v>1540</v>
      </c>
      <c r="BF35" s="34">
        <f t="shared" si="11"/>
        <v>160</v>
      </c>
      <c r="BG35" s="34">
        <f t="shared" si="12"/>
        <v>600</v>
      </c>
      <c r="BH35" s="34">
        <f t="shared" si="13"/>
        <v>26880</v>
      </c>
      <c r="BI35" s="33">
        <f t="shared" si="108"/>
        <v>20645.2</v>
      </c>
      <c r="BJ35" s="33">
        <f t="shared" si="109"/>
        <v>6234.8</v>
      </c>
      <c r="BK35" s="34">
        <f t="shared" si="14"/>
        <v>0</v>
      </c>
      <c r="BL35" s="426">
        <f t="shared" si="15"/>
        <v>165880</v>
      </c>
      <c r="BM35" s="616">
        <f t="shared" si="110"/>
        <v>351994</v>
      </c>
      <c r="BN35" s="33">
        <f t="shared" si="16"/>
        <v>270348.7</v>
      </c>
      <c r="BO35" s="33">
        <f t="shared" si="17"/>
        <v>81645.3</v>
      </c>
      <c r="BP35" s="34">
        <f t="shared" si="111"/>
        <v>440</v>
      </c>
      <c r="BQ35" s="34">
        <f t="shared" si="112"/>
        <v>80</v>
      </c>
      <c r="BR35" s="34">
        <f t="shared" si="113"/>
        <v>4640</v>
      </c>
      <c r="BS35" s="34">
        <f t="shared" si="18"/>
        <v>7420</v>
      </c>
      <c r="BT35" s="34">
        <f t="shared" si="19"/>
        <v>1040</v>
      </c>
      <c r="BU35" s="34">
        <f t="shared" si="20"/>
        <v>4280</v>
      </c>
      <c r="BV35" s="34">
        <f t="shared" si="21"/>
        <v>620</v>
      </c>
      <c r="BW35" s="34">
        <f t="shared" si="22"/>
        <v>1480</v>
      </c>
      <c r="BX35" s="34">
        <f t="shared" si="23"/>
        <v>14229</v>
      </c>
      <c r="BY35" s="34">
        <f t="shared" si="24"/>
        <v>10160</v>
      </c>
      <c r="BZ35" s="34">
        <f t="shared" si="25"/>
        <v>1080</v>
      </c>
      <c r="CA35" s="34">
        <f t="shared" si="26"/>
        <v>1540</v>
      </c>
      <c r="CB35" s="34">
        <f t="shared" si="27"/>
        <v>160</v>
      </c>
      <c r="CC35" s="34">
        <f t="shared" si="28"/>
        <v>600</v>
      </c>
      <c r="CD35" s="34">
        <f t="shared" si="29"/>
        <v>87575</v>
      </c>
      <c r="CE35" s="33">
        <f t="shared" si="114"/>
        <v>67261.899999999994</v>
      </c>
      <c r="CF35" s="33">
        <f t="shared" si="115"/>
        <v>20313.099999999999</v>
      </c>
      <c r="CG35" s="34">
        <f t="shared" si="30"/>
        <v>0</v>
      </c>
      <c r="CH35" s="415">
        <f t="shared" si="31"/>
        <v>479838</v>
      </c>
      <c r="CI35" s="88">
        <f t="shared" si="32"/>
        <v>17599.7</v>
      </c>
      <c r="CJ35" s="90">
        <f t="shared" si="33"/>
        <v>13517.434999999999</v>
      </c>
      <c r="CK35" s="90">
        <f t="shared" si="34"/>
        <v>4082.2649999999999</v>
      </c>
      <c r="CL35" s="88">
        <f t="shared" si="35"/>
        <v>22</v>
      </c>
      <c r="CM35" s="88">
        <f t="shared" si="36"/>
        <v>4</v>
      </c>
      <c r="CN35" s="88">
        <f t="shared" si="37"/>
        <v>232</v>
      </c>
      <c r="CO35" s="88">
        <f t="shared" si="38"/>
        <v>371</v>
      </c>
      <c r="CP35" s="88">
        <f t="shared" si="39"/>
        <v>52</v>
      </c>
      <c r="CQ35" s="88">
        <f t="shared" si="40"/>
        <v>214</v>
      </c>
      <c r="CR35" s="88">
        <f t="shared" si="41"/>
        <v>31</v>
      </c>
      <c r="CS35" s="88">
        <f t="shared" si="42"/>
        <v>74</v>
      </c>
      <c r="CT35" s="88">
        <f t="shared" si="43"/>
        <v>711.45</v>
      </c>
      <c r="CU35" s="88">
        <f t="shared" si="44"/>
        <v>508</v>
      </c>
      <c r="CV35" s="88">
        <f t="shared" si="45"/>
        <v>54</v>
      </c>
      <c r="CW35" s="88">
        <f t="shared" si="46"/>
        <v>77</v>
      </c>
      <c r="CX35" s="88">
        <f t="shared" si="47"/>
        <v>8</v>
      </c>
      <c r="CY35" s="88">
        <f t="shared" si="48"/>
        <v>30</v>
      </c>
      <c r="CZ35" s="88">
        <f t="shared" si="49"/>
        <v>4378.75</v>
      </c>
      <c r="DA35" s="90">
        <f t="shared" si="50"/>
        <v>3363.0949999999998</v>
      </c>
      <c r="DB35" s="90">
        <f t="shared" si="51"/>
        <v>1015.655</v>
      </c>
      <c r="DC35" s="88">
        <f t="shared" si="52"/>
        <v>0</v>
      </c>
      <c r="DD35" s="88">
        <f t="shared" si="53"/>
        <v>23991.9</v>
      </c>
      <c r="AUV35" s="699">
        <f t="shared" si="65"/>
        <v>17599.7</v>
      </c>
      <c r="AUW35" s="699">
        <f t="shared" si="66"/>
        <v>13517.43</v>
      </c>
      <c r="AUX35" s="699">
        <f t="shared" si="67"/>
        <v>4082.27</v>
      </c>
      <c r="AUY35" s="699">
        <f t="shared" si="68"/>
        <v>22</v>
      </c>
      <c r="AUZ35" s="699">
        <f t="shared" si="204"/>
        <v>27.66</v>
      </c>
      <c r="AVA35" s="699">
        <f t="shared" si="204"/>
        <v>0.86</v>
      </c>
      <c r="AVB35" s="699">
        <f t="shared" si="70"/>
        <v>371</v>
      </c>
      <c r="AVC35" s="699">
        <f t="shared" si="71"/>
        <v>52</v>
      </c>
      <c r="AVD35" s="699">
        <f t="shared" si="72"/>
        <v>214</v>
      </c>
      <c r="AVE35" s="699">
        <f t="shared" si="73"/>
        <v>31</v>
      </c>
      <c r="AVF35" s="699">
        <f t="shared" si="74"/>
        <v>74</v>
      </c>
      <c r="AVG35" s="699">
        <f t="shared" si="75"/>
        <v>711.45</v>
      </c>
      <c r="AVH35" s="699">
        <f t="shared" si="76"/>
        <v>508</v>
      </c>
      <c r="AVI35" s="699">
        <f t="shared" si="77"/>
        <v>54</v>
      </c>
      <c r="AVJ35" s="699">
        <f t="shared" si="78"/>
        <v>77</v>
      </c>
      <c r="AVK35" s="699">
        <f t="shared" si="79"/>
        <v>8</v>
      </c>
      <c r="AVL35" s="699">
        <f t="shared" si="80"/>
        <v>30</v>
      </c>
      <c r="AVM35" s="699">
        <f t="shared" si="81"/>
        <v>4378.75</v>
      </c>
      <c r="AVN35" s="699">
        <f t="shared" si="82"/>
        <v>3363.1</v>
      </c>
      <c r="AVO35" s="699">
        <f t="shared" si="83"/>
        <v>1015.65</v>
      </c>
      <c r="AVP35" s="699">
        <f t="shared" si="84"/>
        <v>0</v>
      </c>
      <c r="AVQ35" s="699">
        <f t="shared" si="85"/>
        <v>23991.9</v>
      </c>
    </row>
    <row r="36" spans="1:108 1244:1265" ht="30" customHeight="1" x14ac:dyDescent="0.25">
      <c r="A36" s="643">
        <v>1</v>
      </c>
      <c r="B36" s="643">
        <v>9</v>
      </c>
      <c r="C36" s="664" t="s">
        <v>247</v>
      </c>
      <c r="D36" s="2"/>
      <c r="E36" s="101" t="s">
        <v>344</v>
      </c>
      <c r="F36" s="643" t="s">
        <v>31</v>
      </c>
      <c r="G36" s="643">
        <v>1</v>
      </c>
      <c r="H36" s="658" t="s">
        <v>10</v>
      </c>
      <c r="I36" s="643">
        <v>0</v>
      </c>
      <c r="J36" s="101" t="s">
        <v>356</v>
      </c>
      <c r="K36" s="643">
        <v>3</v>
      </c>
      <c r="L36" s="683" t="s">
        <v>349</v>
      </c>
      <c r="M36" s="11" t="s">
        <v>255</v>
      </c>
      <c r="N36" s="101" t="s">
        <v>387</v>
      </c>
      <c r="O36" s="643">
        <v>1</v>
      </c>
      <c r="P36" s="632">
        <v>1064</v>
      </c>
      <c r="Q36" s="632">
        <v>1064</v>
      </c>
      <c r="R36" s="632">
        <v>1064</v>
      </c>
      <c r="S36" s="675">
        <f>SUMIF('Территориальный кк'!$A:$A,'2020'!$B36,'Территориальный кк'!D:D)</f>
        <v>3.258</v>
      </c>
      <c r="T36" s="676">
        <f>SUMIF('Территориальный кк'!$A:$A,'2020'!$B36,'Территориальный кк'!E:E)</f>
        <v>2.8919999999999999</v>
      </c>
      <c r="U36" s="33">
        <f>SUMIFS(Нормативы!G:G,Нормативы!$B:$B,$G36,Нормативы!$D:$D,'2020'!$I36,Нормативы!$F:$F,'2020'!$K36)*O36</f>
        <v>64190</v>
      </c>
      <c r="V36" s="33">
        <f t="shared" si="98"/>
        <v>49301.1</v>
      </c>
      <c r="W36" s="33">
        <f t="shared" si="99"/>
        <v>14888.9</v>
      </c>
      <c r="X36" s="33">
        <f>SUMIFS(Нормативы!J:J,Нормативы!$B:$B,$G36,Нормативы!$D:$D,'2020'!$I36,Нормативы!$F:$F,'2020'!$K36)</f>
        <v>8830</v>
      </c>
      <c r="Y36" s="33">
        <f>SUMIFS(Нормативы!K:K,Нормативы!$B:$B,$G36,Нормативы!$D:$D,'2020'!$I36,Нормативы!$F:$F,'2020'!$K36)</f>
        <v>1766</v>
      </c>
      <c r="Z36" s="33">
        <f>SUMIFS(Нормативы!L:L,Нормативы!$B:$B,$G36,Нормативы!$D:$D,'2020'!$I36,Нормативы!$F:$F,'2020'!$K36)</f>
        <v>8110</v>
      </c>
      <c r="AA36" s="33">
        <f t="shared" si="100"/>
        <v>19050</v>
      </c>
      <c r="AB36" s="33">
        <f>SUMIFS(Нормативы!N:N,Нормативы!$B:$B,$G36,Нормативы!$D:$D,'2020'!$I36,Нормативы!$F:$F,'2020'!$K36)*O36</f>
        <v>520</v>
      </c>
      <c r="AC36" s="33">
        <f>SUMIFS(Нормативы!O:O,Нормативы!$B:$B,$G36,Нормативы!$D:$D,'2020'!$I36,Нормативы!$F:$F,'2020'!$K36)</f>
        <v>17290</v>
      </c>
      <c r="AD36" s="33">
        <f>SUMIFS(Нормативы!P:P,Нормативы!$B:$B,$G36,Нормативы!$D:$D,'2020'!$I36,Нормативы!$F:$F,'2020'!$K36)*O36</f>
        <v>360</v>
      </c>
      <c r="AE36" s="33">
        <f>SUMIFS(Нормативы!Q:Q,Нормативы!$B:$B,$G36,Нормативы!$D:$D,'2020'!$I36,Нормативы!$F:$F,'2020'!$K36)</f>
        <v>880</v>
      </c>
      <c r="AF36" s="33">
        <f>SUMIFS(Нормативы!R:R,Нормативы!$B:$B,$G36,Нормативы!$D:$D,'2020'!$I36,Нормативы!$F:$F,'2020'!$K36)</f>
        <v>2680</v>
      </c>
      <c r="AG36" s="33">
        <f>SUMIFS(Нормативы!S:S,Нормативы!$B:$B,$G36,Нормативы!$D:$D,'2020'!$I36,Нормативы!$F:$F,'2020'!$K36)</f>
        <v>5800</v>
      </c>
      <c r="AH36" s="33">
        <f>SUMIFS(Нормативы!T:T,Нормативы!$B:$B,$G36,Нормативы!$D:$D,'2020'!$I36,Нормативы!$F:$F,'2020'!$K36)</f>
        <v>540</v>
      </c>
      <c r="AI36" s="33">
        <f>SUMIFS(Нормативы!U:U,Нормативы!$B:$B,$G36,Нормативы!$D:$D,'2020'!$I36,Нормативы!$F:$F,'2020'!$K36)</f>
        <v>770</v>
      </c>
      <c r="AJ36" s="33">
        <f>SUMIFS(Нормативы!V:V,Нормативы!$B:$B,$G36,Нормативы!$D:$D,'2020'!$I36,Нормативы!$F:$F,'2020'!$K36)</f>
        <v>80</v>
      </c>
      <c r="AK36" s="33">
        <f>SUMIFS(Нормативы!W:W,Нормативы!$B:$B,$G36,Нормативы!$D:$D,'2020'!$I36,Нормативы!$F:$F,'2020'!$K36)</f>
        <v>1050</v>
      </c>
      <c r="AL36" s="33">
        <f>SUMIFS(Нормативы!X:X,Нормативы!$B:$B,$G36,Нормативы!$D:$D,'2020'!$I36,Нормативы!$F:$F,'2020'!$K36)*O36</f>
        <v>16120</v>
      </c>
      <c r="AM36" s="33">
        <f t="shared" si="101"/>
        <v>12381</v>
      </c>
      <c r="AN36" s="33">
        <f t="shared" si="102"/>
        <v>3739</v>
      </c>
      <c r="AO36" s="33">
        <f>SUMIFS(Нормативы!AA:AA,Нормативы!$B:$B,$G36,Нормативы!$D:$D,'2020'!$I36,Нормативы!$F:$F,'2020'!$K36)</f>
        <v>3520</v>
      </c>
      <c r="AP36" s="141">
        <f t="shared" si="103"/>
        <v>130740</v>
      </c>
      <c r="AQ36" s="413">
        <f t="shared" si="104"/>
        <v>68298160</v>
      </c>
      <c r="AR36" s="33">
        <f t="shared" si="105"/>
        <v>52456344.100000001</v>
      </c>
      <c r="AS36" s="33">
        <f t="shared" si="106"/>
        <v>15841815.9</v>
      </c>
      <c r="AT36" s="34">
        <f t="shared" si="0"/>
        <v>9395120</v>
      </c>
      <c r="AU36" s="34">
        <f t="shared" si="1"/>
        <v>1879024</v>
      </c>
      <c r="AV36" s="34">
        <f t="shared" si="2"/>
        <v>8629040</v>
      </c>
      <c r="AW36" s="34">
        <f t="shared" si="3"/>
        <v>20269200</v>
      </c>
      <c r="AX36" s="34">
        <f t="shared" si="4"/>
        <v>553280</v>
      </c>
      <c r="AY36" s="34">
        <f t="shared" si="5"/>
        <v>18396560</v>
      </c>
      <c r="AZ36" s="34">
        <f t="shared" si="6"/>
        <v>383040</v>
      </c>
      <c r="BA36" s="34">
        <f t="shared" si="7"/>
        <v>936320</v>
      </c>
      <c r="BB36" s="34">
        <f t="shared" si="107"/>
        <v>2851520</v>
      </c>
      <c r="BC36" s="34">
        <f t="shared" si="8"/>
        <v>6171200</v>
      </c>
      <c r="BD36" s="34">
        <f t="shared" si="9"/>
        <v>574560</v>
      </c>
      <c r="BE36" s="34">
        <f t="shared" si="10"/>
        <v>819280</v>
      </c>
      <c r="BF36" s="34">
        <f t="shared" si="11"/>
        <v>85120</v>
      </c>
      <c r="BG36" s="34">
        <f t="shared" si="12"/>
        <v>1117200</v>
      </c>
      <c r="BH36" s="34">
        <f t="shared" si="13"/>
        <v>17151680</v>
      </c>
      <c r="BI36" s="33">
        <f t="shared" si="108"/>
        <v>13173333.300000001</v>
      </c>
      <c r="BJ36" s="33">
        <f t="shared" si="109"/>
        <v>3978346.7</v>
      </c>
      <c r="BK36" s="34">
        <f t="shared" si="14"/>
        <v>3745280</v>
      </c>
      <c r="BL36" s="426">
        <f t="shared" si="15"/>
        <v>139107360</v>
      </c>
      <c r="BM36" s="616">
        <f t="shared" si="110"/>
        <v>222515405</v>
      </c>
      <c r="BN36" s="33">
        <f t="shared" si="16"/>
        <v>170902768.80000001</v>
      </c>
      <c r="BO36" s="33">
        <f t="shared" si="17"/>
        <v>51612636.200000003</v>
      </c>
      <c r="BP36" s="34">
        <f t="shared" si="111"/>
        <v>9395120</v>
      </c>
      <c r="BQ36" s="34">
        <f t="shared" si="112"/>
        <v>1879024</v>
      </c>
      <c r="BR36" s="34">
        <f t="shared" si="113"/>
        <v>8629040</v>
      </c>
      <c r="BS36" s="34">
        <f t="shared" si="18"/>
        <v>20269200</v>
      </c>
      <c r="BT36" s="34">
        <f t="shared" si="19"/>
        <v>553280</v>
      </c>
      <c r="BU36" s="34">
        <f t="shared" si="20"/>
        <v>18396560</v>
      </c>
      <c r="BV36" s="34">
        <f t="shared" si="21"/>
        <v>383040</v>
      </c>
      <c r="BW36" s="34">
        <f t="shared" si="22"/>
        <v>936320</v>
      </c>
      <c r="BX36" s="34">
        <f t="shared" si="23"/>
        <v>8246596</v>
      </c>
      <c r="BY36" s="34">
        <f t="shared" si="24"/>
        <v>6171200</v>
      </c>
      <c r="BZ36" s="34">
        <f t="shared" si="25"/>
        <v>574560</v>
      </c>
      <c r="CA36" s="34">
        <f t="shared" si="26"/>
        <v>819280</v>
      </c>
      <c r="CB36" s="34">
        <f t="shared" si="27"/>
        <v>85120</v>
      </c>
      <c r="CC36" s="34">
        <f t="shared" si="28"/>
        <v>1117200</v>
      </c>
      <c r="CD36" s="34">
        <f t="shared" si="29"/>
        <v>55880173</v>
      </c>
      <c r="CE36" s="33">
        <f t="shared" si="114"/>
        <v>42918719.700000003</v>
      </c>
      <c r="CF36" s="33">
        <f t="shared" si="115"/>
        <v>12961453.300000001</v>
      </c>
      <c r="CG36" s="34">
        <f t="shared" si="30"/>
        <v>3745280</v>
      </c>
      <c r="CH36" s="415">
        <f t="shared" si="31"/>
        <v>337448174</v>
      </c>
      <c r="CI36" s="88">
        <f t="shared" si="32"/>
        <v>209131.0197</v>
      </c>
      <c r="CJ36" s="90">
        <f t="shared" si="33"/>
        <v>160622.90299999999</v>
      </c>
      <c r="CK36" s="90">
        <f t="shared" si="34"/>
        <v>48508.116699999999</v>
      </c>
      <c r="CL36" s="88">
        <f t="shared" si="35"/>
        <v>8830</v>
      </c>
      <c r="CM36" s="88">
        <f t="shared" si="36"/>
        <v>1766</v>
      </c>
      <c r="CN36" s="88">
        <f t="shared" si="37"/>
        <v>8110</v>
      </c>
      <c r="CO36" s="88">
        <f t="shared" si="38"/>
        <v>19050</v>
      </c>
      <c r="CP36" s="88">
        <f t="shared" si="39"/>
        <v>520</v>
      </c>
      <c r="CQ36" s="88">
        <f t="shared" si="40"/>
        <v>17290</v>
      </c>
      <c r="CR36" s="88">
        <f t="shared" si="41"/>
        <v>360</v>
      </c>
      <c r="CS36" s="88">
        <f t="shared" si="42"/>
        <v>880</v>
      </c>
      <c r="CT36" s="88">
        <f t="shared" si="43"/>
        <v>7750.5601999999999</v>
      </c>
      <c r="CU36" s="88">
        <f t="shared" si="44"/>
        <v>5800</v>
      </c>
      <c r="CV36" s="88">
        <f t="shared" si="45"/>
        <v>540</v>
      </c>
      <c r="CW36" s="88">
        <f t="shared" si="46"/>
        <v>770</v>
      </c>
      <c r="CX36" s="88">
        <f t="shared" si="47"/>
        <v>80</v>
      </c>
      <c r="CY36" s="88">
        <f t="shared" si="48"/>
        <v>1050</v>
      </c>
      <c r="CZ36" s="88">
        <f t="shared" si="49"/>
        <v>52518.959600000002</v>
      </c>
      <c r="DA36" s="90">
        <f t="shared" si="50"/>
        <v>40337.142599999999</v>
      </c>
      <c r="DB36" s="90">
        <f t="shared" si="51"/>
        <v>12181.816999999999</v>
      </c>
      <c r="DC36" s="88">
        <f t="shared" si="52"/>
        <v>3520</v>
      </c>
      <c r="DD36" s="88">
        <f t="shared" si="53"/>
        <v>317150.53950000001</v>
      </c>
      <c r="AUV36" s="699">
        <f t="shared" si="65"/>
        <v>209131.02</v>
      </c>
      <c r="AUW36" s="699">
        <f t="shared" si="66"/>
        <v>160622.9</v>
      </c>
      <c r="AUX36" s="699">
        <f t="shared" si="67"/>
        <v>48508.12</v>
      </c>
      <c r="AUY36" s="699">
        <f t="shared" si="68"/>
        <v>8830</v>
      </c>
      <c r="AUZ36" s="699">
        <f t="shared" si="204"/>
        <v>649731.67000000004</v>
      </c>
      <c r="AVA36" s="699">
        <f t="shared" si="204"/>
        <v>134.43</v>
      </c>
      <c r="AVB36" s="699">
        <f t="shared" si="70"/>
        <v>19050</v>
      </c>
      <c r="AVC36" s="699">
        <f t="shared" si="71"/>
        <v>520</v>
      </c>
      <c r="AVD36" s="699">
        <f t="shared" si="72"/>
        <v>17290</v>
      </c>
      <c r="AVE36" s="699">
        <f t="shared" si="73"/>
        <v>360</v>
      </c>
      <c r="AVF36" s="699">
        <f t="shared" si="74"/>
        <v>880</v>
      </c>
      <c r="AVG36" s="699">
        <f t="shared" si="75"/>
        <v>7750.56</v>
      </c>
      <c r="AVH36" s="699">
        <f t="shared" si="76"/>
        <v>5800</v>
      </c>
      <c r="AVI36" s="699">
        <f t="shared" si="77"/>
        <v>540</v>
      </c>
      <c r="AVJ36" s="699">
        <f t="shared" si="78"/>
        <v>770</v>
      </c>
      <c r="AVK36" s="699">
        <f t="shared" si="79"/>
        <v>80</v>
      </c>
      <c r="AVL36" s="699">
        <f t="shared" si="80"/>
        <v>1050</v>
      </c>
      <c r="AVM36" s="699">
        <f t="shared" si="81"/>
        <v>52518.96</v>
      </c>
      <c r="AVN36" s="699">
        <f t="shared" si="82"/>
        <v>40337.14</v>
      </c>
      <c r="AVO36" s="699">
        <f t="shared" si="83"/>
        <v>12181.82</v>
      </c>
      <c r="AVP36" s="699">
        <f t="shared" si="84"/>
        <v>3520</v>
      </c>
      <c r="AVQ36" s="699">
        <f t="shared" si="85"/>
        <v>317150.53999999998</v>
      </c>
    </row>
    <row r="37" spans="1:108 1244:1265" ht="30" customHeight="1" x14ac:dyDescent="0.25">
      <c r="A37" s="643">
        <v>1</v>
      </c>
      <c r="B37" s="643">
        <v>9</v>
      </c>
      <c r="C37" s="664" t="s">
        <v>247</v>
      </c>
      <c r="D37" s="2"/>
      <c r="E37" s="101" t="s">
        <v>344</v>
      </c>
      <c r="F37" s="643" t="s">
        <v>31</v>
      </c>
      <c r="G37" s="643">
        <v>1</v>
      </c>
      <c r="H37" s="658" t="s">
        <v>10</v>
      </c>
      <c r="I37" s="643">
        <v>0</v>
      </c>
      <c r="J37" s="101" t="s">
        <v>356</v>
      </c>
      <c r="K37" s="643">
        <v>3</v>
      </c>
      <c r="L37" s="683" t="s">
        <v>349</v>
      </c>
      <c r="M37" s="11" t="s">
        <v>256</v>
      </c>
      <c r="N37" s="101" t="s">
        <v>401</v>
      </c>
      <c r="O37" s="643">
        <v>2</v>
      </c>
      <c r="P37" s="632">
        <v>8</v>
      </c>
      <c r="Q37" s="632">
        <v>8</v>
      </c>
      <c r="R37" s="632">
        <v>8</v>
      </c>
      <c r="S37" s="675">
        <f>SUMIF('Территориальный кк'!$A:$A,'2020'!$B37,'Территориальный кк'!D:D)</f>
        <v>3.258</v>
      </c>
      <c r="T37" s="676">
        <f>SUMIF('Территориальный кк'!$A:$A,'2020'!$B37,'Территориальный кк'!E:E)</f>
        <v>2.8919999999999999</v>
      </c>
      <c r="U37" s="33">
        <f>SUMIFS(Нормативы!G:G,Нормативы!$B:$B,$G37,Нормативы!$D:$D,'2020'!$I37,Нормативы!$F:$F,'2020'!$K37)*O37</f>
        <v>128380</v>
      </c>
      <c r="V37" s="33">
        <f t="shared" si="98"/>
        <v>98602.2</v>
      </c>
      <c r="W37" s="33">
        <f t="shared" si="99"/>
        <v>29777.8</v>
      </c>
      <c r="X37" s="33">
        <f>SUMIFS(Нормативы!J:J,Нормативы!$B:$B,$G37,Нормативы!$D:$D,'2020'!$I37,Нормативы!$F:$F,'2020'!$K37)</f>
        <v>8830</v>
      </c>
      <c r="Y37" s="33">
        <f>SUMIFS(Нормативы!K:K,Нормативы!$B:$B,$G37,Нормативы!$D:$D,'2020'!$I37,Нормативы!$F:$F,'2020'!$K37)</f>
        <v>1766</v>
      </c>
      <c r="Z37" s="33">
        <f>SUMIFS(Нормативы!L:L,Нормативы!$B:$B,$G37,Нормативы!$D:$D,'2020'!$I37,Нормативы!$F:$F,'2020'!$K37)</f>
        <v>8110</v>
      </c>
      <c r="AA37" s="33">
        <f t="shared" si="100"/>
        <v>19930</v>
      </c>
      <c r="AB37" s="33">
        <f>SUMIFS(Нормативы!N:N,Нормативы!$B:$B,$G37,Нормативы!$D:$D,'2020'!$I37,Нормативы!$F:$F,'2020'!$K37)*O37</f>
        <v>1040</v>
      </c>
      <c r="AC37" s="33">
        <f>SUMIFS(Нормативы!O:O,Нормативы!$B:$B,$G37,Нормативы!$D:$D,'2020'!$I37,Нормативы!$F:$F,'2020'!$K37)</f>
        <v>17290</v>
      </c>
      <c r="AD37" s="33">
        <f>SUMIFS(Нормативы!P:P,Нормативы!$B:$B,$G37,Нормативы!$D:$D,'2020'!$I37,Нормативы!$F:$F,'2020'!$K37)*O37</f>
        <v>720</v>
      </c>
      <c r="AE37" s="33">
        <f>SUMIFS(Нормативы!Q:Q,Нормативы!$B:$B,$G37,Нормативы!$D:$D,'2020'!$I37,Нормативы!$F:$F,'2020'!$K37)</f>
        <v>880</v>
      </c>
      <c r="AF37" s="33">
        <f>SUMIFS(Нормативы!R:R,Нормативы!$B:$B,$G37,Нормативы!$D:$D,'2020'!$I37,Нормативы!$F:$F,'2020'!$K37)</f>
        <v>2680</v>
      </c>
      <c r="AG37" s="33">
        <f>SUMIFS(Нормативы!S:S,Нормативы!$B:$B,$G37,Нормативы!$D:$D,'2020'!$I37,Нормативы!$F:$F,'2020'!$K37)</f>
        <v>5800</v>
      </c>
      <c r="AH37" s="33">
        <f>SUMIFS(Нормативы!T:T,Нормативы!$B:$B,$G37,Нормативы!$D:$D,'2020'!$I37,Нормативы!$F:$F,'2020'!$K37)</f>
        <v>540</v>
      </c>
      <c r="AI37" s="33">
        <f>SUMIFS(Нормативы!U:U,Нормативы!$B:$B,$G37,Нормативы!$D:$D,'2020'!$I37,Нормативы!$F:$F,'2020'!$K37)</f>
        <v>770</v>
      </c>
      <c r="AJ37" s="33">
        <f>SUMIFS(Нормативы!V:V,Нормативы!$B:$B,$G37,Нормативы!$D:$D,'2020'!$I37,Нормативы!$F:$F,'2020'!$K37)</f>
        <v>80</v>
      </c>
      <c r="AK37" s="33">
        <f>SUMIFS(Нормативы!W:W,Нормативы!$B:$B,$G37,Нормативы!$D:$D,'2020'!$I37,Нормативы!$F:$F,'2020'!$K37)</f>
        <v>1050</v>
      </c>
      <c r="AL37" s="33">
        <f>SUMIFS(Нормативы!X:X,Нормативы!$B:$B,$G37,Нормативы!$D:$D,'2020'!$I37,Нормативы!$F:$F,'2020'!$K37)*O37</f>
        <v>32240</v>
      </c>
      <c r="AM37" s="33">
        <f t="shared" si="101"/>
        <v>24761.9</v>
      </c>
      <c r="AN37" s="33">
        <f t="shared" si="102"/>
        <v>7478.1</v>
      </c>
      <c r="AO37" s="33">
        <f>SUMIFS(Нормативы!AA:AA,Нормативы!$B:$B,$G37,Нормативы!$D:$D,'2020'!$I37,Нормативы!$F:$F,'2020'!$K37)</f>
        <v>3520</v>
      </c>
      <c r="AP37" s="141">
        <f t="shared" si="103"/>
        <v>211930</v>
      </c>
      <c r="AQ37" s="413">
        <f t="shared" si="104"/>
        <v>1027040</v>
      </c>
      <c r="AR37" s="33">
        <f t="shared" si="105"/>
        <v>788817.2</v>
      </c>
      <c r="AS37" s="33">
        <f t="shared" si="106"/>
        <v>238222.8</v>
      </c>
      <c r="AT37" s="34">
        <f t="shared" si="0"/>
        <v>70640</v>
      </c>
      <c r="AU37" s="34">
        <f t="shared" si="1"/>
        <v>14128</v>
      </c>
      <c r="AV37" s="34">
        <f t="shared" si="2"/>
        <v>64880</v>
      </c>
      <c r="AW37" s="34">
        <f t="shared" si="3"/>
        <v>159440</v>
      </c>
      <c r="AX37" s="34">
        <f t="shared" si="4"/>
        <v>8320</v>
      </c>
      <c r="AY37" s="34">
        <f t="shared" si="5"/>
        <v>138320</v>
      </c>
      <c r="AZ37" s="34">
        <f t="shared" si="6"/>
        <v>5760</v>
      </c>
      <c r="BA37" s="34">
        <f t="shared" si="7"/>
        <v>7040</v>
      </c>
      <c r="BB37" s="34">
        <f t="shared" si="107"/>
        <v>21440</v>
      </c>
      <c r="BC37" s="34">
        <f t="shared" si="8"/>
        <v>46400</v>
      </c>
      <c r="BD37" s="34">
        <f t="shared" si="9"/>
        <v>4320</v>
      </c>
      <c r="BE37" s="34">
        <f t="shared" si="10"/>
        <v>6160</v>
      </c>
      <c r="BF37" s="34">
        <f t="shared" si="11"/>
        <v>640</v>
      </c>
      <c r="BG37" s="34">
        <f t="shared" si="12"/>
        <v>8400</v>
      </c>
      <c r="BH37" s="34">
        <f t="shared" si="13"/>
        <v>257920</v>
      </c>
      <c r="BI37" s="33">
        <f t="shared" si="108"/>
        <v>198095.2</v>
      </c>
      <c r="BJ37" s="33">
        <f t="shared" si="109"/>
        <v>59824.800000000003</v>
      </c>
      <c r="BK37" s="34">
        <f t="shared" si="14"/>
        <v>28160</v>
      </c>
      <c r="BL37" s="426">
        <f t="shared" si="15"/>
        <v>1695440</v>
      </c>
      <c r="BM37" s="616">
        <f t="shared" si="110"/>
        <v>3346096</v>
      </c>
      <c r="BN37" s="33">
        <f t="shared" si="16"/>
        <v>2569966.2000000002</v>
      </c>
      <c r="BO37" s="33">
        <f t="shared" si="17"/>
        <v>776129.8</v>
      </c>
      <c r="BP37" s="34">
        <f t="shared" si="111"/>
        <v>70640</v>
      </c>
      <c r="BQ37" s="34">
        <f t="shared" si="112"/>
        <v>14128</v>
      </c>
      <c r="BR37" s="34">
        <f t="shared" si="113"/>
        <v>64880</v>
      </c>
      <c r="BS37" s="34">
        <f t="shared" si="18"/>
        <v>159440</v>
      </c>
      <c r="BT37" s="34">
        <f t="shared" si="19"/>
        <v>8320</v>
      </c>
      <c r="BU37" s="34">
        <f t="shared" si="20"/>
        <v>138320</v>
      </c>
      <c r="BV37" s="34">
        <f t="shared" si="21"/>
        <v>5760</v>
      </c>
      <c r="BW37" s="34">
        <f t="shared" si="22"/>
        <v>7040</v>
      </c>
      <c r="BX37" s="34">
        <f t="shared" si="23"/>
        <v>62004</v>
      </c>
      <c r="BY37" s="34">
        <f t="shared" si="24"/>
        <v>46400</v>
      </c>
      <c r="BZ37" s="34">
        <f t="shared" si="25"/>
        <v>4320</v>
      </c>
      <c r="CA37" s="34">
        <f t="shared" si="26"/>
        <v>6160</v>
      </c>
      <c r="CB37" s="34">
        <f t="shared" si="27"/>
        <v>640</v>
      </c>
      <c r="CC37" s="34">
        <f t="shared" si="28"/>
        <v>8400</v>
      </c>
      <c r="CD37" s="34">
        <f t="shared" si="29"/>
        <v>840303</v>
      </c>
      <c r="CE37" s="33">
        <f t="shared" si="114"/>
        <v>645394</v>
      </c>
      <c r="CF37" s="33">
        <f t="shared" si="115"/>
        <v>194909</v>
      </c>
      <c r="CG37" s="34">
        <f t="shared" si="30"/>
        <v>28160</v>
      </c>
      <c r="CH37" s="415">
        <f t="shared" si="31"/>
        <v>4637443</v>
      </c>
      <c r="CI37" s="88">
        <f t="shared" si="32"/>
        <v>418262</v>
      </c>
      <c r="CJ37" s="90">
        <f t="shared" si="33"/>
        <v>321245.77500000002</v>
      </c>
      <c r="CK37" s="90">
        <f t="shared" si="34"/>
        <v>97016.225000000006</v>
      </c>
      <c r="CL37" s="88">
        <f t="shared" si="35"/>
        <v>8830</v>
      </c>
      <c r="CM37" s="88">
        <f t="shared" si="36"/>
        <v>1766</v>
      </c>
      <c r="CN37" s="88">
        <f t="shared" si="37"/>
        <v>8110</v>
      </c>
      <c r="CO37" s="88">
        <f t="shared" si="38"/>
        <v>19930</v>
      </c>
      <c r="CP37" s="88">
        <f t="shared" si="39"/>
        <v>1040</v>
      </c>
      <c r="CQ37" s="88">
        <f t="shared" si="40"/>
        <v>17290</v>
      </c>
      <c r="CR37" s="88">
        <f t="shared" si="41"/>
        <v>720</v>
      </c>
      <c r="CS37" s="88">
        <f t="shared" si="42"/>
        <v>880</v>
      </c>
      <c r="CT37" s="88">
        <f t="shared" si="43"/>
        <v>7750.5</v>
      </c>
      <c r="CU37" s="88">
        <f t="shared" si="44"/>
        <v>5800</v>
      </c>
      <c r="CV37" s="88">
        <f t="shared" si="45"/>
        <v>540</v>
      </c>
      <c r="CW37" s="88">
        <f t="shared" si="46"/>
        <v>770</v>
      </c>
      <c r="CX37" s="88">
        <f t="shared" si="47"/>
        <v>80</v>
      </c>
      <c r="CY37" s="88">
        <f t="shared" si="48"/>
        <v>1050</v>
      </c>
      <c r="CZ37" s="88">
        <f t="shared" si="49"/>
        <v>105037.875</v>
      </c>
      <c r="DA37" s="90">
        <f t="shared" si="50"/>
        <v>80674.25</v>
      </c>
      <c r="DB37" s="90">
        <f t="shared" si="51"/>
        <v>24363.625</v>
      </c>
      <c r="DC37" s="88">
        <f t="shared" si="52"/>
        <v>3520</v>
      </c>
      <c r="DD37" s="88">
        <f t="shared" si="53"/>
        <v>579680.375</v>
      </c>
      <c r="AUV37" s="699">
        <f t="shared" si="65"/>
        <v>418262</v>
      </c>
      <c r="AUW37" s="699">
        <f t="shared" si="66"/>
        <v>321245.78000000003</v>
      </c>
      <c r="AUX37" s="699">
        <f t="shared" si="67"/>
        <v>97016.22</v>
      </c>
      <c r="AUY37" s="699">
        <f t="shared" si="68"/>
        <v>8830</v>
      </c>
      <c r="AUZ37" s="699">
        <f t="shared" si="204"/>
        <v>4885.2</v>
      </c>
      <c r="AVA37" s="699">
        <f t="shared" si="204"/>
        <v>0.51</v>
      </c>
      <c r="AVB37" s="699">
        <f t="shared" si="70"/>
        <v>19930</v>
      </c>
      <c r="AVC37" s="699">
        <f t="shared" si="71"/>
        <v>1040</v>
      </c>
      <c r="AVD37" s="699">
        <f t="shared" si="72"/>
        <v>17290</v>
      </c>
      <c r="AVE37" s="699">
        <f t="shared" si="73"/>
        <v>720</v>
      </c>
      <c r="AVF37" s="699">
        <f t="shared" si="74"/>
        <v>880</v>
      </c>
      <c r="AVG37" s="699">
        <f t="shared" si="75"/>
        <v>7750.5</v>
      </c>
      <c r="AVH37" s="699">
        <f t="shared" si="76"/>
        <v>5800</v>
      </c>
      <c r="AVI37" s="699">
        <f t="shared" si="77"/>
        <v>540</v>
      </c>
      <c r="AVJ37" s="699">
        <f t="shared" si="78"/>
        <v>770</v>
      </c>
      <c r="AVK37" s="699">
        <f t="shared" si="79"/>
        <v>80</v>
      </c>
      <c r="AVL37" s="699">
        <f t="shared" si="80"/>
        <v>1050</v>
      </c>
      <c r="AVM37" s="699">
        <f t="shared" si="81"/>
        <v>105037.88</v>
      </c>
      <c r="AVN37" s="699">
        <f t="shared" si="82"/>
        <v>80674.25</v>
      </c>
      <c r="AVO37" s="699">
        <f t="shared" si="83"/>
        <v>24363.63</v>
      </c>
      <c r="AVP37" s="699">
        <f t="shared" si="84"/>
        <v>3520</v>
      </c>
      <c r="AVQ37" s="699">
        <f t="shared" si="85"/>
        <v>579680.38</v>
      </c>
    </row>
    <row r="38" spans="1:108 1244:1265" ht="30" customHeight="1" x14ac:dyDescent="0.25">
      <c r="A38" s="643">
        <v>1</v>
      </c>
      <c r="B38" s="643">
        <v>9</v>
      </c>
      <c r="C38" s="664" t="s">
        <v>247</v>
      </c>
      <c r="D38" s="2"/>
      <c r="E38" s="101" t="s">
        <v>344</v>
      </c>
      <c r="F38" s="643" t="s">
        <v>31</v>
      </c>
      <c r="G38" s="643">
        <v>1</v>
      </c>
      <c r="H38" s="658" t="s">
        <v>8</v>
      </c>
      <c r="I38" s="643">
        <v>3</v>
      </c>
      <c r="J38" s="101" t="s">
        <v>356</v>
      </c>
      <c r="K38" s="643">
        <v>3</v>
      </c>
      <c r="L38" s="683" t="s">
        <v>349</v>
      </c>
      <c r="M38" s="11" t="s">
        <v>257</v>
      </c>
      <c r="N38" s="101" t="s">
        <v>387</v>
      </c>
      <c r="O38" s="643">
        <v>1</v>
      </c>
      <c r="P38" s="632">
        <v>329</v>
      </c>
      <c r="Q38" s="632">
        <v>329</v>
      </c>
      <c r="R38" s="632">
        <v>329</v>
      </c>
      <c r="S38" s="675">
        <f>SUMIF('Территориальный кк'!$A:$A,'2020'!$B38,'Территориальный кк'!D:D)</f>
        <v>3.258</v>
      </c>
      <c r="T38" s="676">
        <f>SUMIF('Территориальный кк'!$A:$A,'2020'!$B38,'Территориальный кк'!E:E)</f>
        <v>2.8919999999999999</v>
      </c>
      <c r="U38" s="33">
        <f>SUMIFS(Нормативы!G:G,Нормативы!$B:$B,$G38,Нормативы!$D:$D,'2020'!$I38,Нормативы!$F:$F,'2020'!$K38)*O38</f>
        <v>6419</v>
      </c>
      <c r="V38" s="33">
        <f t="shared" si="98"/>
        <v>4930.1000000000004</v>
      </c>
      <c r="W38" s="33">
        <f t="shared" si="99"/>
        <v>1488.9</v>
      </c>
      <c r="X38" s="33">
        <f>SUMIFS(Нормативы!J:J,Нормативы!$B:$B,$G38,Нормативы!$D:$D,'2020'!$I38,Нормативы!$F:$F,'2020'!$K38)</f>
        <v>883</v>
      </c>
      <c r="Y38" s="33">
        <f>SUMIFS(Нормативы!K:K,Нормативы!$B:$B,$G38,Нормативы!$D:$D,'2020'!$I38,Нормативы!$F:$F,'2020'!$K38)</f>
        <v>177</v>
      </c>
      <c r="Z38" s="33">
        <f>SUMIFS(Нормативы!L:L,Нормативы!$B:$B,$G38,Нормативы!$D:$D,'2020'!$I38,Нормативы!$F:$F,'2020'!$K38)</f>
        <v>811</v>
      </c>
      <c r="AA38" s="33">
        <f t="shared" si="100"/>
        <v>1905</v>
      </c>
      <c r="AB38" s="33">
        <f>SUMIFS(Нормативы!N:N,Нормативы!$B:$B,$G38,Нормативы!$D:$D,'2020'!$I38,Нормативы!$F:$F,'2020'!$K38)*O38</f>
        <v>52</v>
      </c>
      <c r="AC38" s="33">
        <f>SUMIFS(Нормативы!O:O,Нормативы!$B:$B,$G38,Нормативы!$D:$D,'2020'!$I38,Нормативы!$F:$F,'2020'!$K38)</f>
        <v>1729</v>
      </c>
      <c r="AD38" s="33">
        <f>SUMIFS(Нормативы!P:P,Нормативы!$B:$B,$G38,Нормативы!$D:$D,'2020'!$I38,Нормативы!$F:$F,'2020'!$K38)*O38</f>
        <v>36</v>
      </c>
      <c r="AE38" s="33">
        <f>SUMIFS(Нормативы!Q:Q,Нормативы!$B:$B,$G38,Нормативы!$D:$D,'2020'!$I38,Нормативы!$F:$F,'2020'!$K38)</f>
        <v>88</v>
      </c>
      <c r="AF38" s="33">
        <f>SUMIFS(Нормативы!R:R,Нормативы!$B:$B,$G38,Нормативы!$D:$D,'2020'!$I38,Нормативы!$F:$F,'2020'!$K38)</f>
        <v>268</v>
      </c>
      <c r="AG38" s="33">
        <f>SUMIFS(Нормативы!S:S,Нормативы!$B:$B,$G38,Нормативы!$D:$D,'2020'!$I38,Нормативы!$F:$F,'2020'!$K38)</f>
        <v>580</v>
      </c>
      <c r="AH38" s="33">
        <f>SUMIFS(Нормативы!T:T,Нормативы!$B:$B,$G38,Нормативы!$D:$D,'2020'!$I38,Нормативы!$F:$F,'2020'!$K38)</f>
        <v>54</v>
      </c>
      <c r="AI38" s="33">
        <f>SUMIFS(Нормативы!U:U,Нормативы!$B:$B,$G38,Нормативы!$D:$D,'2020'!$I38,Нормативы!$F:$F,'2020'!$K38)</f>
        <v>77</v>
      </c>
      <c r="AJ38" s="33">
        <f>SUMIFS(Нормативы!V:V,Нормативы!$B:$B,$G38,Нормативы!$D:$D,'2020'!$I38,Нормативы!$F:$F,'2020'!$K38)</f>
        <v>8</v>
      </c>
      <c r="AK38" s="33">
        <f>SUMIFS(Нормативы!W:W,Нормативы!$B:$B,$G38,Нормативы!$D:$D,'2020'!$I38,Нормативы!$F:$F,'2020'!$K38)</f>
        <v>105</v>
      </c>
      <c r="AL38" s="33">
        <f>SUMIFS(Нормативы!X:X,Нормативы!$B:$B,$G38,Нормативы!$D:$D,'2020'!$I38,Нормативы!$F:$F,'2020'!$K38)*O38</f>
        <v>1612</v>
      </c>
      <c r="AM38" s="33">
        <f t="shared" si="101"/>
        <v>1238.0999999999999</v>
      </c>
      <c r="AN38" s="33">
        <f t="shared" si="102"/>
        <v>373.9</v>
      </c>
      <c r="AO38" s="33">
        <f>SUMIFS(Нормативы!AA:AA,Нормативы!$B:$B,$G38,Нормативы!$D:$D,'2020'!$I38,Нормативы!$F:$F,'2020'!$K38)</f>
        <v>0</v>
      </c>
      <c r="AP38" s="141">
        <f t="shared" si="103"/>
        <v>12722</v>
      </c>
      <c r="AQ38" s="413">
        <f t="shared" si="104"/>
        <v>2111851</v>
      </c>
      <c r="AR38" s="33">
        <f t="shared" si="105"/>
        <v>1622005.4</v>
      </c>
      <c r="AS38" s="33">
        <f t="shared" si="106"/>
        <v>489845.6</v>
      </c>
      <c r="AT38" s="34">
        <f t="shared" si="0"/>
        <v>290507</v>
      </c>
      <c r="AU38" s="34">
        <f t="shared" si="1"/>
        <v>58233</v>
      </c>
      <c r="AV38" s="34">
        <f t="shared" si="2"/>
        <v>266819</v>
      </c>
      <c r="AW38" s="34">
        <f t="shared" si="3"/>
        <v>626745</v>
      </c>
      <c r="AX38" s="34">
        <f t="shared" si="4"/>
        <v>17108</v>
      </c>
      <c r="AY38" s="34">
        <f t="shared" si="5"/>
        <v>568841</v>
      </c>
      <c r="AZ38" s="34">
        <f t="shared" si="6"/>
        <v>11844</v>
      </c>
      <c r="BA38" s="34">
        <f t="shared" si="7"/>
        <v>28952</v>
      </c>
      <c r="BB38" s="34">
        <f t="shared" si="107"/>
        <v>88172</v>
      </c>
      <c r="BC38" s="34">
        <f t="shared" si="8"/>
        <v>190820</v>
      </c>
      <c r="BD38" s="34">
        <f t="shared" si="9"/>
        <v>17766</v>
      </c>
      <c r="BE38" s="34">
        <f t="shared" si="10"/>
        <v>25333</v>
      </c>
      <c r="BF38" s="34">
        <f t="shared" si="11"/>
        <v>2632</v>
      </c>
      <c r="BG38" s="34">
        <f t="shared" si="12"/>
        <v>34545</v>
      </c>
      <c r="BH38" s="34">
        <f t="shared" si="13"/>
        <v>530348</v>
      </c>
      <c r="BI38" s="33">
        <f t="shared" si="108"/>
        <v>407333.3</v>
      </c>
      <c r="BJ38" s="33">
        <f t="shared" si="109"/>
        <v>123014.7</v>
      </c>
      <c r="BK38" s="34">
        <f t="shared" si="14"/>
        <v>0</v>
      </c>
      <c r="BL38" s="426">
        <f t="shared" si="15"/>
        <v>4185538</v>
      </c>
      <c r="BM38" s="616">
        <f t="shared" si="110"/>
        <v>6880411</v>
      </c>
      <c r="BN38" s="33">
        <f t="shared" si="16"/>
        <v>5284493.9000000004</v>
      </c>
      <c r="BO38" s="33">
        <f t="shared" si="17"/>
        <v>1595917.1</v>
      </c>
      <c r="BP38" s="34">
        <f t="shared" si="111"/>
        <v>290507</v>
      </c>
      <c r="BQ38" s="34">
        <f t="shared" si="112"/>
        <v>58233</v>
      </c>
      <c r="BR38" s="34">
        <f t="shared" si="113"/>
        <v>266819</v>
      </c>
      <c r="BS38" s="34">
        <f t="shared" si="18"/>
        <v>626745</v>
      </c>
      <c r="BT38" s="34">
        <f t="shared" si="19"/>
        <v>17108</v>
      </c>
      <c r="BU38" s="34">
        <f t="shared" si="20"/>
        <v>568841</v>
      </c>
      <c r="BV38" s="34">
        <f t="shared" si="21"/>
        <v>11844</v>
      </c>
      <c r="BW38" s="34">
        <f t="shared" si="22"/>
        <v>28952</v>
      </c>
      <c r="BX38" s="34">
        <f t="shared" si="23"/>
        <v>254993</v>
      </c>
      <c r="BY38" s="34">
        <f t="shared" si="24"/>
        <v>190820</v>
      </c>
      <c r="BZ38" s="34">
        <f t="shared" si="25"/>
        <v>17766</v>
      </c>
      <c r="CA38" s="34">
        <f t="shared" si="26"/>
        <v>25333</v>
      </c>
      <c r="CB38" s="34">
        <f t="shared" si="27"/>
        <v>2632</v>
      </c>
      <c r="CC38" s="34">
        <f t="shared" si="28"/>
        <v>34545</v>
      </c>
      <c r="CD38" s="34">
        <f t="shared" si="29"/>
        <v>1727874</v>
      </c>
      <c r="CE38" s="33">
        <f t="shared" si="114"/>
        <v>1327092.2</v>
      </c>
      <c r="CF38" s="33">
        <f t="shared" si="115"/>
        <v>400781.8</v>
      </c>
      <c r="CG38" s="34">
        <f t="shared" si="30"/>
        <v>0</v>
      </c>
      <c r="CH38" s="415">
        <f t="shared" si="31"/>
        <v>10318445</v>
      </c>
      <c r="CI38" s="88">
        <f t="shared" si="32"/>
        <v>20913.103299999999</v>
      </c>
      <c r="CJ38" s="90">
        <f t="shared" si="33"/>
        <v>16062.291499999999</v>
      </c>
      <c r="CK38" s="90">
        <f t="shared" si="34"/>
        <v>4850.8118999999997</v>
      </c>
      <c r="CL38" s="88">
        <f t="shared" si="35"/>
        <v>883</v>
      </c>
      <c r="CM38" s="88">
        <f t="shared" si="36"/>
        <v>177</v>
      </c>
      <c r="CN38" s="88">
        <f t="shared" si="37"/>
        <v>811</v>
      </c>
      <c r="CO38" s="88">
        <f t="shared" si="38"/>
        <v>1905</v>
      </c>
      <c r="CP38" s="88">
        <f t="shared" si="39"/>
        <v>52</v>
      </c>
      <c r="CQ38" s="88">
        <f t="shared" si="40"/>
        <v>1729</v>
      </c>
      <c r="CR38" s="88">
        <f t="shared" si="41"/>
        <v>36</v>
      </c>
      <c r="CS38" s="88">
        <f t="shared" si="42"/>
        <v>88</v>
      </c>
      <c r="CT38" s="88">
        <f t="shared" si="43"/>
        <v>775.05470000000003</v>
      </c>
      <c r="CU38" s="88">
        <f t="shared" si="44"/>
        <v>580</v>
      </c>
      <c r="CV38" s="88">
        <f t="shared" si="45"/>
        <v>54</v>
      </c>
      <c r="CW38" s="88">
        <f t="shared" si="46"/>
        <v>77</v>
      </c>
      <c r="CX38" s="88">
        <f t="shared" si="47"/>
        <v>8</v>
      </c>
      <c r="CY38" s="88">
        <f t="shared" si="48"/>
        <v>105</v>
      </c>
      <c r="CZ38" s="88">
        <f t="shared" si="49"/>
        <v>5251.8967000000002</v>
      </c>
      <c r="DA38" s="90">
        <f t="shared" si="50"/>
        <v>4033.7148999999999</v>
      </c>
      <c r="DB38" s="90">
        <f t="shared" si="51"/>
        <v>1218.1818000000001</v>
      </c>
      <c r="DC38" s="88">
        <f t="shared" si="52"/>
        <v>0</v>
      </c>
      <c r="DD38" s="88">
        <f t="shared" si="53"/>
        <v>31363.054700000001</v>
      </c>
      <c r="AUV38" s="699">
        <f t="shared" si="65"/>
        <v>20913.099999999999</v>
      </c>
      <c r="AUW38" s="699">
        <f t="shared" si="66"/>
        <v>16062.29</v>
      </c>
      <c r="AUX38" s="699">
        <f t="shared" si="67"/>
        <v>4850.8100000000004</v>
      </c>
      <c r="AUY38" s="699">
        <f t="shared" si="68"/>
        <v>883</v>
      </c>
      <c r="AUZ38" s="699">
        <f t="shared" si="204"/>
        <v>20135.89</v>
      </c>
      <c r="AVA38" s="699">
        <f t="shared" si="204"/>
        <v>41.57</v>
      </c>
      <c r="AVB38" s="699">
        <f t="shared" si="70"/>
        <v>1905</v>
      </c>
      <c r="AVC38" s="699">
        <f t="shared" si="71"/>
        <v>52</v>
      </c>
      <c r="AVD38" s="699">
        <f t="shared" si="72"/>
        <v>1729</v>
      </c>
      <c r="AVE38" s="699">
        <f t="shared" si="73"/>
        <v>36</v>
      </c>
      <c r="AVF38" s="699">
        <f t="shared" si="74"/>
        <v>88</v>
      </c>
      <c r="AVG38" s="699">
        <f t="shared" si="75"/>
        <v>775.05</v>
      </c>
      <c r="AVH38" s="699">
        <f t="shared" si="76"/>
        <v>580</v>
      </c>
      <c r="AVI38" s="699">
        <f t="shared" si="77"/>
        <v>54</v>
      </c>
      <c r="AVJ38" s="699">
        <f t="shared" si="78"/>
        <v>77</v>
      </c>
      <c r="AVK38" s="699">
        <f t="shared" si="79"/>
        <v>8</v>
      </c>
      <c r="AVL38" s="699">
        <f t="shared" si="80"/>
        <v>105</v>
      </c>
      <c r="AVM38" s="699">
        <f t="shared" si="81"/>
        <v>5251.9</v>
      </c>
      <c r="AVN38" s="699">
        <f t="shared" si="82"/>
        <v>4033.72</v>
      </c>
      <c r="AVO38" s="699">
        <f t="shared" si="83"/>
        <v>1218.18</v>
      </c>
      <c r="AVP38" s="699">
        <f t="shared" si="84"/>
        <v>0</v>
      </c>
      <c r="AVQ38" s="699">
        <f t="shared" si="85"/>
        <v>31363.05</v>
      </c>
    </row>
    <row r="39" spans="1:108 1244:1265" ht="30" customHeight="1" x14ac:dyDescent="0.25">
      <c r="A39" s="643">
        <v>1</v>
      </c>
      <c r="B39" s="643">
        <v>9</v>
      </c>
      <c r="C39" s="664" t="s">
        <v>247</v>
      </c>
      <c r="D39" s="2"/>
      <c r="E39" s="101" t="s">
        <v>344</v>
      </c>
      <c r="F39" s="643" t="s">
        <v>31</v>
      </c>
      <c r="G39" s="643">
        <v>1</v>
      </c>
      <c r="H39" s="658" t="s">
        <v>8</v>
      </c>
      <c r="I39" s="643">
        <v>3</v>
      </c>
      <c r="J39" s="101" t="s">
        <v>356</v>
      </c>
      <c r="K39" s="643">
        <v>3</v>
      </c>
      <c r="L39" s="683" t="s">
        <v>349</v>
      </c>
      <c r="M39" s="11" t="s">
        <v>280</v>
      </c>
      <c r="N39" s="101" t="s">
        <v>401</v>
      </c>
      <c r="O39" s="643">
        <v>2</v>
      </c>
      <c r="P39" s="632">
        <v>4</v>
      </c>
      <c r="Q39" s="632">
        <v>4</v>
      </c>
      <c r="R39" s="632">
        <v>4</v>
      </c>
      <c r="S39" s="675">
        <f>SUMIF('Территориальный кк'!$A:$A,'2020'!$B39,'Территориальный кк'!D:D)</f>
        <v>3.258</v>
      </c>
      <c r="T39" s="676">
        <f>SUMIF('Территориальный кк'!$A:$A,'2020'!$B39,'Территориальный кк'!E:E)</f>
        <v>2.8919999999999999</v>
      </c>
      <c r="U39" s="33">
        <f>SUMIFS(Нормативы!G:G,Нормативы!$B:$B,$G39,Нормативы!$D:$D,'2020'!$I39,Нормативы!$F:$F,'2020'!$K39)*O39</f>
        <v>12838</v>
      </c>
      <c r="V39" s="33">
        <f t="shared" si="98"/>
        <v>9860.2000000000007</v>
      </c>
      <c r="W39" s="33">
        <f t="shared" si="99"/>
        <v>2977.8</v>
      </c>
      <c r="X39" s="33">
        <f>SUMIFS(Нормативы!J:J,Нормативы!$B:$B,$G39,Нормативы!$D:$D,'2020'!$I39,Нормативы!$F:$F,'2020'!$K39)</f>
        <v>883</v>
      </c>
      <c r="Y39" s="33">
        <f>SUMIFS(Нормативы!K:K,Нормативы!$B:$B,$G39,Нормативы!$D:$D,'2020'!$I39,Нормативы!$F:$F,'2020'!$K39)</f>
        <v>177</v>
      </c>
      <c r="Z39" s="33">
        <f>SUMIFS(Нормативы!L:L,Нормативы!$B:$B,$G39,Нормативы!$D:$D,'2020'!$I39,Нормативы!$F:$F,'2020'!$K39)</f>
        <v>811</v>
      </c>
      <c r="AA39" s="33">
        <f t="shared" si="100"/>
        <v>1993</v>
      </c>
      <c r="AB39" s="33">
        <f>SUMIFS(Нормативы!N:N,Нормативы!$B:$B,$G39,Нормативы!$D:$D,'2020'!$I39,Нормативы!$F:$F,'2020'!$K39)*O39</f>
        <v>104</v>
      </c>
      <c r="AC39" s="33">
        <f>SUMIFS(Нормативы!O:O,Нормативы!$B:$B,$G39,Нормативы!$D:$D,'2020'!$I39,Нормативы!$F:$F,'2020'!$K39)</f>
        <v>1729</v>
      </c>
      <c r="AD39" s="33">
        <f>SUMIFS(Нормативы!P:P,Нормативы!$B:$B,$G39,Нормативы!$D:$D,'2020'!$I39,Нормативы!$F:$F,'2020'!$K39)*O39</f>
        <v>72</v>
      </c>
      <c r="AE39" s="33">
        <f>SUMIFS(Нормативы!Q:Q,Нормативы!$B:$B,$G39,Нормативы!$D:$D,'2020'!$I39,Нормативы!$F:$F,'2020'!$K39)</f>
        <v>88</v>
      </c>
      <c r="AF39" s="33">
        <f>SUMIFS(Нормативы!R:R,Нормативы!$B:$B,$G39,Нормативы!$D:$D,'2020'!$I39,Нормативы!$F:$F,'2020'!$K39)</f>
        <v>268</v>
      </c>
      <c r="AG39" s="33">
        <f>SUMIFS(Нормативы!S:S,Нормативы!$B:$B,$G39,Нормативы!$D:$D,'2020'!$I39,Нормативы!$F:$F,'2020'!$K39)</f>
        <v>580</v>
      </c>
      <c r="AH39" s="33">
        <f>SUMIFS(Нормативы!T:T,Нормативы!$B:$B,$G39,Нормативы!$D:$D,'2020'!$I39,Нормативы!$F:$F,'2020'!$K39)</f>
        <v>54</v>
      </c>
      <c r="AI39" s="33">
        <f>SUMIFS(Нормативы!U:U,Нормативы!$B:$B,$G39,Нормативы!$D:$D,'2020'!$I39,Нормативы!$F:$F,'2020'!$K39)</f>
        <v>77</v>
      </c>
      <c r="AJ39" s="33">
        <f>SUMIFS(Нормативы!V:V,Нормативы!$B:$B,$G39,Нормативы!$D:$D,'2020'!$I39,Нормативы!$F:$F,'2020'!$K39)</f>
        <v>8</v>
      </c>
      <c r="AK39" s="33">
        <f>SUMIFS(Нормативы!W:W,Нормативы!$B:$B,$G39,Нормативы!$D:$D,'2020'!$I39,Нормативы!$F:$F,'2020'!$K39)</f>
        <v>105</v>
      </c>
      <c r="AL39" s="33">
        <f>SUMIFS(Нормативы!X:X,Нормативы!$B:$B,$G39,Нормативы!$D:$D,'2020'!$I39,Нормативы!$F:$F,'2020'!$K39)*O39</f>
        <v>3224</v>
      </c>
      <c r="AM39" s="33">
        <f t="shared" si="101"/>
        <v>2476.1999999999998</v>
      </c>
      <c r="AN39" s="33">
        <f t="shared" si="102"/>
        <v>747.8</v>
      </c>
      <c r="AO39" s="33">
        <f>SUMIFS(Нормативы!AA:AA,Нормативы!$B:$B,$G39,Нормативы!$D:$D,'2020'!$I39,Нормативы!$F:$F,'2020'!$K39)</f>
        <v>0</v>
      </c>
      <c r="AP39" s="141">
        <f t="shared" si="103"/>
        <v>20841</v>
      </c>
      <c r="AQ39" s="413">
        <f t="shared" si="104"/>
        <v>51352</v>
      </c>
      <c r="AR39" s="33">
        <f t="shared" si="105"/>
        <v>39440.9</v>
      </c>
      <c r="AS39" s="33">
        <f t="shared" si="106"/>
        <v>11911.1</v>
      </c>
      <c r="AT39" s="34">
        <f t="shared" si="0"/>
        <v>3532</v>
      </c>
      <c r="AU39" s="34">
        <f t="shared" si="1"/>
        <v>708</v>
      </c>
      <c r="AV39" s="34">
        <f t="shared" si="2"/>
        <v>3244</v>
      </c>
      <c r="AW39" s="34">
        <f t="shared" si="3"/>
        <v>7972</v>
      </c>
      <c r="AX39" s="34">
        <f t="shared" si="4"/>
        <v>416</v>
      </c>
      <c r="AY39" s="34">
        <f t="shared" si="5"/>
        <v>6916</v>
      </c>
      <c r="AZ39" s="34">
        <f t="shared" si="6"/>
        <v>288</v>
      </c>
      <c r="BA39" s="34">
        <f t="shared" si="7"/>
        <v>352</v>
      </c>
      <c r="BB39" s="34">
        <f t="shared" si="107"/>
        <v>1072</v>
      </c>
      <c r="BC39" s="34">
        <f t="shared" si="8"/>
        <v>2320</v>
      </c>
      <c r="BD39" s="34">
        <f t="shared" si="9"/>
        <v>216</v>
      </c>
      <c r="BE39" s="34">
        <f t="shared" si="10"/>
        <v>308</v>
      </c>
      <c r="BF39" s="34">
        <f t="shared" si="11"/>
        <v>32</v>
      </c>
      <c r="BG39" s="34">
        <f t="shared" si="12"/>
        <v>420</v>
      </c>
      <c r="BH39" s="34">
        <f t="shared" si="13"/>
        <v>12896</v>
      </c>
      <c r="BI39" s="33">
        <f t="shared" si="108"/>
        <v>9904.7999999999993</v>
      </c>
      <c r="BJ39" s="33">
        <f t="shared" si="109"/>
        <v>2991.2</v>
      </c>
      <c r="BK39" s="34">
        <f t="shared" si="14"/>
        <v>0</v>
      </c>
      <c r="BL39" s="426">
        <f t="shared" si="15"/>
        <v>83364</v>
      </c>
      <c r="BM39" s="616">
        <f t="shared" si="110"/>
        <v>167305</v>
      </c>
      <c r="BN39" s="33">
        <f t="shared" si="16"/>
        <v>128498.5</v>
      </c>
      <c r="BO39" s="33">
        <f t="shared" si="17"/>
        <v>38806.5</v>
      </c>
      <c r="BP39" s="34">
        <f t="shared" si="111"/>
        <v>3532</v>
      </c>
      <c r="BQ39" s="34">
        <f t="shared" si="112"/>
        <v>708</v>
      </c>
      <c r="BR39" s="34">
        <f t="shared" si="113"/>
        <v>3244</v>
      </c>
      <c r="BS39" s="34">
        <f t="shared" si="18"/>
        <v>7972</v>
      </c>
      <c r="BT39" s="34">
        <f t="shared" si="19"/>
        <v>416</v>
      </c>
      <c r="BU39" s="34">
        <f t="shared" si="20"/>
        <v>6916</v>
      </c>
      <c r="BV39" s="34">
        <f t="shared" si="21"/>
        <v>288</v>
      </c>
      <c r="BW39" s="34">
        <f t="shared" si="22"/>
        <v>352</v>
      </c>
      <c r="BX39" s="34">
        <f t="shared" si="23"/>
        <v>3100</v>
      </c>
      <c r="BY39" s="34">
        <f t="shared" si="24"/>
        <v>2320</v>
      </c>
      <c r="BZ39" s="34">
        <f t="shared" si="25"/>
        <v>216</v>
      </c>
      <c r="CA39" s="34">
        <f t="shared" si="26"/>
        <v>308</v>
      </c>
      <c r="CB39" s="34">
        <f t="shared" si="27"/>
        <v>32</v>
      </c>
      <c r="CC39" s="34">
        <f t="shared" si="28"/>
        <v>420</v>
      </c>
      <c r="CD39" s="34">
        <f t="shared" si="29"/>
        <v>42015</v>
      </c>
      <c r="CE39" s="33">
        <f t="shared" si="114"/>
        <v>32269.599999999999</v>
      </c>
      <c r="CF39" s="33">
        <f t="shared" si="115"/>
        <v>9745.4</v>
      </c>
      <c r="CG39" s="34">
        <f t="shared" si="30"/>
        <v>0</v>
      </c>
      <c r="CH39" s="415">
        <f t="shared" si="31"/>
        <v>230464</v>
      </c>
      <c r="CI39" s="88">
        <f t="shared" si="32"/>
        <v>41826.25</v>
      </c>
      <c r="CJ39" s="90">
        <f t="shared" si="33"/>
        <v>32124.625</v>
      </c>
      <c r="CK39" s="90">
        <f t="shared" si="34"/>
        <v>9701.625</v>
      </c>
      <c r="CL39" s="88">
        <f t="shared" si="35"/>
        <v>883</v>
      </c>
      <c r="CM39" s="88">
        <f t="shared" si="36"/>
        <v>177</v>
      </c>
      <c r="CN39" s="88">
        <f t="shared" si="37"/>
        <v>811</v>
      </c>
      <c r="CO39" s="88">
        <f t="shared" si="38"/>
        <v>1993</v>
      </c>
      <c r="CP39" s="88">
        <f t="shared" si="39"/>
        <v>104</v>
      </c>
      <c r="CQ39" s="88">
        <f t="shared" si="40"/>
        <v>1729</v>
      </c>
      <c r="CR39" s="88">
        <f t="shared" si="41"/>
        <v>72</v>
      </c>
      <c r="CS39" s="88">
        <f t="shared" si="42"/>
        <v>88</v>
      </c>
      <c r="CT39" s="88">
        <f t="shared" si="43"/>
        <v>775</v>
      </c>
      <c r="CU39" s="88">
        <f t="shared" si="44"/>
        <v>580</v>
      </c>
      <c r="CV39" s="88">
        <f t="shared" si="45"/>
        <v>54</v>
      </c>
      <c r="CW39" s="88">
        <f t="shared" si="46"/>
        <v>77</v>
      </c>
      <c r="CX39" s="88">
        <f t="shared" si="47"/>
        <v>8</v>
      </c>
      <c r="CY39" s="88">
        <f t="shared" si="48"/>
        <v>105</v>
      </c>
      <c r="CZ39" s="88">
        <f t="shared" si="49"/>
        <v>10503.75</v>
      </c>
      <c r="DA39" s="90">
        <f t="shared" si="50"/>
        <v>8067.4</v>
      </c>
      <c r="DB39" s="90">
        <f t="shared" si="51"/>
        <v>2436.35</v>
      </c>
      <c r="DC39" s="88">
        <f t="shared" si="52"/>
        <v>0</v>
      </c>
      <c r="DD39" s="88">
        <f t="shared" si="53"/>
        <v>57616</v>
      </c>
      <c r="AUV39" s="699">
        <f t="shared" si="65"/>
        <v>41826.25</v>
      </c>
      <c r="AUW39" s="699">
        <f t="shared" si="66"/>
        <v>32124.62</v>
      </c>
      <c r="AUX39" s="699">
        <f t="shared" si="67"/>
        <v>9701.6299999999992</v>
      </c>
      <c r="AUY39" s="699">
        <f t="shared" si="68"/>
        <v>883</v>
      </c>
      <c r="AUZ39" s="699">
        <f t="shared" si="204"/>
        <v>244.81</v>
      </c>
      <c r="AVA39" s="699">
        <f t="shared" si="204"/>
        <v>0.25</v>
      </c>
      <c r="AVB39" s="699">
        <f t="shared" si="70"/>
        <v>1993</v>
      </c>
      <c r="AVC39" s="699">
        <f t="shared" si="71"/>
        <v>104</v>
      </c>
      <c r="AVD39" s="699">
        <f t="shared" si="72"/>
        <v>1729</v>
      </c>
      <c r="AVE39" s="699">
        <f t="shared" si="73"/>
        <v>72</v>
      </c>
      <c r="AVF39" s="699">
        <f t="shared" si="74"/>
        <v>88</v>
      </c>
      <c r="AVG39" s="699">
        <f t="shared" si="75"/>
        <v>775</v>
      </c>
      <c r="AVH39" s="699">
        <f t="shared" si="76"/>
        <v>580</v>
      </c>
      <c r="AVI39" s="699">
        <f t="shared" si="77"/>
        <v>54</v>
      </c>
      <c r="AVJ39" s="699">
        <f t="shared" si="78"/>
        <v>77</v>
      </c>
      <c r="AVK39" s="699">
        <f t="shared" si="79"/>
        <v>8</v>
      </c>
      <c r="AVL39" s="699">
        <f t="shared" si="80"/>
        <v>105</v>
      </c>
      <c r="AVM39" s="699">
        <f t="shared" si="81"/>
        <v>10503.75</v>
      </c>
      <c r="AVN39" s="699">
        <f t="shared" si="82"/>
        <v>8067.4</v>
      </c>
      <c r="AVO39" s="699">
        <f t="shared" si="83"/>
        <v>2436.35</v>
      </c>
      <c r="AVP39" s="699">
        <f t="shared" si="84"/>
        <v>0</v>
      </c>
      <c r="AVQ39" s="699">
        <f t="shared" si="85"/>
        <v>57616</v>
      </c>
    </row>
    <row r="40" spans="1:108 1244:1265" ht="30" customHeight="1" x14ac:dyDescent="0.25">
      <c r="A40" s="643">
        <v>1</v>
      </c>
      <c r="B40" s="643">
        <v>9</v>
      </c>
      <c r="C40" s="664" t="s">
        <v>247</v>
      </c>
      <c r="D40" s="2"/>
      <c r="E40" s="101" t="s">
        <v>344</v>
      </c>
      <c r="F40" s="643" t="s">
        <v>31</v>
      </c>
      <c r="G40" s="643">
        <v>1</v>
      </c>
      <c r="H40" s="658" t="s">
        <v>10</v>
      </c>
      <c r="I40" s="643">
        <v>0</v>
      </c>
      <c r="J40" s="101" t="s">
        <v>357</v>
      </c>
      <c r="K40" s="643">
        <v>3</v>
      </c>
      <c r="L40" s="683" t="s">
        <v>349</v>
      </c>
      <c r="M40" s="11" t="s">
        <v>258</v>
      </c>
      <c r="N40" s="101" t="s">
        <v>387</v>
      </c>
      <c r="O40" s="643">
        <v>1</v>
      </c>
      <c r="P40" s="632">
        <v>95</v>
      </c>
      <c r="Q40" s="632">
        <v>95</v>
      </c>
      <c r="R40" s="632">
        <v>95</v>
      </c>
      <c r="S40" s="675">
        <f>SUMIF('Территориальный кк'!$A:$A,'2020'!$B40,'Территориальный кк'!D:D)</f>
        <v>3.258</v>
      </c>
      <c r="T40" s="676">
        <f>SUMIF('Территориальный кк'!$A:$A,'2020'!$B40,'Территориальный кк'!E:E)</f>
        <v>2.8919999999999999</v>
      </c>
      <c r="U40" s="33">
        <f>SUMIFS(Нормативы!G:G,Нормативы!$B:$B,$G40,Нормативы!$D:$D,'2020'!$I40,Нормативы!$F:$F,'2020'!$K40)*O40</f>
        <v>64190</v>
      </c>
      <c r="V40" s="33">
        <f t="shared" si="98"/>
        <v>49301.1</v>
      </c>
      <c r="W40" s="33">
        <f t="shared" si="99"/>
        <v>14888.9</v>
      </c>
      <c r="X40" s="33">
        <f>SUMIFS(Нормативы!J:J,Нормативы!$B:$B,$G40,Нормативы!$D:$D,'2020'!$I40,Нормативы!$F:$F,'2020'!$K40)</f>
        <v>8830</v>
      </c>
      <c r="Y40" s="33">
        <f>SUMIFS(Нормативы!K:K,Нормативы!$B:$B,$G40,Нормативы!$D:$D,'2020'!$I40,Нормативы!$F:$F,'2020'!$K40)</f>
        <v>1766</v>
      </c>
      <c r="Z40" s="33">
        <f>SUMIFS(Нормативы!L:L,Нормативы!$B:$B,$G40,Нормативы!$D:$D,'2020'!$I40,Нормативы!$F:$F,'2020'!$K40)</f>
        <v>8110</v>
      </c>
      <c r="AA40" s="33">
        <f t="shared" si="100"/>
        <v>19050</v>
      </c>
      <c r="AB40" s="33">
        <f>SUMIFS(Нормативы!N:N,Нормативы!$B:$B,$G40,Нормативы!$D:$D,'2020'!$I40,Нормативы!$F:$F,'2020'!$K40)*O40</f>
        <v>520</v>
      </c>
      <c r="AC40" s="33">
        <f>SUMIFS(Нормативы!O:O,Нормативы!$B:$B,$G40,Нормативы!$D:$D,'2020'!$I40,Нормативы!$F:$F,'2020'!$K40)</f>
        <v>17290</v>
      </c>
      <c r="AD40" s="33">
        <f>SUMIFS(Нормативы!P:P,Нормативы!$B:$B,$G40,Нормативы!$D:$D,'2020'!$I40,Нормативы!$F:$F,'2020'!$K40)*O40</f>
        <v>360</v>
      </c>
      <c r="AE40" s="33">
        <f>SUMIFS(Нормативы!Q:Q,Нормативы!$B:$B,$G40,Нормативы!$D:$D,'2020'!$I40,Нормативы!$F:$F,'2020'!$K40)</f>
        <v>880</v>
      </c>
      <c r="AF40" s="33">
        <f>SUMIFS(Нормативы!R:R,Нормативы!$B:$B,$G40,Нормативы!$D:$D,'2020'!$I40,Нормативы!$F:$F,'2020'!$K40)</f>
        <v>2680</v>
      </c>
      <c r="AG40" s="33">
        <f>SUMIFS(Нормативы!S:S,Нормативы!$B:$B,$G40,Нормативы!$D:$D,'2020'!$I40,Нормативы!$F:$F,'2020'!$K40)</f>
        <v>5800</v>
      </c>
      <c r="AH40" s="33">
        <f>SUMIFS(Нормативы!T:T,Нормативы!$B:$B,$G40,Нормативы!$D:$D,'2020'!$I40,Нормативы!$F:$F,'2020'!$K40)</f>
        <v>540</v>
      </c>
      <c r="AI40" s="33">
        <f>SUMIFS(Нормативы!U:U,Нормативы!$B:$B,$G40,Нормативы!$D:$D,'2020'!$I40,Нормативы!$F:$F,'2020'!$K40)</f>
        <v>770</v>
      </c>
      <c r="AJ40" s="33">
        <f>SUMIFS(Нормативы!V:V,Нормативы!$B:$B,$G40,Нормативы!$D:$D,'2020'!$I40,Нормативы!$F:$F,'2020'!$K40)</f>
        <v>80</v>
      </c>
      <c r="AK40" s="33">
        <f>SUMIFS(Нормативы!W:W,Нормативы!$B:$B,$G40,Нормативы!$D:$D,'2020'!$I40,Нормативы!$F:$F,'2020'!$K40)</f>
        <v>1050</v>
      </c>
      <c r="AL40" s="33">
        <f>SUMIFS(Нормативы!X:X,Нормативы!$B:$B,$G40,Нормативы!$D:$D,'2020'!$I40,Нормативы!$F:$F,'2020'!$K40)*O40</f>
        <v>16120</v>
      </c>
      <c r="AM40" s="33">
        <f t="shared" si="101"/>
        <v>12381</v>
      </c>
      <c r="AN40" s="33">
        <f t="shared" si="102"/>
        <v>3739</v>
      </c>
      <c r="AO40" s="33">
        <f>SUMIFS(Нормативы!AA:AA,Нормативы!$B:$B,$G40,Нормативы!$D:$D,'2020'!$I40,Нормативы!$F:$F,'2020'!$K40)</f>
        <v>3520</v>
      </c>
      <c r="AP40" s="141">
        <f t="shared" si="103"/>
        <v>130740</v>
      </c>
      <c r="AQ40" s="413">
        <f t="shared" si="104"/>
        <v>6098050</v>
      </c>
      <c r="AR40" s="33">
        <f t="shared" si="105"/>
        <v>4683602.2</v>
      </c>
      <c r="AS40" s="33">
        <f t="shared" si="106"/>
        <v>1414447.8</v>
      </c>
      <c r="AT40" s="34">
        <f t="shared" si="0"/>
        <v>838850</v>
      </c>
      <c r="AU40" s="34">
        <f t="shared" si="1"/>
        <v>167770</v>
      </c>
      <c r="AV40" s="34">
        <f t="shared" si="2"/>
        <v>770450</v>
      </c>
      <c r="AW40" s="34">
        <f t="shared" si="3"/>
        <v>1809750</v>
      </c>
      <c r="AX40" s="34">
        <f t="shared" si="4"/>
        <v>49400</v>
      </c>
      <c r="AY40" s="34">
        <f t="shared" si="5"/>
        <v>1642550</v>
      </c>
      <c r="AZ40" s="34">
        <f t="shared" si="6"/>
        <v>34200</v>
      </c>
      <c r="BA40" s="34">
        <f t="shared" si="7"/>
        <v>83600</v>
      </c>
      <c r="BB40" s="34">
        <f t="shared" si="107"/>
        <v>254600</v>
      </c>
      <c r="BC40" s="34">
        <f t="shared" si="8"/>
        <v>551000</v>
      </c>
      <c r="BD40" s="34">
        <f t="shared" si="9"/>
        <v>51300</v>
      </c>
      <c r="BE40" s="34">
        <f t="shared" si="10"/>
        <v>73150</v>
      </c>
      <c r="BF40" s="34">
        <f t="shared" si="11"/>
        <v>7600</v>
      </c>
      <c r="BG40" s="34">
        <f t="shared" si="12"/>
        <v>99750</v>
      </c>
      <c r="BH40" s="34">
        <f t="shared" si="13"/>
        <v>1531400</v>
      </c>
      <c r="BI40" s="33">
        <f t="shared" si="108"/>
        <v>1176190.5</v>
      </c>
      <c r="BJ40" s="33">
        <f t="shared" si="109"/>
        <v>355209.5</v>
      </c>
      <c r="BK40" s="34">
        <f t="shared" si="14"/>
        <v>334400</v>
      </c>
      <c r="BL40" s="426">
        <f t="shared" si="15"/>
        <v>12420300</v>
      </c>
      <c r="BM40" s="616">
        <f t="shared" si="110"/>
        <v>19867447</v>
      </c>
      <c r="BN40" s="33">
        <f t="shared" si="16"/>
        <v>15259175.9</v>
      </c>
      <c r="BO40" s="33">
        <f t="shared" si="17"/>
        <v>4608271.0999999996</v>
      </c>
      <c r="BP40" s="34">
        <f t="shared" si="111"/>
        <v>838850</v>
      </c>
      <c r="BQ40" s="34">
        <f t="shared" si="112"/>
        <v>167770</v>
      </c>
      <c r="BR40" s="34">
        <f t="shared" si="113"/>
        <v>770450</v>
      </c>
      <c r="BS40" s="34">
        <f t="shared" si="18"/>
        <v>1809750</v>
      </c>
      <c r="BT40" s="34">
        <f t="shared" si="19"/>
        <v>49400</v>
      </c>
      <c r="BU40" s="34">
        <f t="shared" si="20"/>
        <v>1642550</v>
      </c>
      <c r="BV40" s="34">
        <f t="shared" si="21"/>
        <v>34200</v>
      </c>
      <c r="BW40" s="34">
        <f t="shared" si="22"/>
        <v>83600</v>
      </c>
      <c r="BX40" s="34">
        <f t="shared" si="23"/>
        <v>736303</v>
      </c>
      <c r="BY40" s="34">
        <f t="shared" si="24"/>
        <v>551000</v>
      </c>
      <c r="BZ40" s="34">
        <f t="shared" si="25"/>
        <v>51300</v>
      </c>
      <c r="CA40" s="34">
        <f t="shared" si="26"/>
        <v>73150</v>
      </c>
      <c r="CB40" s="34">
        <f t="shared" si="27"/>
        <v>7600</v>
      </c>
      <c r="CC40" s="34">
        <f t="shared" si="28"/>
        <v>99750</v>
      </c>
      <c r="CD40" s="34">
        <f t="shared" si="29"/>
        <v>4989301</v>
      </c>
      <c r="CE40" s="33">
        <f t="shared" si="114"/>
        <v>3832028.4</v>
      </c>
      <c r="CF40" s="33">
        <f t="shared" si="115"/>
        <v>1157272.6000000001</v>
      </c>
      <c r="CG40" s="34">
        <f t="shared" si="30"/>
        <v>334400</v>
      </c>
      <c r="CH40" s="415">
        <f t="shared" si="31"/>
        <v>30129301</v>
      </c>
      <c r="CI40" s="88">
        <f t="shared" si="32"/>
        <v>209131.02110000001</v>
      </c>
      <c r="CJ40" s="90">
        <f t="shared" si="33"/>
        <v>160622.90419999999</v>
      </c>
      <c r="CK40" s="90">
        <f t="shared" si="34"/>
        <v>48508.116800000003</v>
      </c>
      <c r="CL40" s="88">
        <f t="shared" si="35"/>
        <v>8830</v>
      </c>
      <c r="CM40" s="88">
        <f t="shared" si="36"/>
        <v>1766</v>
      </c>
      <c r="CN40" s="88">
        <f t="shared" si="37"/>
        <v>8110</v>
      </c>
      <c r="CO40" s="88">
        <f t="shared" si="38"/>
        <v>19050</v>
      </c>
      <c r="CP40" s="88">
        <f t="shared" si="39"/>
        <v>520</v>
      </c>
      <c r="CQ40" s="88">
        <f t="shared" si="40"/>
        <v>17290</v>
      </c>
      <c r="CR40" s="88">
        <f t="shared" si="41"/>
        <v>360</v>
      </c>
      <c r="CS40" s="88">
        <f t="shared" si="42"/>
        <v>880</v>
      </c>
      <c r="CT40" s="88">
        <f t="shared" si="43"/>
        <v>7750.5578999999998</v>
      </c>
      <c r="CU40" s="88">
        <f t="shared" si="44"/>
        <v>5800</v>
      </c>
      <c r="CV40" s="88">
        <f t="shared" si="45"/>
        <v>540</v>
      </c>
      <c r="CW40" s="88">
        <f t="shared" si="46"/>
        <v>770</v>
      </c>
      <c r="CX40" s="88">
        <f t="shared" si="47"/>
        <v>80</v>
      </c>
      <c r="CY40" s="88">
        <f t="shared" si="48"/>
        <v>1050</v>
      </c>
      <c r="CZ40" s="88">
        <f t="shared" si="49"/>
        <v>52518.957900000001</v>
      </c>
      <c r="DA40" s="90">
        <f t="shared" si="50"/>
        <v>40337.141100000001</v>
      </c>
      <c r="DB40" s="90">
        <f t="shared" si="51"/>
        <v>12181.816800000001</v>
      </c>
      <c r="DC40" s="88">
        <f t="shared" si="52"/>
        <v>3520</v>
      </c>
      <c r="DD40" s="88">
        <f t="shared" si="53"/>
        <v>317150.5368</v>
      </c>
      <c r="AUV40" s="699">
        <f t="shared" si="65"/>
        <v>209131.02</v>
      </c>
      <c r="AUW40" s="699">
        <f t="shared" si="66"/>
        <v>160622.9</v>
      </c>
      <c r="AUX40" s="699">
        <f t="shared" si="67"/>
        <v>48508.12</v>
      </c>
      <c r="AUY40" s="699">
        <f t="shared" si="68"/>
        <v>8830</v>
      </c>
      <c r="AUZ40" s="699">
        <f t="shared" si="204"/>
        <v>58011.76</v>
      </c>
      <c r="AVA40" s="699">
        <f t="shared" si="204"/>
        <v>12</v>
      </c>
      <c r="AVB40" s="699">
        <f t="shared" si="70"/>
        <v>19050</v>
      </c>
      <c r="AVC40" s="699">
        <f t="shared" si="71"/>
        <v>520</v>
      </c>
      <c r="AVD40" s="699">
        <f t="shared" si="72"/>
        <v>17290</v>
      </c>
      <c r="AVE40" s="699">
        <f t="shared" si="73"/>
        <v>360</v>
      </c>
      <c r="AVF40" s="699">
        <f t="shared" si="74"/>
        <v>880</v>
      </c>
      <c r="AVG40" s="699">
        <f t="shared" si="75"/>
        <v>7750.56</v>
      </c>
      <c r="AVH40" s="699">
        <f t="shared" si="76"/>
        <v>5800</v>
      </c>
      <c r="AVI40" s="699">
        <f t="shared" si="77"/>
        <v>540</v>
      </c>
      <c r="AVJ40" s="699">
        <f t="shared" si="78"/>
        <v>770</v>
      </c>
      <c r="AVK40" s="699">
        <f t="shared" si="79"/>
        <v>80</v>
      </c>
      <c r="AVL40" s="699">
        <f t="shared" si="80"/>
        <v>1050</v>
      </c>
      <c r="AVM40" s="699">
        <f t="shared" si="81"/>
        <v>52518.96</v>
      </c>
      <c r="AVN40" s="699">
        <f t="shared" si="82"/>
        <v>40337.14</v>
      </c>
      <c r="AVO40" s="699">
        <f t="shared" si="83"/>
        <v>12181.82</v>
      </c>
      <c r="AVP40" s="699">
        <f t="shared" si="84"/>
        <v>3520</v>
      </c>
      <c r="AVQ40" s="699">
        <f t="shared" si="85"/>
        <v>317150.53999999998</v>
      </c>
    </row>
    <row r="41" spans="1:108 1244:1265" ht="30" customHeight="1" x14ac:dyDescent="0.25">
      <c r="A41" s="643">
        <v>1</v>
      </c>
      <c r="B41" s="643">
        <v>9</v>
      </c>
      <c r="C41" s="664" t="s">
        <v>247</v>
      </c>
      <c r="D41" s="2"/>
      <c r="E41" s="101" t="s">
        <v>344</v>
      </c>
      <c r="F41" s="643" t="s">
        <v>31</v>
      </c>
      <c r="G41" s="643">
        <v>1</v>
      </c>
      <c r="H41" s="658" t="s">
        <v>10</v>
      </c>
      <c r="I41" s="643">
        <v>0</v>
      </c>
      <c r="J41" s="101" t="s">
        <v>357</v>
      </c>
      <c r="K41" s="643">
        <v>3</v>
      </c>
      <c r="L41" s="683" t="s">
        <v>349</v>
      </c>
      <c r="M41" s="11" t="s">
        <v>259</v>
      </c>
      <c r="N41" s="101" t="s">
        <v>401</v>
      </c>
      <c r="O41" s="643">
        <v>2</v>
      </c>
      <c r="P41" s="632">
        <v>9</v>
      </c>
      <c r="Q41" s="632">
        <v>9</v>
      </c>
      <c r="R41" s="632">
        <v>9</v>
      </c>
      <c r="S41" s="675">
        <f>SUMIF('Территориальный кк'!$A:$A,'2020'!$B41,'Территориальный кк'!D:D)</f>
        <v>3.258</v>
      </c>
      <c r="T41" s="676">
        <f>SUMIF('Территориальный кк'!$A:$A,'2020'!$B41,'Территориальный кк'!E:E)</f>
        <v>2.8919999999999999</v>
      </c>
      <c r="U41" s="33">
        <f>SUMIFS(Нормативы!G:G,Нормативы!$B:$B,$G41,Нормативы!$D:$D,'2020'!$I41,Нормативы!$F:$F,'2020'!$K41)*O41</f>
        <v>128380</v>
      </c>
      <c r="V41" s="33">
        <f t="shared" si="98"/>
        <v>98602.2</v>
      </c>
      <c r="W41" s="33">
        <f t="shared" si="99"/>
        <v>29777.8</v>
      </c>
      <c r="X41" s="33">
        <f>SUMIFS(Нормативы!J:J,Нормативы!$B:$B,$G41,Нормативы!$D:$D,'2020'!$I41,Нормативы!$F:$F,'2020'!$K41)</f>
        <v>8830</v>
      </c>
      <c r="Y41" s="33">
        <f>SUMIFS(Нормативы!K:K,Нормативы!$B:$B,$G41,Нормативы!$D:$D,'2020'!$I41,Нормативы!$F:$F,'2020'!$K41)</f>
        <v>1766</v>
      </c>
      <c r="Z41" s="33">
        <f>SUMIFS(Нормативы!L:L,Нормативы!$B:$B,$G41,Нормативы!$D:$D,'2020'!$I41,Нормативы!$F:$F,'2020'!$K41)</f>
        <v>8110</v>
      </c>
      <c r="AA41" s="33">
        <f t="shared" si="100"/>
        <v>19930</v>
      </c>
      <c r="AB41" s="33">
        <f>SUMIFS(Нормативы!N:N,Нормативы!$B:$B,$G41,Нормативы!$D:$D,'2020'!$I41,Нормативы!$F:$F,'2020'!$K41)*O41</f>
        <v>1040</v>
      </c>
      <c r="AC41" s="33">
        <f>SUMIFS(Нормативы!O:O,Нормативы!$B:$B,$G41,Нормативы!$D:$D,'2020'!$I41,Нормативы!$F:$F,'2020'!$K41)</f>
        <v>17290</v>
      </c>
      <c r="AD41" s="33">
        <f>SUMIFS(Нормативы!P:P,Нормативы!$B:$B,$G41,Нормативы!$D:$D,'2020'!$I41,Нормативы!$F:$F,'2020'!$K41)*O41</f>
        <v>720</v>
      </c>
      <c r="AE41" s="33">
        <f>SUMIFS(Нормативы!Q:Q,Нормативы!$B:$B,$G41,Нормативы!$D:$D,'2020'!$I41,Нормативы!$F:$F,'2020'!$K41)</f>
        <v>880</v>
      </c>
      <c r="AF41" s="33">
        <f>SUMIFS(Нормативы!R:R,Нормативы!$B:$B,$G41,Нормативы!$D:$D,'2020'!$I41,Нормативы!$F:$F,'2020'!$K41)</f>
        <v>2680</v>
      </c>
      <c r="AG41" s="33">
        <f>SUMIFS(Нормативы!S:S,Нормативы!$B:$B,$G41,Нормативы!$D:$D,'2020'!$I41,Нормативы!$F:$F,'2020'!$K41)</f>
        <v>5800</v>
      </c>
      <c r="AH41" s="33">
        <f>SUMIFS(Нормативы!T:T,Нормативы!$B:$B,$G41,Нормативы!$D:$D,'2020'!$I41,Нормативы!$F:$F,'2020'!$K41)</f>
        <v>540</v>
      </c>
      <c r="AI41" s="33">
        <f>SUMIFS(Нормативы!U:U,Нормативы!$B:$B,$G41,Нормативы!$D:$D,'2020'!$I41,Нормативы!$F:$F,'2020'!$K41)</f>
        <v>770</v>
      </c>
      <c r="AJ41" s="33">
        <f>SUMIFS(Нормативы!V:V,Нормативы!$B:$B,$G41,Нормативы!$D:$D,'2020'!$I41,Нормативы!$F:$F,'2020'!$K41)</f>
        <v>80</v>
      </c>
      <c r="AK41" s="33">
        <f>SUMIFS(Нормативы!W:W,Нормативы!$B:$B,$G41,Нормативы!$D:$D,'2020'!$I41,Нормативы!$F:$F,'2020'!$K41)</f>
        <v>1050</v>
      </c>
      <c r="AL41" s="33">
        <f>SUMIFS(Нормативы!X:X,Нормативы!$B:$B,$G41,Нормативы!$D:$D,'2020'!$I41,Нормативы!$F:$F,'2020'!$K41)*O41</f>
        <v>32240</v>
      </c>
      <c r="AM41" s="33">
        <f t="shared" si="101"/>
        <v>24761.9</v>
      </c>
      <c r="AN41" s="33">
        <f t="shared" si="102"/>
        <v>7478.1</v>
      </c>
      <c r="AO41" s="33">
        <f>SUMIFS(Нормативы!AA:AA,Нормативы!$B:$B,$G41,Нормативы!$D:$D,'2020'!$I41,Нормативы!$F:$F,'2020'!$K41)</f>
        <v>3520</v>
      </c>
      <c r="AP41" s="141">
        <f t="shared" si="103"/>
        <v>211930</v>
      </c>
      <c r="AQ41" s="413">
        <f t="shared" si="104"/>
        <v>1155420</v>
      </c>
      <c r="AR41" s="33">
        <f t="shared" si="105"/>
        <v>887419.4</v>
      </c>
      <c r="AS41" s="33">
        <f t="shared" si="106"/>
        <v>268000.59999999998</v>
      </c>
      <c r="AT41" s="34">
        <f t="shared" si="0"/>
        <v>79470</v>
      </c>
      <c r="AU41" s="34">
        <f t="shared" si="1"/>
        <v>15894</v>
      </c>
      <c r="AV41" s="34">
        <f t="shared" si="2"/>
        <v>72990</v>
      </c>
      <c r="AW41" s="34">
        <f t="shared" si="3"/>
        <v>179370</v>
      </c>
      <c r="AX41" s="34">
        <f t="shared" si="4"/>
        <v>9360</v>
      </c>
      <c r="AY41" s="34">
        <f t="shared" si="5"/>
        <v>155610</v>
      </c>
      <c r="AZ41" s="34">
        <f t="shared" si="6"/>
        <v>6480</v>
      </c>
      <c r="BA41" s="34">
        <f t="shared" si="7"/>
        <v>7920</v>
      </c>
      <c r="BB41" s="34">
        <f t="shared" si="107"/>
        <v>24120</v>
      </c>
      <c r="BC41" s="34">
        <f t="shared" si="8"/>
        <v>52200</v>
      </c>
      <c r="BD41" s="34">
        <f t="shared" si="9"/>
        <v>4860</v>
      </c>
      <c r="BE41" s="34">
        <f t="shared" si="10"/>
        <v>6930</v>
      </c>
      <c r="BF41" s="34">
        <f t="shared" si="11"/>
        <v>720</v>
      </c>
      <c r="BG41" s="34">
        <f t="shared" si="12"/>
        <v>9450</v>
      </c>
      <c r="BH41" s="34">
        <f t="shared" si="13"/>
        <v>290160</v>
      </c>
      <c r="BI41" s="33">
        <f t="shared" si="108"/>
        <v>222857.1</v>
      </c>
      <c r="BJ41" s="33">
        <f t="shared" si="109"/>
        <v>67302.899999999994</v>
      </c>
      <c r="BK41" s="34">
        <f t="shared" si="14"/>
        <v>31680</v>
      </c>
      <c r="BL41" s="426">
        <f t="shared" si="15"/>
        <v>1907370</v>
      </c>
      <c r="BM41" s="616">
        <f t="shared" si="110"/>
        <v>3764358</v>
      </c>
      <c r="BN41" s="33">
        <f t="shared" si="16"/>
        <v>2891212</v>
      </c>
      <c r="BO41" s="33">
        <f t="shared" si="17"/>
        <v>873146</v>
      </c>
      <c r="BP41" s="34">
        <f t="shared" si="111"/>
        <v>79470</v>
      </c>
      <c r="BQ41" s="34">
        <f t="shared" si="112"/>
        <v>15894</v>
      </c>
      <c r="BR41" s="34">
        <f t="shared" si="113"/>
        <v>72990</v>
      </c>
      <c r="BS41" s="34">
        <f t="shared" si="18"/>
        <v>179370</v>
      </c>
      <c r="BT41" s="34">
        <f t="shared" si="19"/>
        <v>9360</v>
      </c>
      <c r="BU41" s="34">
        <f t="shared" si="20"/>
        <v>155610</v>
      </c>
      <c r="BV41" s="34">
        <f t="shared" si="21"/>
        <v>6480</v>
      </c>
      <c r="BW41" s="34">
        <f t="shared" si="22"/>
        <v>7920</v>
      </c>
      <c r="BX41" s="34">
        <f t="shared" si="23"/>
        <v>69755</v>
      </c>
      <c r="BY41" s="34">
        <f t="shared" si="24"/>
        <v>52200</v>
      </c>
      <c r="BZ41" s="34">
        <f t="shared" si="25"/>
        <v>4860</v>
      </c>
      <c r="CA41" s="34">
        <f t="shared" si="26"/>
        <v>6930</v>
      </c>
      <c r="CB41" s="34">
        <f t="shared" si="27"/>
        <v>720</v>
      </c>
      <c r="CC41" s="34">
        <f t="shared" si="28"/>
        <v>9450</v>
      </c>
      <c r="CD41" s="34">
        <f t="shared" si="29"/>
        <v>945341</v>
      </c>
      <c r="CE41" s="33">
        <f t="shared" si="114"/>
        <v>726068.4</v>
      </c>
      <c r="CF41" s="33">
        <f t="shared" si="115"/>
        <v>219272.6</v>
      </c>
      <c r="CG41" s="34">
        <f t="shared" si="30"/>
        <v>31680</v>
      </c>
      <c r="CH41" s="415">
        <f t="shared" si="31"/>
        <v>5217124</v>
      </c>
      <c r="CI41" s="88">
        <f t="shared" si="32"/>
        <v>418262</v>
      </c>
      <c r="CJ41" s="90">
        <f t="shared" si="33"/>
        <v>321245.77779999998</v>
      </c>
      <c r="CK41" s="90">
        <f t="shared" si="34"/>
        <v>97016.222200000004</v>
      </c>
      <c r="CL41" s="88">
        <f t="shared" si="35"/>
        <v>8830</v>
      </c>
      <c r="CM41" s="88">
        <f t="shared" si="36"/>
        <v>1766</v>
      </c>
      <c r="CN41" s="88">
        <f t="shared" si="37"/>
        <v>8110</v>
      </c>
      <c r="CO41" s="88">
        <f t="shared" si="38"/>
        <v>19930</v>
      </c>
      <c r="CP41" s="88">
        <f t="shared" si="39"/>
        <v>1040</v>
      </c>
      <c r="CQ41" s="88">
        <f t="shared" si="40"/>
        <v>17290</v>
      </c>
      <c r="CR41" s="88">
        <f t="shared" si="41"/>
        <v>720</v>
      </c>
      <c r="CS41" s="88">
        <f t="shared" si="42"/>
        <v>880</v>
      </c>
      <c r="CT41" s="88">
        <f t="shared" si="43"/>
        <v>7750.5555999999997</v>
      </c>
      <c r="CU41" s="88">
        <f t="shared" si="44"/>
        <v>5800</v>
      </c>
      <c r="CV41" s="88">
        <f t="shared" si="45"/>
        <v>540</v>
      </c>
      <c r="CW41" s="88">
        <f t="shared" si="46"/>
        <v>770</v>
      </c>
      <c r="CX41" s="88">
        <f t="shared" si="47"/>
        <v>80</v>
      </c>
      <c r="CY41" s="88">
        <f t="shared" si="48"/>
        <v>1050</v>
      </c>
      <c r="CZ41" s="88">
        <f t="shared" si="49"/>
        <v>105037.88890000001</v>
      </c>
      <c r="DA41" s="90">
        <f t="shared" si="50"/>
        <v>80674.266699999993</v>
      </c>
      <c r="DB41" s="90">
        <f t="shared" si="51"/>
        <v>24363.622200000002</v>
      </c>
      <c r="DC41" s="88">
        <f t="shared" si="52"/>
        <v>3520</v>
      </c>
      <c r="DD41" s="88">
        <f t="shared" si="53"/>
        <v>579680.44440000004</v>
      </c>
      <c r="AUV41" s="699">
        <f t="shared" si="65"/>
        <v>418262</v>
      </c>
      <c r="AUW41" s="699">
        <f t="shared" si="66"/>
        <v>321245.78000000003</v>
      </c>
      <c r="AUX41" s="699">
        <f t="shared" si="67"/>
        <v>97016.22</v>
      </c>
      <c r="AUY41" s="699">
        <f t="shared" si="68"/>
        <v>8830</v>
      </c>
      <c r="AUZ41" s="699">
        <f t="shared" si="204"/>
        <v>5495.85</v>
      </c>
      <c r="AVA41" s="699">
        <f t="shared" si="204"/>
        <v>0.56999999999999995</v>
      </c>
      <c r="AVB41" s="699">
        <f t="shared" si="70"/>
        <v>19930</v>
      </c>
      <c r="AVC41" s="699">
        <f t="shared" si="71"/>
        <v>1040</v>
      </c>
      <c r="AVD41" s="699">
        <f t="shared" si="72"/>
        <v>17290</v>
      </c>
      <c r="AVE41" s="699">
        <f t="shared" si="73"/>
        <v>720</v>
      </c>
      <c r="AVF41" s="699">
        <f t="shared" si="74"/>
        <v>880</v>
      </c>
      <c r="AVG41" s="699">
        <f t="shared" si="75"/>
        <v>7750.56</v>
      </c>
      <c r="AVH41" s="699">
        <f t="shared" si="76"/>
        <v>5800</v>
      </c>
      <c r="AVI41" s="699">
        <f t="shared" si="77"/>
        <v>540</v>
      </c>
      <c r="AVJ41" s="699">
        <f t="shared" si="78"/>
        <v>770</v>
      </c>
      <c r="AVK41" s="699">
        <f t="shared" si="79"/>
        <v>80</v>
      </c>
      <c r="AVL41" s="699">
        <f t="shared" si="80"/>
        <v>1050</v>
      </c>
      <c r="AVM41" s="699">
        <f t="shared" si="81"/>
        <v>105037.89</v>
      </c>
      <c r="AVN41" s="699">
        <f t="shared" si="82"/>
        <v>80674.259999999995</v>
      </c>
      <c r="AVO41" s="699">
        <f t="shared" si="83"/>
        <v>24363.63</v>
      </c>
      <c r="AVP41" s="699">
        <f t="shared" si="84"/>
        <v>3520</v>
      </c>
      <c r="AVQ41" s="699">
        <f t="shared" si="85"/>
        <v>579680.43999999994</v>
      </c>
    </row>
    <row r="42" spans="1:108 1244:1265" ht="30" customHeight="1" x14ac:dyDescent="0.25">
      <c r="A42" s="643">
        <v>1</v>
      </c>
      <c r="B42" s="643">
        <v>9</v>
      </c>
      <c r="C42" s="664" t="s">
        <v>247</v>
      </c>
      <c r="D42" s="2"/>
      <c r="E42" s="101" t="s">
        <v>344</v>
      </c>
      <c r="F42" s="643" t="s">
        <v>31</v>
      </c>
      <c r="G42" s="643">
        <v>1</v>
      </c>
      <c r="H42" s="658" t="s">
        <v>8</v>
      </c>
      <c r="I42" s="643">
        <v>3</v>
      </c>
      <c r="J42" s="101" t="s">
        <v>357</v>
      </c>
      <c r="K42" s="643">
        <v>3</v>
      </c>
      <c r="L42" s="683" t="s">
        <v>349</v>
      </c>
      <c r="M42" s="11" t="s">
        <v>260</v>
      </c>
      <c r="N42" s="101" t="s">
        <v>387</v>
      </c>
      <c r="O42" s="643">
        <v>1</v>
      </c>
      <c r="P42" s="632">
        <v>64</v>
      </c>
      <c r="Q42" s="632">
        <v>64</v>
      </c>
      <c r="R42" s="632">
        <v>64</v>
      </c>
      <c r="S42" s="675">
        <f>SUMIF('Территориальный кк'!$A:$A,'2020'!$B42,'Территориальный кк'!D:D)</f>
        <v>3.258</v>
      </c>
      <c r="T42" s="676">
        <f>SUMIF('Территориальный кк'!$A:$A,'2020'!$B42,'Территориальный кк'!E:E)</f>
        <v>2.8919999999999999</v>
      </c>
      <c r="U42" s="33">
        <f>SUMIFS(Нормативы!G:G,Нормативы!$B:$B,$G42,Нормативы!$D:$D,'2020'!$I42,Нормативы!$F:$F,'2020'!$K42)*O42</f>
        <v>6419</v>
      </c>
      <c r="V42" s="33">
        <f t="shared" si="98"/>
        <v>4930.1000000000004</v>
      </c>
      <c r="W42" s="33">
        <f t="shared" si="99"/>
        <v>1488.9</v>
      </c>
      <c r="X42" s="33">
        <f>SUMIFS(Нормативы!J:J,Нормативы!$B:$B,$G42,Нормативы!$D:$D,'2020'!$I42,Нормативы!$F:$F,'2020'!$K42)</f>
        <v>883</v>
      </c>
      <c r="Y42" s="33">
        <f>SUMIFS(Нормативы!K:K,Нормативы!$B:$B,$G42,Нормативы!$D:$D,'2020'!$I42,Нормативы!$F:$F,'2020'!$K42)</f>
        <v>177</v>
      </c>
      <c r="Z42" s="33">
        <f>SUMIFS(Нормативы!L:L,Нормативы!$B:$B,$G42,Нормативы!$D:$D,'2020'!$I42,Нормативы!$F:$F,'2020'!$K42)</f>
        <v>811</v>
      </c>
      <c r="AA42" s="33">
        <f t="shared" si="100"/>
        <v>1905</v>
      </c>
      <c r="AB42" s="33">
        <f>SUMIFS(Нормативы!N:N,Нормативы!$B:$B,$G42,Нормативы!$D:$D,'2020'!$I42,Нормативы!$F:$F,'2020'!$K42)*O42</f>
        <v>52</v>
      </c>
      <c r="AC42" s="33">
        <f>SUMIFS(Нормативы!O:O,Нормативы!$B:$B,$G42,Нормативы!$D:$D,'2020'!$I42,Нормативы!$F:$F,'2020'!$K42)</f>
        <v>1729</v>
      </c>
      <c r="AD42" s="33">
        <f>SUMIFS(Нормативы!P:P,Нормативы!$B:$B,$G42,Нормативы!$D:$D,'2020'!$I42,Нормативы!$F:$F,'2020'!$K42)*O42</f>
        <v>36</v>
      </c>
      <c r="AE42" s="33">
        <f>SUMIFS(Нормативы!Q:Q,Нормативы!$B:$B,$G42,Нормативы!$D:$D,'2020'!$I42,Нормативы!$F:$F,'2020'!$K42)</f>
        <v>88</v>
      </c>
      <c r="AF42" s="33">
        <f>SUMIFS(Нормативы!R:R,Нормативы!$B:$B,$G42,Нормативы!$D:$D,'2020'!$I42,Нормативы!$F:$F,'2020'!$K42)</f>
        <v>268</v>
      </c>
      <c r="AG42" s="33">
        <f>SUMIFS(Нормативы!S:S,Нормативы!$B:$B,$G42,Нормативы!$D:$D,'2020'!$I42,Нормативы!$F:$F,'2020'!$K42)</f>
        <v>580</v>
      </c>
      <c r="AH42" s="33">
        <f>SUMIFS(Нормативы!T:T,Нормативы!$B:$B,$G42,Нормативы!$D:$D,'2020'!$I42,Нормативы!$F:$F,'2020'!$K42)</f>
        <v>54</v>
      </c>
      <c r="AI42" s="33">
        <f>SUMIFS(Нормативы!U:U,Нормативы!$B:$B,$G42,Нормативы!$D:$D,'2020'!$I42,Нормативы!$F:$F,'2020'!$K42)</f>
        <v>77</v>
      </c>
      <c r="AJ42" s="33">
        <f>SUMIFS(Нормативы!V:V,Нормативы!$B:$B,$G42,Нормативы!$D:$D,'2020'!$I42,Нормативы!$F:$F,'2020'!$K42)</f>
        <v>8</v>
      </c>
      <c r="AK42" s="33">
        <f>SUMIFS(Нормативы!W:W,Нормативы!$B:$B,$G42,Нормативы!$D:$D,'2020'!$I42,Нормативы!$F:$F,'2020'!$K42)</f>
        <v>105</v>
      </c>
      <c r="AL42" s="33">
        <f>SUMIFS(Нормативы!X:X,Нормативы!$B:$B,$G42,Нормативы!$D:$D,'2020'!$I42,Нормативы!$F:$F,'2020'!$K42)*O42</f>
        <v>1612</v>
      </c>
      <c r="AM42" s="33">
        <f t="shared" si="101"/>
        <v>1238.0999999999999</v>
      </c>
      <c r="AN42" s="33">
        <f t="shared" si="102"/>
        <v>373.9</v>
      </c>
      <c r="AO42" s="33">
        <f>SUMIFS(Нормативы!AA:AA,Нормативы!$B:$B,$G42,Нормативы!$D:$D,'2020'!$I42,Нормативы!$F:$F,'2020'!$K42)</f>
        <v>0</v>
      </c>
      <c r="AP42" s="141">
        <f t="shared" si="103"/>
        <v>12722</v>
      </c>
      <c r="AQ42" s="413">
        <f t="shared" si="104"/>
        <v>410816</v>
      </c>
      <c r="AR42" s="33">
        <f t="shared" si="105"/>
        <v>315526.90000000002</v>
      </c>
      <c r="AS42" s="33">
        <f t="shared" si="106"/>
        <v>95289.1</v>
      </c>
      <c r="AT42" s="34">
        <f t="shared" si="0"/>
        <v>56512</v>
      </c>
      <c r="AU42" s="34">
        <f t="shared" si="1"/>
        <v>11328</v>
      </c>
      <c r="AV42" s="34">
        <f t="shared" si="2"/>
        <v>51904</v>
      </c>
      <c r="AW42" s="34">
        <f t="shared" si="3"/>
        <v>121920</v>
      </c>
      <c r="AX42" s="34">
        <f t="shared" si="4"/>
        <v>3328</v>
      </c>
      <c r="AY42" s="34">
        <f t="shared" si="5"/>
        <v>110656</v>
      </c>
      <c r="AZ42" s="34">
        <f t="shared" si="6"/>
        <v>2304</v>
      </c>
      <c r="BA42" s="34">
        <f t="shared" si="7"/>
        <v>5632</v>
      </c>
      <c r="BB42" s="34">
        <f t="shared" si="107"/>
        <v>17152</v>
      </c>
      <c r="BC42" s="34">
        <f t="shared" si="8"/>
        <v>37120</v>
      </c>
      <c r="BD42" s="34">
        <f t="shared" si="9"/>
        <v>3456</v>
      </c>
      <c r="BE42" s="34">
        <f t="shared" si="10"/>
        <v>4928</v>
      </c>
      <c r="BF42" s="34">
        <f t="shared" si="11"/>
        <v>512</v>
      </c>
      <c r="BG42" s="34">
        <f t="shared" si="12"/>
        <v>6720</v>
      </c>
      <c r="BH42" s="34">
        <f t="shared" si="13"/>
        <v>103168</v>
      </c>
      <c r="BI42" s="33">
        <f t="shared" si="108"/>
        <v>79238.100000000006</v>
      </c>
      <c r="BJ42" s="33">
        <f t="shared" si="109"/>
        <v>23929.9</v>
      </c>
      <c r="BK42" s="34">
        <f t="shared" si="14"/>
        <v>0</v>
      </c>
      <c r="BL42" s="426">
        <f t="shared" si="15"/>
        <v>814208</v>
      </c>
      <c r="BM42" s="616">
        <f t="shared" si="110"/>
        <v>1338439</v>
      </c>
      <c r="BN42" s="33">
        <f t="shared" si="16"/>
        <v>1027986.9</v>
      </c>
      <c r="BO42" s="33">
        <f t="shared" si="17"/>
        <v>310452.09999999998</v>
      </c>
      <c r="BP42" s="34">
        <f t="shared" si="111"/>
        <v>56512</v>
      </c>
      <c r="BQ42" s="34">
        <f t="shared" si="112"/>
        <v>11328</v>
      </c>
      <c r="BR42" s="34">
        <f t="shared" si="113"/>
        <v>51904</v>
      </c>
      <c r="BS42" s="34">
        <f t="shared" si="18"/>
        <v>121920</v>
      </c>
      <c r="BT42" s="34">
        <f t="shared" si="19"/>
        <v>3328</v>
      </c>
      <c r="BU42" s="34">
        <f t="shared" si="20"/>
        <v>110656</v>
      </c>
      <c r="BV42" s="34">
        <f t="shared" si="21"/>
        <v>2304</v>
      </c>
      <c r="BW42" s="34">
        <f t="shared" si="22"/>
        <v>5632</v>
      </c>
      <c r="BX42" s="34">
        <f t="shared" si="23"/>
        <v>49604</v>
      </c>
      <c r="BY42" s="34">
        <f t="shared" si="24"/>
        <v>37120</v>
      </c>
      <c r="BZ42" s="34">
        <f t="shared" si="25"/>
        <v>3456</v>
      </c>
      <c r="CA42" s="34">
        <f t="shared" si="26"/>
        <v>4928</v>
      </c>
      <c r="CB42" s="34">
        <f t="shared" si="27"/>
        <v>512</v>
      </c>
      <c r="CC42" s="34">
        <f t="shared" si="28"/>
        <v>6720</v>
      </c>
      <c r="CD42" s="34">
        <f t="shared" si="29"/>
        <v>336121</v>
      </c>
      <c r="CE42" s="33">
        <f t="shared" si="114"/>
        <v>258157.5</v>
      </c>
      <c r="CF42" s="33">
        <f t="shared" si="115"/>
        <v>77963.5</v>
      </c>
      <c r="CG42" s="34">
        <f t="shared" si="30"/>
        <v>0</v>
      </c>
      <c r="CH42" s="415">
        <f t="shared" si="31"/>
        <v>2007236</v>
      </c>
      <c r="CI42" s="88">
        <f t="shared" si="32"/>
        <v>20913.109400000001</v>
      </c>
      <c r="CJ42" s="90">
        <f t="shared" si="33"/>
        <v>16062.2953</v>
      </c>
      <c r="CK42" s="90">
        <f t="shared" si="34"/>
        <v>4850.8140999999996</v>
      </c>
      <c r="CL42" s="88">
        <f t="shared" si="35"/>
        <v>883</v>
      </c>
      <c r="CM42" s="88">
        <f t="shared" si="36"/>
        <v>177</v>
      </c>
      <c r="CN42" s="88">
        <f t="shared" si="37"/>
        <v>811</v>
      </c>
      <c r="CO42" s="88">
        <f t="shared" si="38"/>
        <v>1905</v>
      </c>
      <c r="CP42" s="88">
        <f t="shared" si="39"/>
        <v>52</v>
      </c>
      <c r="CQ42" s="88">
        <f t="shared" si="40"/>
        <v>1729</v>
      </c>
      <c r="CR42" s="88">
        <f t="shared" si="41"/>
        <v>36</v>
      </c>
      <c r="CS42" s="88">
        <f t="shared" si="42"/>
        <v>88</v>
      </c>
      <c r="CT42" s="88">
        <f t="shared" si="43"/>
        <v>775.0625</v>
      </c>
      <c r="CU42" s="88">
        <f t="shared" si="44"/>
        <v>580</v>
      </c>
      <c r="CV42" s="88">
        <f t="shared" si="45"/>
        <v>54</v>
      </c>
      <c r="CW42" s="88">
        <f t="shared" si="46"/>
        <v>77</v>
      </c>
      <c r="CX42" s="88">
        <f t="shared" si="47"/>
        <v>8</v>
      </c>
      <c r="CY42" s="88">
        <f t="shared" si="48"/>
        <v>105</v>
      </c>
      <c r="CZ42" s="88">
        <f t="shared" si="49"/>
        <v>5251.8905999999997</v>
      </c>
      <c r="DA42" s="90">
        <f t="shared" si="50"/>
        <v>4033.7109</v>
      </c>
      <c r="DB42" s="90">
        <f t="shared" si="51"/>
        <v>1218.1796999999999</v>
      </c>
      <c r="DC42" s="88">
        <f t="shared" si="52"/>
        <v>0</v>
      </c>
      <c r="DD42" s="88">
        <f t="shared" si="53"/>
        <v>31363.0625</v>
      </c>
      <c r="AUV42" s="699">
        <f t="shared" si="65"/>
        <v>20913.11</v>
      </c>
      <c r="AUW42" s="699">
        <f t="shared" si="66"/>
        <v>16062.3</v>
      </c>
      <c r="AUX42" s="699">
        <f t="shared" si="67"/>
        <v>4850.8100000000004</v>
      </c>
      <c r="AUY42" s="699">
        <f t="shared" si="68"/>
        <v>883</v>
      </c>
      <c r="AUZ42" s="699">
        <f t="shared" si="204"/>
        <v>3917.01</v>
      </c>
      <c r="AVA42" s="699">
        <f t="shared" si="204"/>
        <v>8.09</v>
      </c>
      <c r="AVB42" s="699">
        <f t="shared" si="70"/>
        <v>1905</v>
      </c>
      <c r="AVC42" s="699">
        <f t="shared" si="71"/>
        <v>52</v>
      </c>
      <c r="AVD42" s="699">
        <f t="shared" si="72"/>
        <v>1729</v>
      </c>
      <c r="AVE42" s="699">
        <f t="shared" si="73"/>
        <v>36</v>
      </c>
      <c r="AVF42" s="699">
        <f t="shared" si="74"/>
        <v>88</v>
      </c>
      <c r="AVG42" s="699">
        <f t="shared" si="75"/>
        <v>775.06</v>
      </c>
      <c r="AVH42" s="699">
        <f t="shared" si="76"/>
        <v>580</v>
      </c>
      <c r="AVI42" s="699">
        <f t="shared" si="77"/>
        <v>54</v>
      </c>
      <c r="AVJ42" s="699">
        <f t="shared" si="78"/>
        <v>77</v>
      </c>
      <c r="AVK42" s="699">
        <f t="shared" si="79"/>
        <v>8</v>
      </c>
      <c r="AVL42" s="699">
        <f t="shared" si="80"/>
        <v>105</v>
      </c>
      <c r="AVM42" s="699">
        <f t="shared" si="81"/>
        <v>5251.89</v>
      </c>
      <c r="AVN42" s="699">
        <f t="shared" si="82"/>
        <v>4033.71</v>
      </c>
      <c r="AVO42" s="699">
        <f t="shared" si="83"/>
        <v>1218.18</v>
      </c>
      <c r="AVP42" s="699">
        <f t="shared" si="84"/>
        <v>0</v>
      </c>
      <c r="AVQ42" s="699">
        <f t="shared" si="85"/>
        <v>31363.06</v>
      </c>
    </row>
    <row r="43" spans="1:108 1244:1265" ht="30" customHeight="1" x14ac:dyDescent="0.25">
      <c r="A43" s="643">
        <v>1</v>
      </c>
      <c r="B43" s="643">
        <v>9</v>
      </c>
      <c r="C43" s="664" t="s">
        <v>247</v>
      </c>
      <c r="D43" s="2"/>
      <c r="E43" s="101" t="s">
        <v>344</v>
      </c>
      <c r="F43" s="643" t="s">
        <v>31</v>
      </c>
      <c r="G43" s="643">
        <v>1</v>
      </c>
      <c r="H43" s="658" t="s">
        <v>8</v>
      </c>
      <c r="I43" s="643">
        <v>3</v>
      </c>
      <c r="J43" s="101" t="s">
        <v>357</v>
      </c>
      <c r="K43" s="643">
        <v>3</v>
      </c>
      <c r="L43" s="683" t="s">
        <v>349</v>
      </c>
      <c r="M43" s="11" t="s">
        <v>261</v>
      </c>
      <c r="N43" s="101" t="s">
        <v>401</v>
      </c>
      <c r="O43" s="643">
        <v>2</v>
      </c>
      <c r="P43" s="632">
        <v>19</v>
      </c>
      <c r="Q43" s="632">
        <v>19</v>
      </c>
      <c r="R43" s="632">
        <v>19</v>
      </c>
      <c r="S43" s="675">
        <f>SUMIF('Территориальный кк'!$A:$A,'2020'!$B43,'Территориальный кк'!D:D)</f>
        <v>3.258</v>
      </c>
      <c r="T43" s="676">
        <f>SUMIF('Территориальный кк'!$A:$A,'2020'!$B43,'Территориальный кк'!E:E)</f>
        <v>2.8919999999999999</v>
      </c>
      <c r="U43" s="33">
        <f>SUMIFS(Нормативы!G:G,Нормативы!$B:$B,$G43,Нормативы!$D:$D,'2020'!$I43,Нормативы!$F:$F,'2020'!$K43)*O43</f>
        <v>12838</v>
      </c>
      <c r="V43" s="33">
        <f t="shared" si="98"/>
        <v>9860.2000000000007</v>
      </c>
      <c r="W43" s="33">
        <f t="shared" si="99"/>
        <v>2977.8</v>
      </c>
      <c r="X43" s="33">
        <f>SUMIFS(Нормативы!J:J,Нормативы!$B:$B,$G43,Нормативы!$D:$D,'2020'!$I43,Нормативы!$F:$F,'2020'!$K43)</f>
        <v>883</v>
      </c>
      <c r="Y43" s="33">
        <f>SUMIFS(Нормативы!K:K,Нормативы!$B:$B,$G43,Нормативы!$D:$D,'2020'!$I43,Нормативы!$F:$F,'2020'!$K43)</f>
        <v>177</v>
      </c>
      <c r="Z43" s="33">
        <f>SUMIFS(Нормативы!L:L,Нормативы!$B:$B,$G43,Нормативы!$D:$D,'2020'!$I43,Нормативы!$F:$F,'2020'!$K43)</f>
        <v>811</v>
      </c>
      <c r="AA43" s="33">
        <f t="shared" si="100"/>
        <v>1993</v>
      </c>
      <c r="AB43" s="33">
        <f>SUMIFS(Нормативы!N:N,Нормативы!$B:$B,$G43,Нормативы!$D:$D,'2020'!$I43,Нормативы!$F:$F,'2020'!$K43)*O43</f>
        <v>104</v>
      </c>
      <c r="AC43" s="33">
        <f>SUMIFS(Нормативы!O:O,Нормативы!$B:$B,$G43,Нормативы!$D:$D,'2020'!$I43,Нормативы!$F:$F,'2020'!$K43)</f>
        <v>1729</v>
      </c>
      <c r="AD43" s="33">
        <f>SUMIFS(Нормативы!P:P,Нормативы!$B:$B,$G43,Нормативы!$D:$D,'2020'!$I43,Нормативы!$F:$F,'2020'!$K43)*O43</f>
        <v>72</v>
      </c>
      <c r="AE43" s="33">
        <f>SUMIFS(Нормативы!Q:Q,Нормативы!$B:$B,$G43,Нормативы!$D:$D,'2020'!$I43,Нормативы!$F:$F,'2020'!$K43)</f>
        <v>88</v>
      </c>
      <c r="AF43" s="33">
        <f>SUMIFS(Нормативы!R:R,Нормативы!$B:$B,$G43,Нормативы!$D:$D,'2020'!$I43,Нормативы!$F:$F,'2020'!$K43)</f>
        <v>268</v>
      </c>
      <c r="AG43" s="33">
        <f>SUMIFS(Нормативы!S:S,Нормативы!$B:$B,$G43,Нормативы!$D:$D,'2020'!$I43,Нормативы!$F:$F,'2020'!$K43)</f>
        <v>580</v>
      </c>
      <c r="AH43" s="33">
        <f>SUMIFS(Нормативы!T:T,Нормативы!$B:$B,$G43,Нормативы!$D:$D,'2020'!$I43,Нормативы!$F:$F,'2020'!$K43)</f>
        <v>54</v>
      </c>
      <c r="AI43" s="33">
        <f>SUMIFS(Нормативы!U:U,Нормативы!$B:$B,$G43,Нормативы!$D:$D,'2020'!$I43,Нормативы!$F:$F,'2020'!$K43)</f>
        <v>77</v>
      </c>
      <c r="AJ43" s="33">
        <f>SUMIFS(Нормативы!V:V,Нормативы!$B:$B,$G43,Нормативы!$D:$D,'2020'!$I43,Нормативы!$F:$F,'2020'!$K43)</f>
        <v>8</v>
      </c>
      <c r="AK43" s="33">
        <f>SUMIFS(Нормативы!W:W,Нормативы!$B:$B,$G43,Нормативы!$D:$D,'2020'!$I43,Нормативы!$F:$F,'2020'!$K43)</f>
        <v>105</v>
      </c>
      <c r="AL43" s="33">
        <f>SUMIFS(Нормативы!X:X,Нормативы!$B:$B,$G43,Нормативы!$D:$D,'2020'!$I43,Нормативы!$F:$F,'2020'!$K43)*O43</f>
        <v>3224</v>
      </c>
      <c r="AM43" s="33">
        <f t="shared" si="101"/>
        <v>2476.1999999999998</v>
      </c>
      <c r="AN43" s="33">
        <f t="shared" si="102"/>
        <v>747.8</v>
      </c>
      <c r="AO43" s="33">
        <f>SUMIFS(Нормативы!AA:AA,Нормативы!$B:$B,$G43,Нормативы!$D:$D,'2020'!$I43,Нормативы!$F:$F,'2020'!$K43)</f>
        <v>0</v>
      </c>
      <c r="AP43" s="141">
        <f t="shared" si="103"/>
        <v>20841</v>
      </c>
      <c r="AQ43" s="413">
        <f t="shared" si="104"/>
        <v>243922</v>
      </c>
      <c r="AR43" s="33">
        <f t="shared" si="105"/>
        <v>187344.1</v>
      </c>
      <c r="AS43" s="33">
        <f t="shared" si="106"/>
        <v>56577.9</v>
      </c>
      <c r="AT43" s="34">
        <f t="shared" si="0"/>
        <v>16777</v>
      </c>
      <c r="AU43" s="34">
        <f t="shared" si="1"/>
        <v>3363</v>
      </c>
      <c r="AV43" s="34">
        <f t="shared" si="2"/>
        <v>15409</v>
      </c>
      <c r="AW43" s="34">
        <f t="shared" si="3"/>
        <v>37867</v>
      </c>
      <c r="AX43" s="34">
        <f t="shared" si="4"/>
        <v>1976</v>
      </c>
      <c r="AY43" s="34">
        <f t="shared" si="5"/>
        <v>32851</v>
      </c>
      <c r="AZ43" s="34">
        <f t="shared" si="6"/>
        <v>1368</v>
      </c>
      <c r="BA43" s="34">
        <f t="shared" si="7"/>
        <v>1672</v>
      </c>
      <c r="BB43" s="34">
        <f t="shared" si="107"/>
        <v>5092</v>
      </c>
      <c r="BC43" s="34">
        <f t="shared" si="8"/>
        <v>11020</v>
      </c>
      <c r="BD43" s="34">
        <f t="shared" si="9"/>
        <v>1026</v>
      </c>
      <c r="BE43" s="34">
        <f t="shared" si="10"/>
        <v>1463</v>
      </c>
      <c r="BF43" s="34">
        <f t="shared" si="11"/>
        <v>152</v>
      </c>
      <c r="BG43" s="34">
        <f t="shared" si="12"/>
        <v>1995</v>
      </c>
      <c r="BH43" s="34">
        <f t="shared" si="13"/>
        <v>61256</v>
      </c>
      <c r="BI43" s="33">
        <f t="shared" si="108"/>
        <v>47047.6</v>
      </c>
      <c r="BJ43" s="33">
        <f t="shared" si="109"/>
        <v>14208.4</v>
      </c>
      <c r="BK43" s="34">
        <f t="shared" si="14"/>
        <v>0</v>
      </c>
      <c r="BL43" s="426">
        <f t="shared" si="15"/>
        <v>395979</v>
      </c>
      <c r="BM43" s="616">
        <f t="shared" si="110"/>
        <v>794698</v>
      </c>
      <c r="BN43" s="33">
        <f t="shared" si="16"/>
        <v>610367.1</v>
      </c>
      <c r="BO43" s="33">
        <f t="shared" si="17"/>
        <v>184330.9</v>
      </c>
      <c r="BP43" s="34">
        <f t="shared" si="111"/>
        <v>16777</v>
      </c>
      <c r="BQ43" s="34">
        <f t="shared" si="112"/>
        <v>3363</v>
      </c>
      <c r="BR43" s="34">
        <f t="shared" si="113"/>
        <v>15409</v>
      </c>
      <c r="BS43" s="34">
        <f t="shared" si="18"/>
        <v>37867</v>
      </c>
      <c r="BT43" s="34">
        <f t="shared" si="19"/>
        <v>1976</v>
      </c>
      <c r="BU43" s="34">
        <f t="shared" si="20"/>
        <v>32851</v>
      </c>
      <c r="BV43" s="34">
        <f t="shared" si="21"/>
        <v>1368</v>
      </c>
      <c r="BW43" s="34">
        <f t="shared" si="22"/>
        <v>1672</v>
      </c>
      <c r="BX43" s="34">
        <f t="shared" si="23"/>
        <v>14726</v>
      </c>
      <c r="BY43" s="34">
        <f t="shared" si="24"/>
        <v>11020</v>
      </c>
      <c r="BZ43" s="34">
        <f t="shared" si="25"/>
        <v>1026</v>
      </c>
      <c r="CA43" s="34">
        <f t="shared" si="26"/>
        <v>1463</v>
      </c>
      <c r="CB43" s="34">
        <f t="shared" si="27"/>
        <v>152</v>
      </c>
      <c r="CC43" s="34">
        <f t="shared" si="28"/>
        <v>1995</v>
      </c>
      <c r="CD43" s="34">
        <f t="shared" si="29"/>
        <v>199572</v>
      </c>
      <c r="CE43" s="33">
        <f t="shared" si="114"/>
        <v>153281.1</v>
      </c>
      <c r="CF43" s="33">
        <f t="shared" si="115"/>
        <v>46290.9</v>
      </c>
      <c r="CG43" s="34">
        <f t="shared" si="30"/>
        <v>0</v>
      </c>
      <c r="CH43" s="415">
        <f t="shared" si="31"/>
        <v>1094705</v>
      </c>
      <c r="CI43" s="88">
        <f t="shared" si="32"/>
        <v>41826.210500000001</v>
      </c>
      <c r="CJ43" s="90">
        <f t="shared" si="33"/>
        <v>32124.584200000001</v>
      </c>
      <c r="CK43" s="90">
        <f t="shared" si="34"/>
        <v>9701.6262999999999</v>
      </c>
      <c r="CL43" s="88">
        <f t="shared" si="35"/>
        <v>883</v>
      </c>
      <c r="CM43" s="88">
        <f t="shared" si="36"/>
        <v>177</v>
      </c>
      <c r="CN43" s="88">
        <f t="shared" si="37"/>
        <v>811</v>
      </c>
      <c r="CO43" s="88">
        <f t="shared" si="38"/>
        <v>1993</v>
      </c>
      <c r="CP43" s="88">
        <f t="shared" si="39"/>
        <v>104</v>
      </c>
      <c r="CQ43" s="88">
        <f t="shared" si="40"/>
        <v>1729</v>
      </c>
      <c r="CR43" s="88">
        <f t="shared" si="41"/>
        <v>72</v>
      </c>
      <c r="CS43" s="88">
        <f t="shared" si="42"/>
        <v>88</v>
      </c>
      <c r="CT43" s="88">
        <f t="shared" si="43"/>
        <v>775.05259999999998</v>
      </c>
      <c r="CU43" s="88">
        <f t="shared" si="44"/>
        <v>580</v>
      </c>
      <c r="CV43" s="88">
        <f t="shared" si="45"/>
        <v>54</v>
      </c>
      <c r="CW43" s="88">
        <f t="shared" si="46"/>
        <v>77</v>
      </c>
      <c r="CX43" s="88">
        <f t="shared" si="47"/>
        <v>8</v>
      </c>
      <c r="CY43" s="88">
        <f t="shared" si="48"/>
        <v>105</v>
      </c>
      <c r="CZ43" s="88">
        <f t="shared" si="49"/>
        <v>10503.789500000001</v>
      </c>
      <c r="DA43" s="90">
        <f t="shared" si="50"/>
        <v>8067.4263000000001</v>
      </c>
      <c r="DB43" s="90">
        <f t="shared" si="51"/>
        <v>2436.3631999999998</v>
      </c>
      <c r="DC43" s="88">
        <f t="shared" si="52"/>
        <v>0</v>
      </c>
      <c r="DD43" s="88">
        <f t="shared" si="53"/>
        <v>57616.052600000003</v>
      </c>
      <c r="AUV43" s="699">
        <f t="shared" si="65"/>
        <v>41826.21</v>
      </c>
      <c r="AUW43" s="699">
        <f t="shared" si="66"/>
        <v>32124.59</v>
      </c>
      <c r="AUX43" s="699">
        <f t="shared" si="67"/>
        <v>9701.6200000000008</v>
      </c>
      <c r="AUY43" s="699">
        <f t="shared" si="68"/>
        <v>883</v>
      </c>
      <c r="AUZ43" s="699">
        <f t="shared" si="204"/>
        <v>1162.8599999999999</v>
      </c>
      <c r="AVA43" s="699">
        <f t="shared" si="204"/>
        <v>1.2</v>
      </c>
      <c r="AVB43" s="699">
        <f t="shared" si="70"/>
        <v>1993</v>
      </c>
      <c r="AVC43" s="699">
        <f t="shared" si="71"/>
        <v>104</v>
      </c>
      <c r="AVD43" s="699">
        <f t="shared" si="72"/>
        <v>1729</v>
      </c>
      <c r="AVE43" s="699">
        <f t="shared" si="73"/>
        <v>72</v>
      </c>
      <c r="AVF43" s="699">
        <f t="shared" si="74"/>
        <v>88</v>
      </c>
      <c r="AVG43" s="699">
        <f t="shared" si="75"/>
        <v>775.05</v>
      </c>
      <c r="AVH43" s="699">
        <f t="shared" si="76"/>
        <v>580</v>
      </c>
      <c r="AVI43" s="699">
        <f t="shared" si="77"/>
        <v>54</v>
      </c>
      <c r="AVJ43" s="699">
        <f t="shared" si="78"/>
        <v>77</v>
      </c>
      <c r="AVK43" s="699">
        <f t="shared" si="79"/>
        <v>8</v>
      </c>
      <c r="AVL43" s="699">
        <f t="shared" si="80"/>
        <v>105</v>
      </c>
      <c r="AVM43" s="699">
        <f t="shared" si="81"/>
        <v>10503.79</v>
      </c>
      <c r="AVN43" s="699">
        <f t="shared" si="82"/>
        <v>8067.43</v>
      </c>
      <c r="AVO43" s="699">
        <f t="shared" si="83"/>
        <v>2436.36</v>
      </c>
      <c r="AVP43" s="699">
        <f t="shared" si="84"/>
        <v>0</v>
      </c>
      <c r="AVQ43" s="699">
        <f t="shared" si="85"/>
        <v>57616.05</v>
      </c>
    </row>
    <row r="44" spans="1:108 1244:1265" ht="30" customHeight="1" x14ac:dyDescent="0.25">
      <c r="A44" s="643">
        <v>1</v>
      </c>
      <c r="B44" s="643">
        <v>9</v>
      </c>
      <c r="C44" s="664" t="s">
        <v>247</v>
      </c>
      <c r="D44" s="2"/>
      <c r="E44" s="101" t="s">
        <v>344</v>
      </c>
      <c r="F44" s="643" t="s">
        <v>31</v>
      </c>
      <c r="G44" s="643">
        <v>1</v>
      </c>
      <c r="H44" s="658" t="s">
        <v>10</v>
      </c>
      <c r="I44" s="643">
        <v>0</v>
      </c>
      <c r="J44" s="101" t="s">
        <v>373</v>
      </c>
      <c r="K44" s="643">
        <v>3</v>
      </c>
      <c r="L44" s="683" t="s">
        <v>349</v>
      </c>
      <c r="M44" s="11" t="s">
        <v>281</v>
      </c>
      <c r="N44" s="101" t="s">
        <v>387</v>
      </c>
      <c r="O44" s="643">
        <v>1</v>
      </c>
      <c r="P44" s="632">
        <v>44</v>
      </c>
      <c r="Q44" s="632">
        <v>44</v>
      </c>
      <c r="R44" s="632">
        <v>44</v>
      </c>
      <c r="S44" s="675">
        <f>SUMIF('Территориальный кк'!$A:$A,'2020'!$B44,'Территориальный кк'!D:D)</f>
        <v>3.258</v>
      </c>
      <c r="T44" s="676">
        <f>SUMIF('Территориальный кк'!$A:$A,'2020'!$B44,'Территориальный кк'!E:E)</f>
        <v>2.8919999999999999</v>
      </c>
      <c r="U44" s="33">
        <f>SUMIFS(Нормативы!G:G,Нормативы!$B:$B,$G44,Нормативы!$D:$D,'2020'!$I44,Нормативы!$F:$F,'2020'!$K44)*O44</f>
        <v>64190</v>
      </c>
      <c r="V44" s="33">
        <f t="shared" si="98"/>
        <v>49301.1</v>
      </c>
      <c r="W44" s="33">
        <f t="shared" si="99"/>
        <v>14888.9</v>
      </c>
      <c r="X44" s="33">
        <f>SUMIFS(Нормативы!J:J,Нормативы!$B:$B,$G44,Нормативы!$D:$D,'2020'!$I44,Нормативы!$F:$F,'2020'!$K44)</f>
        <v>8830</v>
      </c>
      <c r="Y44" s="33">
        <f>SUMIFS(Нормативы!K:K,Нормативы!$B:$B,$G44,Нормативы!$D:$D,'2020'!$I44,Нормативы!$F:$F,'2020'!$K44)</f>
        <v>1766</v>
      </c>
      <c r="Z44" s="33">
        <f>SUMIFS(Нормативы!L:L,Нормативы!$B:$B,$G44,Нормативы!$D:$D,'2020'!$I44,Нормативы!$F:$F,'2020'!$K44)</f>
        <v>8110</v>
      </c>
      <c r="AA44" s="33">
        <f t="shared" si="100"/>
        <v>19050</v>
      </c>
      <c r="AB44" s="33">
        <f>SUMIFS(Нормативы!N:N,Нормативы!$B:$B,$G44,Нормативы!$D:$D,'2020'!$I44,Нормативы!$F:$F,'2020'!$K44)*O44</f>
        <v>520</v>
      </c>
      <c r="AC44" s="33">
        <f>SUMIFS(Нормативы!O:O,Нормативы!$B:$B,$G44,Нормативы!$D:$D,'2020'!$I44,Нормативы!$F:$F,'2020'!$K44)</f>
        <v>17290</v>
      </c>
      <c r="AD44" s="33">
        <f>SUMIFS(Нормативы!P:P,Нормативы!$B:$B,$G44,Нормативы!$D:$D,'2020'!$I44,Нормативы!$F:$F,'2020'!$K44)*O44</f>
        <v>360</v>
      </c>
      <c r="AE44" s="33">
        <f>SUMIFS(Нормативы!Q:Q,Нормативы!$B:$B,$G44,Нормативы!$D:$D,'2020'!$I44,Нормативы!$F:$F,'2020'!$K44)</f>
        <v>880</v>
      </c>
      <c r="AF44" s="33">
        <f>SUMIFS(Нормативы!R:R,Нормативы!$B:$B,$G44,Нормативы!$D:$D,'2020'!$I44,Нормативы!$F:$F,'2020'!$K44)</f>
        <v>2680</v>
      </c>
      <c r="AG44" s="33">
        <f>SUMIFS(Нормативы!S:S,Нормативы!$B:$B,$G44,Нормативы!$D:$D,'2020'!$I44,Нормативы!$F:$F,'2020'!$K44)</f>
        <v>5800</v>
      </c>
      <c r="AH44" s="33">
        <f>SUMIFS(Нормативы!T:T,Нормативы!$B:$B,$G44,Нормативы!$D:$D,'2020'!$I44,Нормативы!$F:$F,'2020'!$K44)</f>
        <v>540</v>
      </c>
      <c r="AI44" s="33">
        <f>SUMIFS(Нормативы!U:U,Нормативы!$B:$B,$G44,Нормативы!$D:$D,'2020'!$I44,Нормативы!$F:$F,'2020'!$K44)</f>
        <v>770</v>
      </c>
      <c r="AJ44" s="33">
        <f>SUMIFS(Нормативы!V:V,Нормативы!$B:$B,$G44,Нормативы!$D:$D,'2020'!$I44,Нормативы!$F:$F,'2020'!$K44)</f>
        <v>80</v>
      </c>
      <c r="AK44" s="33">
        <f>SUMIFS(Нормативы!W:W,Нормативы!$B:$B,$G44,Нормативы!$D:$D,'2020'!$I44,Нормативы!$F:$F,'2020'!$K44)</f>
        <v>1050</v>
      </c>
      <c r="AL44" s="33">
        <f>SUMIFS(Нормативы!X:X,Нормативы!$B:$B,$G44,Нормативы!$D:$D,'2020'!$I44,Нормативы!$F:$F,'2020'!$K44)*O44</f>
        <v>16120</v>
      </c>
      <c r="AM44" s="33">
        <f t="shared" si="101"/>
        <v>12381</v>
      </c>
      <c r="AN44" s="33">
        <f t="shared" si="102"/>
        <v>3739</v>
      </c>
      <c r="AO44" s="33">
        <f>SUMIFS(Нормативы!AA:AA,Нормативы!$B:$B,$G44,Нормативы!$D:$D,'2020'!$I44,Нормативы!$F:$F,'2020'!$K44)</f>
        <v>3520</v>
      </c>
      <c r="AP44" s="141">
        <f t="shared" si="103"/>
        <v>130740</v>
      </c>
      <c r="AQ44" s="413">
        <f t="shared" si="104"/>
        <v>2824360</v>
      </c>
      <c r="AR44" s="33">
        <f t="shared" si="105"/>
        <v>2169247.2999999998</v>
      </c>
      <c r="AS44" s="33">
        <f t="shared" si="106"/>
        <v>655112.69999999995</v>
      </c>
      <c r="AT44" s="34">
        <f t="shared" si="0"/>
        <v>388520</v>
      </c>
      <c r="AU44" s="34">
        <f t="shared" si="1"/>
        <v>77704</v>
      </c>
      <c r="AV44" s="34">
        <f t="shared" si="2"/>
        <v>356840</v>
      </c>
      <c r="AW44" s="34">
        <f t="shared" si="3"/>
        <v>838200</v>
      </c>
      <c r="AX44" s="34">
        <f t="shared" si="4"/>
        <v>22880</v>
      </c>
      <c r="AY44" s="34">
        <f t="shared" si="5"/>
        <v>760760</v>
      </c>
      <c r="AZ44" s="34">
        <f t="shared" si="6"/>
        <v>15840</v>
      </c>
      <c r="BA44" s="34">
        <f t="shared" si="7"/>
        <v>38720</v>
      </c>
      <c r="BB44" s="34">
        <f t="shared" si="107"/>
        <v>117920</v>
      </c>
      <c r="BC44" s="34">
        <f t="shared" si="8"/>
        <v>255200</v>
      </c>
      <c r="BD44" s="34">
        <f t="shared" si="9"/>
        <v>23760</v>
      </c>
      <c r="BE44" s="34">
        <f t="shared" si="10"/>
        <v>33880</v>
      </c>
      <c r="BF44" s="34">
        <f t="shared" si="11"/>
        <v>3520</v>
      </c>
      <c r="BG44" s="34">
        <f t="shared" si="12"/>
        <v>46200</v>
      </c>
      <c r="BH44" s="34">
        <f t="shared" si="13"/>
        <v>709280</v>
      </c>
      <c r="BI44" s="33">
        <f t="shared" si="108"/>
        <v>544761.9</v>
      </c>
      <c r="BJ44" s="33">
        <f t="shared" si="109"/>
        <v>164518.1</v>
      </c>
      <c r="BK44" s="34">
        <f t="shared" si="14"/>
        <v>154880</v>
      </c>
      <c r="BL44" s="426">
        <f t="shared" si="15"/>
        <v>5752560</v>
      </c>
      <c r="BM44" s="616">
        <f t="shared" si="110"/>
        <v>9201765</v>
      </c>
      <c r="BN44" s="33">
        <f t="shared" si="16"/>
        <v>7067407.7999999998</v>
      </c>
      <c r="BO44" s="33">
        <f t="shared" si="17"/>
        <v>2134357.2000000002</v>
      </c>
      <c r="BP44" s="34">
        <f t="shared" si="111"/>
        <v>388520</v>
      </c>
      <c r="BQ44" s="34">
        <f t="shared" si="112"/>
        <v>77704</v>
      </c>
      <c r="BR44" s="34">
        <f t="shared" si="113"/>
        <v>356840</v>
      </c>
      <c r="BS44" s="34">
        <f t="shared" si="18"/>
        <v>838200</v>
      </c>
      <c r="BT44" s="34">
        <f t="shared" si="19"/>
        <v>22880</v>
      </c>
      <c r="BU44" s="34">
        <f t="shared" si="20"/>
        <v>760760</v>
      </c>
      <c r="BV44" s="34">
        <f t="shared" si="21"/>
        <v>15840</v>
      </c>
      <c r="BW44" s="34">
        <f t="shared" si="22"/>
        <v>38720</v>
      </c>
      <c r="BX44" s="34">
        <f t="shared" si="23"/>
        <v>341025</v>
      </c>
      <c r="BY44" s="34">
        <f t="shared" si="24"/>
        <v>255200</v>
      </c>
      <c r="BZ44" s="34">
        <f t="shared" si="25"/>
        <v>23760</v>
      </c>
      <c r="CA44" s="34">
        <f t="shared" si="26"/>
        <v>33880</v>
      </c>
      <c r="CB44" s="34">
        <f t="shared" si="27"/>
        <v>3520</v>
      </c>
      <c r="CC44" s="34">
        <f t="shared" si="28"/>
        <v>46200</v>
      </c>
      <c r="CD44" s="34">
        <f t="shared" si="29"/>
        <v>2310834</v>
      </c>
      <c r="CE44" s="33">
        <f t="shared" si="114"/>
        <v>1774834.1</v>
      </c>
      <c r="CF44" s="33">
        <f t="shared" si="115"/>
        <v>535999.9</v>
      </c>
      <c r="CG44" s="34">
        <f t="shared" si="30"/>
        <v>154880</v>
      </c>
      <c r="CH44" s="415">
        <f t="shared" si="31"/>
        <v>13954624</v>
      </c>
      <c r="CI44" s="88">
        <f t="shared" si="32"/>
        <v>209131.0227</v>
      </c>
      <c r="CJ44" s="90">
        <f t="shared" si="33"/>
        <v>160622.9045</v>
      </c>
      <c r="CK44" s="90">
        <f t="shared" si="34"/>
        <v>48508.118199999997</v>
      </c>
      <c r="CL44" s="88">
        <f t="shared" si="35"/>
        <v>8830</v>
      </c>
      <c r="CM44" s="88">
        <f t="shared" si="36"/>
        <v>1766</v>
      </c>
      <c r="CN44" s="88">
        <f t="shared" si="37"/>
        <v>8110</v>
      </c>
      <c r="CO44" s="88">
        <f t="shared" si="38"/>
        <v>19050</v>
      </c>
      <c r="CP44" s="88">
        <f t="shared" si="39"/>
        <v>520</v>
      </c>
      <c r="CQ44" s="88">
        <f t="shared" si="40"/>
        <v>17290</v>
      </c>
      <c r="CR44" s="88">
        <f t="shared" si="41"/>
        <v>360</v>
      </c>
      <c r="CS44" s="88">
        <f t="shared" si="42"/>
        <v>880</v>
      </c>
      <c r="CT44" s="88">
        <f t="shared" si="43"/>
        <v>7750.5681999999997</v>
      </c>
      <c r="CU44" s="88">
        <f t="shared" si="44"/>
        <v>5800</v>
      </c>
      <c r="CV44" s="88">
        <f t="shared" si="45"/>
        <v>540</v>
      </c>
      <c r="CW44" s="88">
        <f t="shared" si="46"/>
        <v>770</v>
      </c>
      <c r="CX44" s="88">
        <f t="shared" si="47"/>
        <v>80</v>
      </c>
      <c r="CY44" s="88">
        <f t="shared" si="48"/>
        <v>1050</v>
      </c>
      <c r="CZ44" s="88">
        <f t="shared" si="49"/>
        <v>52518.9545</v>
      </c>
      <c r="DA44" s="90">
        <f t="shared" si="50"/>
        <v>40337.138599999998</v>
      </c>
      <c r="DB44" s="90">
        <f t="shared" si="51"/>
        <v>12181.8159</v>
      </c>
      <c r="DC44" s="88">
        <f t="shared" si="52"/>
        <v>3520</v>
      </c>
      <c r="DD44" s="88">
        <f t="shared" si="53"/>
        <v>317150.54550000001</v>
      </c>
      <c r="AUV44" s="699">
        <f t="shared" si="65"/>
        <v>209131.02</v>
      </c>
      <c r="AUW44" s="699">
        <f t="shared" si="66"/>
        <v>160622.9</v>
      </c>
      <c r="AUX44" s="699">
        <f t="shared" si="67"/>
        <v>48508.12</v>
      </c>
      <c r="AUY44" s="699">
        <f t="shared" si="68"/>
        <v>8830</v>
      </c>
      <c r="AUZ44" s="699">
        <f t="shared" si="204"/>
        <v>26868.6</v>
      </c>
      <c r="AVA44" s="699">
        <f t="shared" si="204"/>
        <v>5.56</v>
      </c>
      <c r="AVB44" s="699">
        <f t="shared" si="70"/>
        <v>19050</v>
      </c>
      <c r="AVC44" s="699">
        <f t="shared" si="71"/>
        <v>520</v>
      </c>
      <c r="AVD44" s="699">
        <f t="shared" si="72"/>
        <v>17290</v>
      </c>
      <c r="AVE44" s="699">
        <f t="shared" si="73"/>
        <v>360</v>
      </c>
      <c r="AVF44" s="699">
        <f t="shared" si="74"/>
        <v>880</v>
      </c>
      <c r="AVG44" s="699">
        <f t="shared" si="75"/>
        <v>7750.57</v>
      </c>
      <c r="AVH44" s="699">
        <f t="shared" si="76"/>
        <v>5800</v>
      </c>
      <c r="AVI44" s="699">
        <f t="shared" si="77"/>
        <v>540</v>
      </c>
      <c r="AVJ44" s="699">
        <f t="shared" si="78"/>
        <v>770</v>
      </c>
      <c r="AVK44" s="699">
        <f t="shared" si="79"/>
        <v>80</v>
      </c>
      <c r="AVL44" s="699">
        <f t="shared" si="80"/>
        <v>1050</v>
      </c>
      <c r="AVM44" s="699">
        <f t="shared" si="81"/>
        <v>52518.95</v>
      </c>
      <c r="AVN44" s="699">
        <f t="shared" si="82"/>
        <v>40337.14</v>
      </c>
      <c r="AVO44" s="699">
        <f t="shared" si="83"/>
        <v>12181.81</v>
      </c>
      <c r="AVP44" s="699">
        <f t="shared" si="84"/>
        <v>3520</v>
      </c>
      <c r="AVQ44" s="699">
        <f t="shared" si="85"/>
        <v>317150.55</v>
      </c>
    </row>
    <row r="45" spans="1:108 1244:1265" ht="30" customHeight="1" x14ac:dyDescent="0.25">
      <c r="A45" s="643">
        <v>1</v>
      </c>
      <c r="B45" s="643">
        <v>9</v>
      </c>
      <c r="C45" s="664" t="s">
        <v>247</v>
      </c>
      <c r="D45" s="2"/>
      <c r="E45" s="101" t="s">
        <v>344</v>
      </c>
      <c r="F45" s="643" t="s">
        <v>31</v>
      </c>
      <c r="G45" s="643">
        <v>1</v>
      </c>
      <c r="H45" s="658" t="s">
        <v>8</v>
      </c>
      <c r="I45" s="643">
        <v>3</v>
      </c>
      <c r="J45" s="101" t="s">
        <v>373</v>
      </c>
      <c r="K45" s="643">
        <v>3</v>
      </c>
      <c r="L45" s="683" t="s">
        <v>349</v>
      </c>
      <c r="M45" s="11" t="s">
        <v>282</v>
      </c>
      <c r="N45" s="101" t="s">
        <v>387</v>
      </c>
      <c r="O45" s="643">
        <v>1</v>
      </c>
      <c r="P45" s="632">
        <v>14</v>
      </c>
      <c r="Q45" s="632">
        <v>14</v>
      </c>
      <c r="R45" s="632">
        <v>14</v>
      </c>
      <c r="S45" s="675">
        <f>SUMIF('Территориальный кк'!$A:$A,'2020'!$B45,'Территориальный кк'!D:D)</f>
        <v>3.258</v>
      </c>
      <c r="T45" s="676">
        <f>SUMIF('Территориальный кк'!$A:$A,'2020'!$B45,'Территориальный кк'!E:E)</f>
        <v>2.8919999999999999</v>
      </c>
      <c r="U45" s="33">
        <f>SUMIFS(Нормативы!G:G,Нормативы!$B:$B,$G45,Нормативы!$D:$D,'2020'!$I45,Нормативы!$F:$F,'2020'!$K45)*O45</f>
        <v>6419</v>
      </c>
      <c r="V45" s="33">
        <f t="shared" si="98"/>
        <v>4930.1000000000004</v>
      </c>
      <c r="W45" s="33">
        <f t="shared" si="99"/>
        <v>1488.9</v>
      </c>
      <c r="X45" s="33">
        <f>SUMIFS(Нормативы!J:J,Нормативы!$B:$B,$G45,Нормативы!$D:$D,'2020'!$I45,Нормативы!$F:$F,'2020'!$K45)</f>
        <v>883</v>
      </c>
      <c r="Y45" s="33">
        <f>SUMIFS(Нормативы!K:K,Нормативы!$B:$B,$G45,Нормативы!$D:$D,'2020'!$I45,Нормативы!$F:$F,'2020'!$K45)</f>
        <v>177</v>
      </c>
      <c r="Z45" s="33">
        <f>SUMIFS(Нормативы!L:L,Нормативы!$B:$B,$G45,Нормативы!$D:$D,'2020'!$I45,Нормативы!$F:$F,'2020'!$K45)</f>
        <v>811</v>
      </c>
      <c r="AA45" s="33">
        <f t="shared" si="100"/>
        <v>1905</v>
      </c>
      <c r="AB45" s="33">
        <f>SUMIFS(Нормативы!N:N,Нормативы!$B:$B,$G45,Нормативы!$D:$D,'2020'!$I45,Нормативы!$F:$F,'2020'!$K45)*O45</f>
        <v>52</v>
      </c>
      <c r="AC45" s="33">
        <f>SUMIFS(Нормативы!O:O,Нормативы!$B:$B,$G45,Нормативы!$D:$D,'2020'!$I45,Нормативы!$F:$F,'2020'!$K45)</f>
        <v>1729</v>
      </c>
      <c r="AD45" s="33">
        <f>SUMIFS(Нормативы!P:P,Нормативы!$B:$B,$G45,Нормативы!$D:$D,'2020'!$I45,Нормативы!$F:$F,'2020'!$K45)*O45</f>
        <v>36</v>
      </c>
      <c r="AE45" s="33">
        <f>SUMIFS(Нормативы!Q:Q,Нормативы!$B:$B,$G45,Нормативы!$D:$D,'2020'!$I45,Нормативы!$F:$F,'2020'!$K45)</f>
        <v>88</v>
      </c>
      <c r="AF45" s="33">
        <f>SUMIFS(Нормативы!R:R,Нормативы!$B:$B,$G45,Нормативы!$D:$D,'2020'!$I45,Нормативы!$F:$F,'2020'!$K45)</f>
        <v>268</v>
      </c>
      <c r="AG45" s="33">
        <f>SUMIFS(Нормативы!S:S,Нормативы!$B:$B,$G45,Нормативы!$D:$D,'2020'!$I45,Нормативы!$F:$F,'2020'!$K45)</f>
        <v>580</v>
      </c>
      <c r="AH45" s="33">
        <f>SUMIFS(Нормативы!T:T,Нормативы!$B:$B,$G45,Нормативы!$D:$D,'2020'!$I45,Нормативы!$F:$F,'2020'!$K45)</f>
        <v>54</v>
      </c>
      <c r="AI45" s="33">
        <f>SUMIFS(Нормативы!U:U,Нормативы!$B:$B,$G45,Нормативы!$D:$D,'2020'!$I45,Нормативы!$F:$F,'2020'!$K45)</f>
        <v>77</v>
      </c>
      <c r="AJ45" s="33">
        <f>SUMIFS(Нормативы!V:V,Нормативы!$B:$B,$G45,Нормативы!$D:$D,'2020'!$I45,Нормативы!$F:$F,'2020'!$K45)</f>
        <v>8</v>
      </c>
      <c r="AK45" s="33">
        <f>SUMIFS(Нормативы!W:W,Нормативы!$B:$B,$G45,Нормативы!$D:$D,'2020'!$I45,Нормативы!$F:$F,'2020'!$K45)</f>
        <v>105</v>
      </c>
      <c r="AL45" s="33">
        <f>SUMIFS(Нормативы!X:X,Нормативы!$B:$B,$G45,Нормативы!$D:$D,'2020'!$I45,Нормативы!$F:$F,'2020'!$K45)*O45</f>
        <v>1612</v>
      </c>
      <c r="AM45" s="33">
        <f t="shared" si="101"/>
        <v>1238.0999999999999</v>
      </c>
      <c r="AN45" s="33">
        <f t="shared" si="102"/>
        <v>373.9</v>
      </c>
      <c r="AO45" s="33">
        <f>SUMIFS(Нормативы!AA:AA,Нормативы!$B:$B,$G45,Нормативы!$D:$D,'2020'!$I45,Нормативы!$F:$F,'2020'!$K45)</f>
        <v>0</v>
      </c>
      <c r="AP45" s="141">
        <f t="shared" si="103"/>
        <v>12722</v>
      </c>
      <c r="AQ45" s="413">
        <f t="shared" si="104"/>
        <v>89866</v>
      </c>
      <c r="AR45" s="33">
        <f t="shared" si="105"/>
        <v>69021.5</v>
      </c>
      <c r="AS45" s="33">
        <f t="shared" si="106"/>
        <v>20844.5</v>
      </c>
      <c r="AT45" s="34">
        <f t="shared" si="0"/>
        <v>12362</v>
      </c>
      <c r="AU45" s="34">
        <f t="shared" si="1"/>
        <v>2478</v>
      </c>
      <c r="AV45" s="34">
        <f t="shared" si="2"/>
        <v>11354</v>
      </c>
      <c r="AW45" s="34">
        <f t="shared" si="3"/>
        <v>26670</v>
      </c>
      <c r="AX45" s="34">
        <f t="shared" si="4"/>
        <v>728</v>
      </c>
      <c r="AY45" s="34">
        <f t="shared" si="5"/>
        <v>24206</v>
      </c>
      <c r="AZ45" s="34">
        <f t="shared" si="6"/>
        <v>504</v>
      </c>
      <c r="BA45" s="34">
        <f t="shared" si="7"/>
        <v>1232</v>
      </c>
      <c r="BB45" s="34">
        <f t="shared" si="107"/>
        <v>3752</v>
      </c>
      <c r="BC45" s="34">
        <f t="shared" si="8"/>
        <v>8120</v>
      </c>
      <c r="BD45" s="34">
        <f t="shared" si="9"/>
        <v>756</v>
      </c>
      <c r="BE45" s="34">
        <f t="shared" si="10"/>
        <v>1078</v>
      </c>
      <c r="BF45" s="34">
        <f t="shared" si="11"/>
        <v>112</v>
      </c>
      <c r="BG45" s="34">
        <f t="shared" si="12"/>
        <v>1470</v>
      </c>
      <c r="BH45" s="34">
        <f t="shared" si="13"/>
        <v>22568</v>
      </c>
      <c r="BI45" s="33">
        <f t="shared" si="108"/>
        <v>17333.3</v>
      </c>
      <c r="BJ45" s="33">
        <f t="shared" si="109"/>
        <v>5234.7</v>
      </c>
      <c r="BK45" s="34">
        <f t="shared" si="14"/>
        <v>0</v>
      </c>
      <c r="BL45" s="426">
        <f t="shared" si="15"/>
        <v>178108</v>
      </c>
      <c r="BM45" s="616">
        <f t="shared" si="110"/>
        <v>292783</v>
      </c>
      <c r="BN45" s="33">
        <f t="shared" si="16"/>
        <v>224871.7</v>
      </c>
      <c r="BO45" s="33">
        <f t="shared" si="17"/>
        <v>67911.3</v>
      </c>
      <c r="BP45" s="34">
        <f t="shared" si="111"/>
        <v>12362</v>
      </c>
      <c r="BQ45" s="34">
        <f t="shared" si="112"/>
        <v>2478</v>
      </c>
      <c r="BR45" s="34">
        <f t="shared" si="113"/>
        <v>11354</v>
      </c>
      <c r="BS45" s="34">
        <f t="shared" si="18"/>
        <v>26670</v>
      </c>
      <c r="BT45" s="34">
        <f t="shared" si="19"/>
        <v>728</v>
      </c>
      <c r="BU45" s="34">
        <f t="shared" si="20"/>
        <v>24206</v>
      </c>
      <c r="BV45" s="34">
        <f t="shared" si="21"/>
        <v>504</v>
      </c>
      <c r="BW45" s="34">
        <f t="shared" si="22"/>
        <v>1232</v>
      </c>
      <c r="BX45" s="34">
        <f t="shared" si="23"/>
        <v>10851</v>
      </c>
      <c r="BY45" s="34">
        <f t="shared" si="24"/>
        <v>8120</v>
      </c>
      <c r="BZ45" s="34">
        <f t="shared" si="25"/>
        <v>756</v>
      </c>
      <c r="CA45" s="34">
        <f t="shared" si="26"/>
        <v>1078</v>
      </c>
      <c r="CB45" s="34">
        <f t="shared" si="27"/>
        <v>112</v>
      </c>
      <c r="CC45" s="34">
        <f t="shared" si="28"/>
        <v>1470</v>
      </c>
      <c r="CD45" s="34">
        <f t="shared" si="29"/>
        <v>73527</v>
      </c>
      <c r="CE45" s="33">
        <f t="shared" si="114"/>
        <v>56472.4</v>
      </c>
      <c r="CF45" s="33">
        <f t="shared" si="115"/>
        <v>17054.599999999999</v>
      </c>
      <c r="CG45" s="34">
        <f t="shared" si="30"/>
        <v>0</v>
      </c>
      <c r="CH45" s="415">
        <f t="shared" si="31"/>
        <v>439083</v>
      </c>
      <c r="CI45" s="88">
        <f t="shared" si="32"/>
        <v>20913.071400000001</v>
      </c>
      <c r="CJ45" s="90">
        <f t="shared" si="33"/>
        <v>16062.264300000001</v>
      </c>
      <c r="CK45" s="90">
        <f t="shared" si="34"/>
        <v>4850.8071</v>
      </c>
      <c r="CL45" s="88">
        <f t="shared" si="35"/>
        <v>883</v>
      </c>
      <c r="CM45" s="88">
        <f t="shared" si="36"/>
        <v>177</v>
      </c>
      <c r="CN45" s="88">
        <f t="shared" si="37"/>
        <v>811</v>
      </c>
      <c r="CO45" s="88">
        <f t="shared" si="38"/>
        <v>1905</v>
      </c>
      <c r="CP45" s="88">
        <f t="shared" si="39"/>
        <v>52</v>
      </c>
      <c r="CQ45" s="88">
        <f t="shared" si="40"/>
        <v>1729</v>
      </c>
      <c r="CR45" s="88">
        <f t="shared" si="41"/>
        <v>36</v>
      </c>
      <c r="CS45" s="88">
        <f t="shared" si="42"/>
        <v>88</v>
      </c>
      <c r="CT45" s="88">
        <f t="shared" si="43"/>
        <v>775.07140000000004</v>
      </c>
      <c r="CU45" s="88">
        <f t="shared" si="44"/>
        <v>580</v>
      </c>
      <c r="CV45" s="88">
        <f t="shared" si="45"/>
        <v>54</v>
      </c>
      <c r="CW45" s="88">
        <f t="shared" si="46"/>
        <v>77</v>
      </c>
      <c r="CX45" s="88">
        <f t="shared" si="47"/>
        <v>8</v>
      </c>
      <c r="CY45" s="88">
        <f t="shared" si="48"/>
        <v>105</v>
      </c>
      <c r="CZ45" s="88">
        <f t="shared" si="49"/>
        <v>5251.9286000000002</v>
      </c>
      <c r="DA45" s="90">
        <f t="shared" si="50"/>
        <v>4033.7429000000002</v>
      </c>
      <c r="DB45" s="90">
        <f t="shared" si="51"/>
        <v>1218.1857</v>
      </c>
      <c r="DC45" s="88">
        <f t="shared" si="52"/>
        <v>0</v>
      </c>
      <c r="DD45" s="88">
        <f t="shared" si="53"/>
        <v>31363.071400000001</v>
      </c>
      <c r="AUV45" s="699">
        <f t="shared" si="65"/>
        <v>20913.07</v>
      </c>
      <c r="AUW45" s="699">
        <f t="shared" si="66"/>
        <v>16062.27</v>
      </c>
      <c r="AUX45" s="699">
        <f t="shared" si="67"/>
        <v>4850.8</v>
      </c>
      <c r="AUY45" s="699">
        <f t="shared" si="68"/>
        <v>883</v>
      </c>
      <c r="AUZ45" s="699">
        <f t="shared" si="204"/>
        <v>856.85</v>
      </c>
      <c r="AVA45" s="699">
        <f t="shared" si="204"/>
        <v>1.77</v>
      </c>
      <c r="AVB45" s="699">
        <f t="shared" si="70"/>
        <v>1905</v>
      </c>
      <c r="AVC45" s="699">
        <f t="shared" si="71"/>
        <v>52</v>
      </c>
      <c r="AVD45" s="699">
        <f t="shared" si="72"/>
        <v>1729</v>
      </c>
      <c r="AVE45" s="699">
        <f t="shared" si="73"/>
        <v>36</v>
      </c>
      <c r="AVF45" s="699">
        <f t="shared" si="74"/>
        <v>88</v>
      </c>
      <c r="AVG45" s="699">
        <f t="shared" si="75"/>
        <v>775.07</v>
      </c>
      <c r="AVH45" s="699">
        <f t="shared" si="76"/>
        <v>580</v>
      </c>
      <c r="AVI45" s="699">
        <f t="shared" si="77"/>
        <v>54</v>
      </c>
      <c r="AVJ45" s="699">
        <f t="shared" si="78"/>
        <v>77</v>
      </c>
      <c r="AVK45" s="699">
        <f t="shared" si="79"/>
        <v>8</v>
      </c>
      <c r="AVL45" s="699">
        <f t="shared" si="80"/>
        <v>105</v>
      </c>
      <c r="AVM45" s="699">
        <f t="shared" si="81"/>
        <v>5251.93</v>
      </c>
      <c r="AVN45" s="699">
        <f t="shared" si="82"/>
        <v>4033.74</v>
      </c>
      <c r="AVO45" s="699">
        <f t="shared" si="83"/>
        <v>1218.19</v>
      </c>
      <c r="AVP45" s="699">
        <f t="shared" si="84"/>
        <v>0</v>
      </c>
      <c r="AVQ45" s="699">
        <f t="shared" si="85"/>
        <v>31363.07</v>
      </c>
    </row>
    <row r="46" spans="1:108 1244:1265" ht="30" customHeight="1" x14ac:dyDescent="0.25">
      <c r="A46" s="643">
        <v>1</v>
      </c>
      <c r="B46" s="643">
        <v>9</v>
      </c>
      <c r="C46" s="664" t="s">
        <v>247</v>
      </c>
      <c r="D46" s="2"/>
      <c r="E46" s="101" t="s">
        <v>344</v>
      </c>
      <c r="F46" s="643" t="s">
        <v>31</v>
      </c>
      <c r="G46" s="643">
        <v>1</v>
      </c>
      <c r="H46" s="658" t="s">
        <v>10</v>
      </c>
      <c r="I46" s="643">
        <v>0</v>
      </c>
      <c r="J46" s="101" t="s">
        <v>374</v>
      </c>
      <c r="K46" s="643">
        <v>1</v>
      </c>
      <c r="L46" s="683" t="s">
        <v>349</v>
      </c>
      <c r="M46" s="11" t="s">
        <v>283</v>
      </c>
      <c r="N46" s="101" t="s">
        <v>387</v>
      </c>
      <c r="O46" s="643">
        <v>1</v>
      </c>
      <c r="P46" s="632">
        <v>33</v>
      </c>
      <c r="Q46" s="632">
        <v>33</v>
      </c>
      <c r="R46" s="632">
        <v>33</v>
      </c>
      <c r="S46" s="675">
        <f>SUMIF('Территориальный кк'!$A:$A,'2020'!$B46,'Территориальный кк'!D:D)</f>
        <v>3.258</v>
      </c>
      <c r="T46" s="676">
        <f>SUMIF('Территориальный кк'!$A:$A,'2020'!$B46,'Территориальный кк'!E:E)</f>
        <v>2.8919999999999999</v>
      </c>
      <c r="U46" s="33">
        <f>SUMIFS(Нормативы!G:G,Нормативы!$B:$B,$G46,Нормативы!$D:$D,'2020'!$I46,Нормативы!$F:$F,'2020'!$K46)*O46</f>
        <v>54020</v>
      </c>
      <c r="V46" s="33">
        <f t="shared" si="98"/>
        <v>41490</v>
      </c>
      <c r="W46" s="33">
        <f t="shared" si="99"/>
        <v>12530</v>
      </c>
      <c r="X46" s="33">
        <f>SUMIFS(Нормативы!J:J,Нормативы!$B:$B,$G46,Нормативы!$D:$D,'2020'!$I46,Нормативы!$F:$F,'2020'!$K46)</f>
        <v>220</v>
      </c>
      <c r="Y46" s="33">
        <f>SUMIFS(Нормативы!K:K,Нормативы!$B:$B,$G46,Нормативы!$D:$D,'2020'!$I46,Нормативы!$F:$F,'2020'!$K46)</f>
        <v>44</v>
      </c>
      <c r="Z46" s="33">
        <f>SUMIFS(Нормативы!L:L,Нормативы!$B:$B,$G46,Нормативы!$D:$D,'2020'!$I46,Нормативы!$F:$F,'2020'!$K46)</f>
        <v>2320</v>
      </c>
      <c r="AA46" s="33">
        <f t="shared" si="100"/>
        <v>3710</v>
      </c>
      <c r="AB46" s="33">
        <f>SUMIFS(Нормативы!N:N,Нормативы!$B:$B,$G46,Нормативы!$D:$D,'2020'!$I46,Нормативы!$F:$F,'2020'!$K46)*O46</f>
        <v>520</v>
      </c>
      <c r="AC46" s="33">
        <f>SUMIFS(Нормативы!O:O,Нормативы!$B:$B,$G46,Нормативы!$D:$D,'2020'!$I46,Нормативы!$F:$F,'2020'!$K46)</f>
        <v>2140</v>
      </c>
      <c r="AD46" s="33">
        <f>SUMIFS(Нормативы!P:P,Нормативы!$B:$B,$G46,Нормативы!$D:$D,'2020'!$I46,Нормативы!$F:$F,'2020'!$K46)*O46</f>
        <v>310</v>
      </c>
      <c r="AE46" s="33">
        <f>SUMIFS(Нормативы!Q:Q,Нормативы!$B:$B,$G46,Нормативы!$D:$D,'2020'!$I46,Нормативы!$F:$F,'2020'!$K46)</f>
        <v>740</v>
      </c>
      <c r="AF46" s="33">
        <f>SUMIFS(Нормативы!R:R,Нормативы!$B:$B,$G46,Нормативы!$D:$D,'2020'!$I46,Нормативы!$F:$F,'2020'!$K46)</f>
        <v>2460</v>
      </c>
      <c r="AG46" s="33">
        <f>SUMIFS(Нормативы!S:S,Нормативы!$B:$B,$G46,Нормативы!$D:$D,'2020'!$I46,Нормативы!$F:$F,'2020'!$K46)</f>
        <v>5080</v>
      </c>
      <c r="AH46" s="33">
        <f>SUMIFS(Нормативы!T:T,Нормативы!$B:$B,$G46,Нормативы!$D:$D,'2020'!$I46,Нормативы!$F:$F,'2020'!$K46)</f>
        <v>540</v>
      </c>
      <c r="AI46" s="33">
        <f>SUMIFS(Нормативы!U:U,Нормативы!$B:$B,$G46,Нормативы!$D:$D,'2020'!$I46,Нормативы!$F:$F,'2020'!$K46)</f>
        <v>770</v>
      </c>
      <c r="AJ46" s="33">
        <f>SUMIFS(Нормативы!V:V,Нормативы!$B:$B,$G46,Нормативы!$D:$D,'2020'!$I46,Нормативы!$F:$F,'2020'!$K46)</f>
        <v>80</v>
      </c>
      <c r="AK46" s="33">
        <f>SUMIFS(Нормативы!W:W,Нормативы!$B:$B,$G46,Нормативы!$D:$D,'2020'!$I46,Нормативы!$F:$F,'2020'!$K46)</f>
        <v>300</v>
      </c>
      <c r="AL46" s="33">
        <f>SUMIFS(Нормативы!X:X,Нормативы!$B:$B,$G46,Нормативы!$D:$D,'2020'!$I46,Нормативы!$F:$F,'2020'!$K46)*O46</f>
        <v>13440</v>
      </c>
      <c r="AM46" s="33">
        <f t="shared" si="101"/>
        <v>10322.6</v>
      </c>
      <c r="AN46" s="33">
        <f t="shared" si="102"/>
        <v>3117.4</v>
      </c>
      <c r="AO46" s="33">
        <f>SUMIFS(Нормативы!AA:AA,Нормативы!$B:$B,$G46,Нормативы!$D:$D,'2020'!$I46,Нормативы!$F:$F,'2020'!$K46)</f>
        <v>3520</v>
      </c>
      <c r="AP46" s="141">
        <f t="shared" si="103"/>
        <v>86460</v>
      </c>
      <c r="AQ46" s="413">
        <f t="shared" si="104"/>
        <v>1782660</v>
      </c>
      <c r="AR46" s="33">
        <f t="shared" si="105"/>
        <v>1369170.5</v>
      </c>
      <c r="AS46" s="33">
        <f t="shared" si="106"/>
        <v>413489.5</v>
      </c>
      <c r="AT46" s="34">
        <f t="shared" si="0"/>
        <v>7260</v>
      </c>
      <c r="AU46" s="34">
        <f t="shared" si="1"/>
        <v>1452</v>
      </c>
      <c r="AV46" s="34">
        <f t="shared" si="2"/>
        <v>76560</v>
      </c>
      <c r="AW46" s="34">
        <f t="shared" si="3"/>
        <v>122430</v>
      </c>
      <c r="AX46" s="34">
        <f t="shared" si="4"/>
        <v>17160</v>
      </c>
      <c r="AY46" s="34">
        <f t="shared" si="5"/>
        <v>70620</v>
      </c>
      <c r="AZ46" s="34">
        <f t="shared" si="6"/>
        <v>10230</v>
      </c>
      <c r="BA46" s="34">
        <f t="shared" si="7"/>
        <v>24420</v>
      </c>
      <c r="BB46" s="34">
        <f t="shared" si="107"/>
        <v>81180</v>
      </c>
      <c r="BC46" s="34">
        <f t="shared" si="8"/>
        <v>167640</v>
      </c>
      <c r="BD46" s="34">
        <f t="shared" si="9"/>
        <v>17820</v>
      </c>
      <c r="BE46" s="34">
        <f t="shared" si="10"/>
        <v>25410</v>
      </c>
      <c r="BF46" s="34">
        <f t="shared" si="11"/>
        <v>2640</v>
      </c>
      <c r="BG46" s="34">
        <f t="shared" si="12"/>
        <v>9900</v>
      </c>
      <c r="BH46" s="34">
        <f t="shared" si="13"/>
        <v>443520</v>
      </c>
      <c r="BI46" s="33">
        <f t="shared" si="108"/>
        <v>340645.2</v>
      </c>
      <c r="BJ46" s="33">
        <f t="shared" si="109"/>
        <v>102874.8</v>
      </c>
      <c r="BK46" s="34">
        <f t="shared" si="14"/>
        <v>116160</v>
      </c>
      <c r="BL46" s="426">
        <f t="shared" si="15"/>
        <v>2853180</v>
      </c>
      <c r="BM46" s="616">
        <f t="shared" si="110"/>
        <v>5807906</v>
      </c>
      <c r="BN46" s="33">
        <f t="shared" si="16"/>
        <v>4460757.3</v>
      </c>
      <c r="BO46" s="33">
        <f t="shared" si="17"/>
        <v>1347148.7</v>
      </c>
      <c r="BP46" s="34">
        <f t="shared" si="111"/>
        <v>7260</v>
      </c>
      <c r="BQ46" s="34">
        <f t="shared" si="112"/>
        <v>1452</v>
      </c>
      <c r="BR46" s="34">
        <f t="shared" si="113"/>
        <v>76560</v>
      </c>
      <c r="BS46" s="34">
        <f t="shared" si="18"/>
        <v>122430</v>
      </c>
      <c r="BT46" s="34">
        <f t="shared" si="19"/>
        <v>17160</v>
      </c>
      <c r="BU46" s="34">
        <f t="shared" si="20"/>
        <v>70620</v>
      </c>
      <c r="BV46" s="34">
        <f t="shared" si="21"/>
        <v>10230</v>
      </c>
      <c r="BW46" s="34">
        <f t="shared" si="22"/>
        <v>24420</v>
      </c>
      <c r="BX46" s="34">
        <f t="shared" si="23"/>
        <v>234773</v>
      </c>
      <c r="BY46" s="34">
        <f t="shared" si="24"/>
        <v>167640</v>
      </c>
      <c r="BZ46" s="34">
        <f t="shared" si="25"/>
        <v>17820</v>
      </c>
      <c r="CA46" s="34">
        <f t="shared" si="26"/>
        <v>25410</v>
      </c>
      <c r="CB46" s="34">
        <f t="shared" si="27"/>
        <v>2640</v>
      </c>
      <c r="CC46" s="34">
        <f t="shared" si="28"/>
        <v>9900</v>
      </c>
      <c r="CD46" s="34">
        <f t="shared" si="29"/>
        <v>1444988</v>
      </c>
      <c r="CE46" s="33">
        <f t="shared" si="114"/>
        <v>1109821.8</v>
      </c>
      <c r="CF46" s="33">
        <f t="shared" si="115"/>
        <v>335166.2</v>
      </c>
      <c r="CG46" s="34">
        <f t="shared" si="30"/>
        <v>116160</v>
      </c>
      <c r="CH46" s="415">
        <f t="shared" si="31"/>
        <v>8033487</v>
      </c>
      <c r="CI46" s="88">
        <f t="shared" si="32"/>
        <v>175997.15150000001</v>
      </c>
      <c r="CJ46" s="90">
        <f t="shared" si="33"/>
        <v>135174.46359999999</v>
      </c>
      <c r="CK46" s="90">
        <f t="shared" si="34"/>
        <v>40822.687899999997</v>
      </c>
      <c r="CL46" s="88">
        <f t="shared" si="35"/>
        <v>220</v>
      </c>
      <c r="CM46" s="88">
        <f t="shared" si="36"/>
        <v>44</v>
      </c>
      <c r="CN46" s="88">
        <f t="shared" si="37"/>
        <v>2320</v>
      </c>
      <c r="CO46" s="88">
        <f t="shared" si="38"/>
        <v>3710</v>
      </c>
      <c r="CP46" s="88">
        <f t="shared" si="39"/>
        <v>520</v>
      </c>
      <c r="CQ46" s="88">
        <f t="shared" si="40"/>
        <v>2140</v>
      </c>
      <c r="CR46" s="88">
        <f t="shared" si="41"/>
        <v>310</v>
      </c>
      <c r="CS46" s="88">
        <f t="shared" si="42"/>
        <v>740</v>
      </c>
      <c r="CT46" s="88">
        <f t="shared" si="43"/>
        <v>7114.3333000000002</v>
      </c>
      <c r="CU46" s="88">
        <f t="shared" si="44"/>
        <v>5080</v>
      </c>
      <c r="CV46" s="88">
        <f t="shared" si="45"/>
        <v>540</v>
      </c>
      <c r="CW46" s="88">
        <f t="shared" si="46"/>
        <v>770</v>
      </c>
      <c r="CX46" s="88">
        <f t="shared" si="47"/>
        <v>80</v>
      </c>
      <c r="CY46" s="88">
        <f t="shared" si="48"/>
        <v>300</v>
      </c>
      <c r="CZ46" s="88">
        <f t="shared" si="49"/>
        <v>43787.515200000002</v>
      </c>
      <c r="DA46" s="90">
        <f t="shared" si="50"/>
        <v>33630.963600000003</v>
      </c>
      <c r="DB46" s="90">
        <f t="shared" si="51"/>
        <v>10156.5515</v>
      </c>
      <c r="DC46" s="88">
        <f t="shared" si="52"/>
        <v>3520</v>
      </c>
      <c r="DD46" s="88">
        <f t="shared" si="53"/>
        <v>243439</v>
      </c>
      <c r="AUV46" s="699">
        <f t="shared" si="65"/>
        <v>175997.15</v>
      </c>
      <c r="AUW46" s="699">
        <f t="shared" si="66"/>
        <v>135174.46</v>
      </c>
      <c r="AUX46" s="699">
        <f t="shared" si="67"/>
        <v>40822.69</v>
      </c>
      <c r="AUY46" s="699">
        <f t="shared" si="68"/>
        <v>220</v>
      </c>
      <c r="AUZ46" s="699">
        <f t="shared" si="204"/>
        <v>502.07</v>
      </c>
      <c r="AVA46" s="699">
        <f t="shared" si="204"/>
        <v>1.42</v>
      </c>
      <c r="AVB46" s="699">
        <f t="shared" si="70"/>
        <v>3710</v>
      </c>
      <c r="AVC46" s="699">
        <f t="shared" si="71"/>
        <v>520</v>
      </c>
      <c r="AVD46" s="699">
        <f t="shared" si="72"/>
        <v>2140</v>
      </c>
      <c r="AVE46" s="699">
        <f t="shared" si="73"/>
        <v>310</v>
      </c>
      <c r="AVF46" s="699">
        <f t="shared" si="74"/>
        <v>740</v>
      </c>
      <c r="AVG46" s="699">
        <f t="shared" si="75"/>
        <v>7114.33</v>
      </c>
      <c r="AVH46" s="699">
        <f t="shared" si="76"/>
        <v>5080</v>
      </c>
      <c r="AVI46" s="699">
        <f t="shared" si="77"/>
        <v>540</v>
      </c>
      <c r="AVJ46" s="699">
        <f t="shared" si="78"/>
        <v>770</v>
      </c>
      <c r="AVK46" s="699">
        <f t="shared" si="79"/>
        <v>80</v>
      </c>
      <c r="AVL46" s="699">
        <f t="shared" si="80"/>
        <v>300</v>
      </c>
      <c r="AVM46" s="699">
        <f t="shared" si="81"/>
        <v>43787.519999999997</v>
      </c>
      <c r="AVN46" s="699">
        <f t="shared" si="82"/>
        <v>33630.97</v>
      </c>
      <c r="AVO46" s="699">
        <f t="shared" si="83"/>
        <v>10156.549999999999</v>
      </c>
      <c r="AVP46" s="699">
        <f t="shared" si="84"/>
        <v>3520</v>
      </c>
      <c r="AVQ46" s="699">
        <f t="shared" si="85"/>
        <v>243439</v>
      </c>
    </row>
    <row r="47" spans="1:108 1244:1265" ht="30" customHeight="1" x14ac:dyDescent="0.25">
      <c r="A47" s="643">
        <v>1</v>
      </c>
      <c r="B47" s="643">
        <v>9</v>
      </c>
      <c r="C47" s="664" t="s">
        <v>247</v>
      </c>
      <c r="D47" s="2"/>
      <c r="E47" s="101" t="s">
        <v>344</v>
      </c>
      <c r="F47" s="643" t="s">
        <v>31</v>
      </c>
      <c r="G47" s="643">
        <v>1</v>
      </c>
      <c r="H47" s="658" t="s">
        <v>8</v>
      </c>
      <c r="I47" s="643">
        <v>3</v>
      </c>
      <c r="J47" s="101" t="s">
        <v>374</v>
      </c>
      <c r="K47" s="643">
        <v>1</v>
      </c>
      <c r="L47" s="683" t="s">
        <v>349</v>
      </c>
      <c r="M47" s="11" t="s">
        <v>284</v>
      </c>
      <c r="N47" s="101" t="s">
        <v>387</v>
      </c>
      <c r="O47" s="643">
        <v>1</v>
      </c>
      <c r="P47" s="632">
        <v>34</v>
      </c>
      <c r="Q47" s="632">
        <v>34</v>
      </c>
      <c r="R47" s="632">
        <v>34</v>
      </c>
      <c r="S47" s="675">
        <f>SUMIF('Территориальный кк'!$A:$A,'2020'!$B47,'Территориальный кк'!D:D)</f>
        <v>3.258</v>
      </c>
      <c r="T47" s="676">
        <f>SUMIF('Территориальный кк'!$A:$A,'2020'!$B47,'Территориальный кк'!E:E)</f>
        <v>2.8919999999999999</v>
      </c>
      <c r="U47" s="33">
        <f>SUMIFS(Нормативы!G:G,Нормативы!$B:$B,$G47,Нормативы!$D:$D,'2020'!$I47,Нормативы!$F:$F,'2020'!$K47)*O47</f>
        <v>5402</v>
      </c>
      <c r="V47" s="33">
        <f t="shared" si="98"/>
        <v>4149</v>
      </c>
      <c r="W47" s="33">
        <f t="shared" si="99"/>
        <v>1253</v>
      </c>
      <c r="X47" s="33">
        <f>SUMIFS(Нормативы!J:J,Нормативы!$B:$B,$G47,Нормативы!$D:$D,'2020'!$I47,Нормативы!$F:$F,'2020'!$K47)</f>
        <v>22</v>
      </c>
      <c r="Y47" s="33">
        <f>SUMIFS(Нормативы!K:K,Нормативы!$B:$B,$G47,Нормативы!$D:$D,'2020'!$I47,Нормативы!$F:$F,'2020'!$K47)</f>
        <v>4</v>
      </c>
      <c r="Z47" s="33">
        <f>SUMIFS(Нормативы!L:L,Нормативы!$B:$B,$G47,Нормативы!$D:$D,'2020'!$I47,Нормативы!$F:$F,'2020'!$K47)</f>
        <v>232</v>
      </c>
      <c r="AA47" s="33">
        <f t="shared" si="100"/>
        <v>371</v>
      </c>
      <c r="AB47" s="33">
        <f>SUMIFS(Нормативы!N:N,Нормативы!$B:$B,$G47,Нормативы!$D:$D,'2020'!$I47,Нормативы!$F:$F,'2020'!$K47)*O47</f>
        <v>52</v>
      </c>
      <c r="AC47" s="33">
        <f>SUMIFS(Нормативы!O:O,Нормативы!$B:$B,$G47,Нормативы!$D:$D,'2020'!$I47,Нормативы!$F:$F,'2020'!$K47)</f>
        <v>214</v>
      </c>
      <c r="AD47" s="33">
        <f>SUMIFS(Нормативы!P:P,Нормативы!$B:$B,$G47,Нормативы!$D:$D,'2020'!$I47,Нормативы!$F:$F,'2020'!$K47)*O47</f>
        <v>31</v>
      </c>
      <c r="AE47" s="33">
        <f>SUMIFS(Нормативы!Q:Q,Нормативы!$B:$B,$G47,Нормативы!$D:$D,'2020'!$I47,Нормативы!$F:$F,'2020'!$K47)</f>
        <v>74</v>
      </c>
      <c r="AF47" s="33">
        <f>SUMIFS(Нормативы!R:R,Нормативы!$B:$B,$G47,Нормативы!$D:$D,'2020'!$I47,Нормативы!$F:$F,'2020'!$K47)</f>
        <v>246</v>
      </c>
      <c r="AG47" s="33">
        <f>SUMIFS(Нормативы!S:S,Нормативы!$B:$B,$G47,Нормативы!$D:$D,'2020'!$I47,Нормативы!$F:$F,'2020'!$K47)</f>
        <v>508</v>
      </c>
      <c r="AH47" s="33">
        <f>SUMIFS(Нормативы!T:T,Нормативы!$B:$B,$G47,Нормативы!$D:$D,'2020'!$I47,Нормативы!$F:$F,'2020'!$K47)</f>
        <v>54</v>
      </c>
      <c r="AI47" s="33">
        <f>SUMIFS(Нормативы!U:U,Нормативы!$B:$B,$G47,Нормативы!$D:$D,'2020'!$I47,Нормативы!$F:$F,'2020'!$K47)</f>
        <v>77</v>
      </c>
      <c r="AJ47" s="33">
        <f>SUMIFS(Нормативы!V:V,Нормативы!$B:$B,$G47,Нормативы!$D:$D,'2020'!$I47,Нормативы!$F:$F,'2020'!$K47)</f>
        <v>8</v>
      </c>
      <c r="AK47" s="33">
        <f>SUMIFS(Нормативы!W:W,Нормативы!$B:$B,$G47,Нормативы!$D:$D,'2020'!$I47,Нормативы!$F:$F,'2020'!$K47)</f>
        <v>30</v>
      </c>
      <c r="AL47" s="33">
        <f>SUMIFS(Нормативы!X:X,Нормативы!$B:$B,$G47,Нормативы!$D:$D,'2020'!$I47,Нормативы!$F:$F,'2020'!$K47)*O47</f>
        <v>1344</v>
      </c>
      <c r="AM47" s="33">
        <f t="shared" si="101"/>
        <v>1032.3</v>
      </c>
      <c r="AN47" s="33">
        <f t="shared" si="102"/>
        <v>311.7</v>
      </c>
      <c r="AO47" s="33">
        <f>SUMIFS(Нормативы!AA:AA,Нормативы!$B:$B,$G47,Нормативы!$D:$D,'2020'!$I47,Нормативы!$F:$F,'2020'!$K47)</f>
        <v>0</v>
      </c>
      <c r="AP47" s="141">
        <f t="shared" si="103"/>
        <v>8294</v>
      </c>
      <c r="AQ47" s="413">
        <f t="shared" si="104"/>
        <v>183668</v>
      </c>
      <c r="AR47" s="33">
        <f t="shared" si="105"/>
        <v>141066.1</v>
      </c>
      <c r="AS47" s="33">
        <f t="shared" si="106"/>
        <v>42601.9</v>
      </c>
      <c r="AT47" s="34">
        <f t="shared" si="0"/>
        <v>748</v>
      </c>
      <c r="AU47" s="34">
        <f t="shared" si="1"/>
        <v>136</v>
      </c>
      <c r="AV47" s="34">
        <f t="shared" si="2"/>
        <v>7888</v>
      </c>
      <c r="AW47" s="34">
        <f t="shared" si="3"/>
        <v>12614</v>
      </c>
      <c r="AX47" s="34">
        <f t="shared" si="4"/>
        <v>1768</v>
      </c>
      <c r="AY47" s="34">
        <f t="shared" si="5"/>
        <v>7276</v>
      </c>
      <c r="AZ47" s="34">
        <f t="shared" si="6"/>
        <v>1054</v>
      </c>
      <c r="BA47" s="34">
        <f t="shared" si="7"/>
        <v>2516</v>
      </c>
      <c r="BB47" s="34">
        <f t="shared" si="107"/>
        <v>8364</v>
      </c>
      <c r="BC47" s="34">
        <f t="shared" si="8"/>
        <v>17272</v>
      </c>
      <c r="BD47" s="34">
        <f t="shared" si="9"/>
        <v>1836</v>
      </c>
      <c r="BE47" s="34">
        <f t="shared" si="10"/>
        <v>2618</v>
      </c>
      <c r="BF47" s="34">
        <f t="shared" si="11"/>
        <v>272</v>
      </c>
      <c r="BG47" s="34">
        <f t="shared" si="12"/>
        <v>1020</v>
      </c>
      <c r="BH47" s="34">
        <f t="shared" si="13"/>
        <v>45696</v>
      </c>
      <c r="BI47" s="33">
        <f t="shared" si="108"/>
        <v>35096.800000000003</v>
      </c>
      <c r="BJ47" s="33">
        <f t="shared" si="109"/>
        <v>10599.2</v>
      </c>
      <c r="BK47" s="34">
        <f t="shared" si="14"/>
        <v>0</v>
      </c>
      <c r="BL47" s="426">
        <f t="shared" si="15"/>
        <v>281996</v>
      </c>
      <c r="BM47" s="616">
        <f t="shared" si="110"/>
        <v>598390</v>
      </c>
      <c r="BN47" s="33">
        <f t="shared" si="16"/>
        <v>459592.9</v>
      </c>
      <c r="BO47" s="33">
        <f t="shared" si="17"/>
        <v>138797.1</v>
      </c>
      <c r="BP47" s="34">
        <f t="shared" si="111"/>
        <v>748</v>
      </c>
      <c r="BQ47" s="34">
        <f t="shared" si="112"/>
        <v>136</v>
      </c>
      <c r="BR47" s="34">
        <f t="shared" si="113"/>
        <v>7888</v>
      </c>
      <c r="BS47" s="34">
        <f t="shared" si="18"/>
        <v>12614</v>
      </c>
      <c r="BT47" s="34">
        <f t="shared" si="19"/>
        <v>1768</v>
      </c>
      <c r="BU47" s="34">
        <f t="shared" si="20"/>
        <v>7276</v>
      </c>
      <c r="BV47" s="34">
        <f t="shared" si="21"/>
        <v>1054</v>
      </c>
      <c r="BW47" s="34">
        <f t="shared" si="22"/>
        <v>2516</v>
      </c>
      <c r="BX47" s="34">
        <f t="shared" si="23"/>
        <v>24189</v>
      </c>
      <c r="BY47" s="34">
        <f t="shared" si="24"/>
        <v>17272</v>
      </c>
      <c r="BZ47" s="34">
        <f t="shared" si="25"/>
        <v>1836</v>
      </c>
      <c r="CA47" s="34">
        <f t="shared" si="26"/>
        <v>2618</v>
      </c>
      <c r="CB47" s="34">
        <f t="shared" si="27"/>
        <v>272</v>
      </c>
      <c r="CC47" s="34">
        <f t="shared" si="28"/>
        <v>1020</v>
      </c>
      <c r="CD47" s="34">
        <f t="shared" si="29"/>
        <v>148878</v>
      </c>
      <c r="CE47" s="33">
        <f t="shared" si="114"/>
        <v>114345.60000000001</v>
      </c>
      <c r="CF47" s="33">
        <f t="shared" si="115"/>
        <v>34532.400000000001</v>
      </c>
      <c r="CG47" s="34">
        <f t="shared" si="30"/>
        <v>0</v>
      </c>
      <c r="CH47" s="415">
        <f t="shared" si="31"/>
        <v>815725</v>
      </c>
      <c r="CI47" s="88">
        <f t="shared" si="32"/>
        <v>17599.705900000001</v>
      </c>
      <c r="CJ47" s="90">
        <f t="shared" si="33"/>
        <v>13517.438200000001</v>
      </c>
      <c r="CK47" s="90">
        <f t="shared" si="34"/>
        <v>4082.2676000000001</v>
      </c>
      <c r="CL47" s="88">
        <f t="shared" si="35"/>
        <v>22</v>
      </c>
      <c r="CM47" s="88">
        <f t="shared" si="36"/>
        <v>4</v>
      </c>
      <c r="CN47" s="88">
        <f t="shared" si="37"/>
        <v>232</v>
      </c>
      <c r="CO47" s="88">
        <f t="shared" si="38"/>
        <v>371</v>
      </c>
      <c r="CP47" s="88">
        <f t="shared" si="39"/>
        <v>52</v>
      </c>
      <c r="CQ47" s="88">
        <f t="shared" si="40"/>
        <v>214</v>
      </c>
      <c r="CR47" s="88">
        <f t="shared" si="41"/>
        <v>31</v>
      </c>
      <c r="CS47" s="88">
        <f t="shared" si="42"/>
        <v>74</v>
      </c>
      <c r="CT47" s="88">
        <f t="shared" si="43"/>
        <v>711.44119999999998</v>
      </c>
      <c r="CU47" s="88">
        <f t="shared" si="44"/>
        <v>508</v>
      </c>
      <c r="CV47" s="88">
        <f t="shared" si="45"/>
        <v>54</v>
      </c>
      <c r="CW47" s="88">
        <f t="shared" si="46"/>
        <v>77</v>
      </c>
      <c r="CX47" s="88">
        <f t="shared" si="47"/>
        <v>8</v>
      </c>
      <c r="CY47" s="88">
        <f t="shared" si="48"/>
        <v>30</v>
      </c>
      <c r="CZ47" s="88">
        <f t="shared" si="49"/>
        <v>4378.7646999999997</v>
      </c>
      <c r="DA47" s="90">
        <f t="shared" si="50"/>
        <v>3363.1059</v>
      </c>
      <c r="DB47" s="90">
        <f t="shared" si="51"/>
        <v>1015.6588</v>
      </c>
      <c r="DC47" s="88">
        <f t="shared" si="52"/>
        <v>0</v>
      </c>
      <c r="DD47" s="88">
        <f t="shared" si="53"/>
        <v>23991.911800000002</v>
      </c>
      <c r="AUV47" s="699">
        <f t="shared" si="65"/>
        <v>17599.71</v>
      </c>
      <c r="AUW47" s="699">
        <f t="shared" si="66"/>
        <v>13517.44</v>
      </c>
      <c r="AUX47" s="699">
        <f t="shared" si="67"/>
        <v>4082.27</v>
      </c>
      <c r="AUY47" s="699">
        <f t="shared" si="68"/>
        <v>22</v>
      </c>
      <c r="AUZ47" s="699">
        <f t="shared" si="204"/>
        <v>47.03</v>
      </c>
      <c r="AVA47" s="699">
        <f t="shared" si="204"/>
        <v>1.46</v>
      </c>
      <c r="AVB47" s="699">
        <f t="shared" si="70"/>
        <v>371</v>
      </c>
      <c r="AVC47" s="699">
        <f t="shared" si="71"/>
        <v>52</v>
      </c>
      <c r="AVD47" s="699">
        <f t="shared" si="72"/>
        <v>214</v>
      </c>
      <c r="AVE47" s="699">
        <f t="shared" si="73"/>
        <v>31</v>
      </c>
      <c r="AVF47" s="699">
        <f t="shared" si="74"/>
        <v>74</v>
      </c>
      <c r="AVG47" s="699">
        <f t="shared" si="75"/>
        <v>711.44</v>
      </c>
      <c r="AVH47" s="699">
        <f t="shared" si="76"/>
        <v>508</v>
      </c>
      <c r="AVI47" s="699">
        <f t="shared" si="77"/>
        <v>54</v>
      </c>
      <c r="AVJ47" s="699">
        <f t="shared" si="78"/>
        <v>77</v>
      </c>
      <c r="AVK47" s="699">
        <f t="shared" si="79"/>
        <v>8</v>
      </c>
      <c r="AVL47" s="699">
        <f t="shared" si="80"/>
        <v>30</v>
      </c>
      <c r="AVM47" s="699">
        <f t="shared" si="81"/>
        <v>4378.76</v>
      </c>
      <c r="AVN47" s="699">
        <f t="shared" si="82"/>
        <v>3363.1</v>
      </c>
      <c r="AVO47" s="699">
        <f t="shared" si="83"/>
        <v>1015.66</v>
      </c>
      <c r="AVP47" s="699">
        <f t="shared" si="84"/>
        <v>0</v>
      </c>
      <c r="AVQ47" s="699">
        <f t="shared" si="85"/>
        <v>23991.91</v>
      </c>
    </row>
    <row r="48" spans="1:108 1244:1265" ht="30" customHeight="1" x14ac:dyDescent="0.25">
      <c r="A48" s="643">
        <v>1</v>
      </c>
      <c r="B48" s="643">
        <v>9</v>
      </c>
      <c r="C48" s="664" t="s">
        <v>247</v>
      </c>
      <c r="D48" s="2"/>
      <c r="E48" s="101" t="s">
        <v>344</v>
      </c>
      <c r="F48" s="643" t="s">
        <v>31</v>
      </c>
      <c r="G48" s="643">
        <v>1</v>
      </c>
      <c r="H48" s="658" t="s">
        <v>10</v>
      </c>
      <c r="I48" s="643">
        <v>0</v>
      </c>
      <c r="J48" s="101" t="s">
        <v>375</v>
      </c>
      <c r="K48" s="643">
        <v>1</v>
      </c>
      <c r="L48" s="683" t="s">
        <v>349</v>
      </c>
      <c r="M48" s="11" t="s">
        <v>285</v>
      </c>
      <c r="N48" s="101" t="s">
        <v>387</v>
      </c>
      <c r="O48" s="643">
        <v>1</v>
      </c>
      <c r="P48" s="632">
        <v>25</v>
      </c>
      <c r="Q48" s="632">
        <v>25</v>
      </c>
      <c r="R48" s="632">
        <v>25</v>
      </c>
      <c r="S48" s="675">
        <f>SUMIF('Территориальный кк'!$A:$A,'2020'!$B48,'Территориальный кк'!D:D)</f>
        <v>3.258</v>
      </c>
      <c r="T48" s="676">
        <f>SUMIF('Территориальный кк'!$A:$A,'2020'!$B48,'Территориальный кк'!E:E)</f>
        <v>2.8919999999999999</v>
      </c>
      <c r="U48" s="33">
        <f>SUMIFS(Нормативы!G:G,Нормативы!$B:$B,$G48,Нормативы!$D:$D,'2020'!$I48,Нормативы!$F:$F,'2020'!$K48)*O48</f>
        <v>54020</v>
      </c>
      <c r="V48" s="33">
        <f t="shared" si="98"/>
        <v>41490</v>
      </c>
      <c r="W48" s="33">
        <f t="shared" si="99"/>
        <v>12530</v>
      </c>
      <c r="X48" s="33">
        <f>SUMIFS(Нормативы!J:J,Нормативы!$B:$B,$G48,Нормативы!$D:$D,'2020'!$I48,Нормативы!$F:$F,'2020'!$K48)</f>
        <v>220</v>
      </c>
      <c r="Y48" s="33">
        <f>SUMIFS(Нормативы!K:K,Нормативы!$B:$B,$G48,Нормативы!$D:$D,'2020'!$I48,Нормативы!$F:$F,'2020'!$K48)</f>
        <v>44</v>
      </c>
      <c r="Z48" s="33">
        <f>SUMIFS(Нормативы!L:L,Нормативы!$B:$B,$G48,Нормативы!$D:$D,'2020'!$I48,Нормативы!$F:$F,'2020'!$K48)</f>
        <v>2320</v>
      </c>
      <c r="AA48" s="33">
        <f t="shared" si="100"/>
        <v>3710</v>
      </c>
      <c r="AB48" s="33">
        <f>SUMIFS(Нормативы!N:N,Нормативы!$B:$B,$G48,Нормативы!$D:$D,'2020'!$I48,Нормативы!$F:$F,'2020'!$K48)*O48</f>
        <v>520</v>
      </c>
      <c r="AC48" s="33">
        <f>SUMIFS(Нормативы!O:O,Нормативы!$B:$B,$G48,Нормативы!$D:$D,'2020'!$I48,Нормативы!$F:$F,'2020'!$K48)</f>
        <v>2140</v>
      </c>
      <c r="AD48" s="33">
        <f>SUMIFS(Нормативы!P:P,Нормативы!$B:$B,$G48,Нормативы!$D:$D,'2020'!$I48,Нормативы!$F:$F,'2020'!$K48)*O48</f>
        <v>310</v>
      </c>
      <c r="AE48" s="33">
        <f>SUMIFS(Нормативы!Q:Q,Нормативы!$B:$B,$G48,Нормативы!$D:$D,'2020'!$I48,Нормативы!$F:$F,'2020'!$K48)</f>
        <v>740</v>
      </c>
      <c r="AF48" s="33">
        <f>SUMIFS(Нормативы!R:R,Нормативы!$B:$B,$G48,Нормативы!$D:$D,'2020'!$I48,Нормативы!$F:$F,'2020'!$K48)</f>
        <v>2460</v>
      </c>
      <c r="AG48" s="33">
        <f>SUMIFS(Нормативы!S:S,Нормативы!$B:$B,$G48,Нормативы!$D:$D,'2020'!$I48,Нормативы!$F:$F,'2020'!$K48)</f>
        <v>5080</v>
      </c>
      <c r="AH48" s="33">
        <f>SUMIFS(Нормативы!T:T,Нормативы!$B:$B,$G48,Нормативы!$D:$D,'2020'!$I48,Нормативы!$F:$F,'2020'!$K48)</f>
        <v>540</v>
      </c>
      <c r="AI48" s="33">
        <f>SUMIFS(Нормативы!U:U,Нормативы!$B:$B,$G48,Нормативы!$D:$D,'2020'!$I48,Нормативы!$F:$F,'2020'!$K48)</f>
        <v>770</v>
      </c>
      <c r="AJ48" s="33">
        <f>SUMIFS(Нормативы!V:V,Нормативы!$B:$B,$G48,Нормативы!$D:$D,'2020'!$I48,Нормативы!$F:$F,'2020'!$K48)</f>
        <v>80</v>
      </c>
      <c r="AK48" s="33">
        <f>SUMIFS(Нормативы!W:W,Нормативы!$B:$B,$G48,Нормативы!$D:$D,'2020'!$I48,Нормативы!$F:$F,'2020'!$K48)</f>
        <v>300</v>
      </c>
      <c r="AL48" s="33">
        <f>SUMIFS(Нормативы!X:X,Нормативы!$B:$B,$G48,Нормативы!$D:$D,'2020'!$I48,Нормативы!$F:$F,'2020'!$K48)*O48</f>
        <v>13440</v>
      </c>
      <c r="AM48" s="33">
        <f t="shared" si="101"/>
        <v>10322.6</v>
      </c>
      <c r="AN48" s="33">
        <f t="shared" si="102"/>
        <v>3117.4</v>
      </c>
      <c r="AO48" s="33">
        <f>SUMIFS(Нормативы!AA:AA,Нормативы!$B:$B,$G48,Нормативы!$D:$D,'2020'!$I48,Нормативы!$F:$F,'2020'!$K48)</f>
        <v>3520</v>
      </c>
      <c r="AP48" s="141">
        <f t="shared" si="103"/>
        <v>86460</v>
      </c>
      <c r="AQ48" s="413">
        <f t="shared" si="104"/>
        <v>1350500</v>
      </c>
      <c r="AR48" s="33">
        <f t="shared" si="105"/>
        <v>1037250.4</v>
      </c>
      <c r="AS48" s="33">
        <f t="shared" si="106"/>
        <v>313249.59999999998</v>
      </c>
      <c r="AT48" s="34">
        <f t="shared" si="0"/>
        <v>5500</v>
      </c>
      <c r="AU48" s="34">
        <f t="shared" si="1"/>
        <v>1100</v>
      </c>
      <c r="AV48" s="34">
        <f t="shared" si="2"/>
        <v>58000</v>
      </c>
      <c r="AW48" s="34">
        <f t="shared" si="3"/>
        <v>92750</v>
      </c>
      <c r="AX48" s="34">
        <f t="shared" si="4"/>
        <v>13000</v>
      </c>
      <c r="AY48" s="34">
        <f t="shared" si="5"/>
        <v>53500</v>
      </c>
      <c r="AZ48" s="34">
        <f t="shared" si="6"/>
        <v>7750</v>
      </c>
      <c r="BA48" s="34">
        <f t="shared" si="7"/>
        <v>18500</v>
      </c>
      <c r="BB48" s="34">
        <f t="shared" si="107"/>
        <v>61500</v>
      </c>
      <c r="BC48" s="34">
        <f t="shared" si="8"/>
        <v>127000</v>
      </c>
      <c r="BD48" s="34">
        <f t="shared" si="9"/>
        <v>13500</v>
      </c>
      <c r="BE48" s="34">
        <f t="shared" si="10"/>
        <v>19250</v>
      </c>
      <c r="BF48" s="34">
        <f t="shared" si="11"/>
        <v>2000</v>
      </c>
      <c r="BG48" s="34">
        <f t="shared" si="12"/>
        <v>7500</v>
      </c>
      <c r="BH48" s="34">
        <f t="shared" si="13"/>
        <v>336000</v>
      </c>
      <c r="BI48" s="33">
        <f t="shared" si="108"/>
        <v>258064.5</v>
      </c>
      <c r="BJ48" s="33">
        <f t="shared" si="109"/>
        <v>77935.5</v>
      </c>
      <c r="BK48" s="34">
        <f t="shared" si="14"/>
        <v>88000</v>
      </c>
      <c r="BL48" s="426">
        <f t="shared" si="15"/>
        <v>2161500</v>
      </c>
      <c r="BM48" s="616">
        <f t="shared" si="110"/>
        <v>4399929</v>
      </c>
      <c r="BN48" s="33">
        <f t="shared" si="16"/>
        <v>3379361.8</v>
      </c>
      <c r="BO48" s="33">
        <f t="shared" si="17"/>
        <v>1020567.2</v>
      </c>
      <c r="BP48" s="34">
        <f t="shared" si="111"/>
        <v>5500</v>
      </c>
      <c r="BQ48" s="34">
        <f t="shared" si="112"/>
        <v>1100</v>
      </c>
      <c r="BR48" s="34">
        <f t="shared" si="113"/>
        <v>58000</v>
      </c>
      <c r="BS48" s="34">
        <f t="shared" si="18"/>
        <v>92750</v>
      </c>
      <c r="BT48" s="34">
        <f t="shared" si="19"/>
        <v>13000</v>
      </c>
      <c r="BU48" s="34">
        <f t="shared" si="20"/>
        <v>53500</v>
      </c>
      <c r="BV48" s="34">
        <f t="shared" si="21"/>
        <v>7750</v>
      </c>
      <c r="BW48" s="34">
        <f t="shared" si="22"/>
        <v>18500</v>
      </c>
      <c r="BX48" s="34">
        <f t="shared" si="23"/>
        <v>177858</v>
      </c>
      <c r="BY48" s="34">
        <f t="shared" si="24"/>
        <v>127000</v>
      </c>
      <c r="BZ48" s="34">
        <f t="shared" si="25"/>
        <v>13500</v>
      </c>
      <c r="CA48" s="34">
        <f t="shared" si="26"/>
        <v>19250</v>
      </c>
      <c r="CB48" s="34">
        <f t="shared" si="27"/>
        <v>2000</v>
      </c>
      <c r="CC48" s="34">
        <f t="shared" si="28"/>
        <v>7500</v>
      </c>
      <c r="CD48" s="34">
        <f t="shared" si="29"/>
        <v>1094688</v>
      </c>
      <c r="CE48" s="33">
        <f t="shared" si="114"/>
        <v>840774.2</v>
      </c>
      <c r="CF48" s="33">
        <f t="shared" si="115"/>
        <v>253913.8</v>
      </c>
      <c r="CG48" s="34">
        <f t="shared" si="30"/>
        <v>88000</v>
      </c>
      <c r="CH48" s="415">
        <f t="shared" si="31"/>
        <v>6085975</v>
      </c>
      <c r="CI48" s="88">
        <f t="shared" si="32"/>
        <v>175997.16</v>
      </c>
      <c r="CJ48" s="90">
        <f t="shared" si="33"/>
        <v>135174.47200000001</v>
      </c>
      <c r="CK48" s="90">
        <f t="shared" si="34"/>
        <v>40822.688000000002</v>
      </c>
      <c r="CL48" s="88">
        <f t="shared" si="35"/>
        <v>220</v>
      </c>
      <c r="CM48" s="88">
        <f t="shared" si="36"/>
        <v>44</v>
      </c>
      <c r="CN48" s="88">
        <f t="shared" si="37"/>
        <v>2320</v>
      </c>
      <c r="CO48" s="88">
        <f t="shared" si="38"/>
        <v>3710</v>
      </c>
      <c r="CP48" s="88">
        <f t="shared" si="39"/>
        <v>520</v>
      </c>
      <c r="CQ48" s="88">
        <f t="shared" si="40"/>
        <v>2140</v>
      </c>
      <c r="CR48" s="88">
        <f t="shared" si="41"/>
        <v>310</v>
      </c>
      <c r="CS48" s="88">
        <f t="shared" si="42"/>
        <v>740</v>
      </c>
      <c r="CT48" s="88">
        <f t="shared" si="43"/>
        <v>7114.32</v>
      </c>
      <c r="CU48" s="88">
        <f t="shared" si="44"/>
        <v>5080</v>
      </c>
      <c r="CV48" s="88">
        <f t="shared" si="45"/>
        <v>540</v>
      </c>
      <c r="CW48" s="88">
        <f t="shared" si="46"/>
        <v>770</v>
      </c>
      <c r="CX48" s="88">
        <f t="shared" si="47"/>
        <v>80</v>
      </c>
      <c r="CY48" s="88">
        <f t="shared" si="48"/>
        <v>300</v>
      </c>
      <c r="CZ48" s="88">
        <f t="shared" si="49"/>
        <v>43787.519999999997</v>
      </c>
      <c r="DA48" s="90">
        <f t="shared" si="50"/>
        <v>33630.968000000001</v>
      </c>
      <c r="DB48" s="90">
        <f t="shared" si="51"/>
        <v>10156.552</v>
      </c>
      <c r="DC48" s="88">
        <f t="shared" si="52"/>
        <v>3520</v>
      </c>
      <c r="DD48" s="88">
        <f t="shared" si="53"/>
        <v>243439</v>
      </c>
      <c r="AUV48" s="699">
        <f t="shared" si="65"/>
        <v>175997.16</v>
      </c>
      <c r="AUW48" s="699">
        <f t="shared" si="66"/>
        <v>135174.47</v>
      </c>
      <c r="AUX48" s="699">
        <f t="shared" si="67"/>
        <v>40822.69</v>
      </c>
      <c r="AUY48" s="699">
        <f t="shared" si="68"/>
        <v>220</v>
      </c>
      <c r="AUZ48" s="699">
        <f t="shared" si="204"/>
        <v>380.36</v>
      </c>
      <c r="AVA48" s="699">
        <f t="shared" si="204"/>
        <v>1.07</v>
      </c>
      <c r="AVB48" s="699">
        <f t="shared" si="70"/>
        <v>3710</v>
      </c>
      <c r="AVC48" s="699">
        <f t="shared" si="71"/>
        <v>520</v>
      </c>
      <c r="AVD48" s="699">
        <f t="shared" si="72"/>
        <v>2140</v>
      </c>
      <c r="AVE48" s="699">
        <f t="shared" si="73"/>
        <v>310</v>
      </c>
      <c r="AVF48" s="699">
        <f t="shared" si="74"/>
        <v>740</v>
      </c>
      <c r="AVG48" s="699">
        <f t="shared" si="75"/>
        <v>7114.32</v>
      </c>
      <c r="AVH48" s="699">
        <f t="shared" si="76"/>
        <v>5080</v>
      </c>
      <c r="AVI48" s="699">
        <f t="shared" si="77"/>
        <v>540</v>
      </c>
      <c r="AVJ48" s="699">
        <f t="shared" si="78"/>
        <v>770</v>
      </c>
      <c r="AVK48" s="699">
        <f t="shared" si="79"/>
        <v>80</v>
      </c>
      <c r="AVL48" s="699">
        <f t="shared" si="80"/>
        <v>300</v>
      </c>
      <c r="AVM48" s="699">
        <f t="shared" si="81"/>
        <v>43787.519999999997</v>
      </c>
      <c r="AVN48" s="699">
        <f t="shared" si="82"/>
        <v>33630.97</v>
      </c>
      <c r="AVO48" s="699">
        <f t="shared" si="83"/>
        <v>10156.549999999999</v>
      </c>
      <c r="AVP48" s="699">
        <f t="shared" si="84"/>
        <v>3520</v>
      </c>
      <c r="AVQ48" s="699">
        <f t="shared" si="85"/>
        <v>243439</v>
      </c>
    </row>
    <row r="49" spans="1:108 1244:1265" ht="30" customHeight="1" x14ac:dyDescent="0.25">
      <c r="A49" s="643">
        <v>1</v>
      </c>
      <c r="B49" s="643">
        <v>9</v>
      </c>
      <c r="C49" s="664" t="s">
        <v>247</v>
      </c>
      <c r="D49" s="2"/>
      <c r="E49" s="101" t="s">
        <v>344</v>
      </c>
      <c r="F49" s="643" t="s">
        <v>31</v>
      </c>
      <c r="G49" s="643">
        <v>1</v>
      </c>
      <c r="H49" s="658" t="s">
        <v>10</v>
      </c>
      <c r="I49" s="643">
        <v>0</v>
      </c>
      <c r="J49" s="101" t="s">
        <v>376</v>
      </c>
      <c r="K49" s="643">
        <v>1</v>
      </c>
      <c r="L49" s="683" t="s">
        <v>349</v>
      </c>
      <c r="M49" s="11" t="s">
        <v>286</v>
      </c>
      <c r="N49" s="101" t="s">
        <v>387</v>
      </c>
      <c r="O49" s="643">
        <v>1</v>
      </c>
      <c r="P49" s="632">
        <v>18</v>
      </c>
      <c r="Q49" s="632">
        <v>18</v>
      </c>
      <c r="R49" s="632">
        <v>18</v>
      </c>
      <c r="S49" s="675">
        <f>SUMIF('Территориальный кк'!$A:$A,'2020'!$B49,'Территориальный кк'!D:D)</f>
        <v>3.258</v>
      </c>
      <c r="T49" s="676">
        <f>SUMIF('Территориальный кк'!$A:$A,'2020'!$B49,'Территориальный кк'!E:E)</f>
        <v>2.8919999999999999</v>
      </c>
      <c r="U49" s="33">
        <f>SUMIFS(Нормативы!G:G,Нормативы!$B:$B,$G49,Нормативы!$D:$D,'2020'!$I49,Нормативы!$F:$F,'2020'!$K49)*O49</f>
        <v>54020</v>
      </c>
      <c r="V49" s="33">
        <f t="shared" si="98"/>
        <v>41490</v>
      </c>
      <c r="W49" s="33">
        <f t="shared" si="99"/>
        <v>12530</v>
      </c>
      <c r="X49" s="33">
        <f>SUMIFS(Нормативы!J:J,Нормативы!$B:$B,$G49,Нормативы!$D:$D,'2020'!$I49,Нормативы!$F:$F,'2020'!$K49)</f>
        <v>220</v>
      </c>
      <c r="Y49" s="33">
        <f>SUMIFS(Нормативы!K:K,Нормативы!$B:$B,$G49,Нормативы!$D:$D,'2020'!$I49,Нормативы!$F:$F,'2020'!$K49)</f>
        <v>44</v>
      </c>
      <c r="Z49" s="33">
        <f>SUMIFS(Нормативы!L:L,Нормативы!$B:$B,$G49,Нормативы!$D:$D,'2020'!$I49,Нормативы!$F:$F,'2020'!$K49)</f>
        <v>2320</v>
      </c>
      <c r="AA49" s="33">
        <f t="shared" si="100"/>
        <v>3710</v>
      </c>
      <c r="AB49" s="33">
        <f>SUMIFS(Нормативы!N:N,Нормативы!$B:$B,$G49,Нормативы!$D:$D,'2020'!$I49,Нормативы!$F:$F,'2020'!$K49)*O49</f>
        <v>520</v>
      </c>
      <c r="AC49" s="33">
        <f>SUMIFS(Нормативы!O:O,Нормативы!$B:$B,$G49,Нормативы!$D:$D,'2020'!$I49,Нормативы!$F:$F,'2020'!$K49)</f>
        <v>2140</v>
      </c>
      <c r="AD49" s="33">
        <f>SUMIFS(Нормативы!P:P,Нормативы!$B:$B,$G49,Нормативы!$D:$D,'2020'!$I49,Нормативы!$F:$F,'2020'!$K49)*O49</f>
        <v>310</v>
      </c>
      <c r="AE49" s="33">
        <f>SUMIFS(Нормативы!Q:Q,Нормативы!$B:$B,$G49,Нормативы!$D:$D,'2020'!$I49,Нормативы!$F:$F,'2020'!$K49)</f>
        <v>740</v>
      </c>
      <c r="AF49" s="33">
        <f>SUMIFS(Нормативы!R:R,Нормативы!$B:$B,$G49,Нормативы!$D:$D,'2020'!$I49,Нормативы!$F:$F,'2020'!$K49)</f>
        <v>2460</v>
      </c>
      <c r="AG49" s="33">
        <f>SUMIFS(Нормативы!S:S,Нормативы!$B:$B,$G49,Нормативы!$D:$D,'2020'!$I49,Нормативы!$F:$F,'2020'!$K49)</f>
        <v>5080</v>
      </c>
      <c r="AH49" s="33">
        <f>SUMIFS(Нормативы!T:T,Нормативы!$B:$B,$G49,Нормативы!$D:$D,'2020'!$I49,Нормативы!$F:$F,'2020'!$K49)</f>
        <v>540</v>
      </c>
      <c r="AI49" s="33">
        <f>SUMIFS(Нормативы!U:U,Нормативы!$B:$B,$G49,Нормативы!$D:$D,'2020'!$I49,Нормативы!$F:$F,'2020'!$K49)</f>
        <v>770</v>
      </c>
      <c r="AJ49" s="33">
        <f>SUMIFS(Нормативы!V:V,Нормативы!$B:$B,$G49,Нормативы!$D:$D,'2020'!$I49,Нормативы!$F:$F,'2020'!$K49)</f>
        <v>80</v>
      </c>
      <c r="AK49" s="33">
        <f>SUMIFS(Нормативы!W:W,Нормативы!$B:$B,$G49,Нормативы!$D:$D,'2020'!$I49,Нормативы!$F:$F,'2020'!$K49)</f>
        <v>300</v>
      </c>
      <c r="AL49" s="33">
        <f>SUMIFS(Нормативы!X:X,Нормативы!$B:$B,$G49,Нормативы!$D:$D,'2020'!$I49,Нормативы!$F:$F,'2020'!$K49)*O49</f>
        <v>13440</v>
      </c>
      <c r="AM49" s="33">
        <f t="shared" si="101"/>
        <v>10322.6</v>
      </c>
      <c r="AN49" s="33">
        <f t="shared" si="102"/>
        <v>3117.4</v>
      </c>
      <c r="AO49" s="33">
        <f>SUMIFS(Нормативы!AA:AA,Нормативы!$B:$B,$G49,Нормативы!$D:$D,'2020'!$I49,Нормативы!$F:$F,'2020'!$K49)</f>
        <v>3520</v>
      </c>
      <c r="AP49" s="141">
        <f t="shared" si="103"/>
        <v>86460</v>
      </c>
      <c r="AQ49" s="413">
        <f t="shared" si="104"/>
        <v>972360</v>
      </c>
      <c r="AR49" s="33">
        <f t="shared" si="105"/>
        <v>746820.3</v>
      </c>
      <c r="AS49" s="33">
        <f t="shared" si="106"/>
        <v>225539.7</v>
      </c>
      <c r="AT49" s="34">
        <f t="shared" si="0"/>
        <v>3960</v>
      </c>
      <c r="AU49" s="34">
        <f t="shared" si="1"/>
        <v>792</v>
      </c>
      <c r="AV49" s="34">
        <f t="shared" si="2"/>
        <v>41760</v>
      </c>
      <c r="AW49" s="34">
        <f t="shared" si="3"/>
        <v>66780</v>
      </c>
      <c r="AX49" s="34">
        <f t="shared" si="4"/>
        <v>9360</v>
      </c>
      <c r="AY49" s="34">
        <f t="shared" si="5"/>
        <v>38520</v>
      </c>
      <c r="AZ49" s="34">
        <f t="shared" si="6"/>
        <v>5580</v>
      </c>
      <c r="BA49" s="34">
        <f t="shared" si="7"/>
        <v>13320</v>
      </c>
      <c r="BB49" s="34">
        <f t="shared" si="107"/>
        <v>44280</v>
      </c>
      <c r="BC49" s="34">
        <f t="shared" si="8"/>
        <v>91440</v>
      </c>
      <c r="BD49" s="34">
        <f t="shared" si="9"/>
        <v>9720</v>
      </c>
      <c r="BE49" s="34">
        <f t="shared" si="10"/>
        <v>13860</v>
      </c>
      <c r="BF49" s="34">
        <f t="shared" si="11"/>
        <v>1440</v>
      </c>
      <c r="BG49" s="34">
        <f t="shared" si="12"/>
        <v>5400</v>
      </c>
      <c r="BH49" s="34">
        <f t="shared" si="13"/>
        <v>241920</v>
      </c>
      <c r="BI49" s="33">
        <f t="shared" si="108"/>
        <v>185806.5</v>
      </c>
      <c r="BJ49" s="33">
        <f t="shared" si="109"/>
        <v>56113.5</v>
      </c>
      <c r="BK49" s="34">
        <f t="shared" si="14"/>
        <v>63360</v>
      </c>
      <c r="BL49" s="426">
        <f t="shared" si="15"/>
        <v>1556280</v>
      </c>
      <c r="BM49" s="616">
        <f t="shared" si="110"/>
        <v>3167949</v>
      </c>
      <c r="BN49" s="33">
        <f t="shared" si="16"/>
        <v>2433140.6</v>
      </c>
      <c r="BO49" s="33">
        <f t="shared" si="17"/>
        <v>734808.4</v>
      </c>
      <c r="BP49" s="34">
        <f t="shared" si="111"/>
        <v>3960</v>
      </c>
      <c r="BQ49" s="34">
        <f t="shared" si="112"/>
        <v>792</v>
      </c>
      <c r="BR49" s="34">
        <f t="shared" si="113"/>
        <v>41760</v>
      </c>
      <c r="BS49" s="34">
        <f t="shared" si="18"/>
        <v>66780</v>
      </c>
      <c r="BT49" s="34">
        <f t="shared" si="19"/>
        <v>9360</v>
      </c>
      <c r="BU49" s="34">
        <f t="shared" si="20"/>
        <v>38520</v>
      </c>
      <c r="BV49" s="34">
        <f t="shared" si="21"/>
        <v>5580</v>
      </c>
      <c r="BW49" s="34">
        <f t="shared" si="22"/>
        <v>13320</v>
      </c>
      <c r="BX49" s="34">
        <f t="shared" si="23"/>
        <v>128058</v>
      </c>
      <c r="BY49" s="34">
        <f t="shared" si="24"/>
        <v>91440</v>
      </c>
      <c r="BZ49" s="34">
        <f t="shared" si="25"/>
        <v>9720</v>
      </c>
      <c r="CA49" s="34">
        <f t="shared" si="26"/>
        <v>13860</v>
      </c>
      <c r="CB49" s="34">
        <f t="shared" si="27"/>
        <v>1440</v>
      </c>
      <c r="CC49" s="34">
        <f t="shared" si="28"/>
        <v>5400</v>
      </c>
      <c r="CD49" s="34">
        <f t="shared" si="29"/>
        <v>788175</v>
      </c>
      <c r="CE49" s="33">
        <f t="shared" si="114"/>
        <v>605357.1</v>
      </c>
      <c r="CF49" s="33">
        <f t="shared" si="115"/>
        <v>182817.9</v>
      </c>
      <c r="CG49" s="34">
        <f t="shared" si="30"/>
        <v>63360</v>
      </c>
      <c r="CH49" s="415">
        <f t="shared" si="31"/>
        <v>4381902</v>
      </c>
      <c r="CI49" s="88">
        <f t="shared" si="32"/>
        <v>175997.1667</v>
      </c>
      <c r="CJ49" s="90">
        <f t="shared" si="33"/>
        <v>135174.47779999999</v>
      </c>
      <c r="CK49" s="90">
        <f t="shared" si="34"/>
        <v>40822.688900000001</v>
      </c>
      <c r="CL49" s="88">
        <f t="shared" si="35"/>
        <v>220</v>
      </c>
      <c r="CM49" s="88">
        <f t="shared" si="36"/>
        <v>44</v>
      </c>
      <c r="CN49" s="88">
        <f t="shared" si="37"/>
        <v>2320</v>
      </c>
      <c r="CO49" s="88">
        <f t="shared" si="38"/>
        <v>3710</v>
      </c>
      <c r="CP49" s="88">
        <f t="shared" si="39"/>
        <v>520</v>
      </c>
      <c r="CQ49" s="88">
        <f t="shared" si="40"/>
        <v>2140</v>
      </c>
      <c r="CR49" s="88">
        <f t="shared" si="41"/>
        <v>310</v>
      </c>
      <c r="CS49" s="88">
        <f t="shared" si="42"/>
        <v>740</v>
      </c>
      <c r="CT49" s="88">
        <f t="shared" si="43"/>
        <v>7114.3333000000002</v>
      </c>
      <c r="CU49" s="88">
        <f t="shared" si="44"/>
        <v>5080</v>
      </c>
      <c r="CV49" s="88">
        <f t="shared" si="45"/>
        <v>540</v>
      </c>
      <c r="CW49" s="88">
        <f t="shared" si="46"/>
        <v>770</v>
      </c>
      <c r="CX49" s="88">
        <f t="shared" si="47"/>
        <v>80</v>
      </c>
      <c r="CY49" s="88">
        <f t="shared" si="48"/>
        <v>300</v>
      </c>
      <c r="CZ49" s="88">
        <f t="shared" si="49"/>
        <v>43787.5</v>
      </c>
      <c r="DA49" s="90">
        <f t="shared" si="50"/>
        <v>33630.949999999997</v>
      </c>
      <c r="DB49" s="90">
        <f t="shared" si="51"/>
        <v>10156.549999999999</v>
      </c>
      <c r="DC49" s="88">
        <f t="shared" si="52"/>
        <v>3520</v>
      </c>
      <c r="DD49" s="88">
        <f t="shared" si="53"/>
        <v>243439</v>
      </c>
      <c r="AUV49" s="699">
        <f t="shared" si="65"/>
        <v>175997.17</v>
      </c>
      <c r="AUW49" s="699">
        <f t="shared" si="66"/>
        <v>135174.48000000001</v>
      </c>
      <c r="AUX49" s="699">
        <f t="shared" si="67"/>
        <v>40822.69</v>
      </c>
      <c r="AUY49" s="699">
        <f t="shared" si="68"/>
        <v>220</v>
      </c>
      <c r="AUZ49" s="699">
        <f t="shared" si="204"/>
        <v>273.86</v>
      </c>
      <c r="AVA49" s="699">
        <f t="shared" si="204"/>
        <v>0.77</v>
      </c>
      <c r="AVB49" s="699">
        <f t="shared" si="70"/>
        <v>3710</v>
      </c>
      <c r="AVC49" s="699">
        <f t="shared" si="71"/>
        <v>520</v>
      </c>
      <c r="AVD49" s="699">
        <f t="shared" si="72"/>
        <v>2140</v>
      </c>
      <c r="AVE49" s="699">
        <f t="shared" si="73"/>
        <v>310</v>
      </c>
      <c r="AVF49" s="699">
        <f t="shared" si="74"/>
        <v>740</v>
      </c>
      <c r="AVG49" s="699">
        <f t="shared" si="75"/>
        <v>7114.33</v>
      </c>
      <c r="AVH49" s="699">
        <f t="shared" si="76"/>
        <v>5080</v>
      </c>
      <c r="AVI49" s="699">
        <f t="shared" si="77"/>
        <v>540</v>
      </c>
      <c r="AVJ49" s="699">
        <f t="shared" si="78"/>
        <v>770</v>
      </c>
      <c r="AVK49" s="699">
        <f t="shared" si="79"/>
        <v>80</v>
      </c>
      <c r="AVL49" s="699">
        <f t="shared" si="80"/>
        <v>300</v>
      </c>
      <c r="AVM49" s="699">
        <f t="shared" si="81"/>
        <v>43787.5</v>
      </c>
      <c r="AVN49" s="699">
        <f t="shared" si="82"/>
        <v>33630.949999999997</v>
      </c>
      <c r="AVO49" s="699">
        <f t="shared" si="83"/>
        <v>10156.549999999999</v>
      </c>
      <c r="AVP49" s="699">
        <f t="shared" si="84"/>
        <v>3520</v>
      </c>
      <c r="AVQ49" s="699">
        <f t="shared" si="85"/>
        <v>243439</v>
      </c>
    </row>
    <row r="50" spans="1:108 1244:1265" ht="30" customHeight="1" x14ac:dyDescent="0.25">
      <c r="A50" s="643">
        <v>1</v>
      </c>
      <c r="B50" s="643">
        <v>9</v>
      </c>
      <c r="C50" s="664" t="s">
        <v>247</v>
      </c>
      <c r="D50" s="2"/>
      <c r="E50" s="101" t="s">
        <v>344</v>
      </c>
      <c r="F50" s="643" t="s">
        <v>31</v>
      </c>
      <c r="G50" s="643">
        <v>1</v>
      </c>
      <c r="H50" s="658" t="s">
        <v>8</v>
      </c>
      <c r="I50" s="643">
        <v>3</v>
      </c>
      <c r="J50" s="101" t="s">
        <v>377</v>
      </c>
      <c r="K50" s="643">
        <v>1</v>
      </c>
      <c r="L50" s="683" t="s">
        <v>349</v>
      </c>
      <c r="M50" s="11" t="s">
        <v>287</v>
      </c>
      <c r="N50" s="101" t="s">
        <v>387</v>
      </c>
      <c r="O50" s="643">
        <v>1</v>
      </c>
      <c r="P50" s="632">
        <v>10</v>
      </c>
      <c r="Q50" s="632">
        <v>10</v>
      </c>
      <c r="R50" s="632">
        <v>10</v>
      </c>
      <c r="S50" s="675">
        <f>SUMIF('Территориальный кк'!$A:$A,'2020'!$B50,'Территориальный кк'!D:D)</f>
        <v>3.258</v>
      </c>
      <c r="T50" s="676">
        <f>SUMIF('Территориальный кк'!$A:$A,'2020'!$B50,'Территориальный кк'!E:E)</f>
        <v>2.8919999999999999</v>
      </c>
      <c r="U50" s="33">
        <f>SUMIFS(Нормативы!G:G,Нормативы!$B:$B,$G50,Нормативы!$D:$D,'2020'!$I50,Нормативы!$F:$F,'2020'!$K50)*O50</f>
        <v>5402</v>
      </c>
      <c r="V50" s="33">
        <f t="shared" si="98"/>
        <v>4149</v>
      </c>
      <c r="W50" s="33">
        <f t="shared" si="99"/>
        <v>1253</v>
      </c>
      <c r="X50" s="33">
        <f>SUMIFS(Нормативы!J:J,Нормативы!$B:$B,$G50,Нормативы!$D:$D,'2020'!$I50,Нормативы!$F:$F,'2020'!$K50)</f>
        <v>22</v>
      </c>
      <c r="Y50" s="33">
        <f>SUMIFS(Нормативы!K:K,Нормативы!$B:$B,$G50,Нормативы!$D:$D,'2020'!$I50,Нормативы!$F:$F,'2020'!$K50)</f>
        <v>4</v>
      </c>
      <c r="Z50" s="33">
        <f>SUMIFS(Нормативы!L:L,Нормативы!$B:$B,$G50,Нормативы!$D:$D,'2020'!$I50,Нормативы!$F:$F,'2020'!$K50)</f>
        <v>232</v>
      </c>
      <c r="AA50" s="33">
        <f t="shared" si="100"/>
        <v>371</v>
      </c>
      <c r="AB50" s="33">
        <f>SUMIFS(Нормативы!N:N,Нормативы!$B:$B,$G50,Нормативы!$D:$D,'2020'!$I50,Нормативы!$F:$F,'2020'!$K50)*O50</f>
        <v>52</v>
      </c>
      <c r="AC50" s="33">
        <f>SUMIFS(Нормативы!O:O,Нормативы!$B:$B,$G50,Нормативы!$D:$D,'2020'!$I50,Нормативы!$F:$F,'2020'!$K50)</f>
        <v>214</v>
      </c>
      <c r="AD50" s="33">
        <f>SUMIFS(Нормативы!P:P,Нормативы!$B:$B,$G50,Нормативы!$D:$D,'2020'!$I50,Нормативы!$F:$F,'2020'!$K50)*O50</f>
        <v>31</v>
      </c>
      <c r="AE50" s="33">
        <f>SUMIFS(Нормативы!Q:Q,Нормативы!$B:$B,$G50,Нормативы!$D:$D,'2020'!$I50,Нормативы!$F:$F,'2020'!$K50)</f>
        <v>74</v>
      </c>
      <c r="AF50" s="33">
        <f>SUMIFS(Нормативы!R:R,Нормативы!$B:$B,$G50,Нормативы!$D:$D,'2020'!$I50,Нормативы!$F:$F,'2020'!$K50)</f>
        <v>246</v>
      </c>
      <c r="AG50" s="33">
        <f>SUMIFS(Нормативы!S:S,Нормативы!$B:$B,$G50,Нормативы!$D:$D,'2020'!$I50,Нормативы!$F:$F,'2020'!$K50)</f>
        <v>508</v>
      </c>
      <c r="AH50" s="33">
        <f>SUMIFS(Нормативы!T:T,Нормативы!$B:$B,$G50,Нормативы!$D:$D,'2020'!$I50,Нормативы!$F:$F,'2020'!$K50)</f>
        <v>54</v>
      </c>
      <c r="AI50" s="33">
        <f>SUMIFS(Нормативы!U:U,Нормативы!$B:$B,$G50,Нормативы!$D:$D,'2020'!$I50,Нормативы!$F:$F,'2020'!$K50)</f>
        <v>77</v>
      </c>
      <c r="AJ50" s="33">
        <f>SUMIFS(Нормативы!V:V,Нормативы!$B:$B,$G50,Нормативы!$D:$D,'2020'!$I50,Нормативы!$F:$F,'2020'!$K50)</f>
        <v>8</v>
      </c>
      <c r="AK50" s="33">
        <f>SUMIFS(Нормативы!W:W,Нормативы!$B:$B,$G50,Нормативы!$D:$D,'2020'!$I50,Нормативы!$F:$F,'2020'!$K50)</f>
        <v>30</v>
      </c>
      <c r="AL50" s="33">
        <f>SUMIFS(Нормативы!X:X,Нормативы!$B:$B,$G50,Нормативы!$D:$D,'2020'!$I50,Нормативы!$F:$F,'2020'!$K50)*O50</f>
        <v>1344</v>
      </c>
      <c r="AM50" s="33">
        <f t="shared" si="101"/>
        <v>1032.3</v>
      </c>
      <c r="AN50" s="33">
        <f t="shared" si="102"/>
        <v>311.7</v>
      </c>
      <c r="AO50" s="33">
        <f>SUMIFS(Нормативы!AA:AA,Нормативы!$B:$B,$G50,Нормативы!$D:$D,'2020'!$I50,Нормативы!$F:$F,'2020'!$K50)</f>
        <v>0</v>
      </c>
      <c r="AP50" s="141">
        <f t="shared" si="103"/>
        <v>8294</v>
      </c>
      <c r="AQ50" s="413">
        <f t="shared" si="104"/>
        <v>54020</v>
      </c>
      <c r="AR50" s="33">
        <f t="shared" si="105"/>
        <v>41490</v>
      </c>
      <c r="AS50" s="33">
        <f t="shared" si="106"/>
        <v>12530</v>
      </c>
      <c r="AT50" s="34">
        <f t="shared" si="0"/>
        <v>220</v>
      </c>
      <c r="AU50" s="34">
        <f t="shared" si="1"/>
        <v>40</v>
      </c>
      <c r="AV50" s="34">
        <f t="shared" si="2"/>
        <v>2320</v>
      </c>
      <c r="AW50" s="34">
        <f t="shared" si="3"/>
        <v>3710</v>
      </c>
      <c r="AX50" s="34">
        <f t="shared" si="4"/>
        <v>520</v>
      </c>
      <c r="AY50" s="34">
        <f t="shared" si="5"/>
        <v>2140</v>
      </c>
      <c r="AZ50" s="34">
        <f t="shared" si="6"/>
        <v>310</v>
      </c>
      <c r="BA50" s="34">
        <f t="shared" si="7"/>
        <v>740</v>
      </c>
      <c r="BB50" s="34">
        <f t="shared" si="107"/>
        <v>2460</v>
      </c>
      <c r="BC50" s="34">
        <f t="shared" si="8"/>
        <v>5080</v>
      </c>
      <c r="BD50" s="34">
        <f t="shared" si="9"/>
        <v>540</v>
      </c>
      <c r="BE50" s="34">
        <f t="shared" si="10"/>
        <v>770</v>
      </c>
      <c r="BF50" s="34">
        <f t="shared" si="11"/>
        <v>80</v>
      </c>
      <c r="BG50" s="34">
        <f t="shared" si="12"/>
        <v>300</v>
      </c>
      <c r="BH50" s="34">
        <f t="shared" si="13"/>
        <v>13440</v>
      </c>
      <c r="BI50" s="33">
        <f t="shared" si="108"/>
        <v>10322.6</v>
      </c>
      <c r="BJ50" s="33">
        <f t="shared" si="109"/>
        <v>3117.4</v>
      </c>
      <c r="BK50" s="34">
        <f t="shared" si="14"/>
        <v>0</v>
      </c>
      <c r="BL50" s="426">
        <f t="shared" si="15"/>
        <v>82940</v>
      </c>
      <c r="BM50" s="616">
        <f t="shared" si="110"/>
        <v>175997</v>
      </c>
      <c r="BN50" s="33">
        <f t="shared" si="16"/>
        <v>135174.29999999999</v>
      </c>
      <c r="BO50" s="33">
        <f t="shared" si="17"/>
        <v>40822.699999999997</v>
      </c>
      <c r="BP50" s="34">
        <f t="shared" si="111"/>
        <v>220</v>
      </c>
      <c r="BQ50" s="34">
        <f t="shared" si="112"/>
        <v>40</v>
      </c>
      <c r="BR50" s="34">
        <f t="shared" si="113"/>
        <v>2320</v>
      </c>
      <c r="BS50" s="34">
        <f t="shared" si="18"/>
        <v>3710</v>
      </c>
      <c r="BT50" s="34">
        <f t="shared" si="19"/>
        <v>520</v>
      </c>
      <c r="BU50" s="34">
        <f t="shared" si="20"/>
        <v>2140</v>
      </c>
      <c r="BV50" s="34">
        <f t="shared" si="21"/>
        <v>310</v>
      </c>
      <c r="BW50" s="34">
        <f t="shared" si="22"/>
        <v>740</v>
      </c>
      <c r="BX50" s="34">
        <f t="shared" si="23"/>
        <v>7114</v>
      </c>
      <c r="BY50" s="34">
        <f t="shared" si="24"/>
        <v>5080</v>
      </c>
      <c r="BZ50" s="34">
        <f t="shared" si="25"/>
        <v>540</v>
      </c>
      <c r="CA50" s="34">
        <f t="shared" si="26"/>
        <v>770</v>
      </c>
      <c r="CB50" s="34">
        <f t="shared" si="27"/>
        <v>80</v>
      </c>
      <c r="CC50" s="34">
        <f t="shared" si="28"/>
        <v>300</v>
      </c>
      <c r="CD50" s="34">
        <f t="shared" si="29"/>
        <v>43788</v>
      </c>
      <c r="CE50" s="33">
        <f t="shared" si="114"/>
        <v>33631.300000000003</v>
      </c>
      <c r="CF50" s="33">
        <f t="shared" si="115"/>
        <v>10156.700000000001</v>
      </c>
      <c r="CG50" s="34">
        <f t="shared" si="30"/>
        <v>0</v>
      </c>
      <c r="CH50" s="415">
        <f t="shared" si="31"/>
        <v>239919</v>
      </c>
      <c r="CI50" s="88">
        <f t="shared" si="32"/>
        <v>17599.7</v>
      </c>
      <c r="CJ50" s="90">
        <f t="shared" si="33"/>
        <v>13517.43</v>
      </c>
      <c r="CK50" s="90">
        <f t="shared" si="34"/>
        <v>4082.27</v>
      </c>
      <c r="CL50" s="88">
        <f t="shared" si="35"/>
        <v>22</v>
      </c>
      <c r="CM50" s="88">
        <f t="shared" si="36"/>
        <v>4</v>
      </c>
      <c r="CN50" s="88">
        <f t="shared" si="37"/>
        <v>232</v>
      </c>
      <c r="CO50" s="88">
        <f t="shared" si="38"/>
        <v>371</v>
      </c>
      <c r="CP50" s="88">
        <f t="shared" si="39"/>
        <v>52</v>
      </c>
      <c r="CQ50" s="88">
        <f t="shared" si="40"/>
        <v>214</v>
      </c>
      <c r="CR50" s="88">
        <f t="shared" si="41"/>
        <v>31</v>
      </c>
      <c r="CS50" s="88">
        <f t="shared" si="42"/>
        <v>74</v>
      </c>
      <c r="CT50" s="88">
        <f t="shared" si="43"/>
        <v>711.4</v>
      </c>
      <c r="CU50" s="88">
        <f t="shared" si="44"/>
        <v>508</v>
      </c>
      <c r="CV50" s="88">
        <f t="shared" si="45"/>
        <v>54</v>
      </c>
      <c r="CW50" s="88">
        <f t="shared" si="46"/>
        <v>77</v>
      </c>
      <c r="CX50" s="88">
        <f t="shared" si="47"/>
        <v>8</v>
      </c>
      <c r="CY50" s="88">
        <f t="shared" si="48"/>
        <v>30</v>
      </c>
      <c r="CZ50" s="88">
        <f t="shared" si="49"/>
        <v>4378.8</v>
      </c>
      <c r="DA50" s="90">
        <f t="shared" si="50"/>
        <v>3363.13</v>
      </c>
      <c r="DB50" s="90">
        <f t="shared" si="51"/>
        <v>1015.67</v>
      </c>
      <c r="DC50" s="88">
        <f t="shared" si="52"/>
        <v>0</v>
      </c>
      <c r="DD50" s="88">
        <f t="shared" si="53"/>
        <v>23991.9</v>
      </c>
      <c r="AUV50" s="699">
        <f t="shared" si="65"/>
        <v>17599.7</v>
      </c>
      <c r="AUW50" s="699">
        <f t="shared" si="66"/>
        <v>13517.43</v>
      </c>
      <c r="AUX50" s="699">
        <f t="shared" si="67"/>
        <v>4082.27</v>
      </c>
      <c r="AUY50" s="699">
        <f t="shared" si="68"/>
        <v>22</v>
      </c>
      <c r="AUZ50" s="699">
        <f t="shared" si="204"/>
        <v>13.83</v>
      </c>
      <c r="AVA50" s="699">
        <f t="shared" si="204"/>
        <v>0.43</v>
      </c>
      <c r="AVB50" s="699">
        <f t="shared" si="70"/>
        <v>371</v>
      </c>
      <c r="AVC50" s="699">
        <f t="shared" si="71"/>
        <v>52</v>
      </c>
      <c r="AVD50" s="699">
        <f t="shared" si="72"/>
        <v>214</v>
      </c>
      <c r="AVE50" s="699">
        <f t="shared" si="73"/>
        <v>31</v>
      </c>
      <c r="AVF50" s="699">
        <f t="shared" si="74"/>
        <v>74</v>
      </c>
      <c r="AVG50" s="699">
        <f t="shared" si="75"/>
        <v>711.4</v>
      </c>
      <c r="AVH50" s="699">
        <f t="shared" si="76"/>
        <v>508</v>
      </c>
      <c r="AVI50" s="699">
        <f t="shared" si="77"/>
        <v>54</v>
      </c>
      <c r="AVJ50" s="699">
        <f t="shared" si="78"/>
        <v>77</v>
      </c>
      <c r="AVK50" s="699">
        <f t="shared" si="79"/>
        <v>8</v>
      </c>
      <c r="AVL50" s="699">
        <f t="shared" si="80"/>
        <v>30</v>
      </c>
      <c r="AVM50" s="699">
        <f t="shared" si="81"/>
        <v>4378.8</v>
      </c>
      <c r="AVN50" s="699">
        <f t="shared" si="82"/>
        <v>3363.13</v>
      </c>
      <c r="AVO50" s="699">
        <f t="shared" si="83"/>
        <v>1015.67</v>
      </c>
      <c r="AVP50" s="699">
        <f t="shared" si="84"/>
        <v>0</v>
      </c>
      <c r="AVQ50" s="699">
        <f t="shared" si="85"/>
        <v>23991.9</v>
      </c>
    </row>
    <row r="51" spans="1:108 1244:1265" ht="30" customHeight="1" x14ac:dyDescent="0.25">
      <c r="A51" s="643">
        <v>1</v>
      </c>
      <c r="B51" s="643">
        <v>9</v>
      </c>
      <c r="C51" s="664" t="s">
        <v>247</v>
      </c>
      <c r="D51" s="2"/>
      <c r="E51" s="101" t="s">
        <v>344</v>
      </c>
      <c r="F51" s="643" t="s">
        <v>31</v>
      </c>
      <c r="G51" s="643">
        <v>1</v>
      </c>
      <c r="H51" s="658" t="s">
        <v>8</v>
      </c>
      <c r="I51" s="643">
        <v>3</v>
      </c>
      <c r="J51" s="101" t="s">
        <v>358</v>
      </c>
      <c r="K51" s="643">
        <v>1</v>
      </c>
      <c r="L51" s="683" t="s">
        <v>349</v>
      </c>
      <c r="M51" s="11" t="s">
        <v>288</v>
      </c>
      <c r="N51" s="101" t="s">
        <v>387</v>
      </c>
      <c r="O51" s="643">
        <v>1</v>
      </c>
      <c r="P51" s="632">
        <v>28</v>
      </c>
      <c r="Q51" s="632">
        <v>28</v>
      </c>
      <c r="R51" s="632">
        <v>28</v>
      </c>
      <c r="S51" s="675">
        <f>SUMIF('Территориальный кк'!$A:$A,'2020'!$B51,'Территориальный кк'!D:D)</f>
        <v>3.258</v>
      </c>
      <c r="T51" s="676">
        <f>SUMIF('Территориальный кк'!$A:$A,'2020'!$B51,'Территориальный кк'!E:E)</f>
        <v>2.8919999999999999</v>
      </c>
      <c r="U51" s="33">
        <f>SUMIFS(Нормативы!G:G,Нормативы!$B:$B,$G51,Нормативы!$D:$D,'2020'!$I51,Нормативы!$F:$F,'2020'!$K51)*O51</f>
        <v>5402</v>
      </c>
      <c r="V51" s="33">
        <f t="shared" si="98"/>
        <v>4149</v>
      </c>
      <c r="W51" s="33">
        <f t="shared" si="99"/>
        <v>1253</v>
      </c>
      <c r="X51" s="33">
        <f>SUMIFS(Нормативы!J:J,Нормативы!$B:$B,$G51,Нормативы!$D:$D,'2020'!$I51,Нормативы!$F:$F,'2020'!$K51)</f>
        <v>22</v>
      </c>
      <c r="Y51" s="33">
        <f>SUMIFS(Нормативы!K:K,Нормативы!$B:$B,$G51,Нормативы!$D:$D,'2020'!$I51,Нормативы!$F:$F,'2020'!$K51)</f>
        <v>4</v>
      </c>
      <c r="Z51" s="33">
        <f>SUMIFS(Нормативы!L:L,Нормативы!$B:$B,$G51,Нормативы!$D:$D,'2020'!$I51,Нормативы!$F:$F,'2020'!$K51)</f>
        <v>232</v>
      </c>
      <c r="AA51" s="33">
        <f t="shared" si="100"/>
        <v>371</v>
      </c>
      <c r="AB51" s="33">
        <f>SUMIFS(Нормативы!N:N,Нормативы!$B:$B,$G51,Нормативы!$D:$D,'2020'!$I51,Нормативы!$F:$F,'2020'!$K51)*O51</f>
        <v>52</v>
      </c>
      <c r="AC51" s="33">
        <f>SUMIFS(Нормативы!O:O,Нормативы!$B:$B,$G51,Нормативы!$D:$D,'2020'!$I51,Нормативы!$F:$F,'2020'!$K51)</f>
        <v>214</v>
      </c>
      <c r="AD51" s="33">
        <f>SUMIFS(Нормативы!P:P,Нормативы!$B:$B,$G51,Нормативы!$D:$D,'2020'!$I51,Нормативы!$F:$F,'2020'!$K51)*O51</f>
        <v>31</v>
      </c>
      <c r="AE51" s="33">
        <f>SUMIFS(Нормативы!Q:Q,Нормативы!$B:$B,$G51,Нормативы!$D:$D,'2020'!$I51,Нормативы!$F:$F,'2020'!$K51)</f>
        <v>74</v>
      </c>
      <c r="AF51" s="33">
        <f>SUMIFS(Нормативы!R:R,Нормативы!$B:$B,$G51,Нормативы!$D:$D,'2020'!$I51,Нормативы!$F:$F,'2020'!$K51)</f>
        <v>246</v>
      </c>
      <c r="AG51" s="33">
        <f>SUMIFS(Нормативы!S:S,Нормативы!$B:$B,$G51,Нормативы!$D:$D,'2020'!$I51,Нормативы!$F:$F,'2020'!$K51)</f>
        <v>508</v>
      </c>
      <c r="AH51" s="33">
        <f>SUMIFS(Нормативы!T:T,Нормативы!$B:$B,$G51,Нормативы!$D:$D,'2020'!$I51,Нормативы!$F:$F,'2020'!$K51)</f>
        <v>54</v>
      </c>
      <c r="AI51" s="33">
        <f>SUMIFS(Нормативы!U:U,Нормативы!$B:$B,$G51,Нормативы!$D:$D,'2020'!$I51,Нормативы!$F:$F,'2020'!$K51)</f>
        <v>77</v>
      </c>
      <c r="AJ51" s="33">
        <f>SUMIFS(Нормативы!V:V,Нормативы!$B:$B,$G51,Нормативы!$D:$D,'2020'!$I51,Нормативы!$F:$F,'2020'!$K51)</f>
        <v>8</v>
      </c>
      <c r="AK51" s="33">
        <f>SUMIFS(Нормативы!W:W,Нормативы!$B:$B,$G51,Нормативы!$D:$D,'2020'!$I51,Нормативы!$F:$F,'2020'!$K51)</f>
        <v>30</v>
      </c>
      <c r="AL51" s="33">
        <f>SUMIFS(Нормативы!X:X,Нормативы!$B:$B,$G51,Нормативы!$D:$D,'2020'!$I51,Нормативы!$F:$F,'2020'!$K51)*O51</f>
        <v>1344</v>
      </c>
      <c r="AM51" s="33">
        <f t="shared" si="101"/>
        <v>1032.3</v>
      </c>
      <c r="AN51" s="33">
        <f t="shared" si="102"/>
        <v>311.7</v>
      </c>
      <c r="AO51" s="33">
        <f>SUMIFS(Нормативы!AA:AA,Нормативы!$B:$B,$G51,Нормативы!$D:$D,'2020'!$I51,Нормативы!$F:$F,'2020'!$K51)</f>
        <v>0</v>
      </c>
      <c r="AP51" s="141">
        <f t="shared" si="103"/>
        <v>8294</v>
      </c>
      <c r="AQ51" s="413">
        <f t="shared" si="104"/>
        <v>151256</v>
      </c>
      <c r="AR51" s="33">
        <f t="shared" si="105"/>
        <v>116172</v>
      </c>
      <c r="AS51" s="33">
        <f t="shared" si="106"/>
        <v>35084</v>
      </c>
      <c r="AT51" s="34">
        <f t="shared" si="0"/>
        <v>616</v>
      </c>
      <c r="AU51" s="34">
        <f t="shared" si="1"/>
        <v>112</v>
      </c>
      <c r="AV51" s="34">
        <f t="shared" si="2"/>
        <v>6496</v>
      </c>
      <c r="AW51" s="34">
        <f t="shared" si="3"/>
        <v>10388</v>
      </c>
      <c r="AX51" s="34">
        <f t="shared" si="4"/>
        <v>1456</v>
      </c>
      <c r="AY51" s="34">
        <f t="shared" si="5"/>
        <v>5992</v>
      </c>
      <c r="AZ51" s="34">
        <f t="shared" si="6"/>
        <v>868</v>
      </c>
      <c r="BA51" s="34">
        <f t="shared" si="7"/>
        <v>2072</v>
      </c>
      <c r="BB51" s="34">
        <f t="shared" si="107"/>
        <v>6888</v>
      </c>
      <c r="BC51" s="34">
        <f t="shared" si="8"/>
        <v>14224</v>
      </c>
      <c r="BD51" s="34">
        <f t="shared" si="9"/>
        <v>1512</v>
      </c>
      <c r="BE51" s="34">
        <f t="shared" si="10"/>
        <v>2156</v>
      </c>
      <c r="BF51" s="34">
        <f t="shared" si="11"/>
        <v>224</v>
      </c>
      <c r="BG51" s="34">
        <f t="shared" si="12"/>
        <v>840</v>
      </c>
      <c r="BH51" s="34">
        <f t="shared" si="13"/>
        <v>37632</v>
      </c>
      <c r="BI51" s="33">
        <f t="shared" si="108"/>
        <v>28903.200000000001</v>
      </c>
      <c r="BJ51" s="33">
        <f t="shared" si="109"/>
        <v>8728.7999999999993</v>
      </c>
      <c r="BK51" s="34">
        <f t="shared" si="14"/>
        <v>0</v>
      </c>
      <c r="BL51" s="426">
        <f t="shared" si="15"/>
        <v>232232</v>
      </c>
      <c r="BM51" s="616">
        <f t="shared" si="110"/>
        <v>492792</v>
      </c>
      <c r="BN51" s="33">
        <f t="shared" si="16"/>
        <v>378488.5</v>
      </c>
      <c r="BO51" s="33">
        <f t="shared" si="17"/>
        <v>114303.5</v>
      </c>
      <c r="BP51" s="34">
        <f t="shared" si="111"/>
        <v>616</v>
      </c>
      <c r="BQ51" s="34">
        <f t="shared" si="112"/>
        <v>112</v>
      </c>
      <c r="BR51" s="34">
        <f t="shared" si="113"/>
        <v>6496</v>
      </c>
      <c r="BS51" s="34">
        <f t="shared" si="18"/>
        <v>10388</v>
      </c>
      <c r="BT51" s="34">
        <f t="shared" si="19"/>
        <v>1456</v>
      </c>
      <c r="BU51" s="34">
        <f t="shared" si="20"/>
        <v>5992</v>
      </c>
      <c r="BV51" s="34">
        <f t="shared" si="21"/>
        <v>868</v>
      </c>
      <c r="BW51" s="34">
        <f t="shared" si="22"/>
        <v>2072</v>
      </c>
      <c r="BX51" s="34">
        <f t="shared" si="23"/>
        <v>19920</v>
      </c>
      <c r="BY51" s="34">
        <f t="shared" si="24"/>
        <v>14224</v>
      </c>
      <c r="BZ51" s="34">
        <f t="shared" si="25"/>
        <v>1512</v>
      </c>
      <c r="CA51" s="34">
        <f t="shared" si="26"/>
        <v>2156</v>
      </c>
      <c r="CB51" s="34">
        <f t="shared" si="27"/>
        <v>224</v>
      </c>
      <c r="CC51" s="34">
        <f t="shared" si="28"/>
        <v>840</v>
      </c>
      <c r="CD51" s="34">
        <f t="shared" si="29"/>
        <v>122605</v>
      </c>
      <c r="CE51" s="33">
        <f t="shared" si="114"/>
        <v>94166.7</v>
      </c>
      <c r="CF51" s="33">
        <f t="shared" si="115"/>
        <v>28438.3</v>
      </c>
      <c r="CG51" s="34">
        <f t="shared" si="30"/>
        <v>0</v>
      </c>
      <c r="CH51" s="415">
        <f t="shared" si="31"/>
        <v>671773</v>
      </c>
      <c r="CI51" s="88">
        <f t="shared" si="32"/>
        <v>17599.7143</v>
      </c>
      <c r="CJ51" s="90">
        <f t="shared" si="33"/>
        <v>13517.446400000001</v>
      </c>
      <c r="CK51" s="90">
        <f t="shared" si="34"/>
        <v>4082.2678999999998</v>
      </c>
      <c r="CL51" s="88">
        <f t="shared" si="35"/>
        <v>22</v>
      </c>
      <c r="CM51" s="88">
        <f t="shared" si="36"/>
        <v>4</v>
      </c>
      <c r="CN51" s="88">
        <f t="shared" si="37"/>
        <v>232</v>
      </c>
      <c r="CO51" s="88">
        <f t="shared" si="38"/>
        <v>371</v>
      </c>
      <c r="CP51" s="88">
        <f t="shared" si="39"/>
        <v>52</v>
      </c>
      <c r="CQ51" s="88">
        <f t="shared" si="40"/>
        <v>214</v>
      </c>
      <c r="CR51" s="88">
        <f t="shared" si="41"/>
        <v>31</v>
      </c>
      <c r="CS51" s="88">
        <f t="shared" si="42"/>
        <v>74</v>
      </c>
      <c r="CT51" s="88">
        <f t="shared" si="43"/>
        <v>711.42859999999996</v>
      </c>
      <c r="CU51" s="88">
        <f t="shared" si="44"/>
        <v>508</v>
      </c>
      <c r="CV51" s="88">
        <f t="shared" si="45"/>
        <v>54</v>
      </c>
      <c r="CW51" s="88">
        <f t="shared" si="46"/>
        <v>77</v>
      </c>
      <c r="CX51" s="88">
        <f t="shared" si="47"/>
        <v>8</v>
      </c>
      <c r="CY51" s="88">
        <f t="shared" si="48"/>
        <v>30</v>
      </c>
      <c r="CZ51" s="88">
        <f t="shared" si="49"/>
        <v>4378.75</v>
      </c>
      <c r="DA51" s="90">
        <f t="shared" si="50"/>
        <v>3363.0963999999999</v>
      </c>
      <c r="DB51" s="90">
        <f t="shared" si="51"/>
        <v>1015.6536</v>
      </c>
      <c r="DC51" s="88">
        <f t="shared" si="52"/>
        <v>0</v>
      </c>
      <c r="DD51" s="88">
        <f t="shared" si="53"/>
        <v>23991.892899999999</v>
      </c>
      <c r="AUV51" s="699">
        <f t="shared" si="65"/>
        <v>17599.71</v>
      </c>
      <c r="AUW51" s="699">
        <f t="shared" si="66"/>
        <v>13517.44</v>
      </c>
      <c r="AUX51" s="699">
        <f t="shared" si="67"/>
        <v>4082.27</v>
      </c>
      <c r="AUY51" s="699">
        <f t="shared" si="68"/>
        <v>22</v>
      </c>
      <c r="AUZ51" s="699">
        <f t="shared" si="204"/>
        <v>38.729999999999997</v>
      </c>
      <c r="AVA51" s="699">
        <f t="shared" si="204"/>
        <v>1.2</v>
      </c>
      <c r="AVB51" s="699">
        <f t="shared" si="70"/>
        <v>371</v>
      </c>
      <c r="AVC51" s="699">
        <f t="shared" si="71"/>
        <v>52</v>
      </c>
      <c r="AVD51" s="699">
        <f t="shared" si="72"/>
        <v>214</v>
      </c>
      <c r="AVE51" s="699">
        <f t="shared" si="73"/>
        <v>31</v>
      </c>
      <c r="AVF51" s="699">
        <f t="shared" si="74"/>
        <v>74</v>
      </c>
      <c r="AVG51" s="699">
        <f t="shared" si="75"/>
        <v>711.43</v>
      </c>
      <c r="AVH51" s="699">
        <f t="shared" si="76"/>
        <v>508</v>
      </c>
      <c r="AVI51" s="699">
        <f t="shared" si="77"/>
        <v>54</v>
      </c>
      <c r="AVJ51" s="699">
        <f t="shared" si="78"/>
        <v>77</v>
      </c>
      <c r="AVK51" s="699">
        <f t="shared" si="79"/>
        <v>8</v>
      </c>
      <c r="AVL51" s="699">
        <f t="shared" si="80"/>
        <v>30</v>
      </c>
      <c r="AVM51" s="699">
        <f t="shared" si="81"/>
        <v>4378.75</v>
      </c>
      <c r="AVN51" s="699">
        <f t="shared" si="82"/>
        <v>3363.1</v>
      </c>
      <c r="AVO51" s="699">
        <f t="shared" si="83"/>
        <v>1015.65</v>
      </c>
      <c r="AVP51" s="699">
        <f t="shared" si="84"/>
        <v>0</v>
      </c>
      <c r="AVQ51" s="699">
        <f t="shared" si="85"/>
        <v>23991.89</v>
      </c>
    </row>
    <row r="52" spans="1:108 1244:1265" s="608" customFormat="1" ht="30" customHeight="1" x14ac:dyDescent="0.25">
      <c r="A52" s="634">
        <v>1</v>
      </c>
      <c r="B52" s="634">
        <v>9</v>
      </c>
      <c r="C52" s="633" t="s">
        <v>247</v>
      </c>
      <c r="D52" s="600"/>
      <c r="E52" s="602" t="s">
        <v>344</v>
      </c>
      <c r="F52" s="634" t="s">
        <v>31</v>
      </c>
      <c r="G52" s="634">
        <v>1</v>
      </c>
      <c r="H52" s="656" t="s">
        <v>10</v>
      </c>
      <c r="I52" s="634">
        <v>0</v>
      </c>
      <c r="J52" s="602" t="s">
        <v>469</v>
      </c>
      <c r="K52" s="634">
        <v>1</v>
      </c>
      <c r="L52" s="681" t="s">
        <v>349</v>
      </c>
      <c r="M52" s="601"/>
      <c r="N52" s="602" t="s">
        <v>387</v>
      </c>
      <c r="O52" s="634">
        <v>1</v>
      </c>
      <c r="P52" s="633">
        <v>1</v>
      </c>
      <c r="Q52" s="633">
        <v>1</v>
      </c>
      <c r="R52" s="633">
        <v>1</v>
      </c>
      <c r="S52" s="671">
        <f>'Территориальный кк'!D12</f>
        <v>3.258</v>
      </c>
      <c r="T52" s="672">
        <f>'Территориальный кк'!E12</f>
        <v>2.8919999999999999</v>
      </c>
      <c r="U52" s="604">
        <f>SUMIFS(Нормативы!G:G,Нормативы!$B:$B,$G52,Нормативы!$D:$D,'2020'!$I52,Нормативы!$F:$F,'2020'!$K52)*O52</f>
        <v>54020</v>
      </c>
      <c r="V52" s="604">
        <f t="shared" ref="V52:V56" si="205">ROUND(U52/1.302,1)</f>
        <v>41490</v>
      </c>
      <c r="W52" s="604">
        <f t="shared" ref="W52:W56" si="206">U52-V52</f>
        <v>12530</v>
      </c>
      <c r="X52" s="604">
        <f>SUMIFS(Нормативы!J:J,Нормативы!$B:$B,$G52,Нормативы!$D:$D,'2020'!$I52,Нормативы!$F:$F,'2020'!$K52)</f>
        <v>220</v>
      </c>
      <c r="Y52" s="604">
        <f>SUMIFS(Нормативы!K:K,Нормативы!$B:$B,$G52,Нормативы!$D:$D,'2020'!$I52,Нормативы!$F:$F,'2020'!$K52)</f>
        <v>44</v>
      </c>
      <c r="Z52" s="604">
        <f>SUMIFS(Нормативы!L:L,Нормативы!$B:$B,$G52,Нормативы!$D:$D,'2020'!$I52,Нормативы!$F:$F,'2020'!$K52)</f>
        <v>2320</v>
      </c>
      <c r="AA52" s="604">
        <f t="shared" ref="AA52:AA56" si="207">AB52+AC52+AD52+AE52</f>
        <v>3710</v>
      </c>
      <c r="AB52" s="604">
        <f>SUMIFS(Нормативы!N:N,Нормативы!$B:$B,$G52,Нормативы!$D:$D,'2020'!$I52,Нормативы!$F:$F,'2020'!$K52)*O52</f>
        <v>520</v>
      </c>
      <c r="AC52" s="604">
        <f>SUMIFS(Нормативы!O:O,Нормативы!$B:$B,$G52,Нормативы!$D:$D,'2020'!$I52,Нормативы!$F:$F,'2020'!$K52)</f>
        <v>2140</v>
      </c>
      <c r="AD52" s="604">
        <f>SUMIFS(Нормативы!P:P,Нормативы!$B:$B,$G52,Нормативы!$D:$D,'2020'!$I52,Нормативы!$F:$F,'2020'!$K52)*O52</f>
        <v>310</v>
      </c>
      <c r="AE52" s="604">
        <f>SUMIFS(Нормативы!Q:Q,Нормативы!$B:$B,$G52,Нормативы!$D:$D,'2020'!$I52,Нормативы!$F:$F,'2020'!$K52)</f>
        <v>740</v>
      </c>
      <c r="AF52" s="604">
        <f>SUMIFS(Нормативы!R:R,Нормативы!$B:$B,$G52,Нормативы!$D:$D,'2020'!$I52,Нормативы!$F:$F,'2020'!$K52)</f>
        <v>2460</v>
      </c>
      <c r="AG52" s="604">
        <f>SUMIFS(Нормативы!S:S,Нормативы!$B:$B,$G52,Нормативы!$D:$D,'2020'!$I52,Нормативы!$F:$F,'2020'!$K52)</f>
        <v>5080</v>
      </c>
      <c r="AH52" s="604">
        <f>SUMIFS(Нормативы!T:T,Нормативы!$B:$B,$G52,Нормативы!$D:$D,'2020'!$I52,Нормативы!$F:$F,'2020'!$K52)</f>
        <v>540</v>
      </c>
      <c r="AI52" s="604">
        <f>SUMIFS(Нормативы!U:U,Нормативы!$B:$B,$G52,Нормативы!$D:$D,'2020'!$I52,Нормативы!$F:$F,'2020'!$K52)</f>
        <v>770</v>
      </c>
      <c r="AJ52" s="604">
        <f>SUMIFS(Нормативы!V:V,Нормативы!$B:$B,$G52,Нормативы!$D:$D,'2020'!$I52,Нормативы!$F:$F,'2020'!$K52)</f>
        <v>80</v>
      </c>
      <c r="AK52" s="604">
        <f>SUMIFS(Нормативы!W:W,Нормативы!$B:$B,$G52,Нормативы!$D:$D,'2020'!$I52,Нормативы!$F:$F,'2020'!$K52)</f>
        <v>300</v>
      </c>
      <c r="AL52" s="604">
        <f>SUMIFS(Нормативы!X:X,Нормативы!$B:$B,$G52,Нормативы!$D:$D,'2020'!$I52,Нормативы!$F:$F,'2020'!$K52)*O52</f>
        <v>13440</v>
      </c>
      <c r="AM52" s="604">
        <f t="shared" ref="AM52:AM56" si="208">ROUND(AL52/1.302,1)</f>
        <v>10322.6</v>
      </c>
      <c r="AN52" s="604">
        <f t="shared" ref="AN52:AN56" si="209">AL52-AM52</f>
        <v>3117.4</v>
      </c>
      <c r="AO52" s="604">
        <f>SUMIFS(Нормативы!AA:AA,Нормативы!$B:$B,$G52,Нормативы!$D:$D,'2020'!$I52,Нормативы!$F:$F,'2020'!$K52)</f>
        <v>3520</v>
      </c>
      <c r="AP52" s="605">
        <f t="shared" ref="AP52:AP56" si="210">U52+X52+Z52+AA52++AF52+AG52+AH52+AI52+AJ52+AK52+AL52+AO52</f>
        <v>86460</v>
      </c>
      <c r="AQ52" s="611">
        <f t="shared" si="104"/>
        <v>54020</v>
      </c>
      <c r="AR52" s="604">
        <f t="shared" si="105"/>
        <v>41490</v>
      </c>
      <c r="AS52" s="604">
        <f t="shared" si="106"/>
        <v>12530</v>
      </c>
      <c r="AT52" s="606">
        <f t="shared" si="0"/>
        <v>220</v>
      </c>
      <c r="AU52" s="606">
        <f t="shared" si="1"/>
        <v>44</v>
      </c>
      <c r="AV52" s="606">
        <f t="shared" si="2"/>
        <v>2320</v>
      </c>
      <c r="AW52" s="606">
        <f t="shared" si="3"/>
        <v>3710</v>
      </c>
      <c r="AX52" s="606">
        <f t="shared" si="4"/>
        <v>520</v>
      </c>
      <c r="AY52" s="606">
        <f t="shared" si="5"/>
        <v>2140</v>
      </c>
      <c r="AZ52" s="606">
        <f t="shared" si="6"/>
        <v>310</v>
      </c>
      <c r="BA52" s="606">
        <f t="shared" si="7"/>
        <v>740</v>
      </c>
      <c r="BB52" s="606">
        <f t="shared" si="107"/>
        <v>2460</v>
      </c>
      <c r="BC52" s="606">
        <f t="shared" si="8"/>
        <v>5080</v>
      </c>
      <c r="BD52" s="606">
        <f t="shared" si="9"/>
        <v>540</v>
      </c>
      <c r="BE52" s="606">
        <f t="shared" si="10"/>
        <v>770</v>
      </c>
      <c r="BF52" s="606">
        <f t="shared" si="11"/>
        <v>80</v>
      </c>
      <c r="BG52" s="606">
        <f t="shared" si="12"/>
        <v>300</v>
      </c>
      <c r="BH52" s="606">
        <f t="shared" si="13"/>
        <v>13440</v>
      </c>
      <c r="BI52" s="604">
        <f t="shared" si="108"/>
        <v>10322.6</v>
      </c>
      <c r="BJ52" s="604">
        <f t="shared" si="109"/>
        <v>3117.4</v>
      </c>
      <c r="BK52" s="606">
        <f>AO52*P52</f>
        <v>3520</v>
      </c>
      <c r="BL52" s="605">
        <f t="shared" si="15"/>
        <v>86460</v>
      </c>
      <c r="BM52" s="614">
        <f t="shared" si="110"/>
        <v>175997</v>
      </c>
      <c r="BN52" s="604">
        <f t="shared" si="16"/>
        <v>135174.29999999999</v>
      </c>
      <c r="BO52" s="604">
        <f t="shared" si="17"/>
        <v>40822.699999999997</v>
      </c>
      <c r="BP52" s="606">
        <f t="shared" si="111"/>
        <v>220</v>
      </c>
      <c r="BQ52" s="606">
        <f t="shared" si="112"/>
        <v>44</v>
      </c>
      <c r="BR52" s="606">
        <f t="shared" si="113"/>
        <v>2320</v>
      </c>
      <c r="BS52" s="606">
        <f t="shared" si="18"/>
        <v>3710</v>
      </c>
      <c r="BT52" s="606">
        <f t="shared" si="19"/>
        <v>520</v>
      </c>
      <c r="BU52" s="606">
        <f t="shared" si="20"/>
        <v>2140</v>
      </c>
      <c r="BV52" s="606">
        <f t="shared" si="21"/>
        <v>310</v>
      </c>
      <c r="BW52" s="606">
        <f t="shared" si="22"/>
        <v>740</v>
      </c>
      <c r="BX52" s="606">
        <f t="shared" si="23"/>
        <v>7114</v>
      </c>
      <c r="BY52" s="606">
        <f t="shared" si="24"/>
        <v>5080</v>
      </c>
      <c r="BZ52" s="606">
        <f t="shared" si="25"/>
        <v>540</v>
      </c>
      <c r="CA52" s="606">
        <f t="shared" si="26"/>
        <v>770</v>
      </c>
      <c r="CB52" s="606">
        <f t="shared" si="27"/>
        <v>80</v>
      </c>
      <c r="CC52" s="606">
        <f t="shared" si="28"/>
        <v>300</v>
      </c>
      <c r="CD52" s="606">
        <f t="shared" si="29"/>
        <v>43788</v>
      </c>
      <c r="CE52" s="604">
        <f t="shared" si="114"/>
        <v>33631.300000000003</v>
      </c>
      <c r="CF52" s="604">
        <f t="shared" si="115"/>
        <v>10156.700000000001</v>
      </c>
      <c r="CG52" s="606">
        <f t="shared" si="30"/>
        <v>3520</v>
      </c>
      <c r="CH52" s="415">
        <f t="shared" si="31"/>
        <v>243439</v>
      </c>
      <c r="CI52" s="607"/>
      <c r="CJ52" s="607"/>
      <c r="CK52" s="607"/>
      <c r="CL52" s="607"/>
      <c r="CM52" s="607"/>
      <c r="CN52" s="607"/>
      <c r="CO52" s="607"/>
      <c r="CP52" s="607"/>
      <c r="CQ52" s="607"/>
      <c r="CR52" s="607"/>
      <c r="CS52" s="607"/>
      <c r="CT52" s="607"/>
      <c r="CU52" s="607"/>
      <c r="CV52" s="607"/>
      <c r="CW52" s="607"/>
      <c r="CX52" s="607"/>
      <c r="CY52" s="607"/>
      <c r="CZ52" s="607"/>
      <c r="DA52" s="607"/>
      <c r="DB52" s="607"/>
      <c r="DC52" s="607">
        <f t="shared" si="52"/>
        <v>3520</v>
      </c>
      <c r="DD52" s="607"/>
      <c r="AUV52" s="699">
        <f t="shared" si="65"/>
        <v>175997</v>
      </c>
      <c r="AUW52" s="699">
        <f t="shared" si="66"/>
        <v>135174.35</v>
      </c>
      <c r="AUX52" s="699">
        <f t="shared" si="67"/>
        <v>40822.65</v>
      </c>
      <c r="AUY52" s="699">
        <f t="shared" si="68"/>
        <v>220</v>
      </c>
      <c r="AUZ52" s="699">
        <f t="shared" si="204"/>
        <v>15.21</v>
      </c>
      <c r="AVA52" s="699">
        <f t="shared" si="204"/>
        <v>0.04</v>
      </c>
      <c r="AVB52" s="699">
        <f t="shared" si="70"/>
        <v>3710</v>
      </c>
      <c r="AVC52" s="699">
        <f t="shared" si="71"/>
        <v>520</v>
      </c>
      <c r="AVD52" s="699">
        <f t="shared" si="72"/>
        <v>2140</v>
      </c>
      <c r="AVE52" s="699">
        <f t="shared" si="73"/>
        <v>310</v>
      </c>
      <c r="AVF52" s="699">
        <f t="shared" si="74"/>
        <v>740</v>
      </c>
      <c r="AVG52" s="699">
        <f t="shared" si="75"/>
        <v>7114</v>
      </c>
      <c r="AVH52" s="699">
        <f t="shared" si="76"/>
        <v>5080</v>
      </c>
      <c r="AVI52" s="699">
        <f t="shared" si="77"/>
        <v>540</v>
      </c>
      <c r="AVJ52" s="699">
        <f t="shared" si="78"/>
        <v>770</v>
      </c>
      <c r="AVK52" s="699">
        <f t="shared" si="79"/>
        <v>80</v>
      </c>
      <c r="AVL52" s="699">
        <f t="shared" si="80"/>
        <v>300</v>
      </c>
      <c r="AVM52" s="699">
        <f t="shared" si="81"/>
        <v>43788</v>
      </c>
      <c r="AVN52" s="699">
        <f t="shared" si="82"/>
        <v>33631.339999999997</v>
      </c>
      <c r="AVO52" s="699">
        <f t="shared" si="83"/>
        <v>10156.66</v>
      </c>
      <c r="AVP52" s="699">
        <f t="shared" si="84"/>
        <v>3520</v>
      </c>
      <c r="AVQ52" s="699">
        <f t="shared" si="85"/>
        <v>243439</v>
      </c>
    </row>
    <row r="53" spans="1:108 1244:1265" s="608" customFormat="1" ht="30" customHeight="1" x14ac:dyDescent="0.25">
      <c r="A53" s="634">
        <v>1</v>
      </c>
      <c r="B53" s="634">
        <v>9</v>
      </c>
      <c r="C53" s="633" t="s">
        <v>247</v>
      </c>
      <c r="D53" s="600"/>
      <c r="E53" s="602" t="s">
        <v>344</v>
      </c>
      <c r="F53" s="634" t="s">
        <v>31</v>
      </c>
      <c r="G53" s="634">
        <v>1</v>
      </c>
      <c r="H53" s="656" t="s">
        <v>10</v>
      </c>
      <c r="I53" s="634">
        <v>0</v>
      </c>
      <c r="J53" s="602" t="s">
        <v>469</v>
      </c>
      <c r="K53" s="634">
        <v>1</v>
      </c>
      <c r="L53" s="681" t="s">
        <v>349</v>
      </c>
      <c r="M53" s="601"/>
      <c r="N53" s="602" t="s">
        <v>387</v>
      </c>
      <c r="O53" s="634">
        <v>1</v>
      </c>
      <c r="P53" s="633">
        <v>10</v>
      </c>
      <c r="Q53" s="633">
        <v>10</v>
      </c>
      <c r="R53" s="633">
        <v>10</v>
      </c>
      <c r="S53" s="671">
        <f>'Территориальный кк'!D12</f>
        <v>3.258</v>
      </c>
      <c r="T53" s="672">
        <f>'Территориальный кк'!E12</f>
        <v>2.8919999999999999</v>
      </c>
      <c r="U53" s="604">
        <f>SUMIFS(Нормативы!G:G,Нормативы!$B:$B,$G53,Нормативы!$D:$D,'2020'!$I53,Нормативы!$F:$F,'2020'!$K53)*O53</f>
        <v>54020</v>
      </c>
      <c r="V53" s="604">
        <f t="shared" si="205"/>
        <v>41490</v>
      </c>
      <c r="W53" s="604">
        <f t="shared" si="206"/>
        <v>12530</v>
      </c>
      <c r="X53" s="604">
        <f>SUMIFS(Нормативы!J:J,Нормативы!$B:$B,$G53,Нормативы!$D:$D,'2020'!$I53,Нормативы!$F:$F,'2020'!$K53)</f>
        <v>220</v>
      </c>
      <c r="Y53" s="604">
        <f>SUMIFS(Нормативы!K:K,Нормативы!$B:$B,$G53,Нормативы!$D:$D,'2020'!$I53,Нормативы!$F:$F,'2020'!$K53)</f>
        <v>44</v>
      </c>
      <c r="Z53" s="604">
        <f>SUMIFS(Нормативы!L:L,Нормативы!$B:$B,$G53,Нормативы!$D:$D,'2020'!$I53,Нормативы!$F:$F,'2020'!$K53)</f>
        <v>2320</v>
      </c>
      <c r="AA53" s="604">
        <f t="shared" si="207"/>
        <v>3710</v>
      </c>
      <c r="AB53" s="604">
        <f>SUMIFS(Нормативы!N:N,Нормативы!$B:$B,$G53,Нормативы!$D:$D,'2020'!$I53,Нормативы!$F:$F,'2020'!$K53)*O53</f>
        <v>520</v>
      </c>
      <c r="AC53" s="604">
        <f>SUMIFS(Нормативы!O:O,Нормативы!$B:$B,$G53,Нормативы!$D:$D,'2020'!$I53,Нормативы!$F:$F,'2020'!$K53)</f>
        <v>2140</v>
      </c>
      <c r="AD53" s="604">
        <f>SUMIFS(Нормативы!P:P,Нормативы!$B:$B,$G53,Нормативы!$D:$D,'2020'!$I53,Нормативы!$F:$F,'2020'!$K53)*O53</f>
        <v>310</v>
      </c>
      <c r="AE53" s="604">
        <f>SUMIFS(Нормативы!Q:Q,Нормативы!$B:$B,$G53,Нормативы!$D:$D,'2020'!$I53,Нормативы!$F:$F,'2020'!$K53)</f>
        <v>740</v>
      </c>
      <c r="AF53" s="604">
        <f>SUMIFS(Нормативы!R:R,Нормативы!$B:$B,$G53,Нормативы!$D:$D,'2020'!$I53,Нормативы!$F:$F,'2020'!$K53)</f>
        <v>2460</v>
      </c>
      <c r="AG53" s="604">
        <f>SUMIFS(Нормативы!S:S,Нормативы!$B:$B,$G53,Нормативы!$D:$D,'2020'!$I53,Нормативы!$F:$F,'2020'!$K53)</f>
        <v>5080</v>
      </c>
      <c r="AH53" s="604">
        <f>SUMIFS(Нормативы!T:T,Нормативы!$B:$B,$G53,Нормативы!$D:$D,'2020'!$I53,Нормативы!$F:$F,'2020'!$K53)</f>
        <v>540</v>
      </c>
      <c r="AI53" s="604">
        <f>SUMIFS(Нормативы!U:U,Нормативы!$B:$B,$G53,Нормативы!$D:$D,'2020'!$I53,Нормативы!$F:$F,'2020'!$K53)</f>
        <v>770</v>
      </c>
      <c r="AJ53" s="604">
        <f>SUMIFS(Нормативы!V:V,Нормативы!$B:$B,$G53,Нормативы!$D:$D,'2020'!$I53,Нормативы!$F:$F,'2020'!$K53)</f>
        <v>80</v>
      </c>
      <c r="AK53" s="604">
        <f>SUMIFS(Нормативы!W:W,Нормативы!$B:$B,$G53,Нормативы!$D:$D,'2020'!$I53,Нормативы!$F:$F,'2020'!$K53)</f>
        <v>300</v>
      </c>
      <c r="AL53" s="604">
        <f>SUMIFS(Нормативы!X:X,Нормативы!$B:$B,$G53,Нормативы!$D:$D,'2020'!$I53,Нормативы!$F:$F,'2020'!$K53)*O53</f>
        <v>13440</v>
      </c>
      <c r="AM53" s="604">
        <f t="shared" si="208"/>
        <v>10322.6</v>
      </c>
      <c r="AN53" s="604">
        <f t="shared" si="209"/>
        <v>3117.4</v>
      </c>
      <c r="AO53" s="604">
        <f>SUMIFS(Нормативы!AA:AA,Нормативы!$B:$B,$G53,Нормативы!$D:$D,'2020'!$I53,Нормативы!$F:$F,'2020'!$K53)</f>
        <v>3520</v>
      </c>
      <c r="AP53" s="605">
        <f t="shared" si="210"/>
        <v>86460</v>
      </c>
      <c r="AQ53" s="611">
        <f t="shared" si="104"/>
        <v>540200</v>
      </c>
      <c r="AR53" s="604">
        <f t="shared" si="105"/>
        <v>414900.2</v>
      </c>
      <c r="AS53" s="604">
        <f t="shared" si="106"/>
        <v>125299.8</v>
      </c>
      <c r="AT53" s="606">
        <f t="shared" si="0"/>
        <v>2200</v>
      </c>
      <c r="AU53" s="606">
        <f t="shared" si="1"/>
        <v>440</v>
      </c>
      <c r="AV53" s="606">
        <f t="shared" si="2"/>
        <v>23200</v>
      </c>
      <c r="AW53" s="606">
        <f t="shared" si="3"/>
        <v>37100</v>
      </c>
      <c r="AX53" s="606">
        <f t="shared" si="4"/>
        <v>5200</v>
      </c>
      <c r="AY53" s="606">
        <f t="shared" si="5"/>
        <v>21400</v>
      </c>
      <c r="AZ53" s="606">
        <f t="shared" si="6"/>
        <v>3100</v>
      </c>
      <c r="BA53" s="606">
        <f t="shared" si="7"/>
        <v>7400</v>
      </c>
      <c r="BB53" s="606">
        <f t="shared" si="107"/>
        <v>24600</v>
      </c>
      <c r="BC53" s="606">
        <f t="shared" si="8"/>
        <v>50800</v>
      </c>
      <c r="BD53" s="606">
        <f t="shared" si="9"/>
        <v>5400</v>
      </c>
      <c r="BE53" s="606">
        <f t="shared" si="10"/>
        <v>7700</v>
      </c>
      <c r="BF53" s="606">
        <f t="shared" si="11"/>
        <v>800</v>
      </c>
      <c r="BG53" s="606">
        <f t="shared" si="12"/>
        <v>3000</v>
      </c>
      <c r="BH53" s="606">
        <f t="shared" si="13"/>
        <v>134400</v>
      </c>
      <c r="BI53" s="604">
        <f t="shared" si="108"/>
        <v>103225.8</v>
      </c>
      <c r="BJ53" s="604">
        <f t="shared" si="109"/>
        <v>31174.2</v>
      </c>
      <c r="BK53" s="606">
        <f t="shared" ref="BK53:BK60" si="211">AO53*P53</f>
        <v>35200</v>
      </c>
      <c r="BL53" s="605">
        <f t="shared" si="15"/>
        <v>864600</v>
      </c>
      <c r="BM53" s="614">
        <f t="shared" si="110"/>
        <v>1759972</v>
      </c>
      <c r="BN53" s="604">
        <f t="shared" si="16"/>
        <v>1351745</v>
      </c>
      <c r="BO53" s="604">
        <f t="shared" si="17"/>
        <v>408227</v>
      </c>
      <c r="BP53" s="606">
        <f t="shared" si="111"/>
        <v>2200</v>
      </c>
      <c r="BQ53" s="606">
        <f t="shared" si="112"/>
        <v>440</v>
      </c>
      <c r="BR53" s="606">
        <f t="shared" si="113"/>
        <v>23200</v>
      </c>
      <c r="BS53" s="606">
        <f t="shared" si="18"/>
        <v>37100</v>
      </c>
      <c r="BT53" s="606">
        <f t="shared" si="19"/>
        <v>5200</v>
      </c>
      <c r="BU53" s="606">
        <f t="shared" si="20"/>
        <v>21400</v>
      </c>
      <c r="BV53" s="606">
        <f t="shared" si="21"/>
        <v>3100</v>
      </c>
      <c r="BW53" s="606">
        <f t="shared" si="22"/>
        <v>7400</v>
      </c>
      <c r="BX53" s="606">
        <f t="shared" si="23"/>
        <v>71143</v>
      </c>
      <c r="BY53" s="606">
        <f t="shared" si="24"/>
        <v>50800</v>
      </c>
      <c r="BZ53" s="606">
        <f t="shared" si="25"/>
        <v>5400</v>
      </c>
      <c r="CA53" s="606">
        <f t="shared" si="26"/>
        <v>7700</v>
      </c>
      <c r="CB53" s="606">
        <f t="shared" si="27"/>
        <v>800</v>
      </c>
      <c r="CC53" s="606">
        <f t="shared" si="28"/>
        <v>3000</v>
      </c>
      <c r="CD53" s="606">
        <f t="shared" si="29"/>
        <v>437875</v>
      </c>
      <c r="CE53" s="604">
        <f t="shared" si="114"/>
        <v>336309.5</v>
      </c>
      <c r="CF53" s="604">
        <f t="shared" si="115"/>
        <v>101565.5</v>
      </c>
      <c r="CG53" s="606">
        <f t="shared" si="30"/>
        <v>35200</v>
      </c>
      <c r="CH53" s="415">
        <f t="shared" si="31"/>
        <v>2434390</v>
      </c>
      <c r="CI53" s="607"/>
      <c r="CJ53" s="607"/>
      <c r="CK53" s="607"/>
      <c r="CL53" s="607"/>
      <c r="CM53" s="607"/>
      <c r="CN53" s="607"/>
      <c r="CO53" s="607"/>
      <c r="CP53" s="607"/>
      <c r="CQ53" s="607"/>
      <c r="CR53" s="607"/>
      <c r="CS53" s="607"/>
      <c r="CT53" s="607"/>
      <c r="CU53" s="607"/>
      <c r="CV53" s="607"/>
      <c r="CW53" s="607"/>
      <c r="CX53" s="607"/>
      <c r="CY53" s="607"/>
      <c r="CZ53" s="607"/>
      <c r="DA53" s="607"/>
      <c r="DB53" s="607"/>
      <c r="DC53" s="607"/>
      <c r="DD53" s="607"/>
      <c r="AUV53" s="699">
        <f t="shared" si="65"/>
        <v>175997.2</v>
      </c>
      <c r="AUW53" s="699">
        <f t="shared" si="66"/>
        <v>135174.5</v>
      </c>
      <c r="AUX53" s="699">
        <f t="shared" si="67"/>
        <v>40822.699999999997</v>
      </c>
      <c r="AUY53" s="699">
        <f t="shared" si="68"/>
        <v>220</v>
      </c>
      <c r="AUZ53" s="699">
        <f t="shared" si="204"/>
        <v>152.13999999999999</v>
      </c>
      <c r="AVA53" s="699">
        <f t="shared" si="204"/>
        <v>0.43</v>
      </c>
      <c r="AVB53" s="699">
        <f t="shared" si="70"/>
        <v>3710</v>
      </c>
      <c r="AVC53" s="699">
        <f t="shared" si="71"/>
        <v>520</v>
      </c>
      <c r="AVD53" s="699">
        <f t="shared" si="72"/>
        <v>2140</v>
      </c>
      <c r="AVE53" s="699">
        <f t="shared" si="73"/>
        <v>310</v>
      </c>
      <c r="AVF53" s="699">
        <f t="shared" si="74"/>
        <v>740</v>
      </c>
      <c r="AVG53" s="699">
        <f t="shared" si="75"/>
        <v>7114.3</v>
      </c>
      <c r="AVH53" s="699">
        <f t="shared" si="76"/>
        <v>5080</v>
      </c>
      <c r="AVI53" s="699">
        <f t="shared" si="77"/>
        <v>540</v>
      </c>
      <c r="AVJ53" s="699">
        <f t="shared" si="78"/>
        <v>770</v>
      </c>
      <c r="AVK53" s="699">
        <f t="shared" si="79"/>
        <v>80</v>
      </c>
      <c r="AVL53" s="699">
        <f t="shared" si="80"/>
        <v>300</v>
      </c>
      <c r="AVM53" s="699">
        <f t="shared" si="81"/>
        <v>43787.5</v>
      </c>
      <c r="AVN53" s="699">
        <f t="shared" si="82"/>
        <v>33630.949999999997</v>
      </c>
      <c r="AVO53" s="699">
        <f t="shared" si="83"/>
        <v>10156.549999999999</v>
      </c>
      <c r="AVP53" s="699">
        <f t="shared" si="84"/>
        <v>3520</v>
      </c>
      <c r="AVQ53" s="699">
        <f t="shared" si="85"/>
        <v>243439</v>
      </c>
    </row>
    <row r="54" spans="1:108 1244:1265" s="608" customFormat="1" ht="30" customHeight="1" x14ac:dyDescent="0.25">
      <c r="A54" s="634">
        <v>1</v>
      </c>
      <c r="B54" s="634">
        <v>9</v>
      </c>
      <c r="C54" s="633" t="s">
        <v>247</v>
      </c>
      <c r="D54" s="600"/>
      <c r="E54" s="602" t="s">
        <v>344</v>
      </c>
      <c r="F54" s="634" t="s">
        <v>31</v>
      </c>
      <c r="G54" s="634">
        <v>1</v>
      </c>
      <c r="H54" s="656" t="s">
        <v>10</v>
      </c>
      <c r="I54" s="634">
        <v>0</v>
      </c>
      <c r="J54" s="602" t="s">
        <v>470</v>
      </c>
      <c r="K54" s="634">
        <v>1</v>
      </c>
      <c r="L54" s="681" t="s">
        <v>349</v>
      </c>
      <c r="M54" s="601"/>
      <c r="N54" s="602" t="s">
        <v>387</v>
      </c>
      <c r="O54" s="634">
        <v>1</v>
      </c>
      <c r="P54" s="633">
        <v>10</v>
      </c>
      <c r="Q54" s="633">
        <v>10</v>
      </c>
      <c r="R54" s="633">
        <v>10</v>
      </c>
      <c r="S54" s="671">
        <f>'Территориальный кк'!D12</f>
        <v>3.258</v>
      </c>
      <c r="T54" s="672">
        <f>'Территориальный кк'!E12</f>
        <v>2.8919999999999999</v>
      </c>
      <c r="U54" s="604">
        <f>SUMIFS(Нормативы!G:G,Нормативы!$B:$B,$G54,Нормативы!$D:$D,'2020'!$I54,Нормативы!$F:$F,'2020'!$K54)*O54</f>
        <v>54020</v>
      </c>
      <c r="V54" s="604">
        <f t="shared" si="205"/>
        <v>41490</v>
      </c>
      <c r="W54" s="604">
        <f t="shared" si="206"/>
        <v>12530</v>
      </c>
      <c r="X54" s="604">
        <f>SUMIFS(Нормативы!J:J,Нормативы!$B:$B,$G54,Нормативы!$D:$D,'2020'!$I54,Нормативы!$F:$F,'2020'!$K54)</f>
        <v>220</v>
      </c>
      <c r="Y54" s="604">
        <f>SUMIFS(Нормативы!K:K,Нормативы!$B:$B,$G54,Нормативы!$D:$D,'2020'!$I54,Нормативы!$F:$F,'2020'!$K54)</f>
        <v>44</v>
      </c>
      <c r="Z54" s="604">
        <f>SUMIFS(Нормативы!L:L,Нормативы!$B:$B,$G54,Нормативы!$D:$D,'2020'!$I54,Нормативы!$F:$F,'2020'!$K54)</f>
        <v>2320</v>
      </c>
      <c r="AA54" s="604">
        <f t="shared" si="207"/>
        <v>3710</v>
      </c>
      <c r="AB54" s="604">
        <f>SUMIFS(Нормативы!N:N,Нормативы!$B:$B,$G54,Нормативы!$D:$D,'2020'!$I54,Нормативы!$F:$F,'2020'!$K54)*O54</f>
        <v>520</v>
      </c>
      <c r="AC54" s="604">
        <f>SUMIFS(Нормативы!O:O,Нормативы!$B:$B,$G54,Нормативы!$D:$D,'2020'!$I54,Нормативы!$F:$F,'2020'!$K54)</f>
        <v>2140</v>
      </c>
      <c r="AD54" s="604">
        <f>SUMIFS(Нормативы!P:P,Нормативы!$B:$B,$G54,Нормативы!$D:$D,'2020'!$I54,Нормативы!$F:$F,'2020'!$K54)*O54</f>
        <v>310</v>
      </c>
      <c r="AE54" s="604">
        <f>SUMIFS(Нормативы!Q:Q,Нормативы!$B:$B,$G54,Нормативы!$D:$D,'2020'!$I54,Нормативы!$F:$F,'2020'!$K54)</f>
        <v>740</v>
      </c>
      <c r="AF54" s="604">
        <f>SUMIFS(Нормативы!R:R,Нормативы!$B:$B,$G54,Нормативы!$D:$D,'2020'!$I54,Нормативы!$F:$F,'2020'!$K54)</f>
        <v>2460</v>
      </c>
      <c r="AG54" s="604">
        <f>SUMIFS(Нормативы!S:S,Нормативы!$B:$B,$G54,Нормативы!$D:$D,'2020'!$I54,Нормативы!$F:$F,'2020'!$K54)</f>
        <v>5080</v>
      </c>
      <c r="AH54" s="604">
        <f>SUMIFS(Нормативы!T:T,Нормативы!$B:$B,$G54,Нормативы!$D:$D,'2020'!$I54,Нормативы!$F:$F,'2020'!$K54)</f>
        <v>540</v>
      </c>
      <c r="AI54" s="604">
        <f>SUMIFS(Нормативы!U:U,Нормативы!$B:$B,$G54,Нормативы!$D:$D,'2020'!$I54,Нормативы!$F:$F,'2020'!$K54)</f>
        <v>770</v>
      </c>
      <c r="AJ54" s="604">
        <f>SUMIFS(Нормативы!V:V,Нормативы!$B:$B,$G54,Нормативы!$D:$D,'2020'!$I54,Нормативы!$F:$F,'2020'!$K54)</f>
        <v>80</v>
      </c>
      <c r="AK54" s="604">
        <f>SUMIFS(Нормативы!W:W,Нормативы!$B:$B,$G54,Нормативы!$D:$D,'2020'!$I54,Нормативы!$F:$F,'2020'!$K54)</f>
        <v>300</v>
      </c>
      <c r="AL54" s="604">
        <f>SUMIFS(Нормативы!X:X,Нормативы!$B:$B,$G54,Нормативы!$D:$D,'2020'!$I54,Нормативы!$F:$F,'2020'!$K54)*O54</f>
        <v>13440</v>
      </c>
      <c r="AM54" s="604">
        <f t="shared" si="208"/>
        <v>10322.6</v>
      </c>
      <c r="AN54" s="604">
        <f t="shared" si="209"/>
        <v>3117.4</v>
      </c>
      <c r="AO54" s="604">
        <f>SUMIFS(Нормативы!AA:AA,Нормативы!$B:$B,$G54,Нормативы!$D:$D,'2020'!$I54,Нормативы!$F:$F,'2020'!$K54)</f>
        <v>3520</v>
      </c>
      <c r="AP54" s="605">
        <f t="shared" si="210"/>
        <v>86460</v>
      </c>
      <c r="AQ54" s="611">
        <f t="shared" si="104"/>
        <v>540200</v>
      </c>
      <c r="AR54" s="604">
        <f t="shared" si="105"/>
        <v>414900.2</v>
      </c>
      <c r="AS54" s="604">
        <f t="shared" si="106"/>
        <v>125299.8</v>
      </c>
      <c r="AT54" s="606">
        <f t="shared" si="0"/>
        <v>2200</v>
      </c>
      <c r="AU54" s="606">
        <f t="shared" si="1"/>
        <v>440</v>
      </c>
      <c r="AV54" s="606">
        <f t="shared" si="2"/>
        <v>23200</v>
      </c>
      <c r="AW54" s="606">
        <f t="shared" si="3"/>
        <v>37100</v>
      </c>
      <c r="AX54" s="606">
        <f t="shared" si="4"/>
        <v>5200</v>
      </c>
      <c r="AY54" s="606">
        <f t="shared" si="5"/>
        <v>21400</v>
      </c>
      <c r="AZ54" s="606">
        <f t="shared" si="6"/>
        <v>3100</v>
      </c>
      <c r="BA54" s="606">
        <f t="shared" si="7"/>
        <v>7400</v>
      </c>
      <c r="BB54" s="606">
        <f t="shared" si="107"/>
        <v>24600</v>
      </c>
      <c r="BC54" s="606">
        <f t="shared" si="8"/>
        <v>50800</v>
      </c>
      <c r="BD54" s="606">
        <f t="shared" si="9"/>
        <v>5400</v>
      </c>
      <c r="BE54" s="606">
        <f t="shared" si="10"/>
        <v>7700</v>
      </c>
      <c r="BF54" s="606">
        <f t="shared" si="11"/>
        <v>800</v>
      </c>
      <c r="BG54" s="606">
        <f t="shared" si="12"/>
        <v>3000</v>
      </c>
      <c r="BH54" s="606">
        <f t="shared" si="13"/>
        <v>134400</v>
      </c>
      <c r="BI54" s="604">
        <f t="shared" si="108"/>
        <v>103225.8</v>
      </c>
      <c r="BJ54" s="604">
        <f t="shared" si="109"/>
        <v>31174.2</v>
      </c>
      <c r="BK54" s="606">
        <f t="shared" si="211"/>
        <v>35200</v>
      </c>
      <c r="BL54" s="605">
        <f t="shared" si="15"/>
        <v>864600</v>
      </c>
      <c r="BM54" s="614">
        <f t="shared" si="110"/>
        <v>1759972</v>
      </c>
      <c r="BN54" s="604">
        <f t="shared" si="16"/>
        <v>1351745</v>
      </c>
      <c r="BO54" s="604">
        <f t="shared" si="17"/>
        <v>408227</v>
      </c>
      <c r="BP54" s="606">
        <f t="shared" si="111"/>
        <v>2200</v>
      </c>
      <c r="BQ54" s="606">
        <f t="shared" si="112"/>
        <v>440</v>
      </c>
      <c r="BR54" s="606">
        <f t="shared" si="113"/>
        <v>23200</v>
      </c>
      <c r="BS54" s="606">
        <f t="shared" si="18"/>
        <v>37100</v>
      </c>
      <c r="BT54" s="606">
        <f t="shared" si="19"/>
        <v>5200</v>
      </c>
      <c r="BU54" s="606">
        <f t="shared" si="20"/>
        <v>21400</v>
      </c>
      <c r="BV54" s="606">
        <f t="shared" si="21"/>
        <v>3100</v>
      </c>
      <c r="BW54" s="606">
        <f t="shared" si="22"/>
        <v>7400</v>
      </c>
      <c r="BX54" s="606">
        <f t="shared" si="23"/>
        <v>71143</v>
      </c>
      <c r="BY54" s="606">
        <f t="shared" si="24"/>
        <v>50800</v>
      </c>
      <c r="BZ54" s="606">
        <f t="shared" si="25"/>
        <v>5400</v>
      </c>
      <c r="CA54" s="606">
        <f t="shared" si="26"/>
        <v>7700</v>
      </c>
      <c r="CB54" s="606">
        <f t="shared" si="27"/>
        <v>800</v>
      </c>
      <c r="CC54" s="606">
        <f t="shared" si="28"/>
        <v>3000</v>
      </c>
      <c r="CD54" s="606">
        <f t="shared" si="29"/>
        <v>437875</v>
      </c>
      <c r="CE54" s="604">
        <f t="shared" si="114"/>
        <v>336309.5</v>
      </c>
      <c r="CF54" s="604">
        <f t="shared" si="115"/>
        <v>101565.5</v>
      </c>
      <c r="CG54" s="606">
        <f t="shared" si="30"/>
        <v>35200</v>
      </c>
      <c r="CH54" s="415">
        <f t="shared" si="31"/>
        <v>2434390</v>
      </c>
      <c r="CI54" s="607"/>
      <c r="CJ54" s="607"/>
      <c r="CK54" s="607"/>
      <c r="CL54" s="607"/>
      <c r="CM54" s="607"/>
      <c r="CN54" s="607"/>
      <c r="CO54" s="607"/>
      <c r="CP54" s="607"/>
      <c r="CQ54" s="607"/>
      <c r="CR54" s="607"/>
      <c r="CS54" s="607"/>
      <c r="CT54" s="607"/>
      <c r="CU54" s="607"/>
      <c r="CV54" s="607"/>
      <c r="CW54" s="607"/>
      <c r="CX54" s="607"/>
      <c r="CY54" s="607"/>
      <c r="CZ54" s="607"/>
      <c r="DA54" s="607"/>
      <c r="DB54" s="607"/>
      <c r="DC54" s="607"/>
      <c r="DD54" s="607"/>
      <c r="AUV54" s="699">
        <f t="shared" si="65"/>
        <v>175997.2</v>
      </c>
      <c r="AUW54" s="699">
        <f t="shared" si="66"/>
        <v>135174.5</v>
      </c>
      <c r="AUX54" s="699">
        <f t="shared" si="67"/>
        <v>40822.699999999997</v>
      </c>
      <c r="AUY54" s="699">
        <f t="shared" si="68"/>
        <v>220</v>
      </c>
      <c r="AUZ54" s="699">
        <f t="shared" si="204"/>
        <v>152.13999999999999</v>
      </c>
      <c r="AVA54" s="699">
        <f t="shared" si="204"/>
        <v>0.43</v>
      </c>
      <c r="AVB54" s="699">
        <f t="shared" si="70"/>
        <v>3710</v>
      </c>
      <c r="AVC54" s="699">
        <f t="shared" si="71"/>
        <v>520</v>
      </c>
      <c r="AVD54" s="699">
        <f t="shared" si="72"/>
        <v>2140</v>
      </c>
      <c r="AVE54" s="699">
        <f t="shared" si="73"/>
        <v>310</v>
      </c>
      <c r="AVF54" s="699">
        <f t="shared" si="74"/>
        <v>740</v>
      </c>
      <c r="AVG54" s="699">
        <f t="shared" si="75"/>
        <v>7114.3</v>
      </c>
      <c r="AVH54" s="699">
        <f t="shared" si="76"/>
        <v>5080</v>
      </c>
      <c r="AVI54" s="699">
        <f t="shared" si="77"/>
        <v>540</v>
      </c>
      <c r="AVJ54" s="699">
        <f t="shared" si="78"/>
        <v>770</v>
      </c>
      <c r="AVK54" s="699">
        <f t="shared" si="79"/>
        <v>80</v>
      </c>
      <c r="AVL54" s="699">
        <f t="shared" si="80"/>
        <v>300</v>
      </c>
      <c r="AVM54" s="699">
        <f t="shared" si="81"/>
        <v>43787.5</v>
      </c>
      <c r="AVN54" s="699">
        <f t="shared" si="82"/>
        <v>33630.949999999997</v>
      </c>
      <c r="AVO54" s="699">
        <f t="shared" si="83"/>
        <v>10156.549999999999</v>
      </c>
      <c r="AVP54" s="699">
        <f t="shared" si="84"/>
        <v>3520</v>
      </c>
      <c r="AVQ54" s="699">
        <f t="shared" si="85"/>
        <v>243439</v>
      </c>
    </row>
    <row r="55" spans="1:108 1244:1265" s="608" customFormat="1" ht="30" customHeight="1" x14ac:dyDescent="0.25">
      <c r="A55" s="634">
        <v>1</v>
      </c>
      <c r="B55" s="634">
        <v>9</v>
      </c>
      <c r="C55" s="633" t="s">
        <v>247</v>
      </c>
      <c r="D55" s="600"/>
      <c r="E55" s="602" t="s">
        <v>344</v>
      </c>
      <c r="F55" s="634" t="s">
        <v>31</v>
      </c>
      <c r="G55" s="634">
        <v>1</v>
      </c>
      <c r="H55" s="656" t="s">
        <v>10</v>
      </c>
      <c r="I55" s="634">
        <v>0</v>
      </c>
      <c r="J55" s="602" t="s">
        <v>471</v>
      </c>
      <c r="K55" s="634">
        <v>1</v>
      </c>
      <c r="L55" s="681" t="s">
        <v>349</v>
      </c>
      <c r="M55" s="601"/>
      <c r="N55" s="602" t="s">
        <v>387</v>
      </c>
      <c r="O55" s="634">
        <v>1</v>
      </c>
      <c r="P55" s="633">
        <v>5</v>
      </c>
      <c r="Q55" s="633">
        <v>5</v>
      </c>
      <c r="R55" s="633">
        <v>5</v>
      </c>
      <c r="S55" s="671">
        <f>'Территориальный кк'!D12</f>
        <v>3.258</v>
      </c>
      <c r="T55" s="672">
        <f>'Территориальный кк'!E12</f>
        <v>2.8919999999999999</v>
      </c>
      <c r="U55" s="604">
        <f>SUMIFS(Нормативы!G:G,Нормативы!$B:$B,$G55,Нормативы!$D:$D,'2020'!$I55,Нормативы!$F:$F,'2020'!$K55)*O55</f>
        <v>54020</v>
      </c>
      <c r="V55" s="604">
        <f t="shared" si="205"/>
        <v>41490</v>
      </c>
      <c r="W55" s="604">
        <f t="shared" si="206"/>
        <v>12530</v>
      </c>
      <c r="X55" s="604">
        <f>SUMIFS(Нормативы!J:J,Нормативы!$B:$B,$G55,Нормативы!$D:$D,'2020'!$I55,Нормативы!$F:$F,'2020'!$K55)</f>
        <v>220</v>
      </c>
      <c r="Y55" s="604">
        <f>SUMIFS(Нормативы!K:K,Нормативы!$B:$B,$G55,Нормативы!$D:$D,'2020'!$I55,Нормативы!$F:$F,'2020'!$K55)</f>
        <v>44</v>
      </c>
      <c r="Z55" s="604">
        <f>SUMIFS(Нормативы!L:L,Нормативы!$B:$B,$G55,Нормативы!$D:$D,'2020'!$I55,Нормативы!$F:$F,'2020'!$K55)</f>
        <v>2320</v>
      </c>
      <c r="AA55" s="604">
        <f t="shared" si="207"/>
        <v>3710</v>
      </c>
      <c r="AB55" s="604">
        <f>SUMIFS(Нормативы!N:N,Нормативы!$B:$B,$G55,Нормативы!$D:$D,'2020'!$I55,Нормативы!$F:$F,'2020'!$K55)*O55</f>
        <v>520</v>
      </c>
      <c r="AC55" s="604">
        <f>SUMIFS(Нормативы!O:O,Нормативы!$B:$B,$G55,Нормативы!$D:$D,'2020'!$I55,Нормативы!$F:$F,'2020'!$K55)</f>
        <v>2140</v>
      </c>
      <c r="AD55" s="604">
        <f>SUMIFS(Нормативы!P:P,Нормативы!$B:$B,$G55,Нормативы!$D:$D,'2020'!$I55,Нормативы!$F:$F,'2020'!$K55)*O55</f>
        <v>310</v>
      </c>
      <c r="AE55" s="604">
        <f>SUMIFS(Нормативы!Q:Q,Нормативы!$B:$B,$G55,Нормативы!$D:$D,'2020'!$I55,Нормативы!$F:$F,'2020'!$K55)</f>
        <v>740</v>
      </c>
      <c r="AF55" s="604">
        <f>SUMIFS(Нормативы!R:R,Нормативы!$B:$B,$G55,Нормативы!$D:$D,'2020'!$I55,Нормативы!$F:$F,'2020'!$K55)</f>
        <v>2460</v>
      </c>
      <c r="AG55" s="604">
        <f>SUMIFS(Нормативы!S:S,Нормативы!$B:$B,$G55,Нормативы!$D:$D,'2020'!$I55,Нормативы!$F:$F,'2020'!$K55)</f>
        <v>5080</v>
      </c>
      <c r="AH55" s="604">
        <f>SUMIFS(Нормативы!T:T,Нормативы!$B:$B,$G55,Нормативы!$D:$D,'2020'!$I55,Нормативы!$F:$F,'2020'!$K55)</f>
        <v>540</v>
      </c>
      <c r="AI55" s="604">
        <f>SUMIFS(Нормативы!U:U,Нормативы!$B:$B,$G55,Нормативы!$D:$D,'2020'!$I55,Нормативы!$F:$F,'2020'!$K55)</f>
        <v>770</v>
      </c>
      <c r="AJ55" s="604">
        <f>SUMIFS(Нормативы!V:V,Нормативы!$B:$B,$G55,Нормативы!$D:$D,'2020'!$I55,Нормативы!$F:$F,'2020'!$K55)</f>
        <v>80</v>
      </c>
      <c r="AK55" s="604">
        <f>SUMIFS(Нормативы!W:W,Нормативы!$B:$B,$G55,Нормативы!$D:$D,'2020'!$I55,Нормативы!$F:$F,'2020'!$K55)</f>
        <v>300</v>
      </c>
      <c r="AL55" s="604">
        <f>SUMIFS(Нормативы!X:X,Нормативы!$B:$B,$G55,Нормативы!$D:$D,'2020'!$I55,Нормативы!$F:$F,'2020'!$K55)*O55</f>
        <v>13440</v>
      </c>
      <c r="AM55" s="604">
        <f t="shared" si="208"/>
        <v>10322.6</v>
      </c>
      <c r="AN55" s="604">
        <f t="shared" si="209"/>
        <v>3117.4</v>
      </c>
      <c r="AO55" s="604">
        <f>SUMIFS(Нормативы!AA:AA,Нормативы!$B:$B,$G55,Нормативы!$D:$D,'2020'!$I55,Нормативы!$F:$F,'2020'!$K55)</f>
        <v>3520</v>
      </c>
      <c r="AP55" s="605">
        <f t="shared" si="210"/>
        <v>86460</v>
      </c>
      <c r="AQ55" s="611">
        <f t="shared" si="104"/>
        <v>270100</v>
      </c>
      <c r="AR55" s="604">
        <f t="shared" si="105"/>
        <v>207450.1</v>
      </c>
      <c r="AS55" s="604">
        <f t="shared" si="106"/>
        <v>62649.9</v>
      </c>
      <c r="AT55" s="606">
        <f t="shared" si="0"/>
        <v>1100</v>
      </c>
      <c r="AU55" s="606">
        <f t="shared" si="1"/>
        <v>220</v>
      </c>
      <c r="AV55" s="606">
        <f t="shared" si="2"/>
        <v>11600</v>
      </c>
      <c r="AW55" s="606">
        <f t="shared" si="3"/>
        <v>18550</v>
      </c>
      <c r="AX55" s="606">
        <f t="shared" si="4"/>
        <v>2600</v>
      </c>
      <c r="AY55" s="606">
        <f t="shared" si="5"/>
        <v>10700</v>
      </c>
      <c r="AZ55" s="606">
        <f t="shared" si="6"/>
        <v>1550</v>
      </c>
      <c r="BA55" s="606">
        <f t="shared" si="7"/>
        <v>3700</v>
      </c>
      <c r="BB55" s="606">
        <f t="shared" si="107"/>
        <v>12300</v>
      </c>
      <c r="BC55" s="606">
        <f t="shared" si="8"/>
        <v>25400</v>
      </c>
      <c r="BD55" s="606">
        <f t="shared" si="9"/>
        <v>2700</v>
      </c>
      <c r="BE55" s="606">
        <f t="shared" si="10"/>
        <v>3850</v>
      </c>
      <c r="BF55" s="606">
        <f t="shared" si="11"/>
        <v>400</v>
      </c>
      <c r="BG55" s="606">
        <f t="shared" si="12"/>
        <v>1500</v>
      </c>
      <c r="BH55" s="606">
        <f t="shared" si="13"/>
        <v>67200</v>
      </c>
      <c r="BI55" s="604">
        <f t="shared" si="108"/>
        <v>51612.9</v>
      </c>
      <c r="BJ55" s="604">
        <f t="shared" si="109"/>
        <v>15587.1</v>
      </c>
      <c r="BK55" s="606">
        <f t="shared" si="211"/>
        <v>17600</v>
      </c>
      <c r="BL55" s="605">
        <f t="shared" si="15"/>
        <v>432300</v>
      </c>
      <c r="BM55" s="614">
        <f t="shared" si="110"/>
        <v>879986</v>
      </c>
      <c r="BN55" s="604">
        <f t="shared" si="16"/>
        <v>675872.5</v>
      </c>
      <c r="BO55" s="604">
        <f t="shared" si="17"/>
        <v>204113.5</v>
      </c>
      <c r="BP55" s="606">
        <f t="shared" si="111"/>
        <v>1100</v>
      </c>
      <c r="BQ55" s="606">
        <f t="shared" si="112"/>
        <v>220</v>
      </c>
      <c r="BR55" s="606">
        <f t="shared" si="113"/>
        <v>11600</v>
      </c>
      <c r="BS55" s="606">
        <f t="shared" si="18"/>
        <v>18550</v>
      </c>
      <c r="BT55" s="606">
        <f t="shared" si="19"/>
        <v>2600</v>
      </c>
      <c r="BU55" s="606">
        <f t="shared" si="20"/>
        <v>10700</v>
      </c>
      <c r="BV55" s="606">
        <f t="shared" si="21"/>
        <v>1550</v>
      </c>
      <c r="BW55" s="606">
        <f t="shared" si="22"/>
        <v>3700</v>
      </c>
      <c r="BX55" s="606">
        <f t="shared" si="23"/>
        <v>35572</v>
      </c>
      <c r="BY55" s="606">
        <f t="shared" si="24"/>
        <v>25400</v>
      </c>
      <c r="BZ55" s="606">
        <f t="shared" si="25"/>
        <v>2700</v>
      </c>
      <c r="CA55" s="606">
        <f t="shared" si="26"/>
        <v>3850</v>
      </c>
      <c r="CB55" s="606">
        <f t="shared" si="27"/>
        <v>400</v>
      </c>
      <c r="CC55" s="606">
        <f t="shared" si="28"/>
        <v>1500</v>
      </c>
      <c r="CD55" s="606">
        <f t="shared" si="29"/>
        <v>218938</v>
      </c>
      <c r="CE55" s="604">
        <f t="shared" si="114"/>
        <v>168155.1</v>
      </c>
      <c r="CF55" s="604">
        <f t="shared" si="115"/>
        <v>50782.9</v>
      </c>
      <c r="CG55" s="606">
        <f t="shared" si="30"/>
        <v>17600</v>
      </c>
      <c r="CH55" s="415">
        <f t="shared" si="31"/>
        <v>1217196</v>
      </c>
      <c r="CI55" s="607"/>
      <c r="CJ55" s="607"/>
      <c r="CK55" s="607"/>
      <c r="CL55" s="607"/>
      <c r="CM55" s="607"/>
      <c r="CN55" s="607"/>
      <c r="CO55" s="607"/>
      <c r="CP55" s="607"/>
      <c r="CQ55" s="607"/>
      <c r="CR55" s="607"/>
      <c r="CS55" s="607"/>
      <c r="CT55" s="607"/>
      <c r="CU55" s="607"/>
      <c r="CV55" s="607"/>
      <c r="CW55" s="607"/>
      <c r="CX55" s="607"/>
      <c r="CY55" s="607"/>
      <c r="CZ55" s="607"/>
      <c r="DA55" s="607"/>
      <c r="DB55" s="607"/>
      <c r="DC55" s="607"/>
      <c r="DD55" s="607"/>
      <c r="AUV55" s="699">
        <f t="shared" si="65"/>
        <v>175997.2</v>
      </c>
      <c r="AUW55" s="699">
        <f t="shared" si="66"/>
        <v>135174.5</v>
      </c>
      <c r="AUX55" s="699">
        <f t="shared" si="67"/>
        <v>40822.699999999997</v>
      </c>
      <c r="AUY55" s="699">
        <f t="shared" si="68"/>
        <v>220</v>
      </c>
      <c r="AUZ55" s="699">
        <f t="shared" si="204"/>
        <v>76.069999999999993</v>
      </c>
      <c r="AVA55" s="699">
        <f t="shared" si="204"/>
        <v>0.21</v>
      </c>
      <c r="AVB55" s="699">
        <f t="shared" si="70"/>
        <v>3710</v>
      </c>
      <c r="AVC55" s="699">
        <f t="shared" si="71"/>
        <v>520</v>
      </c>
      <c r="AVD55" s="699">
        <f t="shared" si="72"/>
        <v>2140</v>
      </c>
      <c r="AVE55" s="699">
        <f t="shared" si="73"/>
        <v>310</v>
      </c>
      <c r="AVF55" s="699">
        <f t="shared" si="74"/>
        <v>740</v>
      </c>
      <c r="AVG55" s="699">
        <f t="shared" si="75"/>
        <v>7114.4</v>
      </c>
      <c r="AVH55" s="699">
        <f t="shared" si="76"/>
        <v>5080</v>
      </c>
      <c r="AVI55" s="699">
        <f t="shared" si="77"/>
        <v>540</v>
      </c>
      <c r="AVJ55" s="699">
        <f t="shared" si="78"/>
        <v>770</v>
      </c>
      <c r="AVK55" s="699">
        <f t="shared" si="79"/>
        <v>80</v>
      </c>
      <c r="AVL55" s="699">
        <f t="shared" si="80"/>
        <v>300</v>
      </c>
      <c r="AVM55" s="699">
        <f t="shared" si="81"/>
        <v>43787.6</v>
      </c>
      <c r="AVN55" s="699">
        <f t="shared" si="82"/>
        <v>33631.03</v>
      </c>
      <c r="AVO55" s="699">
        <f t="shared" si="83"/>
        <v>10156.57</v>
      </c>
      <c r="AVP55" s="699">
        <f t="shared" si="84"/>
        <v>3520</v>
      </c>
      <c r="AVQ55" s="699">
        <f t="shared" si="85"/>
        <v>243439.2</v>
      </c>
    </row>
    <row r="56" spans="1:108 1244:1265" s="608" customFormat="1" ht="30" customHeight="1" x14ac:dyDescent="0.25">
      <c r="A56" s="634">
        <v>1</v>
      </c>
      <c r="B56" s="634">
        <v>9</v>
      </c>
      <c r="C56" s="633" t="s">
        <v>247</v>
      </c>
      <c r="D56" s="600"/>
      <c r="E56" s="602" t="s">
        <v>344</v>
      </c>
      <c r="F56" s="634" t="s">
        <v>31</v>
      </c>
      <c r="G56" s="634">
        <v>1</v>
      </c>
      <c r="H56" s="656" t="s">
        <v>10</v>
      </c>
      <c r="I56" s="634">
        <v>0</v>
      </c>
      <c r="J56" s="602" t="s">
        <v>467</v>
      </c>
      <c r="K56" s="634">
        <v>1</v>
      </c>
      <c r="L56" s="681" t="s">
        <v>349</v>
      </c>
      <c r="M56" s="601"/>
      <c r="N56" s="602" t="s">
        <v>387</v>
      </c>
      <c r="O56" s="634">
        <v>1</v>
      </c>
      <c r="P56" s="633">
        <v>1</v>
      </c>
      <c r="Q56" s="633">
        <v>1</v>
      </c>
      <c r="R56" s="633">
        <v>1</v>
      </c>
      <c r="S56" s="671">
        <f>'Территориальный кк'!D12</f>
        <v>3.258</v>
      </c>
      <c r="T56" s="672">
        <f>'Территориальный кк'!E12</f>
        <v>2.8919999999999999</v>
      </c>
      <c r="U56" s="604">
        <f>SUMIFS(Нормативы!G:G,Нормативы!$B:$B,$G56,Нормативы!$D:$D,'2020'!$I56,Нормативы!$F:$F,'2020'!$K56)*O56</f>
        <v>54020</v>
      </c>
      <c r="V56" s="604">
        <f t="shared" si="205"/>
        <v>41490</v>
      </c>
      <c r="W56" s="604">
        <f t="shared" si="206"/>
        <v>12530</v>
      </c>
      <c r="X56" s="604">
        <f>SUMIFS(Нормативы!J:J,Нормативы!$B:$B,$G56,Нормативы!$D:$D,'2020'!$I56,Нормативы!$F:$F,'2020'!$K56)</f>
        <v>220</v>
      </c>
      <c r="Y56" s="604">
        <f>SUMIFS(Нормативы!K:K,Нормативы!$B:$B,$G56,Нормативы!$D:$D,'2020'!$I56,Нормативы!$F:$F,'2020'!$K56)</f>
        <v>44</v>
      </c>
      <c r="Z56" s="604">
        <f>SUMIFS(Нормативы!L:L,Нормативы!$B:$B,$G56,Нормативы!$D:$D,'2020'!$I56,Нормативы!$F:$F,'2020'!$K56)</f>
        <v>2320</v>
      </c>
      <c r="AA56" s="604">
        <f t="shared" si="207"/>
        <v>3710</v>
      </c>
      <c r="AB56" s="604">
        <f>SUMIFS(Нормативы!N:N,Нормативы!$B:$B,$G56,Нормативы!$D:$D,'2020'!$I56,Нормативы!$F:$F,'2020'!$K56)*O56</f>
        <v>520</v>
      </c>
      <c r="AC56" s="604">
        <f>SUMIFS(Нормативы!O:O,Нормативы!$B:$B,$G56,Нормативы!$D:$D,'2020'!$I56,Нормативы!$F:$F,'2020'!$K56)</f>
        <v>2140</v>
      </c>
      <c r="AD56" s="604">
        <f>SUMIFS(Нормативы!P:P,Нормативы!$B:$B,$G56,Нормативы!$D:$D,'2020'!$I56,Нормативы!$F:$F,'2020'!$K56)*O56</f>
        <v>310</v>
      </c>
      <c r="AE56" s="604">
        <f>SUMIFS(Нормативы!Q:Q,Нормативы!$B:$B,$G56,Нормативы!$D:$D,'2020'!$I56,Нормативы!$F:$F,'2020'!$K56)</f>
        <v>740</v>
      </c>
      <c r="AF56" s="604">
        <f>SUMIFS(Нормативы!R:R,Нормативы!$B:$B,$G56,Нормативы!$D:$D,'2020'!$I56,Нормативы!$F:$F,'2020'!$K56)</f>
        <v>2460</v>
      </c>
      <c r="AG56" s="604">
        <f>SUMIFS(Нормативы!S:S,Нормативы!$B:$B,$G56,Нормативы!$D:$D,'2020'!$I56,Нормативы!$F:$F,'2020'!$K56)</f>
        <v>5080</v>
      </c>
      <c r="AH56" s="604">
        <f>SUMIFS(Нормативы!T:T,Нормативы!$B:$B,$G56,Нормативы!$D:$D,'2020'!$I56,Нормативы!$F:$F,'2020'!$K56)</f>
        <v>540</v>
      </c>
      <c r="AI56" s="604">
        <f>SUMIFS(Нормативы!U:U,Нормативы!$B:$B,$G56,Нормативы!$D:$D,'2020'!$I56,Нормативы!$F:$F,'2020'!$K56)</f>
        <v>770</v>
      </c>
      <c r="AJ56" s="604">
        <f>SUMIFS(Нормативы!V:V,Нормативы!$B:$B,$G56,Нормативы!$D:$D,'2020'!$I56,Нормативы!$F:$F,'2020'!$K56)</f>
        <v>80</v>
      </c>
      <c r="AK56" s="604">
        <f>SUMIFS(Нормативы!W:W,Нормативы!$B:$B,$G56,Нормативы!$D:$D,'2020'!$I56,Нормативы!$F:$F,'2020'!$K56)</f>
        <v>300</v>
      </c>
      <c r="AL56" s="604">
        <f>SUMIFS(Нормативы!X:X,Нормативы!$B:$B,$G56,Нормативы!$D:$D,'2020'!$I56,Нормативы!$F:$F,'2020'!$K56)*O56</f>
        <v>13440</v>
      </c>
      <c r="AM56" s="604">
        <f t="shared" si="208"/>
        <v>10322.6</v>
      </c>
      <c r="AN56" s="604">
        <f t="shared" si="209"/>
        <v>3117.4</v>
      </c>
      <c r="AO56" s="604">
        <f>SUMIFS(Нормативы!AA:AA,Нормативы!$B:$B,$G56,Нормативы!$D:$D,'2020'!$I56,Нормативы!$F:$F,'2020'!$K56)</f>
        <v>3520</v>
      </c>
      <c r="AP56" s="605">
        <f t="shared" si="210"/>
        <v>86460</v>
      </c>
      <c r="AQ56" s="611">
        <f t="shared" si="104"/>
        <v>54020</v>
      </c>
      <c r="AR56" s="604">
        <f t="shared" si="105"/>
        <v>41490</v>
      </c>
      <c r="AS56" s="604">
        <f t="shared" si="106"/>
        <v>12530</v>
      </c>
      <c r="AT56" s="606">
        <f t="shared" si="0"/>
        <v>220</v>
      </c>
      <c r="AU56" s="606">
        <f t="shared" si="1"/>
        <v>44</v>
      </c>
      <c r="AV56" s="606">
        <f t="shared" si="2"/>
        <v>2320</v>
      </c>
      <c r="AW56" s="606">
        <f t="shared" si="3"/>
        <v>3710</v>
      </c>
      <c r="AX56" s="606">
        <f t="shared" si="4"/>
        <v>520</v>
      </c>
      <c r="AY56" s="606">
        <f t="shared" si="5"/>
        <v>2140</v>
      </c>
      <c r="AZ56" s="606">
        <f t="shared" si="6"/>
        <v>310</v>
      </c>
      <c r="BA56" s="606">
        <f t="shared" si="7"/>
        <v>740</v>
      </c>
      <c r="BB56" s="606">
        <f t="shared" si="107"/>
        <v>2460</v>
      </c>
      <c r="BC56" s="606">
        <f t="shared" si="8"/>
        <v>5080</v>
      </c>
      <c r="BD56" s="606">
        <f t="shared" si="9"/>
        <v>540</v>
      </c>
      <c r="BE56" s="606">
        <f t="shared" si="10"/>
        <v>770</v>
      </c>
      <c r="BF56" s="606">
        <f t="shared" si="11"/>
        <v>80</v>
      </c>
      <c r="BG56" s="606">
        <f t="shared" si="12"/>
        <v>300</v>
      </c>
      <c r="BH56" s="606">
        <f t="shared" si="13"/>
        <v>13440</v>
      </c>
      <c r="BI56" s="604">
        <f t="shared" si="108"/>
        <v>10322.6</v>
      </c>
      <c r="BJ56" s="604">
        <f t="shared" si="109"/>
        <v>3117.4</v>
      </c>
      <c r="BK56" s="606">
        <f t="shared" si="211"/>
        <v>3520</v>
      </c>
      <c r="BL56" s="605">
        <f t="shared" si="15"/>
        <v>86460</v>
      </c>
      <c r="BM56" s="614">
        <f t="shared" si="110"/>
        <v>175997</v>
      </c>
      <c r="BN56" s="604">
        <f t="shared" si="16"/>
        <v>135174.29999999999</v>
      </c>
      <c r="BO56" s="604">
        <f t="shared" si="17"/>
        <v>40822.699999999997</v>
      </c>
      <c r="BP56" s="606">
        <f t="shared" si="111"/>
        <v>220</v>
      </c>
      <c r="BQ56" s="606">
        <f t="shared" si="112"/>
        <v>44</v>
      </c>
      <c r="BR56" s="606">
        <f t="shared" si="113"/>
        <v>2320</v>
      </c>
      <c r="BS56" s="606">
        <f t="shared" si="18"/>
        <v>3710</v>
      </c>
      <c r="BT56" s="606">
        <f t="shared" si="19"/>
        <v>520</v>
      </c>
      <c r="BU56" s="606">
        <f t="shared" si="20"/>
        <v>2140</v>
      </c>
      <c r="BV56" s="606">
        <f t="shared" si="21"/>
        <v>310</v>
      </c>
      <c r="BW56" s="606">
        <f t="shared" si="22"/>
        <v>740</v>
      </c>
      <c r="BX56" s="606">
        <f t="shared" si="23"/>
        <v>7114</v>
      </c>
      <c r="BY56" s="606">
        <f t="shared" si="24"/>
        <v>5080</v>
      </c>
      <c r="BZ56" s="606">
        <f t="shared" si="25"/>
        <v>540</v>
      </c>
      <c r="CA56" s="606">
        <f t="shared" si="26"/>
        <v>770</v>
      </c>
      <c r="CB56" s="606">
        <f t="shared" si="27"/>
        <v>80</v>
      </c>
      <c r="CC56" s="606">
        <f t="shared" si="28"/>
        <v>300</v>
      </c>
      <c r="CD56" s="606">
        <f t="shared" si="29"/>
        <v>43788</v>
      </c>
      <c r="CE56" s="604">
        <f t="shared" si="114"/>
        <v>33631.300000000003</v>
      </c>
      <c r="CF56" s="604">
        <f t="shared" si="115"/>
        <v>10156.700000000001</v>
      </c>
      <c r="CG56" s="606">
        <f t="shared" si="30"/>
        <v>3520</v>
      </c>
      <c r="CH56" s="415">
        <f t="shared" si="31"/>
        <v>243439</v>
      </c>
      <c r="CI56" s="607"/>
      <c r="CJ56" s="607"/>
      <c r="CK56" s="607"/>
      <c r="CL56" s="607"/>
      <c r="CM56" s="607"/>
      <c r="CN56" s="607"/>
      <c r="CO56" s="607"/>
      <c r="CP56" s="607"/>
      <c r="CQ56" s="607"/>
      <c r="CR56" s="607"/>
      <c r="CS56" s="607"/>
      <c r="CT56" s="607"/>
      <c r="CU56" s="607"/>
      <c r="CV56" s="607"/>
      <c r="CW56" s="607"/>
      <c r="CX56" s="607"/>
      <c r="CY56" s="607"/>
      <c r="CZ56" s="607"/>
      <c r="DA56" s="607"/>
      <c r="DB56" s="607"/>
      <c r="DC56" s="607"/>
      <c r="DD56" s="607"/>
      <c r="AUV56" s="699">
        <f t="shared" si="65"/>
        <v>175997</v>
      </c>
      <c r="AUW56" s="699">
        <f t="shared" si="66"/>
        <v>135174.35</v>
      </c>
      <c r="AUX56" s="699">
        <f t="shared" si="67"/>
        <v>40822.65</v>
      </c>
      <c r="AUY56" s="699">
        <f t="shared" si="68"/>
        <v>220</v>
      </c>
      <c r="AUZ56" s="699">
        <f t="shared" si="204"/>
        <v>15.21</v>
      </c>
      <c r="AVA56" s="699">
        <f t="shared" si="204"/>
        <v>0.04</v>
      </c>
      <c r="AVB56" s="699">
        <f t="shared" si="70"/>
        <v>3710</v>
      </c>
      <c r="AVC56" s="699">
        <f t="shared" si="71"/>
        <v>520</v>
      </c>
      <c r="AVD56" s="699">
        <f t="shared" si="72"/>
        <v>2140</v>
      </c>
      <c r="AVE56" s="699">
        <f t="shared" si="73"/>
        <v>310</v>
      </c>
      <c r="AVF56" s="699">
        <f t="shared" si="74"/>
        <v>740</v>
      </c>
      <c r="AVG56" s="699">
        <f t="shared" si="75"/>
        <v>7114</v>
      </c>
      <c r="AVH56" s="699">
        <f t="shared" si="76"/>
        <v>5080</v>
      </c>
      <c r="AVI56" s="699">
        <f t="shared" si="77"/>
        <v>540</v>
      </c>
      <c r="AVJ56" s="699">
        <f t="shared" si="78"/>
        <v>770</v>
      </c>
      <c r="AVK56" s="699">
        <f t="shared" si="79"/>
        <v>80</v>
      </c>
      <c r="AVL56" s="699">
        <f t="shared" si="80"/>
        <v>300</v>
      </c>
      <c r="AVM56" s="699">
        <f t="shared" si="81"/>
        <v>43788</v>
      </c>
      <c r="AVN56" s="699">
        <f t="shared" si="82"/>
        <v>33631.339999999997</v>
      </c>
      <c r="AVO56" s="699">
        <f t="shared" si="83"/>
        <v>10156.66</v>
      </c>
      <c r="AVP56" s="699">
        <f t="shared" si="84"/>
        <v>3520</v>
      </c>
      <c r="AVQ56" s="699">
        <f t="shared" si="85"/>
        <v>243439</v>
      </c>
    </row>
    <row r="57" spans="1:108 1244:1265" s="608" customFormat="1" ht="30" customHeight="1" x14ac:dyDescent="0.25">
      <c r="A57" s="634">
        <v>1</v>
      </c>
      <c r="B57" s="634">
        <v>9</v>
      </c>
      <c r="C57" s="633" t="s">
        <v>247</v>
      </c>
      <c r="D57" s="600"/>
      <c r="E57" s="602" t="s">
        <v>344</v>
      </c>
      <c r="F57" s="634" t="s">
        <v>31</v>
      </c>
      <c r="G57" s="634">
        <v>1</v>
      </c>
      <c r="H57" s="656" t="s">
        <v>10</v>
      </c>
      <c r="I57" s="634">
        <v>0</v>
      </c>
      <c r="J57" s="602" t="s">
        <v>472</v>
      </c>
      <c r="K57" s="634">
        <v>3</v>
      </c>
      <c r="L57" s="681" t="s">
        <v>349</v>
      </c>
      <c r="M57" s="601"/>
      <c r="N57" s="602" t="s">
        <v>401</v>
      </c>
      <c r="O57" s="634">
        <v>2</v>
      </c>
      <c r="P57" s="633">
        <v>1</v>
      </c>
      <c r="Q57" s="633">
        <v>1</v>
      </c>
      <c r="R57" s="633">
        <v>1</v>
      </c>
      <c r="S57" s="671">
        <f>'Территориальный кк'!D12</f>
        <v>3.258</v>
      </c>
      <c r="T57" s="672">
        <f>'Территориальный кк'!E12</f>
        <v>2.8919999999999999</v>
      </c>
      <c r="U57" s="604">
        <f>SUMIFS(Нормативы!G:G,Нормативы!$B:$B,$G57,Нормативы!$D:$D,'2020'!$I57,Нормативы!$F:$F,'2020'!$K57)*O57</f>
        <v>128380</v>
      </c>
      <c r="V57" s="604">
        <f t="shared" ref="V57:V60" si="212">ROUND(U57/1.302,1)</f>
        <v>98602.2</v>
      </c>
      <c r="W57" s="604">
        <f t="shared" ref="W57:W60" si="213">U57-V57</f>
        <v>29777.8</v>
      </c>
      <c r="X57" s="604">
        <f>SUMIFS(Нормативы!J:J,Нормативы!$B:$B,$G57,Нормативы!$D:$D,'2020'!$I57,Нормативы!$F:$F,'2020'!$K57)</f>
        <v>8830</v>
      </c>
      <c r="Y57" s="604">
        <f>SUMIFS(Нормативы!K:K,Нормативы!$B:$B,$G57,Нормативы!$D:$D,'2020'!$I57,Нормативы!$F:$F,'2020'!$K57)</f>
        <v>1766</v>
      </c>
      <c r="Z57" s="604">
        <f>SUMIFS(Нормативы!L:L,Нормативы!$B:$B,$G57,Нормативы!$D:$D,'2020'!$I57,Нормативы!$F:$F,'2020'!$K57)</f>
        <v>8110</v>
      </c>
      <c r="AA57" s="604">
        <f t="shared" ref="AA57:AA60" si="214">AB57+AC57+AD57+AE57</f>
        <v>19930</v>
      </c>
      <c r="AB57" s="604">
        <f>SUMIFS(Нормативы!N:N,Нормативы!$B:$B,$G57,Нормативы!$D:$D,'2020'!$I57,Нормативы!$F:$F,'2020'!$K57)*O57</f>
        <v>1040</v>
      </c>
      <c r="AC57" s="604">
        <f>SUMIFS(Нормативы!O:O,Нормативы!$B:$B,$G57,Нормативы!$D:$D,'2020'!$I57,Нормативы!$F:$F,'2020'!$K57)</f>
        <v>17290</v>
      </c>
      <c r="AD57" s="604">
        <f>SUMIFS(Нормативы!P:P,Нормативы!$B:$B,$G57,Нормативы!$D:$D,'2020'!$I57,Нормативы!$F:$F,'2020'!$K57)*O57</f>
        <v>720</v>
      </c>
      <c r="AE57" s="604">
        <f>SUMIFS(Нормативы!Q:Q,Нормативы!$B:$B,$G57,Нормативы!$D:$D,'2020'!$I57,Нормативы!$F:$F,'2020'!$K57)</f>
        <v>880</v>
      </c>
      <c r="AF57" s="604">
        <f>SUMIFS(Нормативы!R:R,Нормативы!$B:$B,$G57,Нормативы!$D:$D,'2020'!$I57,Нормативы!$F:$F,'2020'!$K57)</f>
        <v>2680</v>
      </c>
      <c r="AG57" s="604">
        <f>SUMIFS(Нормативы!S:S,Нормативы!$B:$B,$G57,Нормативы!$D:$D,'2020'!$I57,Нормативы!$F:$F,'2020'!$K57)</f>
        <v>5800</v>
      </c>
      <c r="AH57" s="604">
        <f>SUMIFS(Нормативы!T:T,Нормативы!$B:$B,$G57,Нормативы!$D:$D,'2020'!$I57,Нормативы!$F:$F,'2020'!$K57)</f>
        <v>540</v>
      </c>
      <c r="AI57" s="604">
        <f>SUMIFS(Нормативы!U:U,Нормативы!$B:$B,$G57,Нормативы!$D:$D,'2020'!$I57,Нормативы!$F:$F,'2020'!$K57)</f>
        <v>770</v>
      </c>
      <c r="AJ57" s="604">
        <f>SUMIFS(Нормативы!V:V,Нормативы!$B:$B,$G57,Нормативы!$D:$D,'2020'!$I57,Нормативы!$F:$F,'2020'!$K57)</f>
        <v>80</v>
      </c>
      <c r="AK57" s="604">
        <f>SUMIFS(Нормативы!W:W,Нормативы!$B:$B,$G57,Нормативы!$D:$D,'2020'!$I57,Нормативы!$F:$F,'2020'!$K57)</f>
        <v>1050</v>
      </c>
      <c r="AL57" s="604">
        <f>SUMIFS(Нормативы!X:X,Нормативы!$B:$B,$G57,Нормативы!$D:$D,'2020'!$I57,Нормативы!$F:$F,'2020'!$K57)*O57</f>
        <v>32240</v>
      </c>
      <c r="AM57" s="604">
        <f t="shared" ref="AM57:AM60" si="215">ROUND(AL57/1.302,1)</f>
        <v>24761.9</v>
      </c>
      <c r="AN57" s="604">
        <f t="shared" ref="AN57:AN60" si="216">AL57-AM57</f>
        <v>7478.1</v>
      </c>
      <c r="AO57" s="604">
        <f>SUMIFS(Нормативы!AA:AA,Нормативы!$B:$B,$G57,Нормативы!$D:$D,'2020'!$I57,Нормативы!$F:$F,'2020'!$K57)</f>
        <v>3520</v>
      </c>
      <c r="AP57" s="605">
        <f t="shared" ref="AP57:AP60" si="217">U57+X57+Z57+AA57++AF57+AG57+AH57+AI57+AJ57+AK57+AL57+AO57</f>
        <v>211930</v>
      </c>
      <c r="AQ57" s="611">
        <f t="shared" si="104"/>
        <v>128380</v>
      </c>
      <c r="AR57" s="604">
        <f t="shared" si="105"/>
        <v>98602.2</v>
      </c>
      <c r="AS57" s="604">
        <f t="shared" si="106"/>
        <v>29777.8</v>
      </c>
      <c r="AT57" s="606">
        <f t="shared" si="0"/>
        <v>8830</v>
      </c>
      <c r="AU57" s="606">
        <f t="shared" si="1"/>
        <v>1766</v>
      </c>
      <c r="AV57" s="606">
        <f t="shared" si="2"/>
        <v>8110</v>
      </c>
      <c r="AW57" s="606">
        <f t="shared" si="3"/>
        <v>19930</v>
      </c>
      <c r="AX57" s="606">
        <f t="shared" si="4"/>
        <v>1040</v>
      </c>
      <c r="AY57" s="606">
        <f t="shared" si="5"/>
        <v>17290</v>
      </c>
      <c r="AZ57" s="606">
        <f t="shared" si="6"/>
        <v>720</v>
      </c>
      <c r="BA57" s="606">
        <f t="shared" si="7"/>
        <v>880</v>
      </c>
      <c r="BB57" s="606">
        <f t="shared" si="107"/>
        <v>2680</v>
      </c>
      <c r="BC57" s="606">
        <f t="shared" si="8"/>
        <v>5800</v>
      </c>
      <c r="BD57" s="606">
        <f t="shared" si="9"/>
        <v>540</v>
      </c>
      <c r="BE57" s="606">
        <f t="shared" si="10"/>
        <v>770</v>
      </c>
      <c r="BF57" s="606">
        <f t="shared" si="11"/>
        <v>80</v>
      </c>
      <c r="BG57" s="606">
        <f t="shared" si="12"/>
        <v>1050</v>
      </c>
      <c r="BH57" s="606">
        <f t="shared" si="13"/>
        <v>32240</v>
      </c>
      <c r="BI57" s="604">
        <f t="shared" si="108"/>
        <v>24761.9</v>
      </c>
      <c r="BJ57" s="604">
        <f t="shared" si="109"/>
        <v>7478.1</v>
      </c>
      <c r="BK57" s="606">
        <f t="shared" si="211"/>
        <v>3520</v>
      </c>
      <c r="BL57" s="605">
        <f t="shared" si="15"/>
        <v>211930</v>
      </c>
      <c r="BM57" s="614">
        <f t="shared" si="110"/>
        <v>418262</v>
      </c>
      <c r="BN57" s="604">
        <f t="shared" si="16"/>
        <v>321245.8</v>
      </c>
      <c r="BO57" s="604">
        <f t="shared" si="17"/>
        <v>97016.2</v>
      </c>
      <c r="BP57" s="606">
        <f t="shared" si="111"/>
        <v>8830</v>
      </c>
      <c r="BQ57" s="606">
        <f t="shared" si="112"/>
        <v>1766</v>
      </c>
      <c r="BR57" s="606">
        <f t="shared" si="113"/>
        <v>8110</v>
      </c>
      <c r="BS57" s="606">
        <f t="shared" si="18"/>
        <v>19930</v>
      </c>
      <c r="BT57" s="606">
        <f t="shared" si="19"/>
        <v>1040</v>
      </c>
      <c r="BU57" s="606">
        <f t="shared" si="20"/>
        <v>17290</v>
      </c>
      <c r="BV57" s="606">
        <f t="shared" si="21"/>
        <v>720</v>
      </c>
      <c r="BW57" s="606">
        <f t="shared" si="22"/>
        <v>880</v>
      </c>
      <c r="BX57" s="606">
        <f t="shared" si="23"/>
        <v>7751</v>
      </c>
      <c r="BY57" s="606">
        <f t="shared" si="24"/>
        <v>5800</v>
      </c>
      <c r="BZ57" s="606">
        <f t="shared" si="25"/>
        <v>540</v>
      </c>
      <c r="CA57" s="606">
        <f t="shared" si="26"/>
        <v>770</v>
      </c>
      <c r="CB57" s="606">
        <f t="shared" si="27"/>
        <v>80</v>
      </c>
      <c r="CC57" s="606">
        <f t="shared" si="28"/>
        <v>1050</v>
      </c>
      <c r="CD57" s="606">
        <f t="shared" si="29"/>
        <v>105038</v>
      </c>
      <c r="CE57" s="604">
        <f t="shared" si="114"/>
        <v>80674.3</v>
      </c>
      <c r="CF57" s="604">
        <f t="shared" si="115"/>
        <v>24363.7</v>
      </c>
      <c r="CG57" s="606">
        <f t="shared" si="30"/>
        <v>3520</v>
      </c>
      <c r="CH57" s="415">
        <f t="shared" si="31"/>
        <v>579681</v>
      </c>
      <c r="CI57" s="607"/>
      <c r="CJ57" s="607"/>
      <c r="CK57" s="607"/>
      <c r="CL57" s="607"/>
      <c r="CM57" s="607"/>
      <c r="CN57" s="607"/>
      <c r="CO57" s="607"/>
      <c r="CP57" s="607"/>
      <c r="CQ57" s="607"/>
      <c r="CR57" s="607"/>
      <c r="CS57" s="607"/>
      <c r="CT57" s="607"/>
      <c r="CU57" s="607"/>
      <c r="CV57" s="607"/>
      <c r="CW57" s="607"/>
      <c r="CX57" s="607"/>
      <c r="CY57" s="607"/>
      <c r="CZ57" s="607"/>
      <c r="DA57" s="607"/>
      <c r="DB57" s="607"/>
      <c r="DC57" s="607"/>
      <c r="DD57" s="607"/>
      <c r="AUV57" s="699">
        <f t="shared" si="65"/>
        <v>418262</v>
      </c>
      <c r="AUW57" s="699">
        <f t="shared" si="66"/>
        <v>321245.78000000003</v>
      </c>
      <c r="AUX57" s="699">
        <f t="shared" si="67"/>
        <v>97016.22</v>
      </c>
      <c r="AUY57" s="699">
        <f t="shared" si="68"/>
        <v>8830</v>
      </c>
      <c r="AUZ57" s="699">
        <f t="shared" si="204"/>
        <v>610.65</v>
      </c>
      <c r="AVA57" s="699">
        <f t="shared" si="204"/>
        <v>0.06</v>
      </c>
      <c r="AVB57" s="699">
        <f t="shared" si="70"/>
        <v>19930</v>
      </c>
      <c r="AVC57" s="699">
        <f t="shared" si="71"/>
        <v>1040</v>
      </c>
      <c r="AVD57" s="699">
        <f t="shared" si="72"/>
        <v>17290</v>
      </c>
      <c r="AVE57" s="699">
        <f t="shared" si="73"/>
        <v>720</v>
      </c>
      <c r="AVF57" s="699">
        <f t="shared" si="74"/>
        <v>880</v>
      </c>
      <c r="AVG57" s="699">
        <f t="shared" si="75"/>
        <v>7751</v>
      </c>
      <c r="AVH57" s="699">
        <f t="shared" si="76"/>
        <v>5800</v>
      </c>
      <c r="AVI57" s="699">
        <f t="shared" si="77"/>
        <v>540</v>
      </c>
      <c r="AVJ57" s="699">
        <f t="shared" si="78"/>
        <v>770</v>
      </c>
      <c r="AVK57" s="699">
        <f t="shared" si="79"/>
        <v>80</v>
      </c>
      <c r="AVL57" s="699">
        <f t="shared" si="80"/>
        <v>1050</v>
      </c>
      <c r="AVM57" s="699">
        <f t="shared" si="81"/>
        <v>105038</v>
      </c>
      <c r="AVN57" s="699">
        <f t="shared" si="82"/>
        <v>80674.350000000006</v>
      </c>
      <c r="AVO57" s="699">
        <f t="shared" si="83"/>
        <v>24363.65</v>
      </c>
      <c r="AVP57" s="699">
        <f t="shared" si="84"/>
        <v>3520</v>
      </c>
      <c r="AVQ57" s="699">
        <f t="shared" si="85"/>
        <v>579681</v>
      </c>
    </row>
    <row r="58" spans="1:108 1244:1265" s="608" customFormat="1" ht="30" customHeight="1" x14ac:dyDescent="0.25">
      <c r="A58" s="634">
        <v>1</v>
      </c>
      <c r="B58" s="634">
        <v>9</v>
      </c>
      <c r="C58" s="633" t="s">
        <v>247</v>
      </c>
      <c r="D58" s="600"/>
      <c r="E58" s="602" t="s">
        <v>345</v>
      </c>
      <c r="F58" s="634" t="s">
        <v>38</v>
      </c>
      <c r="G58" s="634">
        <v>2</v>
      </c>
      <c r="H58" s="656" t="s">
        <v>10</v>
      </c>
      <c r="I58" s="634">
        <v>0</v>
      </c>
      <c r="J58" s="602" t="s">
        <v>473</v>
      </c>
      <c r="K58" s="634">
        <v>1</v>
      </c>
      <c r="L58" s="681" t="s">
        <v>350</v>
      </c>
      <c r="M58" s="601"/>
      <c r="N58" s="602" t="s">
        <v>387</v>
      </c>
      <c r="O58" s="634">
        <v>1</v>
      </c>
      <c r="P58" s="633">
        <v>3</v>
      </c>
      <c r="Q58" s="633">
        <v>3</v>
      </c>
      <c r="R58" s="633">
        <v>3</v>
      </c>
      <c r="S58" s="671">
        <f>'Территориальный кк'!D12</f>
        <v>3.258</v>
      </c>
      <c r="T58" s="672">
        <f>'Территориальный кк'!E12</f>
        <v>2.8919999999999999</v>
      </c>
      <c r="U58" s="604">
        <f>SUMIFS(Нормативы!G:G,Нормативы!$B:$B,$G58,Нормативы!$D:$D,'2020'!$I58,Нормативы!$F:$F,'2020'!$K58)*O58</f>
        <v>59740</v>
      </c>
      <c r="V58" s="604">
        <f t="shared" si="212"/>
        <v>45883.3</v>
      </c>
      <c r="W58" s="604">
        <f t="shared" si="213"/>
        <v>13856.7</v>
      </c>
      <c r="X58" s="604">
        <f>SUMIFS(Нормативы!J:J,Нормативы!$B:$B,$G58,Нормативы!$D:$D,'2020'!$I58,Нормативы!$F:$F,'2020'!$K58)</f>
        <v>220</v>
      </c>
      <c r="Y58" s="604">
        <f>SUMIFS(Нормативы!K:K,Нормативы!$B:$B,$G58,Нормативы!$D:$D,'2020'!$I58,Нормативы!$F:$F,'2020'!$K58)</f>
        <v>44</v>
      </c>
      <c r="Z58" s="604">
        <f>SUMIFS(Нормативы!L:L,Нормативы!$B:$B,$G58,Нормативы!$D:$D,'2020'!$I58,Нормативы!$F:$F,'2020'!$K58)</f>
        <v>2320</v>
      </c>
      <c r="AA58" s="604">
        <f t="shared" si="214"/>
        <v>4350</v>
      </c>
      <c r="AB58" s="604">
        <f>SUMIFS(Нормативы!N:N,Нормативы!$B:$B,$G58,Нормативы!$D:$D,'2020'!$I58,Нормативы!$F:$F,'2020'!$K58)*O58</f>
        <v>520</v>
      </c>
      <c r="AC58" s="604">
        <f>SUMIFS(Нормативы!O:O,Нормативы!$B:$B,$G58,Нормативы!$D:$D,'2020'!$I58,Нормативы!$F:$F,'2020'!$K58)</f>
        <v>2670</v>
      </c>
      <c r="AD58" s="604">
        <f>SUMIFS(Нормативы!P:P,Нормативы!$B:$B,$G58,Нормативы!$D:$D,'2020'!$I58,Нормативы!$F:$F,'2020'!$K58)*O58</f>
        <v>340</v>
      </c>
      <c r="AE58" s="604">
        <f>SUMIFS(Нормативы!Q:Q,Нормативы!$B:$B,$G58,Нормативы!$D:$D,'2020'!$I58,Нормативы!$F:$F,'2020'!$K58)</f>
        <v>820</v>
      </c>
      <c r="AF58" s="604">
        <f>SUMIFS(Нормативы!R:R,Нормативы!$B:$B,$G58,Нормативы!$D:$D,'2020'!$I58,Нормативы!$F:$F,'2020'!$K58)</f>
        <v>2460</v>
      </c>
      <c r="AG58" s="604">
        <f>SUMIFS(Нормативы!S:S,Нормативы!$B:$B,$G58,Нормативы!$D:$D,'2020'!$I58,Нормативы!$F:$F,'2020'!$K58)</f>
        <v>5080</v>
      </c>
      <c r="AH58" s="604">
        <f>SUMIFS(Нормативы!T:T,Нормативы!$B:$B,$G58,Нормативы!$D:$D,'2020'!$I58,Нормативы!$F:$F,'2020'!$K58)</f>
        <v>540</v>
      </c>
      <c r="AI58" s="604">
        <f>SUMIFS(Нормативы!U:U,Нормативы!$B:$B,$G58,Нормативы!$D:$D,'2020'!$I58,Нормативы!$F:$F,'2020'!$K58)</f>
        <v>770</v>
      </c>
      <c r="AJ58" s="604">
        <f>SUMIFS(Нормативы!V:V,Нормативы!$B:$B,$G58,Нормативы!$D:$D,'2020'!$I58,Нормативы!$F:$F,'2020'!$K58)</f>
        <v>80</v>
      </c>
      <c r="AK58" s="604">
        <f>SUMIFS(Нормативы!W:W,Нормативы!$B:$B,$G58,Нормативы!$D:$D,'2020'!$I58,Нормативы!$F:$F,'2020'!$K58)</f>
        <v>120</v>
      </c>
      <c r="AL58" s="604">
        <f>SUMIFS(Нормативы!X:X,Нормативы!$B:$B,$G58,Нормативы!$D:$D,'2020'!$I58,Нормативы!$F:$F,'2020'!$K58)*O58</f>
        <v>13440</v>
      </c>
      <c r="AM58" s="604">
        <f t="shared" si="215"/>
        <v>10322.6</v>
      </c>
      <c r="AN58" s="604">
        <f t="shared" si="216"/>
        <v>3117.4</v>
      </c>
      <c r="AO58" s="604">
        <f>SUMIFS(Нормативы!AA:AA,Нормативы!$B:$B,$G58,Нормативы!$D:$D,'2020'!$I58,Нормативы!$F:$F,'2020'!$K58)</f>
        <v>3520</v>
      </c>
      <c r="AP58" s="605">
        <f t="shared" si="217"/>
        <v>92640</v>
      </c>
      <c r="AQ58" s="611">
        <f t="shared" si="104"/>
        <v>179220</v>
      </c>
      <c r="AR58" s="604">
        <f t="shared" si="105"/>
        <v>137649.79999999999</v>
      </c>
      <c r="AS58" s="604">
        <f t="shared" si="106"/>
        <v>41570.199999999997</v>
      </c>
      <c r="AT58" s="606">
        <f t="shared" si="0"/>
        <v>660</v>
      </c>
      <c r="AU58" s="606">
        <f t="shared" si="1"/>
        <v>132</v>
      </c>
      <c r="AV58" s="606">
        <f t="shared" si="2"/>
        <v>6960</v>
      </c>
      <c r="AW58" s="606">
        <f t="shared" si="3"/>
        <v>13050</v>
      </c>
      <c r="AX58" s="606">
        <f t="shared" si="4"/>
        <v>1560</v>
      </c>
      <c r="AY58" s="606">
        <f t="shared" si="5"/>
        <v>8010</v>
      </c>
      <c r="AZ58" s="606">
        <f t="shared" si="6"/>
        <v>1020</v>
      </c>
      <c r="BA58" s="606">
        <f t="shared" si="7"/>
        <v>2460</v>
      </c>
      <c r="BB58" s="606">
        <f t="shared" si="107"/>
        <v>7380</v>
      </c>
      <c r="BC58" s="606">
        <f t="shared" si="8"/>
        <v>15240</v>
      </c>
      <c r="BD58" s="606">
        <f t="shared" si="9"/>
        <v>1620</v>
      </c>
      <c r="BE58" s="606">
        <f t="shared" si="10"/>
        <v>2310</v>
      </c>
      <c r="BF58" s="606">
        <f t="shared" si="11"/>
        <v>240</v>
      </c>
      <c r="BG58" s="606">
        <f t="shared" si="12"/>
        <v>360</v>
      </c>
      <c r="BH58" s="606">
        <f t="shared" si="13"/>
        <v>40320</v>
      </c>
      <c r="BI58" s="604">
        <f t="shared" si="108"/>
        <v>30967.7</v>
      </c>
      <c r="BJ58" s="604">
        <f t="shared" si="109"/>
        <v>9352.2999999999993</v>
      </c>
      <c r="BK58" s="606">
        <f t="shared" si="211"/>
        <v>10560</v>
      </c>
      <c r="BL58" s="605">
        <f t="shared" si="15"/>
        <v>277920</v>
      </c>
      <c r="BM58" s="614">
        <f t="shared" si="110"/>
        <v>583899</v>
      </c>
      <c r="BN58" s="604">
        <f t="shared" si="16"/>
        <v>448463.1</v>
      </c>
      <c r="BO58" s="604">
        <f t="shared" si="17"/>
        <v>135435.9</v>
      </c>
      <c r="BP58" s="606">
        <f t="shared" si="111"/>
        <v>660</v>
      </c>
      <c r="BQ58" s="606">
        <f t="shared" si="112"/>
        <v>132</v>
      </c>
      <c r="BR58" s="606">
        <f t="shared" si="113"/>
        <v>6960</v>
      </c>
      <c r="BS58" s="606">
        <f t="shared" si="18"/>
        <v>13050</v>
      </c>
      <c r="BT58" s="606">
        <f t="shared" si="19"/>
        <v>1560</v>
      </c>
      <c r="BU58" s="606">
        <f t="shared" si="20"/>
        <v>8010</v>
      </c>
      <c r="BV58" s="606">
        <f t="shared" si="21"/>
        <v>1020</v>
      </c>
      <c r="BW58" s="606">
        <f t="shared" si="22"/>
        <v>2460</v>
      </c>
      <c r="BX58" s="606">
        <f t="shared" si="23"/>
        <v>21343</v>
      </c>
      <c r="BY58" s="606">
        <f t="shared" si="24"/>
        <v>15240</v>
      </c>
      <c r="BZ58" s="606">
        <f t="shared" si="25"/>
        <v>1620</v>
      </c>
      <c r="CA58" s="606">
        <f t="shared" si="26"/>
        <v>2310</v>
      </c>
      <c r="CB58" s="606">
        <f t="shared" si="27"/>
        <v>240</v>
      </c>
      <c r="CC58" s="606">
        <f t="shared" si="28"/>
        <v>360</v>
      </c>
      <c r="CD58" s="606">
        <f t="shared" si="29"/>
        <v>131363</v>
      </c>
      <c r="CE58" s="604">
        <f t="shared" si="114"/>
        <v>100893.2</v>
      </c>
      <c r="CF58" s="604">
        <f t="shared" si="115"/>
        <v>30469.8</v>
      </c>
      <c r="CG58" s="606">
        <f t="shared" si="30"/>
        <v>10560</v>
      </c>
      <c r="CH58" s="415">
        <f t="shared" si="31"/>
        <v>787605</v>
      </c>
      <c r="CI58" s="607"/>
      <c r="CJ58" s="607"/>
      <c r="CK58" s="607"/>
      <c r="CL58" s="607"/>
      <c r="CM58" s="607"/>
      <c r="CN58" s="607"/>
      <c r="CO58" s="607"/>
      <c r="CP58" s="607"/>
      <c r="CQ58" s="607"/>
      <c r="CR58" s="607"/>
      <c r="CS58" s="607"/>
      <c r="CT58" s="607"/>
      <c r="CU58" s="607"/>
      <c r="CV58" s="607"/>
      <c r="CW58" s="607"/>
      <c r="CX58" s="607"/>
      <c r="CY58" s="607"/>
      <c r="CZ58" s="607"/>
      <c r="DA58" s="607"/>
      <c r="DB58" s="607"/>
      <c r="DC58" s="607"/>
      <c r="DD58" s="607"/>
      <c r="AUV58" s="699">
        <f t="shared" si="65"/>
        <v>194633</v>
      </c>
      <c r="AUW58" s="699">
        <f t="shared" si="66"/>
        <v>149487.71</v>
      </c>
      <c r="AUX58" s="699">
        <f t="shared" si="67"/>
        <v>45145.29</v>
      </c>
      <c r="AUY58" s="699">
        <f t="shared" si="68"/>
        <v>220</v>
      </c>
      <c r="AUZ58" s="699">
        <f t="shared" si="204"/>
        <v>45.64</v>
      </c>
      <c r="AVA58" s="699">
        <f t="shared" si="204"/>
        <v>0.12</v>
      </c>
      <c r="AVB58" s="699">
        <f t="shared" si="70"/>
        <v>4350</v>
      </c>
      <c r="AVC58" s="699">
        <f t="shared" si="71"/>
        <v>520</v>
      </c>
      <c r="AVD58" s="699">
        <f t="shared" si="72"/>
        <v>2670</v>
      </c>
      <c r="AVE58" s="699">
        <f t="shared" si="73"/>
        <v>340</v>
      </c>
      <c r="AVF58" s="699">
        <f t="shared" si="74"/>
        <v>820</v>
      </c>
      <c r="AVG58" s="699">
        <f t="shared" si="75"/>
        <v>7114.33</v>
      </c>
      <c r="AVH58" s="699">
        <f t="shared" si="76"/>
        <v>5080</v>
      </c>
      <c r="AVI58" s="699">
        <f t="shared" si="77"/>
        <v>540</v>
      </c>
      <c r="AVJ58" s="699">
        <f t="shared" si="78"/>
        <v>770</v>
      </c>
      <c r="AVK58" s="699">
        <f t="shared" si="79"/>
        <v>80</v>
      </c>
      <c r="AVL58" s="699">
        <f t="shared" si="80"/>
        <v>120</v>
      </c>
      <c r="AVM58" s="699">
        <f t="shared" si="81"/>
        <v>43787.67</v>
      </c>
      <c r="AVN58" s="699">
        <f t="shared" si="82"/>
        <v>33631.08</v>
      </c>
      <c r="AVO58" s="699">
        <f t="shared" si="83"/>
        <v>10156.59</v>
      </c>
      <c r="AVP58" s="699">
        <f t="shared" si="84"/>
        <v>3520</v>
      </c>
      <c r="AVQ58" s="699">
        <f t="shared" si="85"/>
        <v>262535</v>
      </c>
    </row>
    <row r="59" spans="1:108 1244:1265" s="608" customFormat="1" ht="30" customHeight="1" x14ac:dyDescent="0.25">
      <c r="A59" s="634">
        <v>1</v>
      </c>
      <c r="B59" s="634">
        <v>9</v>
      </c>
      <c r="C59" s="633" t="s">
        <v>247</v>
      </c>
      <c r="D59" s="600"/>
      <c r="E59" s="602" t="s">
        <v>345</v>
      </c>
      <c r="F59" s="634" t="s">
        <v>38</v>
      </c>
      <c r="G59" s="634">
        <v>2</v>
      </c>
      <c r="H59" s="656" t="s">
        <v>10</v>
      </c>
      <c r="I59" s="634">
        <v>0</v>
      </c>
      <c r="J59" s="602" t="s">
        <v>474</v>
      </c>
      <c r="K59" s="634">
        <v>1</v>
      </c>
      <c r="L59" s="681" t="s">
        <v>350</v>
      </c>
      <c r="M59" s="601"/>
      <c r="N59" s="602" t="s">
        <v>387</v>
      </c>
      <c r="O59" s="634">
        <v>1</v>
      </c>
      <c r="P59" s="633">
        <v>4</v>
      </c>
      <c r="Q59" s="633">
        <v>4</v>
      </c>
      <c r="R59" s="633">
        <v>4</v>
      </c>
      <c r="S59" s="671">
        <f>'Территориальный кк'!D12</f>
        <v>3.258</v>
      </c>
      <c r="T59" s="672">
        <f>'Территориальный кк'!E12</f>
        <v>2.8919999999999999</v>
      </c>
      <c r="U59" s="604">
        <f>SUMIFS(Нормативы!G:G,Нормативы!$B:$B,$G59,Нормативы!$D:$D,'2020'!$I59,Нормативы!$F:$F,'2020'!$K59)*O59</f>
        <v>59740</v>
      </c>
      <c r="V59" s="604">
        <f t="shared" si="212"/>
        <v>45883.3</v>
      </c>
      <c r="W59" s="604">
        <f t="shared" si="213"/>
        <v>13856.7</v>
      </c>
      <c r="X59" s="604">
        <f>SUMIFS(Нормативы!J:J,Нормативы!$B:$B,$G59,Нормативы!$D:$D,'2020'!$I59,Нормативы!$F:$F,'2020'!$K59)</f>
        <v>220</v>
      </c>
      <c r="Y59" s="604">
        <f>SUMIFS(Нормативы!K:K,Нормативы!$B:$B,$G59,Нормативы!$D:$D,'2020'!$I59,Нормативы!$F:$F,'2020'!$K59)</f>
        <v>44</v>
      </c>
      <c r="Z59" s="604">
        <f>SUMIFS(Нормативы!L:L,Нормативы!$B:$B,$G59,Нормативы!$D:$D,'2020'!$I59,Нормативы!$F:$F,'2020'!$K59)</f>
        <v>2320</v>
      </c>
      <c r="AA59" s="604">
        <f t="shared" si="214"/>
        <v>4350</v>
      </c>
      <c r="AB59" s="604">
        <f>SUMIFS(Нормативы!N:N,Нормативы!$B:$B,$G59,Нормативы!$D:$D,'2020'!$I59,Нормативы!$F:$F,'2020'!$K59)*O59</f>
        <v>520</v>
      </c>
      <c r="AC59" s="604">
        <f>SUMIFS(Нормативы!O:O,Нормативы!$B:$B,$G59,Нормативы!$D:$D,'2020'!$I59,Нормативы!$F:$F,'2020'!$K59)</f>
        <v>2670</v>
      </c>
      <c r="AD59" s="604">
        <f>SUMIFS(Нормативы!P:P,Нормативы!$B:$B,$G59,Нормативы!$D:$D,'2020'!$I59,Нормативы!$F:$F,'2020'!$K59)*O59</f>
        <v>340</v>
      </c>
      <c r="AE59" s="604">
        <f>SUMIFS(Нормативы!Q:Q,Нормативы!$B:$B,$G59,Нормативы!$D:$D,'2020'!$I59,Нормативы!$F:$F,'2020'!$K59)</f>
        <v>820</v>
      </c>
      <c r="AF59" s="604">
        <f>SUMIFS(Нормативы!R:R,Нормативы!$B:$B,$G59,Нормативы!$D:$D,'2020'!$I59,Нормативы!$F:$F,'2020'!$K59)</f>
        <v>2460</v>
      </c>
      <c r="AG59" s="604">
        <f>SUMIFS(Нормативы!S:S,Нормативы!$B:$B,$G59,Нормативы!$D:$D,'2020'!$I59,Нормативы!$F:$F,'2020'!$K59)</f>
        <v>5080</v>
      </c>
      <c r="AH59" s="604">
        <f>SUMIFS(Нормативы!T:T,Нормативы!$B:$B,$G59,Нормативы!$D:$D,'2020'!$I59,Нормативы!$F:$F,'2020'!$K59)</f>
        <v>540</v>
      </c>
      <c r="AI59" s="604">
        <f>SUMIFS(Нормативы!U:U,Нормативы!$B:$B,$G59,Нормативы!$D:$D,'2020'!$I59,Нормативы!$F:$F,'2020'!$K59)</f>
        <v>770</v>
      </c>
      <c r="AJ59" s="604">
        <f>SUMIFS(Нормативы!V:V,Нормативы!$B:$B,$G59,Нормативы!$D:$D,'2020'!$I59,Нормативы!$F:$F,'2020'!$K59)</f>
        <v>80</v>
      </c>
      <c r="AK59" s="604">
        <f>SUMIFS(Нормативы!W:W,Нормативы!$B:$B,$G59,Нормативы!$D:$D,'2020'!$I59,Нормативы!$F:$F,'2020'!$K59)</f>
        <v>120</v>
      </c>
      <c r="AL59" s="604">
        <f>SUMIFS(Нормативы!X:X,Нормативы!$B:$B,$G59,Нормативы!$D:$D,'2020'!$I59,Нормативы!$F:$F,'2020'!$K59)*O59</f>
        <v>13440</v>
      </c>
      <c r="AM59" s="604">
        <f t="shared" si="215"/>
        <v>10322.6</v>
      </c>
      <c r="AN59" s="604">
        <f t="shared" si="216"/>
        <v>3117.4</v>
      </c>
      <c r="AO59" s="604">
        <f>SUMIFS(Нормативы!AA:AA,Нормативы!$B:$B,$G59,Нормативы!$D:$D,'2020'!$I59,Нормативы!$F:$F,'2020'!$K59)</f>
        <v>3520</v>
      </c>
      <c r="AP59" s="605">
        <f t="shared" si="217"/>
        <v>92640</v>
      </c>
      <c r="AQ59" s="611">
        <f t="shared" si="104"/>
        <v>238960</v>
      </c>
      <c r="AR59" s="604">
        <f t="shared" si="105"/>
        <v>183533</v>
      </c>
      <c r="AS59" s="604">
        <f t="shared" si="106"/>
        <v>55427</v>
      </c>
      <c r="AT59" s="606">
        <f t="shared" si="0"/>
        <v>880</v>
      </c>
      <c r="AU59" s="606">
        <f t="shared" si="1"/>
        <v>176</v>
      </c>
      <c r="AV59" s="606">
        <f t="shared" si="2"/>
        <v>9280</v>
      </c>
      <c r="AW59" s="606">
        <f t="shared" si="3"/>
        <v>17400</v>
      </c>
      <c r="AX59" s="606">
        <f t="shared" si="4"/>
        <v>2080</v>
      </c>
      <c r="AY59" s="606">
        <f t="shared" si="5"/>
        <v>10680</v>
      </c>
      <c r="AZ59" s="606">
        <f t="shared" si="6"/>
        <v>1360</v>
      </c>
      <c r="BA59" s="606">
        <f t="shared" si="7"/>
        <v>3280</v>
      </c>
      <c r="BB59" s="606">
        <f t="shared" si="107"/>
        <v>9840</v>
      </c>
      <c r="BC59" s="606">
        <f t="shared" si="8"/>
        <v>20320</v>
      </c>
      <c r="BD59" s="606">
        <f t="shared" si="9"/>
        <v>2160</v>
      </c>
      <c r="BE59" s="606">
        <f t="shared" si="10"/>
        <v>3080</v>
      </c>
      <c r="BF59" s="606">
        <f t="shared" si="11"/>
        <v>320</v>
      </c>
      <c r="BG59" s="606">
        <f t="shared" si="12"/>
        <v>480</v>
      </c>
      <c r="BH59" s="606">
        <f t="shared" si="13"/>
        <v>53760</v>
      </c>
      <c r="BI59" s="604">
        <f t="shared" si="108"/>
        <v>41290.300000000003</v>
      </c>
      <c r="BJ59" s="604">
        <f t="shared" si="109"/>
        <v>12469.7</v>
      </c>
      <c r="BK59" s="606">
        <f t="shared" si="211"/>
        <v>14080</v>
      </c>
      <c r="BL59" s="605">
        <f t="shared" si="15"/>
        <v>370560</v>
      </c>
      <c r="BM59" s="614">
        <f t="shared" si="110"/>
        <v>778532</v>
      </c>
      <c r="BN59" s="604">
        <f t="shared" si="16"/>
        <v>597950.80000000005</v>
      </c>
      <c r="BO59" s="604">
        <f t="shared" si="17"/>
        <v>180581.2</v>
      </c>
      <c r="BP59" s="606">
        <f t="shared" si="111"/>
        <v>880</v>
      </c>
      <c r="BQ59" s="606">
        <f t="shared" si="112"/>
        <v>176</v>
      </c>
      <c r="BR59" s="606">
        <f t="shared" si="113"/>
        <v>9280</v>
      </c>
      <c r="BS59" s="606">
        <f t="shared" si="18"/>
        <v>17400</v>
      </c>
      <c r="BT59" s="606">
        <f t="shared" si="19"/>
        <v>2080</v>
      </c>
      <c r="BU59" s="606">
        <f t="shared" si="20"/>
        <v>10680</v>
      </c>
      <c r="BV59" s="606">
        <f t="shared" si="21"/>
        <v>1360</v>
      </c>
      <c r="BW59" s="606">
        <f t="shared" si="22"/>
        <v>3280</v>
      </c>
      <c r="BX59" s="606">
        <f t="shared" si="23"/>
        <v>28457</v>
      </c>
      <c r="BY59" s="606">
        <f t="shared" si="24"/>
        <v>20320</v>
      </c>
      <c r="BZ59" s="606">
        <f t="shared" si="25"/>
        <v>2160</v>
      </c>
      <c r="CA59" s="606">
        <f t="shared" si="26"/>
        <v>3080</v>
      </c>
      <c r="CB59" s="606">
        <f t="shared" si="27"/>
        <v>320</v>
      </c>
      <c r="CC59" s="606">
        <f t="shared" si="28"/>
        <v>480</v>
      </c>
      <c r="CD59" s="606">
        <f t="shared" si="29"/>
        <v>175150</v>
      </c>
      <c r="CE59" s="604">
        <f t="shared" si="114"/>
        <v>134523.79999999999</v>
      </c>
      <c r="CF59" s="604">
        <f t="shared" si="115"/>
        <v>40626.199999999997</v>
      </c>
      <c r="CG59" s="606">
        <f t="shared" si="30"/>
        <v>14080</v>
      </c>
      <c r="CH59" s="415">
        <f t="shared" si="31"/>
        <v>1050139</v>
      </c>
      <c r="CI59" s="607"/>
      <c r="CJ59" s="607"/>
      <c r="CK59" s="607"/>
      <c r="CL59" s="607"/>
      <c r="CM59" s="607"/>
      <c r="CN59" s="607"/>
      <c r="CO59" s="607"/>
      <c r="CP59" s="607"/>
      <c r="CQ59" s="607"/>
      <c r="CR59" s="607"/>
      <c r="CS59" s="607"/>
      <c r="CT59" s="607"/>
      <c r="CU59" s="607"/>
      <c r="CV59" s="607"/>
      <c r="CW59" s="607"/>
      <c r="CX59" s="607"/>
      <c r="CY59" s="607"/>
      <c r="CZ59" s="607"/>
      <c r="DA59" s="607"/>
      <c r="DB59" s="607"/>
      <c r="DC59" s="607"/>
      <c r="DD59" s="607"/>
      <c r="AUV59" s="699">
        <f t="shared" si="65"/>
        <v>194633</v>
      </c>
      <c r="AUW59" s="699">
        <f t="shared" si="66"/>
        <v>149487.71</v>
      </c>
      <c r="AUX59" s="699">
        <f t="shared" si="67"/>
        <v>45145.29</v>
      </c>
      <c r="AUY59" s="699">
        <f t="shared" si="68"/>
        <v>220</v>
      </c>
      <c r="AUZ59" s="699">
        <f t="shared" si="204"/>
        <v>60.86</v>
      </c>
      <c r="AVA59" s="699">
        <f t="shared" si="204"/>
        <v>0.16</v>
      </c>
      <c r="AVB59" s="699">
        <f t="shared" si="70"/>
        <v>4350</v>
      </c>
      <c r="AVC59" s="699">
        <f t="shared" si="71"/>
        <v>520</v>
      </c>
      <c r="AVD59" s="699">
        <f t="shared" si="72"/>
        <v>2670</v>
      </c>
      <c r="AVE59" s="699">
        <f t="shared" si="73"/>
        <v>340</v>
      </c>
      <c r="AVF59" s="699">
        <f t="shared" si="74"/>
        <v>820</v>
      </c>
      <c r="AVG59" s="699">
        <f t="shared" si="75"/>
        <v>7114.25</v>
      </c>
      <c r="AVH59" s="699">
        <f t="shared" si="76"/>
        <v>5080</v>
      </c>
      <c r="AVI59" s="699">
        <f t="shared" si="77"/>
        <v>540</v>
      </c>
      <c r="AVJ59" s="699">
        <f t="shared" si="78"/>
        <v>770</v>
      </c>
      <c r="AVK59" s="699">
        <f t="shared" si="79"/>
        <v>80</v>
      </c>
      <c r="AVL59" s="699">
        <f t="shared" si="80"/>
        <v>120</v>
      </c>
      <c r="AVM59" s="699">
        <f t="shared" si="81"/>
        <v>43787.5</v>
      </c>
      <c r="AVN59" s="699">
        <f t="shared" si="82"/>
        <v>33630.949999999997</v>
      </c>
      <c r="AVO59" s="699">
        <f t="shared" si="83"/>
        <v>10156.549999999999</v>
      </c>
      <c r="AVP59" s="699">
        <f t="shared" si="84"/>
        <v>3520</v>
      </c>
      <c r="AVQ59" s="699">
        <f t="shared" si="85"/>
        <v>262534.75</v>
      </c>
    </row>
    <row r="60" spans="1:108 1244:1265" s="608" customFormat="1" ht="30" customHeight="1" x14ac:dyDescent="0.25">
      <c r="A60" s="634">
        <v>1</v>
      </c>
      <c r="B60" s="634">
        <v>9</v>
      </c>
      <c r="C60" s="633" t="s">
        <v>247</v>
      </c>
      <c r="D60" s="600"/>
      <c r="E60" s="602" t="s">
        <v>347</v>
      </c>
      <c r="F60" s="634" t="s">
        <v>39</v>
      </c>
      <c r="G60" s="634">
        <v>3</v>
      </c>
      <c r="H60" s="656" t="s">
        <v>10</v>
      </c>
      <c r="I60" s="634">
        <v>0</v>
      </c>
      <c r="J60" s="602" t="s">
        <v>468</v>
      </c>
      <c r="K60" s="634">
        <v>1</v>
      </c>
      <c r="L60" s="681" t="s">
        <v>351</v>
      </c>
      <c r="M60" s="601"/>
      <c r="N60" s="602" t="s">
        <v>387</v>
      </c>
      <c r="O60" s="634">
        <v>1</v>
      </c>
      <c r="P60" s="633">
        <v>1</v>
      </c>
      <c r="Q60" s="633">
        <v>1</v>
      </c>
      <c r="R60" s="633">
        <v>1</v>
      </c>
      <c r="S60" s="671">
        <f>'Территориальный кк'!D12</f>
        <v>3.258</v>
      </c>
      <c r="T60" s="672">
        <f>'Территориальный кк'!E12</f>
        <v>2.8919999999999999</v>
      </c>
      <c r="U60" s="604">
        <f>SUMIFS(Нормативы!G:G,Нормативы!$B:$B,$G60,Нормативы!$D:$D,'2020'!$I60,Нормативы!$F:$F,'2020'!$K60)*O60</f>
        <v>78450</v>
      </c>
      <c r="V60" s="604">
        <f t="shared" si="212"/>
        <v>60253.5</v>
      </c>
      <c r="W60" s="604">
        <f t="shared" si="213"/>
        <v>18196.5</v>
      </c>
      <c r="X60" s="604">
        <f>SUMIFS(Нормативы!J:J,Нормативы!$B:$B,$G60,Нормативы!$D:$D,'2020'!$I60,Нормативы!$F:$F,'2020'!$K60)</f>
        <v>220</v>
      </c>
      <c r="Y60" s="604">
        <f>SUMIFS(Нормативы!K:K,Нормативы!$B:$B,$G60,Нормативы!$D:$D,'2020'!$I60,Нормативы!$F:$F,'2020'!$K60)</f>
        <v>44</v>
      </c>
      <c r="Z60" s="604">
        <f>SUMIFS(Нормативы!L:L,Нормативы!$B:$B,$G60,Нормативы!$D:$D,'2020'!$I60,Нормативы!$F:$F,'2020'!$K60)</f>
        <v>2320</v>
      </c>
      <c r="AA60" s="604">
        <f t="shared" si="214"/>
        <v>4510</v>
      </c>
      <c r="AB60" s="604">
        <f>SUMIFS(Нормативы!N:N,Нормативы!$B:$B,$G60,Нормативы!$D:$D,'2020'!$I60,Нормативы!$F:$F,'2020'!$K60)*O60</f>
        <v>880</v>
      </c>
      <c r="AC60" s="604">
        <f>SUMIFS(Нормативы!O:O,Нормативы!$B:$B,$G60,Нормативы!$D:$D,'2020'!$I60,Нормативы!$F:$F,'2020'!$K60)</f>
        <v>2110</v>
      </c>
      <c r="AD60" s="604">
        <f>SUMIFS(Нормативы!P:P,Нормативы!$B:$B,$G60,Нормативы!$D:$D,'2020'!$I60,Нормативы!$F:$F,'2020'!$K60)*O60</f>
        <v>440</v>
      </c>
      <c r="AE60" s="604">
        <f>SUMIFS(Нормативы!Q:Q,Нормативы!$B:$B,$G60,Нормативы!$D:$D,'2020'!$I60,Нормативы!$F:$F,'2020'!$K60)</f>
        <v>1080</v>
      </c>
      <c r="AF60" s="604">
        <f>SUMIFS(Нормативы!R:R,Нормативы!$B:$B,$G60,Нормативы!$D:$D,'2020'!$I60,Нормативы!$F:$F,'2020'!$K60)</f>
        <v>2490</v>
      </c>
      <c r="AG60" s="604">
        <f>SUMIFS(Нормативы!S:S,Нормативы!$B:$B,$G60,Нормативы!$D:$D,'2020'!$I60,Нормативы!$F:$F,'2020'!$K60)</f>
        <v>5080</v>
      </c>
      <c r="AH60" s="604">
        <f>SUMIFS(Нормативы!T:T,Нормативы!$B:$B,$G60,Нормативы!$D:$D,'2020'!$I60,Нормативы!$F:$F,'2020'!$K60)</f>
        <v>540</v>
      </c>
      <c r="AI60" s="604">
        <f>SUMIFS(Нормативы!U:U,Нормативы!$B:$B,$G60,Нормативы!$D:$D,'2020'!$I60,Нормативы!$F:$F,'2020'!$K60)</f>
        <v>770</v>
      </c>
      <c r="AJ60" s="604">
        <f>SUMIFS(Нормативы!V:V,Нормативы!$B:$B,$G60,Нормативы!$D:$D,'2020'!$I60,Нормативы!$F:$F,'2020'!$K60)</f>
        <v>170</v>
      </c>
      <c r="AK60" s="604">
        <f>SUMIFS(Нормативы!W:W,Нормативы!$B:$B,$G60,Нормативы!$D:$D,'2020'!$I60,Нормативы!$F:$F,'2020'!$K60)</f>
        <v>130</v>
      </c>
      <c r="AL60" s="604">
        <f>SUMIFS(Нормативы!X:X,Нормативы!$B:$B,$G60,Нормативы!$D:$D,'2020'!$I60,Нормативы!$F:$F,'2020'!$K60)*O60</f>
        <v>13440</v>
      </c>
      <c r="AM60" s="604">
        <f t="shared" si="215"/>
        <v>10322.6</v>
      </c>
      <c r="AN60" s="604">
        <f t="shared" si="216"/>
        <v>3117.4</v>
      </c>
      <c r="AO60" s="604">
        <f>SUMIFS(Нормативы!AA:AA,Нормативы!$B:$B,$G60,Нормативы!$D:$D,'2020'!$I60,Нормативы!$F:$F,'2020'!$K60)</f>
        <v>0</v>
      </c>
      <c r="AP60" s="605">
        <f t="shared" si="217"/>
        <v>108120</v>
      </c>
      <c r="AQ60" s="611">
        <f t="shared" si="104"/>
        <v>78450</v>
      </c>
      <c r="AR60" s="604">
        <f t="shared" si="105"/>
        <v>60253.5</v>
      </c>
      <c r="AS60" s="604">
        <f t="shared" si="106"/>
        <v>18196.5</v>
      </c>
      <c r="AT60" s="606">
        <f t="shared" si="0"/>
        <v>220</v>
      </c>
      <c r="AU60" s="606">
        <f t="shared" si="1"/>
        <v>44</v>
      </c>
      <c r="AV60" s="606">
        <f t="shared" si="2"/>
        <v>2320</v>
      </c>
      <c r="AW60" s="606">
        <f t="shared" si="3"/>
        <v>4510</v>
      </c>
      <c r="AX60" s="606">
        <f t="shared" si="4"/>
        <v>880</v>
      </c>
      <c r="AY60" s="606">
        <f t="shared" si="5"/>
        <v>2110</v>
      </c>
      <c r="AZ60" s="606">
        <f t="shared" si="6"/>
        <v>440</v>
      </c>
      <c r="BA60" s="606">
        <f t="shared" si="7"/>
        <v>1080</v>
      </c>
      <c r="BB60" s="606">
        <f t="shared" si="107"/>
        <v>2490</v>
      </c>
      <c r="BC60" s="606">
        <f t="shared" si="8"/>
        <v>5080</v>
      </c>
      <c r="BD60" s="606">
        <f t="shared" si="9"/>
        <v>540</v>
      </c>
      <c r="BE60" s="606">
        <f t="shared" si="10"/>
        <v>770</v>
      </c>
      <c r="BF60" s="606">
        <f t="shared" si="11"/>
        <v>170</v>
      </c>
      <c r="BG60" s="606">
        <f t="shared" si="12"/>
        <v>130</v>
      </c>
      <c r="BH60" s="606">
        <f t="shared" si="13"/>
        <v>13440</v>
      </c>
      <c r="BI60" s="604">
        <f t="shared" si="108"/>
        <v>10322.6</v>
      </c>
      <c r="BJ60" s="604">
        <f t="shared" si="109"/>
        <v>3117.4</v>
      </c>
      <c r="BK60" s="606">
        <f t="shared" si="211"/>
        <v>0</v>
      </c>
      <c r="BL60" s="605">
        <f t="shared" si="15"/>
        <v>108120</v>
      </c>
      <c r="BM60" s="614">
        <f t="shared" si="110"/>
        <v>255590</v>
      </c>
      <c r="BN60" s="604">
        <f t="shared" si="16"/>
        <v>196305.7</v>
      </c>
      <c r="BO60" s="604">
        <f t="shared" si="17"/>
        <v>59284.3</v>
      </c>
      <c r="BP60" s="606">
        <f t="shared" si="111"/>
        <v>220</v>
      </c>
      <c r="BQ60" s="606">
        <f t="shared" si="112"/>
        <v>44</v>
      </c>
      <c r="BR60" s="606">
        <f t="shared" si="113"/>
        <v>2320</v>
      </c>
      <c r="BS60" s="606">
        <f t="shared" si="18"/>
        <v>4510</v>
      </c>
      <c r="BT60" s="606">
        <f t="shared" si="19"/>
        <v>880</v>
      </c>
      <c r="BU60" s="606">
        <f t="shared" si="20"/>
        <v>2110</v>
      </c>
      <c r="BV60" s="606">
        <f t="shared" si="21"/>
        <v>440</v>
      </c>
      <c r="BW60" s="606">
        <f t="shared" si="22"/>
        <v>1080</v>
      </c>
      <c r="BX60" s="606">
        <f t="shared" si="23"/>
        <v>7201</v>
      </c>
      <c r="BY60" s="606">
        <f t="shared" si="24"/>
        <v>5080</v>
      </c>
      <c r="BZ60" s="606">
        <f t="shared" si="25"/>
        <v>540</v>
      </c>
      <c r="CA60" s="606">
        <f t="shared" si="26"/>
        <v>770</v>
      </c>
      <c r="CB60" s="606">
        <f t="shared" si="27"/>
        <v>170</v>
      </c>
      <c r="CC60" s="606">
        <f t="shared" si="28"/>
        <v>130</v>
      </c>
      <c r="CD60" s="606">
        <f t="shared" si="29"/>
        <v>43788</v>
      </c>
      <c r="CE60" s="604">
        <f t="shared" si="114"/>
        <v>33631.300000000003</v>
      </c>
      <c r="CF60" s="604">
        <f t="shared" si="115"/>
        <v>10156.700000000001</v>
      </c>
      <c r="CG60" s="606">
        <f t="shared" si="30"/>
        <v>0</v>
      </c>
      <c r="CH60" s="415">
        <f t="shared" si="31"/>
        <v>320319</v>
      </c>
      <c r="CI60" s="607"/>
      <c r="CJ60" s="607"/>
      <c r="CK60" s="607"/>
      <c r="CL60" s="607"/>
      <c r="CM60" s="607"/>
      <c r="CN60" s="607"/>
      <c r="CO60" s="607"/>
      <c r="CP60" s="607"/>
      <c r="CQ60" s="607"/>
      <c r="CR60" s="607"/>
      <c r="CS60" s="607"/>
      <c r="CT60" s="607"/>
      <c r="CU60" s="607"/>
      <c r="CV60" s="607"/>
      <c r="CW60" s="607"/>
      <c r="CX60" s="607"/>
      <c r="CY60" s="607"/>
      <c r="CZ60" s="607"/>
      <c r="DA60" s="607"/>
      <c r="DB60" s="607"/>
      <c r="DC60" s="607"/>
      <c r="DD60" s="607"/>
      <c r="AUV60" s="699">
        <f t="shared" si="65"/>
        <v>255590</v>
      </c>
      <c r="AUW60" s="699">
        <f t="shared" si="66"/>
        <v>196305.68</v>
      </c>
      <c r="AUX60" s="699">
        <f t="shared" si="67"/>
        <v>59284.32</v>
      </c>
      <c r="AUY60" s="699">
        <f t="shared" si="68"/>
        <v>220</v>
      </c>
      <c r="AUZ60" s="699">
        <f t="shared" si="204"/>
        <v>15.21</v>
      </c>
      <c r="AVA60" s="699">
        <f t="shared" si="204"/>
        <v>0.03</v>
      </c>
      <c r="AVB60" s="699">
        <f t="shared" si="70"/>
        <v>4510</v>
      </c>
      <c r="AVC60" s="699">
        <f t="shared" si="71"/>
        <v>880</v>
      </c>
      <c r="AVD60" s="699">
        <f t="shared" si="72"/>
        <v>2110</v>
      </c>
      <c r="AVE60" s="699">
        <f t="shared" si="73"/>
        <v>440</v>
      </c>
      <c r="AVF60" s="699">
        <f t="shared" si="74"/>
        <v>1080</v>
      </c>
      <c r="AVG60" s="699">
        <f t="shared" si="75"/>
        <v>7201</v>
      </c>
      <c r="AVH60" s="699">
        <f t="shared" si="76"/>
        <v>5080</v>
      </c>
      <c r="AVI60" s="699">
        <f t="shared" si="77"/>
        <v>540</v>
      </c>
      <c r="AVJ60" s="699">
        <f t="shared" si="78"/>
        <v>770</v>
      </c>
      <c r="AVK60" s="699">
        <f t="shared" si="79"/>
        <v>170</v>
      </c>
      <c r="AVL60" s="699">
        <f t="shared" si="80"/>
        <v>130</v>
      </c>
      <c r="AVM60" s="699">
        <f t="shared" si="81"/>
        <v>43788</v>
      </c>
      <c r="AVN60" s="699">
        <f t="shared" si="82"/>
        <v>33631.339999999997</v>
      </c>
      <c r="AVO60" s="699">
        <f t="shared" si="83"/>
        <v>10156.66</v>
      </c>
      <c r="AVP60" s="699">
        <f t="shared" si="84"/>
        <v>0</v>
      </c>
      <c r="AVQ60" s="699">
        <f t="shared" si="85"/>
        <v>320319</v>
      </c>
    </row>
    <row r="61" spans="1:108 1244:1265" ht="30" customHeight="1" x14ac:dyDescent="0.25">
      <c r="A61" s="643">
        <v>1</v>
      </c>
      <c r="B61" s="643">
        <v>9</v>
      </c>
      <c r="C61" s="664" t="s">
        <v>247</v>
      </c>
      <c r="D61" s="2"/>
      <c r="E61" s="101" t="s">
        <v>344</v>
      </c>
      <c r="F61" s="643" t="s">
        <v>31</v>
      </c>
      <c r="G61" s="643">
        <v>1</v>
      </c>
      <c r="H61" s="658" t="s">
        <v>10</v>
      </c>
      <c r="I61" s="643">
        <v>0</v>
      </c>
      <c r="J61" s="101" t="s">
        <v>359</v>
      </c>
      <c r="K61" s="643">
        <v>1</v>
      </c>
      <c r="L61" s="683" t="s">
        <v>349</v>
      </c>
      <c r="M61" s="11" t="s">
        <v>263</v>
      </c>
      <c r="N61" s="101" t="s">
        <v>387</v>
      </c>
      <c r="O61" s="643">
        <v>1</v>
      </c>
      <c r="P61" s="632">
        <v>15</v>
      </c>
      <c r="Q61" s="632">
        <v>15</v>
      </c>
      <c r="R61" s="632">
        <v>15</v>
      </c>
      <c r="S61" s="675">
        <f>SUMIF('Территориальный кк'!$A:$A,'2020'!$B61,'Территориальный кк'!D:D)</f>
        <v>3.258</v>
      </c>
      <c r="T61" s="676">
        <f>SUMIF('Территориальный кк'!$A:$A,'2020'!$B61,'Территориальный кк'!E:E)</f>
        <v>2.8919999999999999</v>
      </c>
      <c r="U61" s="33">
        <f>SUMIFS(Нормативы!G:G,Нормативы!$B:$B,$G61,Нормативы!$D:$D,'2020'!$I61,Нормативы!$F:$F,'2020'!$K61)*O61</f>
        <v>54020</v>
      </c>
      <c r="V61" s="33">
        <f t="shared" si="98"/>
        <v>41490</v>
      </c>
      <c r="W61" s="33">
        <f t="shared" si="99"/>
        <v>12530</v>
      </c>
      <c r="X61" s="33">
        <f>SUMIFS(Нормативы!J:J,Нормативы!$B:$B,$G61,Нормативы!$D:$D,'2020'!$I61,Нормативы!$F:$F,'2020'!$K61)</f>
        <v>220</v>
      </c>
      <c r="Y61" s="33">
        <f>SUMIFS(Нормативы!K:K,Нормативы!$B:$B,$G61,Нормативы!$D:$D,'2020'!$I61,Нормативы!$F:$F,'2020'!$K61)</f>
        <v>44</v>
      </c>
      <c r="Z61" s="33">
        <f>SUMIFS(Нормативы!L:L,Нормативы!$B:$B,$G61,Нормативы!$D:$D,'2020'!$I61,Нормативы!$F:$F,'2020'!$K61)</f>
        <v>2320</v>
      </c>
      <c r="AA61" s="33">
        <f t="shared" si="100"/>
        <v>3710</v>
      </c>
      <c r="AB61" s="33">
        <f>SUMIFS(Нормативы!N:N,Нормативы!$B:$B,$G61,Нормативы!$D:$D,'2020'!$I61,Нормативы!$F:$F,'2020'!$K61)*O61</f>
        <v>520</v>
      </c>
      <c r="AC61" s="33">
        <f>SUMIFS(Нормативы!O:O,Нормативы!$B:$B,$G61,Нормативы!$D:$D,'2020'!$I61,Нормативы!$F:$F,'2020'!$K61)</f>
        <v>2140</v>
      </c>
      <c r="AD61" s="33">
        <f>SUMIFS(Нормативы!P:P,Нормативы!$B:$B,$G61,Нормативы!$D:$D,'2020'!$I61,Нормативы!$F:$F,'2020'!$K61)*O61</f>
        <v>310</v>
      </c>
      <c r="AE61" s="33">
        <f>SUMIFS(Нормативы!Q:Q,Нормативы!$B:$B,$G61,Нормативы!$D:$D,'2020'!$I61,Нормативы!$F:$F,'2020'!$K61)</f>
        <v>740</v>
      </c>
      <c r="AF61" s="33">
        <f>SUMIFS(Нормативы!R:R,Нормативы!$B:$B,$G61,Нормативы!$D:$D,'2020'!$I61,Нормативы!$F:$F,'2020'!$K61)</f>
        <v>2460</v>
      </c>
      <c r="AG61" s="33">
        <f>SUMIFS(Нормативы!S:S,Нормативы!$B:$B,$G61,Нормативы!$D:$D,'2020'!$I61,Нормативы!$F:$F,'2020'!$K61)</f>
        <v>5080</v>
      </c>
      <c r="AH61" s="33">
        <f>SUMIFS(Нормативы!T:T,Нормативы!$B:$B,$G61,Нормативы!$D:$D,'2020'!$I61,Нормативы!$F:$F,'2020'!$K61)</f>
        <v>540</v>
      </c>
      <c r="AI61" s="33">
        <f>SUMIFS(Нормативы!U:U,Нормативы!$B:$B,$G61,Нормативы!$D:$D,'2020'!$I61,Нормативы!$F:$F,'2020'!$K61)</f>
        <v>770</v>
      </c>
      <c r="AJ61" s="33">
        <f>SUMIFS(Нормативы!V:V,Нормативы!$B:$B,$G61,Нормативы!$D:$D,'2020'!$I61,Нормативы!$F:$F,'2020'!$K61)</f>
        <v>80</v>
      </c>
      <c r="AK61" s="33">
        <f>SUMIFS(Нормативы!W:W,Нормативы!$B:$B,$G61,Нормативы!$D:$D,'2020'!$I61,Нормативы!$F:$F,'2020'!$K61)</f>
        <v>300</v>
      </c>
      <c r="AL61" s="33">
        <f>SUMIFS(Нормативы!X:X,Нормативы!$B:$B,$G61,Нормативы!$D:$D,'2020'!$I61,Нормативы!$F:$F,'2020'!$K61)*O61</f>
        <v>13440</v>
      </c>
      <c r="AM61" s="33">
        <f t="shared" si="101"/>
        <v>10322.6</v>
      </c>
      <c r="AN61" s="33">
        <f t="shared" si="102"/>
        <v>3117.4</v>
      </c>
      <c r="AO61" s="33">
        <f>SUMIFS(Нормативы!AA:AA,Нормативы!$B:$B,$G61,Нормативы!$D:$D,'2020'!$I61,Нормативы!$F:$F,'2020'!$K61)</f>
        <v>3520</v>
      </c>
      <c r="AP61" s="141">
        <f t="shared" si="103"/>
        <v>86460</v>
      </c>
      <c r="AQ61" s="413">
        <f t="shared" si="104"/>
        <v>810300</v>
      </c>
      <c r="AR61" s="33">
        <f t="shared" si="105"/>
        <v>622350.19999999995</v>
      </c>
      <c r="AS61" s="33">
        <f t="shared" si="106"/>
        <v>187949.8</v>
      </c>
      <c r="AT61" s="34">
        <f t="shared" si="0"/>
        <v>3300</v>
      </c>
      <c r="AU61" s="34">
        <f t="shared" si="1"/>
        <v>660</v>
      </c>
      <c r="AV61" s="34">
        <f t="shared" si="2"/>
        <v>34800</v>
      </c>
      <c r="AW61" s="34">
        <f t="shared" si="3"/>
        <v>55650</v>
      </c>
      <c r="AX61" s="34">
        <f t="shared" si="4"/>
        <v>7800</v>
      </c>
      <c r="AY61" s="34">
        <f t="shared" si="5"/>
        <v>32100</v>
      </c>
      <c r="AZ61" s="34">
        <f t="shared" si="6"/>
        <v>4650</v>
      </c>
      <c r="BA61" s="34">
        <f t="shared" si="7"/>
        <v>11100</v>
      </c>
      <c r="BB61" s="34">
        <f t="shared" si="107"/>
        <v>36900</v>
      </c>
      <c r="BC61" s="34">
        <f t="shared" si="8"/>
        <v>76200</v>
      </c>
      <c r="BD61" s="34">
        <f t="shared" si="9"/>
        <v>8100</v>
      </c>
      <c r="BE61" s="34">
        <f t="shared" si="10"/>
        <v>11550</v>
      </c>
      <c r="BF61" s="34">
        <f t="shared" si="11"/>
        <v>1200</v>
      </c>
      <c r="BG61" s="34">
        <f t="shared" si="12"/>
        <v>4500</v>
      </c>
      <c r="BH61" s="34">
        <f t="shared" si="13"/>
        <v>201600</v>
      </c>
      <c r="BI61" s="33">
        <f t="shared" si="108"/>
        <v>154838.70000000001</v>
      </c>
      <c r="BJ61" s="33">
        <f t="shared" si="109"/>
        <v>46761.3</v>
      </c>
      <c r="BK61" s="34">
        <f t="shared" si="14"/>
        <v>52800</v>
      </c>
      <c r="BL61" s="426">
        <f t="shared" si="15"/>
        <v>1296900</v>
      </c>
      <c r="BM61" s="616">
        <f t="shared" si="110"/>
        <v>2639957</v>
      </c>
      <c r="BN61" s="33">
        <f t="shared" si="16"/>
        <v>2027616.7</v>
      </c>
      <c r="BO61" s="33">
        <f t="shared" si="17"/>
        <v>612340.30000000005</v>
      </c>
      <c r="BP61" s="34">
        <f t="shared" si="111"/>
        <v>3300</v>
      </c>
      <c r="BQ61" s="34">
        <f t="shared" si="112"/>
        <v>660</v>
      </c>
      <c r="BR61" s="34">
        <f t="shared" si="113"/>
        <v>34800</v>
      </c>
      <c r="BS61" s="34">
        <f t="shared" si="18"/>
        <v>55650</v>
      </c>
      <c r="BT61" s="34">
        <f t="shared" si="19"/>
        <v>7800</v>
      </c>
      <c r="BU61" s="34">
        <f t="shared" si="20"/>
        <v>32100</v>
      </c>
      <c r="BV61" s="34">
        <f t="shared" si="21"/>
        <v>4650</v>
      </c>
      <c r="BW61" s="34">
        <f t="shared" si="22"/>
        <v>11100</v>
      </c>
      <c r="BX61" s="34">
        <f t="shared" si="23"/>
        <v>106715</v>
      </c>
      <c r="BY61" s="34">
        <f t="shared" si="24"/>
        <v>76200</v>
      </c>
      <c r="BZ61" s="34">
        <f t="shared" si="25"/>
        <v>8100</v>
      </c>
      <c r="CA61" s="34">
        <f t="shared" si="26"/>
        <v>11550</v>
      </c>
      <c r="CB61" s="34">
        <f t="shared" si="27"/>
        <v>1200</v>
      </c>
      <c r="CC61" s="34">
        <f t="shared" si="28"/>
        <v>4500</v>
      </c>
      <c r="CD61" s="34">
        <f t="shared" si="29"/>
        <v>656813</v>
      </c>
      <c r="CE61" s="33">
        <f t="shared" si="114"/>
        <v>504464.7</v>
      </c>
      <c r="CF61" s="33">
        <f t="shared" si="115"/>
        <v>152348.29999999999</v>
      </c>
      <c r="CG61" s="34">
        <f t="shared" si="30"/>
        <v>52800</v>
      </c>
      <c r="CH61" s="415">
        <f t="shared" si="31"/>
        <v>3651585</v>
      </c>
      <c r="CI61" s="88">
        <f t="shared" si="32"/>
        <v>175997.13329999999</v>
      </c>
      <c r="CJ61" s="90">
        <f t="shared" si="33"/>
        <v>135174.4467</v>
      </c>
      <c r="CK61" s="90">
        <f t="shared" si="34"/>
        <v>40822.686699999998</v>
      </c>
      <c r="CL61" s="88">
        <f t="shared" si="35"/>
        <v>220</v>
      </c>
      <c r="CM61" s="88">
        <f t="shared" si="36"/>
        <v>44</v>
      </c>
      <c r="CN61" s="88">
        <f t="shared" si="37"/>
        <v>2320</v>
      </c>
      <c r="CO61" s="88">
        <f t="shared" si="38"/>
        <v>3710</v>
      </c>
      <c r="CP61" s="88">
        <f t="shared" si="39"/>
        <v>520</v>
      </c>
      <c r="CQ61" s="88">
        <f t="shared" si="40"/>
        <v>2140</v>
      </c>
      <c r="CR61" s="88">
        <f t="shared" si="41"/>
        <v>310</v>
      </c>
      <c r="CS61" s="88">
        <f t="shared" si="42"/>
        <v>740</v>
      </c>
      <c r="CT61" s="88">
        <f t="shared" si="43"/>
        <v>7114.3333000000002</v>
      </c>
      <c r="CU61" s="88">
        <f t="shared" si="44"/>
        <v>5080</v>
      </c>
      <c r="CV61" s="88">
        <f t="shared" si="45"/>
        <v>540</v>
      </c>
      <c r="CW61" s="88">
        <f t="shared" si="46"/>
        <v>770</v>
      </c>
      <c r="CX61" s="88">
        <f t="shared" si="47"/>
        <v>80</v>
      </c>
      <c r="CY61" s="88">
        <f t="shared" si="48"/>
        <v>300</v>
      </c>
      <c r="CZ61" s="88">
        <f t="shared" si="49"/>
        <v>43787.533300000003</v>
      </c>
      <c r="DA61" s="90">
        <f t="shared" si="50"/>
        <v>33630.980000000003</v>
      </c>
      <c r="DB61" s="90">
        <f t="shared" si="51"/>
        <v>10156.5533</v>
      </c>
      <c r="DC61" s="88">
        <f t="shared" si="52"/>
        <v>3520</v>
      </c>
      <c r="DD61" s="88">
        <f t="shared" si="53"/>
        <v>243439</v>
      </c>
      <c r="AUV61" s="699">
        <f t="shared" si="65"/>
        <v>175997.13</v>
      </c>
      <c r="AUW61" s="699">
        <f t="shared" si="66"/>
        <v>135174.45000000001</v>
      </c>
      <c r="AUX61" s="699">
        <f t="shared" si="67"/>
        <v>40822.68</v>
      </c>
      <c r="AUY61" s="699">
        <f t="shared" si="68"/>
        <v>220</v>
      </c>
      <c r="AUZ61" s="699">
        <f t="shared" si="204"/>
        <v>228.22</v>
      </c>
      <c r="AVA61" s="699">
        <f t="shared" si="204"/>
        <v>0.64</v>
      </c>
      <c r="AVB61" s="699">
        <f t="shared" si="70"/>
        <v>3710</v>
      </c>
      <c r="AVC61" s="699">
        <f t="shared" si="71"/>
        <v>520</v>
      </c>
      <c r="AVD61" s="699">
        <f t="shared" si="72"/>
        <v>2140</v>
      </c>
      <c r="AVE61" s="699">
        <f t="shared" si="73"/>
        <v>310</v>
      </c>
      <c r="AVF61" s="699">
        <f t="shared" si="74"/>
        <v>740</v>
      </c>
      <c r="AVG61" s="699">
        <f t="shared" si="75"/>
        <v>7114.33</v>
      </c>
      <c r="AVH61" s="699">
        <f t="shared" si="76"/>
        <v>5080</v>
      </c>
      <c r="AVI61" s="699">
        <f t="shared" si="77"/>
        <v>540</v>
      </c>
      <c r="AVJ61" s="699">
        <f t="shared" si="78"/>
        <v>770</v>
      </c>
      <c r="AVK61" s="699">
        <f t="shared" si="79"/>
        <v>80</v>
      </c>
      <c r="AVL61" s="699">
        <f t="shared" si="80"/>
        <v>300</v>
      </c>
      <c r="AVM61" s="699">
        <f t="shared" si="81"/>
        <v>43787.53</v>
      </c>
      <c r="AVN61" s="699">
        <f t="shared" si="82"/>
        <v>33630.980000000003</v>
      </c>
      <c r="AVO61" s="699">
        <f t="shared" si="83"/>
        <v>10156.549999999999</v>
      </c>
      <c r="AVP61" s="699">
        <f t="shared" si="84"/>
        <v>3520</v>
      </c>
      <c r="AVQ61" s="699">
        <f t="shared" si="85"/>
        <v>243439</v>
      </c>
    </row>
    <row r="62" spans="1:108 1244:1265" ht="30" customHeight="1" x14ac:dyDescent="0.25">
      <c r="A62" s="643">
        <v>1</v>
      </c>
      <c r="B62" s="643">
        <v>9</v>
      </c>
      <c r="C62" s="664" t="s">
        <v>247</v>
      </c>
      <c r="D62" s="2"/>
      <c r="E62" s="101" t="s">
        <v>344</v>
      </c>
      <c r="F62" s="643" t="s">
        <v>31</v>
      </c>
      <c r="G62" s="643">
        <v>1</v>
      </c>
      <c r="H62" s="658" t="s">
        <v>8</v>
      </c>
      <c r="I62" s="643">
        <v>3</v>
      </c>
      <c r="J62" s="101" t="s">
        <v>359</v>
      </c>
      <c r="K62" s="643">
        <v>1</v>
      </c>
      <c r="L62" s="683" t="s">
        <v>349</v>
      </c>
      <c r="M62" s="11" t="s">
        <v>264</v>
      </c>
      <c r="N62" s="101" t="s">
        <v>387</v>
      </c>
      <c r="O62" s="643">
        <v>1</v>
      </c>
      <c r="P62" s="632">
        <v>20</v>
      </c>
      <c r="Q62" s="632">
        <v>20</v>
      </c>
      <c r="R62" s="632">
        <v>20</v>
      </c>
      <c r="S62" s="675">
        <f>SUMIF('Территориальный кк'!$A:$A,'2020'!$B62,'Территориальный кк'!D:D)</f>
        <v>3.258</v>
      </c>
      <c r="T62" s="676">
        <f>SUMIF('Территориальный кк'!$A:$A,'2020'!$B62,'Территориальный кк'!E:E)</f>
        <v>2.8919999999999999</v>
      </c>
      <c r="U62" s="33">
        <f>SUMIFS(Нормативы!G:G,Нормативы!$B:$B,$G62,Нормативы!$D:$D,'2020'!$I62,Нормативы!$F:$F,'2020'!$K62)*O62</f>
        <v>5402</v>
      </c>
      <c r="V62" s="33">
        <f t="shared" si="98"/>
        <v>4149</v>
      </c>
      <c r="W62" s="33">
        <f t="shared" si="99"/>
        <v>1253</v>
      </c>
      <c r="X62" s="33">
        <f>SUMIFS(Нормативы!J:J,Нормативы!$B:$B,$G62,Нормативы!$D:$D,'2020'!$I62,Нормативы!$F:$F,'2020'!$K62)</f>
        <v>22</v>
      </c>
      <c r="Y62" s="33">
        <f>SUMIFS(Нормативы!K:K,Нормативы!$B:$B,$G62,Нормативы!$D:$D,'2020'!$I62,Нормативы!$F:$F,'2020'!$K62)</f>
        <v>4</v>
      </c>
      <c r="Z62" s="33">
        <f>SUMIFS(Нормативы!L:L,Нормативы!$B:$B,$G62,Нормативы!$D:$D,'2020'!$I62,Нормативы!$F:$F,'2020'!$K62)</f>
        <v>232</v>
      </c>
      <c r="AA62" s="33">
        <f t="shared" si="100"/>
        <v>371</v>
      </c>
      <c r="AB62" s="33">
        <f>SUMIFS(Нормативы!N:N,Нормативы!$B:$B,$G62,Нормативы!$D:$D,'2020'!$I62,Нормативы!$F:$F,'2020'!$K62)*O62</f>
        <v>52</v>
      </c>
      <c r="AC62" s="33">
        <f>SUMIFS(Нормативы!O:O,Нормативы!$B:$B,$G62,Нормативы!$D:$D,'2020'!$I62,Нормативы!$F:$F,'2020'!$K62)</f>
        <v>214</v>
      </c>
      <c r="AD62" s="33">
        <f>SUMIFS(Нормативы!P:P,Нормативы!$B:$B,$G62,Нормативы!$D:$D,'2020'!$I62,Нормативы!$F:$F,'2020'!$K62)*O62</f>
        <v>31</v>
      </c>
      <c r="AE62" s="33">
        <f>SUMIFS(Нормативы!Q:Q,Нормативы!$B:$B,$G62,Нормативы!$D:$D,'2020'!$I62,Нормативы!$F:$F,'2020'!$K62)</f>
        <v>74</v>
      </c>
      <c r="AF62" s="33">
        <f>SUMIFS(Нормативы!R:R,Нормативы!$B:$B,$G62,Нормативы!$D:$D,'2020'!$I62,Нормативы!$F:$F,'2020'!$K62)</f>
        <v>246</v>
      </c>
      <c r="AG62" s="33">
        <f>SUMIFS(Нормативы!S:S,Нормативы!$B:$B,$G62,Нормативы!$D:$D,'2020'!$I62,Нормативы!$F:$F,'2020'!$K62)</f>
        <v>508</v>
      </c>
      <c r="AH62" s="33">
        <f>SUMIFS(Нормативы!T:T,Нормативы!$B:$B,$G62,Нормативы!$D:$D,'2020'!$I62,Нормативы!$F:$F,'2020'!$K62)</f>
        <v>54</v>
      </c>
      <c r="AI62" s="33">
        <f>SUMIFS(Нормативы!U:U,Нормативы!$B:$B,$G62,Нормативы!$D:$D,'2020'!$I62,Нормативы!$F:$F,'2020'!$K62)</f>
        <v>77</v>
      </c>
      <c r="AJ62" s="33">
        <f>SUMIFS(Нормативы!V:V,Нормативы!$B:$B,$G62,Нормативы!$D:$D,'2020'!$I62,Нормативы!$F:$F,'2020'!$K62)</f>
        <v>8</v>
      </c>
      <c r="AK62" s="33">
        <f>SUMIFS(Нормативы!W:W,Нормативы!$B:$B,$G62,Нормативы!$D:$D,'2020'!$I62,Нормативы!$F:$F,'2020'!$K62)</f>
        <v>30</v>
      </c>
      <c r="AL62" s="33">
        <f>SUMIFS(Нормативы!X:X,Нормативы!$B:$B,$G62,Нормативы!$D:$D,'2020'!$I62,Нормативы!$F:$F,'2020'!$K62)*O62</f>
        <v>1344</v>
      </c>
      <c r="AM62" s="33">
        <f t="shared" si="101"/>
        <v>1032.3</v>
      </c>
      <c r="AN62" s="33">
        <f t="shared" si="102"/>
        <v>311.7</v>
      </c>
      <c r="AO62" s="33">
        <f>SUMIFS(Нормативы!AA:AA,Нормативы!$B:$B,$G62,Нормативы!$D:$D,'2020'!$I62,Нормативы!$F:$F,'2020'!$K62)</f>
        <v>0</v>
      </c>
      <c r="AP62" s="141">
        <f t="shared" si="103"/>
        <v>8294</v>
      </c>
      <c r="AQ62" s="413">
        <f t="shared" si="104"/>
        <v>108040</v>
      </c>
      <c r="AR62" s="33">
        <f t="shared" si="105"/>
        <v>82980</v>
      </c>
      <c r="AS62" s="33">
        <f t="shared" si="106"/>
        <v>25060</v>
      </c>
      <c r="AT62" s="34">
        <f t="shared" si="0"/>
        <v>440</v>
      </c>
      <c r="AU62" s="34">
        <f t="shared" si="1"/>
        <v>80</v>
      </c>
      <c r="AV62" s="34">
        <f t="shared" si="2"/>
        <v>4640</v>
      </c>
      <c r="AW62" s="34">
        <f t="shared" si="3"/>
        <v>7420</v>
      </c>
      <c r="AX62" s="34">
        <f t="shared" si="4"/>
        <v>1040</v>
      </c>
      <c r="AY62" s="34">
        <f t="shared" si="5"/>
        <v>4280</v>
      </c>
      <c r="AZ62" s="34">
        <f t="shared" si="6"/>
        <v>620</v>
      </c>
      <c r="BA62" s="34">
        <f t="shared" si="7"/>
        <v>1480</v>
      </c>
      <c r="BB62" s="34">
        <f t="shared" si="107"/>
        <v>4920</v>
      </c>
      <c r="BC62" s="34">
        <f t="shared" si="8"/>
        <v>10160</v>
      </c>
      <c r="BD62" s="34">
        <f t="shared" si="9"/>
        <v>1080</v>
      </c>
      <c r="BE62" s="34">
        <f t="shared" si="10"/>
        <v>1540</v>
      </c>
      <c r="BF62" s="34">
        <f t="shared" si="11"/>
        <v>160</v>
      </c>
      <c r="BG62" s="34">
        <f t="shared" si="12"/>
        <v>600</v>
      </c>
      <c r="BH62" s="34">
        <f t="shared" si="13"/>
        <v>26880</v>
      </c>
      <c r="BI62" s="33">
        <f t="shared" si="108"/>
        <v>20645.2</v>
      </c>
      <c r="BJ62" s="33">
        <f t="shared" si="109"/>
        <v>6234.8</v>
      </c>
      <c r="BK62" s="34">
        <f t="shared" si="14"/>
        <v>0</v>
      </c>
      <c r="BL62" s="426">
        <f t="shared" si="15"/>
        <v>165880</v>
      </c>
      <c r="BM62" s="616">
        <f t="shared" si="110"/>
        <v>351994</v>
      </c>
      <c r="BN62" s="33">
        <f t="shared" si="16"/>
        <v>270348.7</v>
      </c>
      <c r="BO62" s="33">
        <f t="shared" si="17"/>
        <v>81645.3</v>
      </c>
      <c r="BP62" s="34">
        <f t="shared" si="111"/>
        <v>440</v>
      </c>
      <c r="BQ62" s="34">
        <f t="shared" si="112"/>
        <v>80</v>
      </c>
      <c r="BR62" s="34">
        <f t="shared" si="113"/>
        <v>4640</v>
      </c>
      <c r="BS62" s="34">
        <f t="shared" si="18"/>
        <v>7420</v>
      </c>
      <c r="BT62" s="34">
        <f t="shared" si="19"/>
        <v>1040</v>
      </c>
      <c r="BU62" s="34">
        <f t="shared" si="20"/>
        <v>4280</v>
      </c>
      <c r="BV62" s="34">
        <f t="shared" si="21"/>
        <v>620</v>
      </c>
      <c r="BW62" s="34">
        <f t="shared" si="22"/>
        <v>1480</v>
      </c>
      <c r="BX62" s="34">
        <f t="shared" si="23"/>
        <v>14229</v>
      </c>
      <c r="BY62" s="34">
        <f t="shared" si="24"/>
        <v>10160</v>
      </c>
      <c r="BZ62" s="34">
        <f t="shared" si="25"/>
        <v>1080</v>
      </c>
      <c r="CA62" s="34">
        <f t="shared" si="26"/>
        <v>1540</v>
      </c>
      <c r="CB62" s="34">
        <f t="shared" si="27"/>
        <v>160</v>
      </c>
      <c r="CC62" s="34">
        <f t="shared" si="28"/>
        <v>600</v>
      </c>
      <c r="CD62" s="34">
        <f t="shared" si="29"/>
        <v>87575</v>
      </c>
      <c r="CE62" s="33">
        <f t="shared" si="114"/>
        <v>67261.899999999994</v>
      </c>
      <c r="CF62" s="33">
        <f t="shared" si="115"/>
        <v>20313.099999999999</v>
      </c>
      <c r="CG62" s="34">
        <f t="shared" si="30"/>
        <v>0</v>
      </c>
      <c r="CH62" s="415">
        <f t="shared" si="31"/>
        <v>479838</v>
      </c>
      <c r="CI62" s="88">
        <f t="shared" si="32"/>
        <v>17599.7</v>
      </c>
      <c r="CJ62" s="90">
        <f t="shared" si="33"/>
        <v>13517.434999999999</v>
      </c>
      <c r="CK62" s="90">
        <f t="shared" si="34"/>
        <v>4082.2649999999999</v>
      </c>
      <c r="CL62" s="88">
        <f t="shared" si="35"/>
        <v>22</v>
      </c>
      <c r="CM62" s="88">
        <f t="shared" si="36"/>
        <v>4</v>
      </c>
      <c r="CN62" s="88">
        <f t="shared" si="37"/>
        <v>232</v>
      </c>
      <c r="CO62" s="88">
        <f t="shared" si="38"/>
        <v>371</v>
      </c>
      <c r="CP62" s="88">
        <f t="shared" si="39"/>
        <v>52</v>
      </c>
      <c r="CQ62" s="88">
        <f t="shared" si="40"/>
        <v>214</v>
      </c>
      <c r="CR62" s="88">
        <f t="shared" si="41"/>
        <v>31</v>
      </c>
      <c r="CS62" s="88">
        <f t="shared" si="42"/>
        <v>74</v>
      </c>
      <c r="CT62" s="88">
        <f t="shared" si="43"/>
        <v>711.45</v>
      </c>
      <c r="CU62" s="88">
        <f t="shared" si="44"/>
        <v>508</v>
      </c>
      <c r="CV62" s="88">
        <f t="shared" si="45"/>
        <v>54</v>
      </c>
      <c r="CW62" s="88">
        <f t="shared" si="46"/>
        <v>77</v>
      </c>
      <c r="CX62" s="88">
        <f t="shared" si="47"/>
        <v>8</v>
      </c>
      <c r="CY62" s="88">
        <f t="shared" si="48"/>
        <v>30</v>
      </c>
      <c r="CZ62" s="88">
        <f t="shared" si="49"/>
        <v>4378.75</v>
      </c>
      <c r="DA62" s="90">
        <f t="shared" si="50"/>
        <v>3363.0949999999998</v>
      </c>
      <c r="DB62" s="90">
        <f t="shared" si="51"/>
        <v>1015.655</v>
      </c>
      <c r="DC62" s="88">
        <f t="shared" si="52"/>
        <v>0</v>
      </c>
      <c r="DD62" s="88">
        <f t="shared" si="53"/>
        <v>23991.9</v>
      </c>
      <c r="AUV62" s="699">
        <f t="shared" si="65"/>
        <v>17599.7</v>
      </c>
      <c r="AUW62" s="699">
        <f t="shared" si="66"/>
        <v>13517.43</v>
      </c>
      <c r="AUX62" s="699">
        <f t="shared" si="67"/>
        <v>4082.27</v>
      </c>
      <c r="AUY62" s="699">
        <f t="shared" si="68"/>
        <v>22</v>
      </c>
      <c r="AUZ62" s="699">
        <f t="shared" si="204"/>
        <v>27.66</v>
      </c>
      <c r="AVA62" s="699">
        <f t="shared" si="204"/>
        <v>0.86</v>
      </c>
      <c r="AVB62" s="699">
        <f t="shared" si="70"/>
        <v>371</v>
      </c>
      <c r="AVC62" s="699">
        <f t="shared" si="71"/>
        <v>52</v>
      </c>
      <c r="AVD62" s="699">
        <f t="shared" si="72"/>
        <v>214</v>
      </c>
      <c r="AVE62" s="699">
        <f t="shared" si="73"/>
        <v>31</v>
      </c>
      <c r="AVF62" s="699">
        <f t="shared" si="74"/>
        <v>74</v>
      </c>
      <c r="AVG62" s="699">
        <f t="shared" si="75"/>
        <v>711.45</v>
      </c>
      <c r="AVH62" s="699">
        <f t="shared" si="76"/>
        <v>508</v>
      </c>
      <c r="AVI62" s="699">
        <f t="shared" si="77"/>
        <v>54</v>
      </c>
      <c r="AVJ62" s="699">
        <f t="shared" si="78"/>
        <v>77</v>
      </c>
      <c r="AVK62" s="699">
        <f t="shared" si="79"/>
        <v>8</v>
      </c>
      <c r="AVL62" s="699">
        <f t="shared" si="80"/>
        <v>30</v>
      </c>
      <c r="AVM62" s="699">
        <f t="shared" si="81"/>
        <v>4378.75</v>
      </c>
      <c r="AVN62" s="699">
        <f t="shared" si="82"/>
        <v>3363.1</v>
      </c>
      <c r="AVO62" s="699">
        <f t="shared" si="83"/>
        <v>1015.65</v>
      </c>
      <c r="AVP62" s="699">
        <f t="shared" si="84"/>
        <v>0</v>
      </c>
      <c r="AVQ62" s="699">
        <f t="shared" si="85"/>
        <v>23991.9</v>
      </c>
    </row>
    <row r="63" spans="1:108 1244:1265" ht="30" customHeight="1" x14ac:dyDescent="0.25">
      <c r="A63" s="643">
        <v>1</v>
      </c>
      <c r="B63" s="643">
        <v>9</v>
      </c>
      <c r="C63" s="664" t="s">
        <v>247</v>
      </c>
      <c r="D63" s="2"/>
      <c r="E63" s="101" t="s">
        <v>344</v>
      </c>
      <c r="F63" s="643" t="s">
        <v>31</v>
      </c>
      <c r="G63" s="643">
        <v>1</v>
      </c>
      <c r="H63" s="658" t="s">
        <v>10</v>
      </c>
      <c r="I63" s="643">
        <v>0</v>
      </c>
      <c r="J63" s="101" t="s">
        <v>360</v>
      </c>
      <c r="K63" s="643">
        <v>3</v>
      </c>
      <c r="L63" s="683" t="s">
        <v>349</v>
      </c>
      <c r="M63" s="11" t="s">
        <v>265</v>
      </c>
      <c r="N63" s="101" t="s">
        <v>387</v>
      </c>
      <c r="O63" s="643">
        <v>1</v>
      </c>
      <c r="P63" s="632">
        <v>669</v>
      </c>
      <c r="Q63" s="632">
        <v>669</v>
      </c>
      <c r="R63" s="632">
        <v>669</v>
      </c>
      <c r="S63" s="675">
        <f>SUMIF('Территориальный кк'!$A:$A,'2020'!$B63,'Территориальный кк'!D:D)</f>
        <v>3.258</v>
      </c>
      <c r="T63" s="676">
        <f>SUMIF('Территориальный кк'!$A:$A,'2020'!$B63,'Территориальный кк'!E:E)</f>
        <v>2.8919999999999999</v>
      </c>
      <c r="U63" s="33">
        <f>SUMIFS(Нормативы!G:G,Нормативы!$B:$B,$G63,Нормативы!$D:$D,'2020'!$I63,Нормативы!$F:$F,'2020'!$K63)*O63</f>
        <v>64190</v>
      </c>
      <c r="V63" s="33">
        <f t="shared" si="98"/>
        <v>49301.1</v>
      </c>
      <c r="W63" s="33">
        <f t="shared" si="99"/>
        <v>14888.9</v>
      </c>
      <c r="X63" s="33">
        <f>SUMIFS(Нормативы!J:J,Нормативы!$B:$B,$G63,Нормативы!$D:$D,'2020'!$I63,Нормативы!$F:$F,'2020'!$K63)</f>
        <v>8830</v>
      </c>
      <c r="Y63" s="33">
        <f>SUMIFS(Нормативы!K:K,Нормативы!$B:$B,$G63,Нормативы!$D:$D,'2020'!$I63,Нормативы!$F:$F,'2020'!$K63)</f>
        <v>1766</v>
      </c>
      <c r="Z63" s="33">
        <f>SUMIFS(Нормативы!L:L,Нормативы!$B:$B,$G63,Нормативы!$D:$D,'2020'!$I63,Нормативы!$F:$F,'2020'!$K63)</f>
        <v>8110</v>
      </c>
      <c r="AA63" s="33">
        <f t="shared" si="100"/>
        <v>19050</v>
      </c>
      <c r="AB63" s="33">
        <f>SUMIFS(Нормативы!N:N,Нормативы!$B:$B,$G63,Нормативы!$D:$D,'2020'!$I63,Нормативы!$F:$F,'2020'!$K63)*O63</f>
        <v>520</v>
      </c>
      <c r="AC63" s="33">
        <f>SUMIFS(Нормативы!O:O,Нормативы!$B:$B,$G63,Нормативы!$D:$D,'2020'!$I63,Нормативы!$F:$F,'2020'!$K63)</f>
        <v>17290</v>
      </c>
      <c r="AD63" s="33">
        <f>SUMIFS(Нормативы!P:P,Нормативы!$B:$B,$G63,Нормативы!$D:$D,'2020'!$I63,Нормативы!$F:$F,'2020'!$K63)*O63</f>
        <v>360</v>
      </c>
      <c r="AE63" s="33">
        <f>SUMIFS(Нормативы!Q:Q,Нормативы!$B:$B,$G63,Нормативы!$D:$D,'2020'!$I63,Нормативы!$F:$F,'2020'!$K63)</f>
        <v>880</v>
      </c>
      <c r="AF63" s="33">
        <f>SUMIFS(Нормативы!R:R,Нормативы!$B:$B,$G63,Нормативы!$D:$D,'2020'!$I63,Нормативы!$F:$F,'2020'!$K63)</f>
        <v>2680</v>
      </c>
      <c r="AG63" s="33">
        <f>SUMIFS(Нормативы!S:S,Нормативы!$B:$B,$G63,Нормативы!$D:$D,'2020'!$I63,Нормативы!$F:$F,'2020'!$K63)</f>
        <v>5800</v>
      </c>
      <c r="AH63" s="33">
        <f>SUMIFS(Нормативы!T:T,Нормативы!$B:$B,$G63,Нормативы!$D:$D,'2020'!$I63,Нормативы!$F:$F,'2020'!$K63)</f>
        <v>540</v>
      </c>
      <c r="AI63" s="33">
        <f>SUMIFS(Нормативы!U:U,Нормативы!$B:$B,$G63,Нормативы!$D:$D,'2020'!$I63,Нормативы!$F:$F,'2020'!$K63)</f>
        <v>770</v>
      </c>
      <c r="AJ63" s="33">
        <f>SUMIFS(Нормативы!V:V,Нормативы!$B:$B,$G63,Нормативы!$D:$D,'2020'!$I63,Нормативы!$F:$F,'2020'!$K63)</f>
        <v>80</v>
      </c>
      <c r="AK63" s="33">
        <f>SUMIFS(Нормативы!W:W,Нормативы!$B:$B,$G63,Нормативы!$D:$D,'2020'!$I63,Нормативы!$F:$F,'2020'!$K63)</f>
        <v>1050</v>
      </c>
      <c r="AL63" s="33">
        <f>SUMIFS(Нормативы!X:X,Нормативы!$B:$B,$G63,Нормативы!$D:$D,'2020'!$I63,Нормативы!$F:$F,'2020'!$K63)*O63</f>
        <v>16120</v>
      </c>
      <c r="AM63" s="33">
        <f t="shared" si="101"/>
        <v>12381</v>
      </c>
      <c r="AN63" s="33">
        <f t="shared" si="102"/>
        <v>3739</v>
      </c>
      <c r="AO63" s="33">
        <f>SUMIFS(Нормативы!AA:AA,Нормативы!$B:$B,$G63,Нормативы!$D:$D,'2020'!$I63,Нормативы!$F:$F,'2020'!$K63)</f>
        <v>3520</v>
      </c>
      <c r="AP63" s="141">
        <f t="shared" si="103"/>
        <v>130740</v>
      </c>
      <c r="AQ63" s="413">
        <f t="shared" si="104"/>
        <v>42943110</v>
      </c>
      <c r="AR63" s="33">
        <f t="shared" si="105"/>
        <v>32982419.399999999</v>
      </c>
      <c r="AS63" s="33">
        <f t="shared" si="106"/>
        <v>9960690.5999999996</v>
      </c>
      <c r="AT63" s="34">
        <f t="shared" si="0"/>
        <v>5907270</v>
      </c>
      <c r="AU63" s="34">
        <f t="shared" si="1"/>
        <v>1181454</v>
      </c>
      <c r="AV63" s="34">
        <f t="shared" si="2"/>
        <v>5425590</v>
      </c>
      <c r="AW63" s="34">
        <f t="shared" si="3"/>
        <v>12744450</v>
      </c>
      <c r="AX63" s="34">
        <f t="shared" si="4"/>
        <v>347880</v>
      </c>
      <c r="AY63" s="34">
        <f t="shared" si="5"/>
        <v>11567010</v>
      </c>
      <c r="AZ63" s="34">
        <f t="shared" si="6"/>
        <v>240840</v>
      </c>
      <c r="BA63" s="34">
        <f t="shared" si="7"/>
        <v>588720</v>
      </c>
      <c r="BB63" s="34">
        <f t="shared" si="107"/>
        <v>1792920</v>
      </c>
      <c r="BC63" s="34">
        <f t="shared" si="8"/>
        <v>3880200</v>
      </c>
      <c r="BD63" s="34">
        <f t="shared" si="9"/>
        <v>361260</v>
      </c>
      <c r="BE63" s="34">
        <f t="shared" si="10"/>
        <v>515130</v>
      </c>
      <c r="BF63" s="34">
        <f t="shared" si="11"/>
        <v>53520</v>
      </c>
      <c r="BG63" s="34">
        <f t="shared" si="12"/>
        <v>702450</v>
      </c>
      <c r="BH63" s="34">
        <f t="shared" si="13"/>
        <v>10784280</v>
      </c>
      <c r="BI63" s="33">
        <f t="shared" si="108"/>
        <v>8282857.0999999996</v>
      </c>
      <c r="BJ63" s="33">
        <f t="shared" si="109"/>
        <v>2501422.9</v>
      </c>
      <c r="BK63" s="34">
        <f t="shared" si="14"/>
        <v>2354880</v>
      </c>
      <c r="BL63" s="426">
        <f t="shared" si="15"/>
        <v>87465060</v>
      </c>
      <c r="BM63" s="616">
        <f t="shared" si="110"/>
        <v>139908652</v>
      </c>
      <c r="BN63" s="33">
        <f t="shared" si="16"/>
        <v>107456722</v>
      </c>
      <c r="BO63" s="33">
        <f t="shared" si="17"/>
        <v>32451930</v>
      </c>
      <c r="BP63" s="34">
        <f t="shared" si="111"/>
        <v>5907270</v>
      </c>
      <c r="BQ63" s="34">
        <f t="shared" si="112"/>
        <v>1181454</v>
      </c>
      <c r="BR63" s="34">
        <f t="shared" si="113"/>
        <v>5425590</v>
      </c>
      <c r="BS63" s="34">
        <f t="shared" si="18"/>
        <v>12744450</v>
      </c>
      <c r="BT63" s="34">
        <f t="shared" si="19"/>
        <v>347880</v>
      </c>
      <c r="BU63" s="34">
        <f t="shared" si="20"/>
        <v>11567010</v>
      </c>
      <c r="BV63" s="34">
        <f t="shared" si="21"/>
        <v>240840</v>
      </c>
      <c r="BW63" s="34">
        <f t="shared" si="22"/>
        <v>588720</v>
      </c>
      <c r="BX63" s="34">
        <f t="shared" si="23"/>
        <v>5185125</v>
      </c>
      <c r="BY63" s="34">
        <f t="shared" si="24"/>
        <v>3880200</v>
      </c>
      <c r="BZ63" s="34">
        <f t="shared" si="25"/>
        <v>361260</v>
      </c>
      <c r="CA63" s="34">
        <f t="shared" si="26"/>
        <v>515130</v>
      </c>
      <c r="CB63" s="34">
        <f t="shared" si="27"/>
        <v>53520</v>
      </c>
      <c r="CC63" s="34">
        <f t="shared" si="28"/>
        <v>702450</v>
      </c>
      <c r="CD63" s="34">
        <f t="shared" si="29"/>
        <v>35135184</v>
      </c>
      <c r="CE63" s="33">
        <f t="shared" si="114"/>
        <v>26985548.399999999</v>
      </c>
      <c r="CF63" s="33">
        <f t="shared" si="115"/>
        <v>8149635.5999999996</v>
      </c>
      <c r="CG63" s="34">
        <f t="shared" si="30"/>
        <v>2354880</v>
      </c>
      <c r="CH63" s="415">
        <f t="shared" si="31"/>
        <v>212173711</v>
      </c>
      <c r="CI63" s="88">
        <f t="shared" si="32"/>
        <v>209131.01939999999</v>
      </c>
      <c r="CJ63" s="90">
        <f t="shared" si="33"/>
        <v>160622.90280000001</v>
      </c>
      <c r="CK63" s="90">
        <f t="shared" si="34"/>
        <v>48508.116600000001</v>
      </c>
      <c r="CL63" s="88">
        <f t="shared" si="35"/>
        <v>8830</v>
      </c>
      <c r="CM63" s="88">
        <f t="shared" si="36"/>
        <v>1766</v>
      </c>
      <c r="CN63" s="88">
        <f t="shared" si="37"/>
        <v>8110</v>
      </c>
      <c r="CO63" s="88">
        <f t="shared" si="38"/>
        <v>19050</v>
      </c>
      <c r="CP63" s="88">
        <f t="shared" si="39"/>
        <v>520</v>
      </c>
      <c r="CQ63" s="88">
        <f t="shared" si="40"/>
        <v>17290</v>
      </c>
      <c r="CR63" s="88">
        <f t="shared" si="41"/>
        <v>360</v>
      </c>
      <c r="CS63" s="88">
        <f t="shared" si="42"/>
        <v>880</v>
      </c>
      <c r="CT63" s="88">
        <f t="shared" si="43"/>
        <v>7750.5604999999996</v>
      </c>
      <c r="CU63" s="88">
        <f t="shared" si="44"/>
        <v>5800</v>
      </c>
      <c r="CV63" s="88">
        <f t="shared" si="45"/>
        <v>540</v>
      </c>
      <c r="CW63" s="88">
        <f t="shared" si="46"/>
        <v>770</v>
      </c>
      <c r="CX63" s="88">
        <f t="shared" si="47"/>
        <v>80</v>
      </c>
      <c r="CY63" s="88">
        <f t="shared" si="48"/>
        <v>1050</v>
      </c>
      <c r="CZ63" s="88">
        <f t="shared" si="49"/>
        <v>52518.959600000002</v>
      </c>
      <c r="DA63" s="90">
        <f t="shared" si="50"/>
        <v>40337.142599999999</v>
      </c>
      <c r="DB63" s="90">
        <f t="shared" si="51"/>
        <v>12181.816999999999</v>
      </c>
      <c r="DC63" s="88">
        <f t="shared" si="52"/>
        <v>3520</v>
      </c>
      <c r="DD63" s="88">
        <f t="shared" si="53"/>
        <v>317150.53960000002</v>
      </c>
      <c r="AUV63" s="699">
        <f t="shared" si="65"/>
        <v>209131.02</v>
      </c>
      <c r="AUW63" s="699">
        <f t="shared" si="66"/>
        <v>160622.9</v>
      </c>
      <c r="AUX63" s="699">
        <f t="shared" si="67"/>
        <v>48508.12</v>
      </c>
      <c r="AUY63" s="699">
        <f t="shared" si="68"/>
        <v>8830</v>
      </c>
      <c r="AUZ63" s="699">
        <f t="shared" si="204"/>
        <v>408524.9</v>
      </c>
      <c r="AVA63" s="699">
        <f t="shared" si="204"/>
        <v>84.52</v>
      </c>
      <c r="AVB63" s="699">
        <f t="shared" si="70"/>
        <v>19050</v>
      </c>
      <c r="AVC63" s="699">
        <f t="shared" si="71"/>
        <v>520</v>
      </c>
      <c r="AVD63" s="699">
        <f t="shared" si="72"/>
        <v>17290</v>
      </c>
      <c r="AVE63" s="699">
        <f t="shared" si="73"/>
        <v>360</v>
      </c>
      <c r="AVF63" s="699">
        <f t="shared" si="74"/>
        <v>880</v>
      </c>
      <c r="AVG63" s="699">
        <f t="shared" si="75"/>
        <v>7750.56</v>
      </c>
      <c r="AVH63" s="699">
        <f t="shared" si="76"/>
        <v>5800</v>
      </c>
      <c r="AVI63" s="699">
        <f t="shared" si="77"/>
        <v>540</v>
      </c>
      <c r="AVJ63" s="699">
        <f t="shared" si="78"/>
        <v>770</v>
      </c>
      <c r="AVK63" s="699">
        <f t="shared" si="79"/>
        <v>80</v>
      </c>
      <c r="AVL63" s="699">
        <f t="shared" si="80"/>
        <v>1050</v>
      </c>
      <c r="AVM63" s="699">
        <f t="shared" si="81"/>
        <v>52518.96</v>
      </c>
      <c r="AVN63" s="699">
        <f t="shared" si="82"/>
        <v>40337.14</v>
      </c>
      <c r="AVO63" s="699">
        <f t="shared" si="83"/>
        <v>12181.82</v>
      </c>
      <c r="AVP63" s="699">
        <f t="shared" si="84"/>
        <v>3520</v>
      </c>
      <c r="AVQ63" s="699">
        <f t="shared" si="85"/>
        <v>317150.53999999998</v>
      </c>
    </row>
    <row r="64" spans="1:108 1244:1265" ht="30" customHeight="1" x14ac:dyDescent="0.25">
      <c r="A64" s="643">
        <v>1</v>
      </c>
      <c r="B64" s="643">
        <v>9</v>
      </c>
      <c r="C64" s="664" t="s">
        <v>247</v>
      </c>
      <c r="D64" s="2"/>
      <c r="E64" s="101" t="s">
        <v>344</v>
      </c>
      <c r="F64" s="643" t="s">
        <v>31</v>
      </c>
      <c r="G64" s="643">
        <v>1</v>
      </c>
      <c r="H64" s="658" t="s">
        <v>8</v>
      </c>
      <c r="I64" s="643">
        <v>3</v>
      </c>
      <c r="J64" s="101" t="s">
        <v>360</v>
      </c>
      <c r="K64" s="643">
        <v>3</v>
      </c>
      <c r="L64" s="683" t="s">
        <v>349</v>
      </c>
      <c r="M64" s="11" t="s">
        <v>266</v>
      </c>
      <c r="N64" s="101" t="s">
        <v>387</v>
      </c>
      <c r="O64" s="643">
        <v>1</v>
      </c>
      <c r="P64" s="632">
        <v>252</v>
      </c>
      <c r="Q64" s="632">
        <v>252</v>
      </c>
      <c r="R64" s="632">
        <v>252</v>
      </c>
      <c r="S64" s="675">
        <f>SUMIF('Территориальный кк'!$A:$A,'2020'!$B64,'Территориальный кк'!D:D)</f>
        <v>3.258</v>
      </c>
      <c r="T64" s="676">
        <f>SUMIF('Территориальный кк'!$A:$A,'2020'!$B64,'Территориальный кк'!E:E)</f>
        <v>2.8919999999999999</v>
      </c>
      <c r="U64" s="33">
        <f>SUMIFS(Нормативы!G:G,Нормативы!$B:$B,$G64,Нормативы!$D:$D,'2020'!$I64,Нормативы!$F:$F,'2020'!$K64)*O64</f>
        <v>6419</v>
      </c>
      <c r="V64" s="33">
        <f t="shared" si="98"/>
        <v>4930.1000000000004</v>
      </c>
      <c r="W64" s="33">
        <f t="shared" si="99"/>
        <v>1488.9</v>
      </c>
      <c r="X64" s="33">
        <f>SUMIFS(Нормативы!J:J,Нормативы!$B:$B,$G64,Нормативы!$D:$D,'2020'!$I64,Нормативы!$F:$F,'2020'!$K64)</f>
        <v>883</v>
      </c>
      <c r="Y64" s="33">
        <f>SUMIFS(Нормативы!K:K,Нормативы!$B:$B,$G64,Нормативы!$D:$D,'2020'!$I64,Нормативы!$F:$F,'2020'!$K64)</f>
        <v>177</v>
      </c>
      <c r="Z64" s="33">
        <f>SUMIFS(Нормативы!L:L,Нормативы!$B:$B,$G64,Нормативы!$D:$D,'2020'!$I64,Нормативы!$F:$F,'2020'!$K64)</f>
        <v>811</v>
      </c>
      <c r="AA64" s="33">
        <f t="shared" si="100"/>
        <v>1905</v>
      </c>
      <c r="AB64" s="33">
        <f>SUMIFS(Нормативы!N:N,Нормативы!$B:$B,$G64,Нормативы!$D:$D,'2020'!$I64,Нормативы!$F:$F,'2020'!$K64)*O64</f>
        <v>52</v>
      </c>
      <c r="AC64" s="33">
        <f>SUMIFS(Нормативы!O:O,Нормативы!$B:$B,$G64,Нормативы!$D:$D,'2020'!$I64,Нормативы!$F:$F,'2020'!$K64)</f>
        <v>1729</v>
      </c>
      <c r="AD64" s="33">
        <f>SUMIFS(Нормативы!P:P,Нормативы!$B:$B,$G64,Нормативы!$D:$D,'2020'!$I64,Нормативы!$F:$F,'2020'!$K64)*O64</f>
        <v>36</v>
      </c>
      <c r="AE64" s="33">
        <f>SUMIFS(Нормативы!Q:Q,Нормативы!$B:$B,$G64,Нормативы!$D:$D,'2020'!$I64,Нормативы!$F:$F,'2020'!$K64)</f>
        <v>88</v>
      </c>
      <c r="AF64" s="33">
        <f>SUMIFS(Нормативы!R:R,Нормативы!$B:$B,$G64,Нормативы!$D:$D,'2020'!$I64,Нормативы!$F:$F,'2020'!$K64)</f>
        <v>268</v>
      </c>
      <c r="AG64" s="33">
        <f>SUMIFS(Нормативы!S:S,Нормативы!$B:$B,$G64,Нормативы!$D:$D,'2020'!$I64,Нормативы!$F:$F,'2020'!$K64)</f>
        <v>580</v>
      </c>
      <c r="AH64" s="33">
        <f>SUMIFS(Нормативы!T:T,Нормативы!$B:$B,$G64,Нормативы!$D:$D,'2020'!$I64,Нормативы!$F:$F,'2020'!$K64)</f>
        <v>54</v>
      </c>
      <c r="AI64" s="33">
        <f>SUMIFS(Нормативы!U:U,Нормативы!$B:$B,$G64,Нормативы!$D:$D,'2020'!$I64,Нормативы!$F:$F,'2020'!$K64)</f>
        <v>77</v>
      </c>
      <c r="AJ64" s="33">
        <f>SUMIFS(Нормативы!V:V,Нормативы!$B:$B,$G64,Нормативы!$D:$D,'2020'!$I64,Нормативы!$F:$F,'2020'!$K64)</f>
        <v>8</v>
      </c>
      <c r="AK64" s="33">
        <f>SUMIFS(Нормативы!W:W,Нормативы!$B:$B,$G64,Нормативы!$D:$D,'2020'!$I64,Нормативы!$F:$F,'2020'!$K64)</f>
        <v>105</v>
      </c>
      <c r="AL64" s="33">
        <f>SUMIFS(Нормативы!X:X,Нормативы!$B:$B,$G64,Нормативы!$D:$D,'2020'!$I64,Нормативы!$F:$F,'2020'!$K64)*O64</f>
        <v>1612</v>
      </c>
      <c r="AM64" s="33">
        <f t="shared" si="101"/>
        <v>1238.0999999999999</v>
      </c>
      <c r="AN64" s="33">
        <f t="shared" si="102"/>
        <v>373.9</v>
      </c>
      <c r="AO64" s="33">
        <f>SUMIFS(Нормативы!AA:AA,Нормативы!$B:$B,$G64,Нормативы!$D:$D,'2020'!$I64,Нормативы!$F:$F,'2020'!$K64)</f>
        <v>0</v>
      </c>
      <c r="AP64" s="141">
        <f t="shared" si="103"/>
        <v>12722</v>
      </c>
      <c r="AQ64" s="413">
        <f t="shared" si="104"/>
        <v>1617588</v>
      </c>
      <c r="AR64" s="33">
        <f t="shared" si="105"/>
        <v>1242387.1000000001</v>
      </c>
      <c r="AS64" s="33">
        <f t="shared" si="106"/>
        <v>375200.9</v>
      </c>
      <c r="AT64" s="34">
        <f t="shared" si="0"/>
        <v>222516</v>
      </c>
      <c r="AU64" s="34">
        <f t="shared" si="1"/>
        <v>44604</v>
      </c>
      <c r="AV64" s="34">
        <f t="shared" si="2"/>
        <v>204372</v>
      </c>
      <c r="AW64" s="34">
        <f t="shared" si="3"/>
        <v>480060</v>
      </c>
      <c r="AX64" s="34">
        <f t="shared" si="4"/>
        <v>13104</v>
      </c>
      <c r="AY64" s="34">
        <f t="shared" si="5"/>
        <v>435708</v>
      </c>
      <c r="AZ64" s="34">
        <f t="shared" si="6"/>
        <v>9072</v>
      </c>
      <c r="BA64" s="34">
        <f t="shared" si="7"/>
        <v>22176</v>
      </c>
      <c r="BB64" s="34">
        <f t="shared" si="107"/>
        <v>67536</v>
      </c>
      <c r="BC64" s="34">
        <f t="shared" si="8"/>
        <v>146160</v>
      </c>
      <c r="BD64" s="34">
        <f t="shared" si="9"/>
        <v>13608</v>
      </c>
      <c r="BE64" s="34">
        <f t="shared" si="10"/>
        <v>19404</v>
      </c>
      <c r="BF64" s="34">
        <f t="shared" si="11"/>
        <v>2016</v>
      </c>
      <c r="BG64" s="34">
        <f t="shared" si="12"/>
        <v>26460</v>
      </c>
      <c r="BH64" s="34">
        <f t="shared" si="13"/>
        <v>406224</v>
      </c>
      <c r="BI64" s="33">
        <f t="shared" si="108"/>
        <v>312000</v>
      </c>
      <c r="BJ64" s="33">
        <f t="shared" si="109"/>
        <v>94224</v>
      </c>
      <c r="BK64" s="34">
        <f t="shared" si="14"/>
        <v>0</v>
      </c>
      <c r="BL64" s="426">
        <f t="shared" si="15"/>
        <v>3205944</v>
      </c>
      <c r="BM64" s="616">
        <f t="shared" si="110"/>
        <v>5270102</v>
      </c>
      <c r="BN64" s="33">
        <f t="shared" si="16"/>
        <v>4047697.4</v>
      </c>
      <c r="BO64" s="33">
        <f t="shared" si="17"/>
        <v>1222404.6000000001</v>
      </c>
      <c r="BP64" s="34">
        <f t="shared" si="111"/>
        <v>222516</v>
      </c>
      <c r="BQ64" s="34">
        <f t="shared" si="112"/>
        <v>44604</v>
      </c>
      <c r="BR64" s="34">
        <f t="shared" si="113"/>
        <v>204372</v>
      </c>
      <c r="BS64" s="34">
        <f t="shared" si="18"/>
        <v>480060</v>
      </c>
      <c r="BT64" s="34">
        <f t="shared" si="19"/>
        <v>13104</v>
      </c>
      <c r="BU64" s="34">
        <f t="shared" si="20"/>
        <v>435708</v>
      </c>
      <c r="BV64" s="34">
        <f t="shared" si="21"/>
        <v>9072</v>
      </c>
      <c r="BW64" s="34">
        <f t="shared" si="22"/>
        <v>22176</v>
      </c>
      <c r="BX64" s="34">
        <f t="shared" si="23"/>
        <v>195314</v>
      </c>
      <c r="BY64" s="34">
        <f t="shared" si="24"/>
        <v>146160</v>
      </c>
      <c r="BZ64" s="34">
        <f t="shared" si="25"/>
        <v>13608</v>
      </c>
      <c r="CA64" s="34">
        <f t="shared" si="26"/>
        <v>19404</v>
      </c>
      <c r="CB64" s="34">
        <f t="shared" si="27"/>
        <v>2016</v>
      </c>
      <c r="CC64" s="34">
        <f t="shared" si="28"/>
        <v>26460</v>
      </c>
      <c r="CD64" s="34">
        <f t="shared" si="29"/>
        <v>1323478</v>
      </c>
      <c r="CE64" s="33">
        <f t="shared" si="114"/>
        <v>1016496.2</v>
      </c>
      <c r="CF64" s="33">
        <f t="shared" si="115"/>
        <v>306981.8</v>
      </c>
      <c r="CG64" s="34">
        <f t="shared" si="30"/>
        <v>0</v>
      </c>
      <c r="CH64" s="415">
        <f t="shared" si="31"/>
        <v>7903490</v>
      </c>
      <c r="CI64" s="88">
        <f t="shared" si="32"/>
        <v>20913.103200000001</v>
      </c>
      <c r="CJ64" s="90">
        <f t="shared" si="33"/>
        <v>16062.291300000001</v>
      </c>
      <c r="CK64" s="90">
        <f t="shared" si="34"/>
        <v>4850.8118999999997</v>
      </c>
      <c r="CL64" s="88">
        <f t="shared" si="35"/>
        <v>883</v>
      </c>
      <c r="CM64" s="88">
        <f t="shared" si="36"/>
        <v>177</v>
      </c>
      <c r="CN64" s="88">
        <f t="shared" si="37"/>
        <v>811</v>
      </c>
      <c r="CO64" s="88">
        <f t="shared" si="38"/>
        <v>1905</v>
      </c>
      <c r="CP64" s="88">
        <f t="shared" si="39"/>
        <v>52</v>
      </c>
      <c r="CQ64" s="88">
        <f t="shared" si="40"/>
        <v>1729</v>
      </c>
      <c r="CR64" s="88">
        <f t="shared" si="41"/>
        <v>36</v>
      </c>
      <c r="CS64" s="88">
        <f t="shared" si="42"/>
        <v>88</v>
      </c>
      <c r="CT64" s="88">
        <f t="shared" si="43"/>
        <v>775.05560000000003</v>
      </c>
      <c r="CU64" s="88">
        <f t="shared" si="44"/>
        <v>580</v>
      </c>
      <c r="CV64" s="88">
        <f t="shared" si="45"/>
        <v>54</v>
      </c>
      <c r="CW64" s="88">
        <f t="shared" si="46"/>
        <v>77</v>
      </c>
      <c r="CX64" s="88">
        <f t="shared" si="47"/>
        <v>8</v>
      </c>
      <c r="CY64" s="88">
        <f t="shared" si="48"/>
        <v>105</v>
      </c>
      <c r="CZ64" s="88">
        <f t="shared" si="49"/>
        <v>5251.8968000000004</v>
      </c>
      <c r="DA64" s="90">
        <f t="shared" si="50"/>
        <v>4033.7150999999999</v>
      </c>
      <c r="DB64" s="90">
        <f t="shared" si="51"/>
        <v>1218.1817000000001</v>
      </c>
      <c r="DC64" s="88">
        <f t="shared" si="52"/>
        <v>0</v>
      </c>
      <c r="DD64" s="88">
        <f t="shared" si="53"/>
        <v>31363.0556</v>
      </c>
      <c r="AUV64" s="699">
        <f t="shared" si="65"/>
        <v>20913.099999999999</v>
      </c>
      <c r="AUW64" s="699">
        <f t="shared" si="66"/>
        <v>16062.29</v>
      </c>
      <c r="AUX64" s="699">
        <f t="shared" si="67"/>
        <v>4850.8100000000004</v>
      </c>
      <c r="AUY64" s="699">
        <f t="shared" si="68"/>
        <v>883</v>
      </c>
      <c r="AUZ64" s="699">
        <f t="shared" si="204"/>
        <v>15423.24</v>
      </c>
      <c r="AVA64" s="699">
        <f t="shared" si="204"/>
        <v>31.84</v>
      </c>
      <c r="AVB64" s="699">
        <f t="shared" si="70"/>
        <v>1905</v>
      </c>
      <c r="AVC64" s="699">
        <f t="shared" si="71"/>
        <v>52</v>
      </c>
      <c r="AVD64" s="699">
        <f t="shared" si="72"/>
        <v>1729</v>
      </c>
      <c r="AVE64" s="699">
        <f t="shared" si="73"/>
        <v>36</v>
      </c>
      <c r="AVF64" s="699">
        <f t="shared" si="74"/>
        <v>88</v>
      </c>
      <c r="AVG64" s="699">
        <f t="shared" si="75"/>
        <v>775.06</v>
      </c>
      <c r="AVH64" s="699">
        <f t="shared" si="76"/>
        <v>580</v>
      </c>
      <c r="AVI64" s="699">
        <f t="shared" si="77"/>
        <v>54</v>
      </c>
      <c r="AVJ64" s="699">
        <f t="shared" si="78"/>
        <v>77</v>
      </c>
      <c r="AVK64" s="699">
        <f t="shared" si="79"/>
        <v>8</v>
      </c>
      <c r="AVL64" s="699">
        <f t="shared" si="80"/>
        <v>105</v>
      </c>
      <c r="AVM64" s="699">
        <f t="shared" si="81"/>
        <v>5251.9</v>
      </c>
      <c r="AVN64" s="699">
        <f t="shared" si="82"/>
        <v>4033.72</v>
      </c>
      <c r="AVO64" s="699">
        <f t="shared" si="83"/>
        <v>1218.18</v>
      </c>
      <c r="AVP64" s="699">
        <f t="shared" si="84"/>
        <v>0</v>
      </c>
      <c r="AVQ64" s="699">
        <f t="shared" si="85"/>
        <v>31363.06</v>
      </c>
    </row>
    <row r="65" spans="1:108 1244:1265" ht="30" customHeight="1" x14ac:dyDescent="0.25">
      <c r="A65" s="643">
        <v>1</v>
      </c>
      <c r="B65" s="643">
        <v>9</v>
      </c>
      <c r="C65" s="664" t="s">
        <v>247</v>
      </c>
      <c r="D65" s="2"/>
      <c r="E65" s="101" t="s">
        <v>345</v>
      </c>
      <c r="F65" s="643" t="s">
        <v>38</v>
      </c>
      <c r="G65" s="643">
        <v>2</v>
      </c>
      <c r="H65" s="658" t="s">
        <v>8</v>
      </c>
      <c r="I65" s="643">
        <v>3</v>
      </c>
      <c r="J65" s="101" t="s">
        <v>378</v>
      </c>
      <c r="K65" s="643">
        <v>1</v>
      </c>
      <c r="L65" s="683" t="s">
        <v>350</v>
      </c>
      <c r="M65" s="11" t="s">
        <v>289</v>
      </c>
      <c r="N65" s="101" t="s">
        <v>387</v>
      </c>
      <c r="O65" s="643">
        <v>1</v>
      </c>
      <c r="P65" s="632"/>
      <c r="Q65" s="632"/>
      <c r="R65" s="632"/>
      <c r="S65" s="675">
        <f>SUMIF('Территориальный кк'!$A:$A,'2020'!$B65,'Территориальный кк'!D:D)</f>
        <v>3.258</v>
      </c>
      <c r="T65" s="676">
        <f>SUMIF('Территориальный кк'!$A:$A,'2020'!$B65,'Территориальный кк'!E:E)</f>
        <v>2.8919999999999999</v>
      </c>
      <c r="U65" s="33">
        <f>SUMIFS(Нормативы!G:G,Нормативы!$B:$B,$G65,Нормативы!$D:$D,'2020'!$I65,Нормативы!$F:$F,'2020'!$K65)*O65</f>
        <v>5974</v>
      </c>
      <c r="V65" s="33">
        <f t="shared" si="98"/>
        <v>4588.3</v>
      </c>
      <c r="W65" s="33">
        <f t="shared" si="99"/>
        <v>1385.7</v>
      </c>
      <c r="X65" s="33">
        <f>SUMIFS(Нормативы!J:J,Нормативы!$B:$B,$G65,Нормативы!$D:$D,'2020'!$I65,Нормативы!$F:$F,'2020'!$K65)</f>
        <v>22</v>
      </c>
      <c r="Y65" s="33">
        <f>SUMIFS(Нормативы!K:K,Нормативы!$B:$B,$G65,Нормативы!$D:$D,'2020'!$I65,Нормативы!$F:$F,'2020'!$K65)</f>
        <v>4</v>
      </c>
      <c r="Z65" s="33">
        <f>SUMIFS(Нормативы!L:L,Нормативы!$B:$B,$G65,Нормативы!$D:$D,'2020'!$I65,Нормативы!$F:$F,'2020'!$K65)</f>
        <v>232</v>
      </c>
      <c r="AA65" s="33">
        <f t="shared" si="100"/>
        <v>435</v>
      </c>
      <c r="AB65" s="33">
        <f>SUMIFS(Нормативы!N:N,Нормативы!$B:$B,$G65,Нормативы!$D:$D,'2020'!$I65,Нормативы!$F:$F,'2020'!$K65)*O65</f>
        <v>52</v>
      </c>
      <c r="AC65" s="33">
        <f>SUMIFS(Нормативы!O:O,Нормативы!$B:$B,$G65,Нормативы!$D:$D,'2020'!$I65,Нормативы!$F:$F,'2020'!$K65)</f>
        <v>267</v>
      </c>
      <c r="AD65" s="33">
        <f>SUMIFS(Нормативы!P:P,Нормативы!$B:$B,$G65,Нормативы!$D:$D,'2020'!$I65,Нормативы!$F:$F,'2020'!$K65)*O65</f>
        <v>34</v>
      </c>
      <c r="AE65" s="33">
        <f>SUMIFS(Нормативы!Q:Q,Нормативы!$B:$B,$G65,Нормативы!$D:$D,'2020'!$I65,Нормативы!$F:$F,'2020'!$K65)</f>
        <v>82</v>
      </c>
      <c r="AF65" s="33">
        <f>SUMIFS(Нормативы!R:R,Нормативы!$B:$B,$G65,Нормативы!$D:$D,'2020'!$I65,Нормативы!$F:$F,'2020'!$K65)</f>
        <v>246</v>
      </c>
      <c r="AG65" s="33">
        <f>SUMIFS(Нормативы!S:S,Нормативы!$B:$B,$G65,Нормативы!$D:$D,'2020'!$I65,Нормативы!$F:$F,'2020'!$K65)</f>
        <v>508</v>
      </c>
      <c r="AH65" s="33">
        <f>SUMIFS(Нормативы!T:T,Нормативы!$B:$B,$G65,Нормативы!$D:$D,'2020'!$I65,Нормативы!$F:$F,'2020'!$K65)</f>
        <v>54</v>
      </c>
      <c r="AI65" s="33">
        <f>SUMIFS(Нормативы!U:U,Нормативы!$B:$B,$G65,Нормативы!$D:$D,'2020'!$I65,Нормативы!$F:$F,'2020'!$K65)</f>
        <v>77</v>
      </c>
      <c r="AJ65" s="33">
        <f>SUMIFS(Нормативы!V:V,Нормативы!$B:$B,$G65,Нормативы!$D:$D,'2020'!$I65,Нормативы!$F:$F,'2020'!$K65)</f>
        <v>8</v>
      </c>
      <c r="AK65" s="33">
        <f>SUMIFS(Нормативы!W:W,Нормативы!$B:$B,$G65,Нормативы!$D:$D,'2020'!$I65,Нормативы!$F:$F,'2020'!$K65)</f>
        <v>12</v>
      </c>
      <c r="AL65" s="33">
        <f>SUMIFS(Нормативы!X:X,Нормативы!$B:$B,$G65,Нормативы!$D:$D,'2020'!$I65,Нормативы!$F:$F,'2020'!$K65)*O65</f>
        <v>1344</v>
      </c>
      <c r="AM65" s="33">
        <f t="shared" si="101"/>
        <v>1032.3</v>
      </c>
      <c r="AN65" s="33">
        <f t="shared" si="102"/>
        <v>311.7</v>
      </c>
      <c r="AO65" s="33">
        <f>SUMIFS(Нормативы!AA:AA,Нормативы!$B:$B,$G65,Нормативы!$D:$D,'2020'!$I65,Нормативы!$F:$F,'2020'!$K65)</f>
        <v>0</v>
      </c>
      <c r="AP65" s="141">
        <f t="shared" si="103"/>
        <v>8912</v>
      </c>
      <c r="AQ65" s="413">
        <f t="shared" si="104"/>
        <v>0</v>
      </c>
      <c r="AR65" s="33">
        <f t="shared" si="105"/>
        <v>0</v>
      </c>
      <c r="AS65" s="33">
        <f t="shared" si="106"/>
        <v>0</v>
      </c>
      <c r="AT65" s="34">
        <f t="shared" si="0"/>
        <v>0</v>
      </c>
      <c r="AU65" s="34">
        <f t="shared" si="1"/>
        <v>0</v>
      </c>
      <c r="AV65" s="34">
        <f t="shared" si="2"/>
        <v>0</v>
      </c>
      <c r="AW65" s="34">
        <f t="shared" si="3"/>
        <v>0</v>
      </c>
      <c r="AX65" s="34">
        <f t="shared" si="4"/>
        <v>0</v>
      </c>
      <c r="AY65" s="34">
        <f t="shared" si="5"/>
        <v>0</v>
      </c>
      <c r="AZ65" s="34">
        <f t="shared" si="6"/>
        <v>0</v>
      </c>
      <c r="BA65" s="34">
        <f t="shared" si="7"/>
        <v>0</v>
      </c>
      <c r="BB65" s="34">
        <f t="shared" si="107"/>
        <v>0</v>
      </c>
      <c r="BC65" s="34">
        <f t="shared" si="8"/>
        <v>0</v>
      </c>
      <c r="BD65" s="34">
        <f t="shared" si="9"/>
        <v>0</v>
      </c>
      <c r="BE65" s="34">
        <f t="shared" si="10"/>
        <v>0</v>
      </c>
      <c r="BF65" s="34">
        <f t="shared" si="11"/>
        <v>0</v>
      </c>
      <c r="BG65" s="34">
        <f t="shared" si="12"/>
        <v>0</v>
      </c>
      <c r="BH65" s="34">
        <f t="shared" si="13"/>
        <v>0</v>
      </c>
      <c r="BI65" s="33">
        <f t="shared" si="108"/>
        <v>0</v>
      </c>
      <c r="BJ65" s="33">
        <f t="shared" si="109"/>
        <v>0</v>
      </c>
      <c r="BK65" s="34">
        <f t="shared" si="14"/>
        <v>0</v>
      </c>
      <c r="BL65" s="426">
        <f t="shared" si="15"/>
        <v>0</v>
      </c>
      <c r="BM65" s="616">
        <f t="shared" si="110"/>
        <v>0</v>
      </c>
      <c r="BN65" s="33">
        <f t="shared" si="16"/>
        <v>0</v>
      </c>
      <c r="BO65" s="33">
        <f t="shared" si="17"/>
        <v>0</v>
      </c>
      <c r="BP65" s="34">
        <f t="shared" si="111"/>
        <v>0</v>
      </c>
      <c r="BQ65" s="34">
        <f t="shared" si="112"/>
        <v>0</v>
      </c>
      <c r="BR65" s="34">
        <f t="shared" si="113"/>
        <v>0</v>
      </c>
      <c r="BS65" s="34">
        <f t="shared" si="18"/>
        <v>0</v>
      </c>
      <c r="BT65" s="34">
        <f t="shared" si="19"/>
        <v>0</v>
      </c>
      <c r="BU65" s="34">
        <f t="shared" si="20"/>
        <v>0</v>
      </c>
      <c r="BV65" s="34">
        <f t="shared" si="21"/>
        <v>0</v>
      </c>
      <c r="BW65" s="34">
        <f t="shared" si="22"/>
        <v>0</v>
      </c>
      <c r="BX65" s="34">
        <f t="shared" si="23"/>
        <v>0</v>
      </c>
      <c r="BY65" s="34">
        <f t="shared" si="24"/>
        <v>0</v>
      </c>
      <c r="BZ65" s="34">
        <f t="shared" si="25"/>
        <v>0</v>
      </c>
      <c r="CA65" s="34">
        <f t="shared" si="26"/>
        <v>0</v>
      </c>
      <c r="CB65" s="34">
        <f t="shared" si="27"/>
        <v>0</v>
      </c>
      <c r="CC65" s="34">
        <f t="shared" si="28"/>
        <v>0</v>
      </c>
      <c r="CD65" s="34">
        <f t="shared" si="29"/>
        <v>0</v>
      </c>
      <c r="CE65" s="33">
        <f t="shared" si="114"/>
        <v>0</v>
      </c>
      <c r="CF65" s="33">
        <f t="shared" si="115"/>
        <v>0</v>
      </c>
      <c r="CG65" s="34">
        <f t="shared" si="30"/>
        <v>0</v>
      </c>
      <c r="CH65" s="415">
        <f t="shared" si="31"/>
        <v>0</v>
      </c>
      <c r="CI65" s="88" t="e">
        <f t="shared" si="32"/>
        <v>#DIV/0!</v>
      </c>
      <c r="CJ65" s="90" t="e">
        <f t="shared" si="33"/>
        <v>#DIV/0!</v>
      </c>
      <c r="CK65" s="90" t="e">
        <f t="shared" si="34"/>
        <v>#DIV/0!</v>
      </c>
      <c r="CL65" s="88" t="e">
        <f t="shared" si="35"/>
        <v>#DIV/0!</v>
      </c>
      <c r="CM65" s="88" t="e">
        <f t="shared" si="36"/>
        <v>#DIV/0!</v>
      </c>
      <c r="CN65" s="88" t="e">
        <f t="shared" si="37"/>
        <v>#DIV/0!</v>
      </c>
      <c r="CO65" s="88" t="e">
        <f t="shared" si="38"/>
        <v>#DIV/0!</v>
      </c>
      <c r="CP65" s="88" t="e">
        <f t="shared" si="39"/>
        <v>#DIV/0!</v>
      </c>
      <c r="CQ65" s="88" t="e">
        <f t="shared" si="40"/>
        <v>#DIV/0!</v>
      </c>
      <c r="CR65" s="88" t="e">
        <f t="shared" si="41"/>
        <v>#DIV/0!</v>
      </c>
      <c r="CS65" s="88" t="e">
        <f t="shared" si="42"/>
        <v>#DIV/0!</v>
      </c>
      <c r="CT65" s="88" t="e">
        <f t="shared" si="43"/>
        <v>#DIV/0!</v>
      </c>
      <c r="CU65" s="88" t="e">
        <f t="shared" si="44"/>
        <v>#DIV/0!</v>
      </c>
      <c r="CV65" s="88" t="e">
        <f t="shared" si="45"/>
        <v>#DIV/0!</v>
      </c>
      <c r="CW65" s="88" t="e">
        <f t="shared" si="46"/>
        <v>#DIV/0!</v>
      </c>
      <c r="CX65" s="88" t="e">
        <f t="shared" si="47"/>
        <v>#DIV/0!</v>
      </c>
      <c r="CY65" s="88" t="e">
        <f t="shared" si="48"/>
        <v>#DIV/0!</v>
      </c>
      <c r="CZ65" s="88" t="e">
        <f t="shared" si="49"/>
        <v>#DIV/0!</v>
      </c>
      <c r="DA65" s="90" t="e">
        <f t="shared" si="50"/>
        <v>#DIV/0!</v>
      </c>
      <c r="DB65" s="90" t="e">
        <f t="shared" si="51"/>
        <v>#DIV/0!</v>
      </c>
      <c r="DC65" s="88" t="e">
        <f t="shared" si="52"/>
        <v>#DIV/0!</v>
      </c>
      <c r="DD65" s="88" t="e">
        <f t="shared" si="53"/>
        <v>#DIV/0!</v>
      </c>
      <c r="AUV65" s="699">
        <v>0</v>
      </c>
      <c r="AUW65" s="699">
        <f t="shared" si="66"/>
        <v>0</v>
      </c>
      <c r="AUX65" s="699">
        <f t="shared" si="67"/>
        <v>0</v>
      </c>
      <c r="AUY65" s="699">
        <f t="shared" si="204"/>
        <v>0</v>
      </c>
      <c r="AUZ65" s="699">
        <f t="shared" si="204"/>
        <v>0</v>
      </c>
      <c r="AVA65" s="699">
        <f t="shared" si="204"/>
        <v>0</v>
      </c>
      <c r="AVB65" s="699">
        <f t="shared" si="204"/>
        <v>0</v>
      </c>
      <c r="AVC65" s="697"/>
      <c r="AVD65" s="697"/>
      <c r="AVE65" s="697"/>
      <c r="AVF65" s="697"/>
      <c r="AVG65" s="697"/>
      <c r="AVH65" s="697"/>
      <c r="AVI65" s="697"/>
      <c r="AVJ65" s="697"/>
      <c r="AVK65" s="697"/>
      <c r="AVL65" s="697"/>
      <c r="AVM65" s="697"/>
      <c r="AVN65" s="697"/>
      <c r="AVO65" s="697"/>
      <c r="AVP65" s="697"/>
      <c r="AVQ65" s="697"/>
    </row>
    <row r="66" spans="1:108 1244:1265" ht="30" customHeight="1" x14ac:dyDescent="0.25">
      <c r="A66" s="643">
        <v>1</v>
      </c>
      <c r="B66" s="643">
        <v>9</v>
      </c>
      <c r="C66" s="664" t="s">
        <v>247</v>
      </c>
      <c r="D66" s="2"/>
      <c r="E66" s="101" t="s">
        <v>345</v>
      </c>
      <c r="F66" s="643" t="s">
        <v>38</v>
      </c>
      <c r="G66" s="643">
        <v>2</v>
      </c>
      <c r="H66" s="658" t="s">
        <v>10</v>
      </c>
      <c r="I66" s="643">
        <v>0</v>
      </c>
      <c r="J66" s="101" t="s">
        <v>379</v>
      </c>
      <c r="K66" s="643">
        <v>1</v>
      </c>
      <c r="L66" s="683" t="s">
        <v>350</v>
      </c>
      <c r="M66" s="11" t="s">
        <v>290</v>
      </c>
      <c r="N66" s="101" t="s">
        <v>387</v>
      </c>
      <c r="O66" s="643">
        <v>1</v>
      </c>
      <c r="P66" s="632">
        <v>3</v>
      </c>
      <c r="Q66" s="632">
        <v>3</v>
      </c>
      <c r="R66" s="632">
        <v>3</v>
      </c>
      <c r="S66" s="675">
        <f>SUMIF('Территориальный кк'!$A:$A,'2020'!$B66,'Территориальный кк'!D:D)</f>
        <v>3.258</v>
      </c>
      <c r="T66" s="676">
        <f>SUMIF('Территориальный кк'!$A:$A,'2020'!$B66,'Территориальный кк'!E:E)</f>
        <v>2.8919999999999999</v>
      </c>
      <c r="U66" s="33">
        <f>SUMIFS(Нормативы!G:G,Нормативы!$B:$B,$G66,Нормативы!$D:$D,'2020'!$I66,Нормативы!$F:$F,'2020'!$K66)*O66</f>
        <v>59740</v>
      </c>
      <c r="V66" s="33">
        <f t="shared" si="98"/>
        <v>45883.3</v>
      </c>
      <c r="W66" s="33">
        <f t="shared" si="99"/>
        <v>13856.7</v>
      </c>
      <c r="X66" s="33">
        <f>SUMIFS(Нормативы!J:J,Нормативы!$B:$B,$G66,Нормативы!$D:$D,'2020'!$I66,Нормативы!$F:$F,'2020'!$K66)</f>
        <v>220</v>
      </c>
      <c r="Y66" s="33">
        <f>SUMIFS(Нормативы!K:K,Нормативы!$B:$B,$G66,Нормативы!$D:$D,'2020'!$I66,Нормативы!$F:$F,'2020'!$K66)</f>
        <v>44</v>
      </c>
      <c r="Z66" s="33">
        <f>SUMIFS(Нормативы!L:L,Нормативы!$B:$B,$G66,Нормативы!$D:$D,'2020'!$I66,Нормативы!$F:$F,'2020'!$K66)</f>
        <v>2320</v>
      </c>
      <c r="AA66" s="33">
        <f t="shared" si="100"/>
        <v>4350</v>
      </c>
      <c r="AB66" s="33">
        <f>SUMIFS(Нормативы!N:N,Нормативы!$B:$B,$G66,Нормативы!$D:$D,'2020'!$I66,Нормативы!$F:$F,'2020'!$K66)*O66</f>
        <v>520</v>
      </c>
      <c r="AC66" s="33">
        <f>SUMIFS(Нормативы!O:O,Нормативы!$B:$B,$G66,Нормативы!$D:$D,'2020'!$I66,Нормативы!$F:$F,'2020'!$K66)</f>
        <v>2670</v>
      </c>
      <c r="AD66" s="33">
        <f>SUMIFS(Нормативы!P:P,Нормативы!$B:$B,$G66,Нормативы!$D:$D,'2020'!$I66,Нормативы!$F:$F,'2020'!$K66)*O66</f>
        <v>340</v>
      </c>
      <c r="AE66" s="33">
        <f>SUMIFS(Нормативы!Q:Q,Нормативы!$B:$B,$G66,Нормативы!$D:$D,'2020'!$I66,Нормативы!$F:$F,'2020'!$K66)</f>
        <v>820</v>
      </c>
      <c r="AF66" s="33">
        <f>SUMIFS(Нормативы!R:R,Нормативы!$B:$B,$G66,Нормативы!$D:$D,'2020'!$I66,Нормативы!$F:$F,'2020'!$K66)</f>
        <v>2460</v>
      </c>
      <c r="AG66" s="33">
        <f>SUMIFS(Нормативы!S:S,Нормативы!$B:$B,$G66,Нормативы!$D:$D,'2020'!$I66,Нормативы!$F:$F,'2020'!$K66)</f>
        <v>5080</v>
      </c>
      <c r="AH66" s="33">
        <f>SUMIFS(Нормативы!T:T,Нормативы!$B:$B,$G66,Нормативы!$D:$D,'2020'!$I66,Нормативы!$F:$F,'2020'!$K66)</f>
        <v>540</v>
      </c>
      <c r="AI66" s="33">
        <f>SUMIFS(Нормативы!U:U,Нормативы!$B:$B,$G66,Нормативы!$D:$D,'2020'!$I66,Нормативы!$F:$F,'2020'!$K66)</f>
        <v>770</v>
      </c>
      <c r="AJ66" s="33">
        <f>SUMIFS(Нормативы!V:V,Нормативы!$B:$B,$G66,Нормативы!$D:$D,'2020'!$I66,Нормативы!$F:$F,'2020'!$K66)</f>
        <v>80</v>
      </c>
      <c r="AK66" s="33">
        <f>SUMIFS(Нормативы!W:W,Нормативы!$B:$B,$G66,Нормативы!$D:$D,'2020'!$I66,Нормативы!$F:$F,'2020'!$K66)</f>
        <v>120</v>
      </c>
      <c r="AL66" s="33">
        <f>SUMIFS(Нормативы!X:X,Нормативы!$B:$B,$G66,Нормативы!$D:$D,'2020'!$I66,Нормативы!$F:$F,'2020'!$K66)*O66</f>
        <v>13440</v>
      </c>
      <c r="AM66" s="33">
        <f t="shared" si="101"/>
        <v>10322.6</v>
      </c>
      <c r="AN66" s="33">
        <f t="shared" si="102"/>
        <v>3117.4</v>
      </c>
      <c r="AO66" s="33">
        <f>SUMIFS(Нормативы!AA:AA,Нормативы!$B:$B,$G66,Нормативы!$D:$D,'2020'!$I66,Нормативы!$F:$F,'2020'!$K66)</f>
        <v>3520</v>
      </c>
      <c r="AP66" s="141">
        <f t="shared" si="103"/>
        <v>92640</v>
      </c>
      <c r="AQ66" s="413">
        <f t="shared" si="104"/>
        <v>179220</v>
      </c>
      <c r="AR66" s="33">
        <f t="shared" si="105"/>
        <v>137649.79999999999</v>
      </c>
      <c r="AS66" s="33">
        <f t="shared" si="106"/>
        <v>41570.199999999997</v>
      </c>
      <c r="AT66" s="34">
        <f t="shared" si="0"/>
        <v>660</v>
      </c>
      <c r="AU66" s="34">
        <f t="shared" si="1"/>
        <v>132</v>
      </c>
      <c r="AV66" s="34">
        <f t="shared" si="2"/>
        <v>6960</v>
      </c>
      <c r="AW66" s="34">
        <f t="shared" si="3"/>
        <v>13050</v>
      </c>
      <c r="AX66" s="34">
        <f t="shared" si="4"/>
        <v>1560</v>
      </c>
      <c r="AY66" s="34">
        <f t="shared" si="5"/>
        <v>8010</v>
      </c>
      <c r="AZ66" s="34">
        <f t="shared" si="6"/>
        <v>1020</v>
      </c>
      <c r="BA66" s="34">
        <f t="shared" si="7"/>
        <v>2460</v>
      </c>
      <c r="BB66" s="34">
        <f t="shared" si="107"/>
        <v>7380</v>
      </c>
      <c r="BC66" s="34">
        <f t="shared" si="8"/>
        <v>15240</v>
      </c>
      <c r="BD66" s="34">
        <f t="shared" si="9"/>
        <v>1620</v>
      </c>
      <c r="BE66" s="34">
        <f t="shared" si="10"/>
        <v>2310</v>
      </c>
      <c r="BF66" s="34">
        <f t="shared" si="11"/>
        <v>240</v>
      </c>
      <c r="BG66" s="34">
        <f t="shared" si="12"/>
        <v>360</v>
      </c>
      <c r="BH66" s="34">
        <f t="shared" si="13"/>
        <v>40320</v>
      </c>
      <c r="BI66" s="33">
        <f t="shared" si="108"/>
        <v>30967.7</v>
      </c>
      <c r="BJ66" s="33">
        <f t="shared" si="109"/>
        <v>9352.2999999999993</v>
      </c>
      <c r="BK66" s="34">
        <f t="shared" si="14"/>
        <v>10560</v>
      </c>
      <c r="BL66" s="426">
        <f t="shared" si="15"/>
        <v>277920</v>
      </c>
      <c r="BM66" s="616">
        <f t="shared" si="110"/>
        <v>583899</v>
      </c>
      <c r="BN66" s="33">
        <f t="shared" si="16"/>
        <v>448463.1</v>
      </c>
      <c r="BO66" s="33">
        <f t="shared" si="17"/>
        <v>135435.9</v>
      </c>
      <c r="BP66" s="34">
        <f t="shared" si="111"/>
        <v>660</v>
      </c>
      <c r="BQ66" s="34">
        <f t="shared" si="112"/>
        <v>132</v>
      </c>
      <c r="BR66" s="34">
        <f t="shared" si="113"/>
        <v>6960</v>
      </c>
      <c r="BS66" s="34">
        <f t="shared" si="18"/>
        <v>13050</v>
      </c>
      <c r="BT66" s="34">
        <f t="shared" si="19"/>
        <v>1560</v>
      </c>
      <c r="BU66" s="34">
        <f t="shared" si="20"/>
        <v>8010</v>
      </c>
      <c r="BV66" s="34">
        <f t="shared" si="21"/>
        <v>1020</v>
      </c>
      <c r="BW66" s="34">
        <f t="shared" si="22"/>
        <v>2460</v>
      </c>
      <c r="BX66" s="34">
        <f t="shared" si="23"/>
        <v>21343</v>
      </c>
      <c r="BY66" s="34">
        <f t="shared" si="24"/>
        <v>15240</v>
      </c>
      <c r="BZ66" s="34">
        <f t="shared" si="25"/>
        <v>1620</v>
      </c>
      <c r="CA66" s="34">
        <f t="shared" si="26"/>
        <v>2310</v>
      </c>
      <c r="CB66" s="34">
        <f t="shared" si="27"/>
        <v>240</v>
      </c>
      <c r="CC66" s="34">
        <f t="shared" si="28"/>
        <v>360</v>
      </c>
      <c r="CD66" s="34">
        <f t="shared" si="29"/>
        <v>131363</v>
      </c>
      <c r="CE66" s="33">
        <f t="shared" si="114"/>
        <v>100893.2</v>
      </c>
      <c r="CF66" s="33">
        <f t="shared" si="115"/>
        <v>30469.8</v>
      </c>
      <c r="CG66" s="34">
        <f t="shared" si="30"/>
        <v>10560</v>
      </c>
      <c r="CH66" s="415">
        <f t="shared" si="31"/>
        <v>787605</v>
      </c>
      <c r="CI66" s="88">
        <f t="shared" si="32"/>
        <v>194633</v>
      </c>
      <c r="CJ66" s="90">
        <f t="shared" si="33"/>
        <v>149487.70000000001</v>
      </c>
      <c r="CK66" s="90">
        <f t="shared" si="34"/>
        <v>45145.3</v>
      </c>
      <c r="CL66" s="88">
        <f t="shared" si="35"/>
        <v>220</v>
      </c>
      <c r="CM66" s="88">
        <f t="shared" si="36"/>
        <v>44</v>
      </c>
      <c r="CN66" s="88">
        <f t="shared" si="37"/>
        <v>2320</v>
      </c>
      <c r="CO66" s="88">
        <f t="shared" si="38"/>
        <v>4350</v>
      </c>
      <c r="CP66" s="88">
        <f t="shared" si="39"/>
        <v>520</v>
      </c>
      <c r="CQ66" s="88">
        <f t="shared" si="40"/>
        <v>2670</v>
      </c>
      <c r="CR66" s="88">
        <f t="shared" si="41"/>
        <v>340</v>
      </c>
      <c r="CS66" s="88">
        <f t="shared" si="42"/>
        <v>820</v>
      </c>
      <c r="CT66" s="88">
        <f t="shared" si="43"/>
        <v>7114.3333000000002</v>
      </c>
      <c r="CU66" s="88">
        <f t="shared" si="44"/>
        <v>5080</v>
      </c>
      <c r="CV66" s="88">
        <f t="shared" si="45"/>
        <v>540</v>
      </c>
      <c r="CW66" s="88">
        <f t="shared" si="46"/>
        <v>770</v>
      </c>
      <c r="CX66" s="88">
        <f t="shared" si="47"/>
        <v>80</v>
      </c>
      <c r="CY66" s="88">
        <f t="shared" si="48"/>
        <v>120</v>
      </c>
      <c r="CZ66" s="88">
        <f t="shared" si="49"/>
        <v>43787.666700000002</v>
      </c>
      <c r="DA66" s="90">
        <f t="shared" si="50"/>
        <v>33631.066700000003</v>
      </c>
      <c r="DB66" s="90">
        <f t="shared" si="51"/>
        <v>10156.6</v>
      </c>
      <c r="DC66" s="88">
        <f t="shared" si="52"/>
        <v>3520</v>
      </c>
      <c r="DD66" s="88">
        <f t="shared" si="53"/>
        <v>262535</v>
      </c>
      <c r="AUV66" s="699">
        <f t="shared" si="65"/>
        <v>194633</v>
      </c>
      <c r="AUW66" s="699">
        <f t="shared" si="66"/>
        <v>149487.71</v>
      </c>
      <c r="AUX66" s="699">
        <f t="shared" si="67"/>
        <v>45145.29</v>
      </c>
      <c r="AUY66" s="699">
        <f t="shared" ref="AUY66:AUY71" si="218">BP66/P66</f>
        <v>220</v>
      </c>
      <c r="AUZ66" s="699">
        <f t="shared" si="204"/>
        <v>45.64</v>
      </c>
      <c r="AVA66" s="699">
        <f t="shared" si="204"/>
        <v>0.12</v>
      </c>
      <c r="AVB66" s="699">
        <f t="shared" ref="AVB66:AVB71" si="219">AVC66+AVD66+AVE66+AVF66</f>
        <v>4350</v>
      </c>
      <c r="AVC66" s="699">
        <f t="shared" ref="AVC66:AVC71" si="220">BT66/P66</f>
        <v>520</v>
      </c>
      <c r="AVD66" s="699">
        <f t="shared" ref="AVD66:AVD71" si="221">BU66/P66</f>
        <v>2670</v>
      </c>
      <c r="AVE66" s="699">
        <f t="shared" ref="AVE66:AVE71" si="222">BV66/P66</f>
        <v>340</v>
      </c>
      <c r="AVF66" s="699">
        <f t="shared" ref="AVF66:AVF71" si="223">BW66/P66</f>
        <v>820</v>
      </c>
      <c r="AVG66" s="699">
        <f t="shared" ref="AVG66:AVG71" si="224">BX66/P66</f>
        <v>7114.33</v>
      </c>
      <c r="AVH66" s="699">
        <f t="shared" ref="AVH66:AVH71" si="225">BY66/P66</f>
        <v>5080</v>
      </c>
      <c r="AVI66" s="699">
        <f t="shared" ref="AVI66:AVI71" si="226">BZ66/P66</f>
        <v>540</v>
      </c>
      <c r="AVJ66" s="699">
        <f t="shared" ref="AVJ66:AVJ71" si="227">CA66/P66</f>
        <v>770</v>
      </c>
      <c r="AVK66" s="699">
        <f t="shared" ref="AVK66:AVK71" si="228">CB66/P66</f>
        <v>80</v>
      </c>
      <c r="AVL66" s="699">
        <f t="shared" ref="AVL66:AVL71" si="229">CC66/P66</f>
        <v>120</v>
      </c>
      <c r="AVM66" s="699">
        <f t="shared" ref="AVM66:AVM71" si="230">CD66/P66</f>
        <v>43787.67</v>
      </c>
      <c r="AVN66" s="699">
        <f t="shared" ref="AVN66:AVN71" si="231">AVM66/1.302</f>
        <v>33631.08</v>
      </c>
      <c r="AVO66" s="699">
        <f t="shared" ref="AVO66:AVO71" si="232">AVM66-AVN66</f>
        <v>10156.59</v>
      </c>
      <c r="AVP66" s="699">
        <f t="shared" ref="AVP66:AVP71" si="233">CG66/P66</f>
        <v>3520</v>
      </c>
      <c r="AVQ66" s="699">
        <f t="shared" ref="AVQ66:AVQ71" si="234">CH66/P66</f>
        <v>262535</v>
      </c>
    </row>
    <row r="67" spans="1:108 1244:1265" ht="30" customHeight="1" x14ac:dyDescent="0.25">
      <c r="A67" s="643">
        <v>1</v>
      </c>
      <c r="B67" s="643">
        <v>9</v>
      </c>
      <c r="C67" s="664" t="s">
        <v>247</v>
      </c>
      <c r="D67" s="2"/>
      <c r="E67" s="101" t="s">
        <v>345</v>
      </c>
      <c r="F67" s="643" t="s">
        <v>38</v>
      </c>
      <c r="G67" s="643">
        <v>2</v>
      </c>
      <c r="H67" s="658" t="s">
        <v>8</v>
      </c>
      <c r="I67" s="643">
        <v>3</v>
      </c>
      <c r="J67" s="101" t="s">
        <v>379</v>
      </c>
      <c r="K67" s="643">
        <v>1</v>
      </c>
      <c r="L67" s="683" t="s">
        <v>350</v>
      </c>
      <c r="M67" s="11" t="s">
        <v>291</v>
      </c>
      <c r="N67" s="101" t="s">
        <v>387</v>
      </c>
      <c r="O67" s="643">
        <v>1</v>
      </c>
      <c r="P67" s="632">
        <v>3</v>
      </c>
      <c r="Q67" s="632">
        <v>3</v>
      </c>
      <c r="R67" s="632">
        <v>3</v>
      </c>
      <c r="S67" s="675">
        <f>SUMIF('Территориальный кк'!$A:$A,'2020'!$B67,'Территориальный кк'!D:D)</f>
        <v>3.258</v>
      </c>
      <c r="T67" s="676">
        <f>SUMIF('Территориальный кк'!$A:$A,'2020'!$B67,'Территориальный кк'!E:E)</f>
        <v>2.8919999999999999</v>
      </c>
      <c r="U67" s="33">
        <f>SUMIFS(Нормативы!G:G,Нормативы!$B:$B,$G67,Нормативы!$D:$D,'2020'!$I67,Нормативы!$F:$F,'2020'!$K67)*O67</f>
        <v>5974</v>
      </c>
      <c r="V67" s="33">
        <f t="shared" si="98"/>
        <v>4588.3</v>
      </c>
      <c r="W67" s="33">
        <f t="shared" si="99"/>
        <v>1385.7</v>
      </c>
      <c r="X67" s="33">
        <f>SUMIFS(Нормативы!J:J,Нормативы!$B:$B,$G67,Нормативы!$D:$D,'2020'!$I67,Нормативы!$F:$F,'2020'!$K67)</f>
        <v>22</v>
      </c>
      <c r="Y67" s="33">
        <f>SUMIFS(Нормативы!K:K,Нормативы!$B:$B,$G67,Нормативы!$D:$D,'2020'!$I67,Нормативы!$F:$F,'2020'!$K67)</f>
        <v>4</v>
      </c>
      <c r="Z67" s="33">
        <f>SUMIFS(Нормативы!L:L,Нормативы!$B:$B,$G67,Нормативы!$D:$D,'2020'!$I67,Нормативы!$F:$F,'2020'!$K67)</f>
        <v>232</v>
      </c>
      <c r="AA67" s="33">
        <f t="shared" si="100"/>
        <v>435</v>
      </c>
      <c r="AB67" s="33">
        <f>SUMIFS(Нормативы!N:N,Нормативы!$B:$B,$G67,Нормативы!$D:$D,'2020'!$I67,Нормативы!$F:$F,'2020'!$K67)*O67</f>
        <v>52</v>
      </c>
      <c r="AC67" s="33">
        <f>SUMIFS(Нормативы!O:O,Нормативы!$B:$B,$G67,Нормативы!$D:$D,'2020'!$I67,Нормативы!$F:$F,'2020'!$K67)</f>
        <v>267</v>
      </c>
      <c r="AD67" s="33">
        <f>SUMIFS(Нормативы!P:P,Нормативы!$B:$B,$G67,Нормативы!$D:$D,'2020'!$I67,Нормативы!$F:$F,'2020'!$K67)*O67</f>
        <v>34</v>
      </c>
      <c r="AE67" s="33">
        <f>SUMIFS(Нормативы!Q:Q,Нормативы!$B:$B,$G67,Нормативы!$D:$D,'2020'!$I67,Нормативы!$F:$F,'2020'!$K67)</f>
        <v>82</v>
      </c>
      <c r="AF67" s="33">
        <f>SUMIFS(Нормативы!R:R,Нормативы!$B:$B,$G67,Нормативы!$D:$D,'2020'!$I67,Нормативы!$F:$F,'2020'!$K67)</f>
        <v>246</v>
      </c>
      <c r="AG67" s="33">
        <f>SUMIFS(Нормативы!S:S,Нормативы!$B:$B,$G67,Нормативы!$D:$D,'2020'!$I67,Нормативы!$F:$F,'2020'!$K67)</f>
        <v>508</v>
      </c>
      <c r="AH67" s="33">
        <f>SUMIFS(Нормативы!T:T,Нормативы!$B:$B,$G67,Нормативы!$D:$D,'2020'!$I67,Нормативы!$F:$F,'2020'!$K67)</f>
        <v>54</v>
      </c>
      <c r="AI67" s="33">
        <f>SUMIFS(Нормативы!U:U,Нормативы!$B:$B,$G67,Нормативы!$D:$D,'2020'!$I67,Нормативы!$F:$F,'2020'!$K67)</f>
        <v>77</v>
      </c>
      <c r="AJ67" s="33">
        <f>SUMIFS(Нормативы!V:V,Нормативы!$B:$B,$G67,Нормативы!$D:$D,'2020'!$I67,Нормативы!$F:$F,'2020'!$K67)</f>
        <v>8</v>
      </c>
      <c r="AK67" s="33">
        <f>SUMIFS(Нормативы!W:W,Нормативы!$B:$B,$G67,Нормативы!$D:$D,'2020'!$I67,Нормативы!$F:$F,'2020'!$K67)</f>
        <v>12</v>
      </c>
      <c r="AL67" s="33">
        <f>SUMIFS(Нормативы!X:X,Нормативы!$B:$B,$G67,Нормативы!$D:$D,'2020'!$I67,Нормативы!$F:$F,'2020'!$K67)*O67</f>
        <v>1344</v>
      </c>
      <c r="AM67" s="33">
        <f t="shared" si="101"/>
        <v>1032.3</v>
      </c>
      <c r="AN67" s="33">
        <f t="shared" si="102"/>
        <v>311.7</v>
      </c>
      <c r="AO67" s="33">
        <f>SUMIFS(Нормативы!AA:AA,Нормативы!$B:$B,$G67,Нормативы!$D:$D,'2020'!$I67,Нормативы!$F:$F,'2020'!$K67)</f>
        <v>0</v>
      </c>
      <c r="AP67" s="141">
        <f t="shared" si="103"/>
        <v>8912</v>
      </c>
      <c r="AQ67" s="413">
        <f t="shared" si="104"/>
        <v>17922</v>
      </c>
      <c r="AR67" s="33">
        <f t="shared" si="105"/>
        <v>13765</v>
      </c>
      <c r="AS67" s="33">
        <f t="shared" si="106"/>
        <v>4157</v>
      </c>
      <c r="AT67" s="34">
        <f t="shared" si="0"/>
        <v>66</v>
      </c>
      <c r="AU67" s="34">
        <f t="shared" si="1"/>
        <v>12</v>
      </c>
      <c r="AV67" s="34">
        <f t="shared" si="2"/>
        <v>696</v>
      </c>
      <c r="AW67" s="34">
        <f t="shared" si="3"/>
        <v>1305</v>
      </c>
      <c r="AX67" s="34">
        <f t="shared" si="4"/>
        <v>156</v>
      </c>
      <c r="AY67" s="34">
        <f t="shared" si="5"/>
        <v>801</v>
      </c>
      <c r="AZ67" s="34">
        <f t="shared" si="6"/>
        <v>102</v>
      </c>
      <c r="BA67" s="34">
        <f t="shared" si="7"/>
        <v>246</v>
      </c>
      <c r="BB67" s="34">
        <f t="shared" si="107"/>
        <v>738</v>
      </c>
      <c r="BC67" s="34">
        <f t="shared" si="8"/>
        <v>1524</v>
      </c>
      <c r="BD67" s="34">
        <f t="shared" si="9"/>
        <v>162</v>
      </c>
      <c r="BE67" s="34">
        <f t="shared" si="10"/>
        <v>231</v>
      </c>
      <c r="BF67" s="34">
        <f t="shared" si="11"/>
        <v>24</v>
      </c>
      <c r="BG67" s="34">
        <f t="shared" si="12"/>
        <v>36</v>
      </c>
      <c r="BH67" s="34">
        <f t="shared" si="13"/>
        <v>4032</v>
      </c>
      <c r="BI67" s="33">
        <f t="shared" si="108"/>
        <v>3096.8</v>
      </c>
      <c r="BJ67" s="33">
        <f t="shared" si="109"/>
        <v>935.2</v>
      </c>
      <c r="BK67" s="34">
        <f t="shared" si="14"/>
        <v>0</v>
      </c>
      <c r="BL67" s="426">
        <f t="shared" si="15"/>
        <v>26736</v>
      </c>
      <c r="BM67" s="616">
        <f t="shared" si="110"/>
        <v>58390</v>
      </c>
      <c r="BN67" s="33">
        <f t="shared" si="16"/>
        <v>44846.400000000001</v>
      </c>
      <c r="BO67" s="33">
        <f t="shared" si="17"/>
        <v>13543.6</v>
      </c>
      <c r="BP67" s="34">
        <f t="shared" si="111"/>
        <v>66</v>
      </c>
      <c r="BQ67" s="34">
        <f t="shared" si="112"/>
        <v>12</v>
      </c>
      <c r="BR67" s="34">
        <f t="shared" si="113"/>
        <v>696</v>
      </c>
      <c r="BS67" s="34">
        <f t="shared" si="18"/>
        <v>1305</v>
      </c>
      <c r="BT67" s="34">
        <f t="shared" si="19"/>
        <v>156</v>
      </c>
      <c r="BU67" s="34">
        <f t="shared" si="20"/>
        <v>801</v>
      </c>
      <c r="BV67" s="34">
        <f t="shared" si="21"/>
        <v>102</v>
      </c>
      <c r="BW67" s="34">
        <f t="shared" si="22"/>
        <v>246</v>
      </c>
      <c r="BX67" s="34">
        <f t="shared" si="23"/>
        <v>2134</v>
      </c>
      <c r="BY67" s="34">
        <f t="shared" si="24"/>
        <v>1524</v>
      </c>
      <c r="BZ67" s="34">
        <f t="shared" si="25"/>
        <v>162</v>
      </c>
      <c r="CA67" s="34">
        <f t="shared" si="26"/>
        <v>231</v>
      </c>
      <c r="CB67" s="34">
        <f t="shared" si="27"/>
        <v>24</v>
      </c>
      <c r="CC67" s="34">
        <f t="shared" si="28"/>
        <v>36</v>
      </c>
      <c r="CD67" s="34">
        <f t="shared" si="29"/>
        <v>13136</v>
      </c>
      <c r="CE67" s="33">
        <f t="shared" si="114"/>
        <v>10089.1</v>
      </c>
      <c r="CF67" s="33">
        <f t="shared" si="115"/>
        <v>3046.9</v>
      </c>
      <c r="CG67" s="34">
        <f t="shared" si="30"/>
        <v>0</v>
      </c>
      <c r="CH67" s="415">
        <f t="shared" si="31"/>
        <v>77704</v>
      </c>
      <c r="CI67" s="88">
        <f t="shared" si="32"/>
        <v>19463.333299999998</v>
      </c>
      <c r="CJ67" s="90">
        <f t="shared" si="33"/>
        <v>14948.8</v>
      </c>
      <c r="CK67" s="90">
        <f t="shared" si="34"/>
        <v>4514.5333000000001</v>
      </c>
      <c r="CL67" s="88">
        <f t="shared" si="35"/>
        <v>22</v>
      </c>
      <c r="CM67" s="88">
        <f t="shared" si="36"/>
        <v>4</v>
      </c>
      <c r="CN67" s="88">
        <f t="shared" si="37"/>
        <v>232</v>
      </c>
      <c r="CO67" s="88">
        <f t="shared" si="38"/>
        <v>435</v>
      </c>
      <c r="CP67" s="88">
        <f t="shared" si="39"/>
        <v>52</v>
      </c>
      <c r="CQ67" s="88">
        <f t="shared" si="40"/>
        <v>267</v>
      </c>
      <c r="CR67" s="88">
        <f t="shared" si="41"/>
        <v>34</v>
      </c>
      <c r="CS67" s="88">
        <f t="shared" si="42"/>
        <v>82</v>
      </c>
      <c r="CT67" s="88">
        <f t="shared" si="43"/>
        <v>711.33330000000001</v>
      </c>
      <c r="CU67" s="88">
        <f t="shared" si="44"/>
        <v>508</v>
      </c>
      <c r="CV67" s="88">
        <f t="shared" si="45"/>
        <v>54</v>
      </c>
      <c r="CW67" s="88">
        <f t="shared" si="46"/>
        <v>77</v>
      </c>
      <c r="CX67" s="88">
        <f t="shared" si="47"/>
        <v>8</v>
      </c>
      <c r="CY67" s="88">
        <f t="shared" si="48"/>
        <v>12</v>
      </c>
      <c r="CZ67" s="88">
        <f t="shared" si="49"/>
        <v>4378.6666999999998</v>
      </c>
      <c r="DA67" s="90">
        <f t="shared" si="50"/>
        <v>3363.0333000000001</v>
      </c>
      <c r="DB67" s="90">
        <f t="shared" si="51"/>
        <v>1015.6333</v>
      </c>
      <c r="DC67" s="88">
        <f t="shared" si="52"/>
        <v>0</v>
      </c>
      <c r="DD67" s="88">
        <f t="shared" si="53"/>
        <v>25901.333299999998</v>
      </c>
      <c r="AUV67" s="699">
        <f t="shared" si="65"/>
        <v>19463.330000000002</v>
      </c>
      <c r="AUW67" s="699">
        <f t="shared" si="66"/>
        <v>14948.79</v>
      </c>
      <c r="AUX67" s="699">
        <f t="shared" si="67"/>
        <v>4514.54</v>
      </c>
      <c r="AUY67" s="699">
        <f t="shared" si="218"/>
        <v>22</v>
      </c>
      <c r="AUZ67" s="699">
        <f t="shared" si="204"/>
        <v>4.1500000000000004</v>
      </c>
      <c r="AVA67" s="699">
        <f t="shared" si="204"/>
        <v>0.12</v>
      </c>
      <c r="AVB67" s="699">
        <f t="shared" si="219"/>
        <v>435</v>
      </c>
      <c r="AVC67" s="699">
        <f t="shared" si="220"/>
        <v>52</v>
      </c>
      <c r="AVD67" s="699">
        <f t="shared" si="221"/>
        <v>267</v>
      </c>
      <c r="AVE67" s="699">
        <f t="shared" si="222"/>
        <v>34</v>
      </c>
      <c r="AVF67" s="699">
        <f t="shared" si="223"/>
        <v>82</v>
      </c>
      <c r="AVG67" s="699">
        <f t="shared" si="224"/>
        <v>711.33</v>
      </c>
      <c r="AVH67" s="699">
        <f t="shared" si="225"/>
        <v>508</v>
      </c>
      <c r="AVI67" s="699">
        <f t="shared" si="226"/>
        <v>54</v>
      </c>
      <c r="AVJ67" s="699">
        <f t="shared" si="227"/>
        <v>77</v>
      </c>
      <c r="AVK67" s="699">
        <f t="shared" si="228"/>
        <v>8</v>
      </c>
      <c r="AVL67" s="699">
        <f t="shared" si="229"/>
        <v>12</v>
      </c>
      <c r="AVM67" s="699">
        <f t="shared" si="230"/>
        <v>4378.67</v>
      </c>
      <c r="AVN67" s="699">
        <f t="shared" si="231"/>
        <v>3363.03</v>
      </c>
      <c r="AVO67" s="699">
        <f t="shared" si="232"/>
        <v>1015.64</v>
      </c>
      <c r="AVP67" s="699">
        <f t="shared" si="233"/>
        <v>0</v>
      </c>
      <c r="AVQ67" s="699">
        <f t="shared" si="234"/>
        <v>25901.33</v>
      </c>
    </row>
    <row r="68" spans="1:108 1244:1265" ht="30" customHeight="1" x14ac:dyDescent="0.25">
      <c r="A68" s="643">
        <v>1</v>
      </c>
      <c r="B68" s="643">
        <v>9</v>
      </c>
      <c r="C68" s="664" t="s">
        <v>247</v>
      </c>
      <c r="D68" s="2"/>
      <c r="E68" s="101" t="s">
        <v>345</v>
      </c>
      <c r="F68" s="643" t="s">
        <v>38</v>
      </c>
      <c r="G68" s="643">
        <v>2</v>
      </c>
      <c r="H68" s="658" t="s">
        <v>10</v>
      </c>
      <c r="I68" s="643">
        <v>0</v>
      </c>
      <c r="J68" s="101" t="s">
        <v>380</v>
      </c>
      <c r="K68" s="643">
        <v>1</v>
      </c>
      <c r="L68" s="683" t="s">
        <v>350</v>
      </c>
      <c r="M68" s="11" t="s">
        <v>292</v>
      </c>
      <c r="N68" s="101" t="s">
        <v>387</v>
      </c>
      <c r="O68" s="643">
        <v>1</v>
      </c>
      <c r="P68" s="632">
        <v>7</v>
      </c>
      <c r="Q68" s="632">
        <v>7</v>
      </c>
      <c r="R68" s="632">
        <v>7</v>
      </c>
      <c r="S68" s="675">
        <f>SUMIF('Территориальный кк'!$A:$A,'2020'!$B68,'Территориальный кк'!D:D)</f>
        <v>3.258</v>
      </c>
      <c r="T68" s="676">
        <f>SUMIF('Территориальный кк'!$A:$A,'2020'!$B68,'Территориальный кк'!E:E)</f>
        <v>2.8919999999999999</v>
      </c>
      <c r="U68" s="33">
        <f>SUMIFS(Нормативы!G:G,Нормативы!$B:$B,$G68,Нормативы!$D:$D,'2020'!$I68,Нормативы!$F:$F,'2020'!$K68)*O68</f>
        <v>59740</v>
      </c>
      <c r="V68" s="33">
        <f t="shared" si="98"/>
        <v>45883.3</v>
      </c>
      <c r="W68" s="33">
        <f t="shared" si="99"/>
        <v>13856.7</v>
      </c>
      <c r="X68" s="33">
        <f>SUMIFS(Нормативы!J:J,Нормативы!$B:$B,$G68,Нормативы!$D:$D,'2020'!$I68,Нормативы!$F:$F,'2020'!$K68)</f>
        <v>220</v>
      </c>
      <c r="Y68" s="33">
        <f>SUMIFS(Нормативы!K:K,Нормативы!$B:$B,$G68,Нормативы!$D:$D,'2020'!$I68,Нормативы!$F:$F,'2020'!$K68)</f>
        <v>44</v>
      </c>
      <c r="Z68" s="33">
        <f>SUMIFS(Нормативы!L:L,Нормативы!$B:$B,$G68,Нормативы!$D:$D,'2020'!$I68,Нормативы!$F:$F,'2020'!$K68)</f>
        <v>2320</v>
      </c>
      <c r="AA68" s="33">
        <f t="shared" si="100"/>
        <v>4350</v>
      </c>
      <c r="AB68" s="33">
        <f>SUMIFS(Нормативы!N:N,Нормативы!$B:$B,$G68,Нормативы!$D:$D,'2020'!$I68,Нормативы!$F:$F,'2020'!$K68)*O68</f>
        <v>520</v>
      </c>
      <c r="AC68" s="33">
        <f>SUMIFS(Нормативы!O:O,Нормативы!$B:$B,$G68,Нормативы!$D:$D,'2020'!$I68,Нормативы!$F:$F,'2020'!$K68)</f>
        <v>2670</v>
      </c>
      <c r="AD68" s="33">
        <f>SUMIFS(Нормативы!P:P,Нормативы!$B:$B,$G68,Нормативы!$D:$D,'2020'!$I68,Нормативы!$F:$F,'2020'!$K68)*O68</f>
        <v>340</v>
      </c>
      <c r="AE68" s="33">
        <f>SUMIFS(Нормативы!Q:Q,Нормативы!$B:$B,$G68,Нормативы!$D:$D,'2020'!$I68,Нормативы!$F:$F,'2020'!$K68)</f>
        <v>820</v>
      </c>
      <c r="AF68" s="33">
        <f>SUMIFS(Нормативы!R:R,Нормативы!$B:$B,$G68,Нормативы!$D:$D,'2020'!$I68,Нормативы!$F:$F,'2020'!$K68)</f>
        <v>2460</v>
      </c>
      <c r="AG68" s="33">
        <f>SUMIFS(Нормативы!S:S,Нормативы!$B:$B,$G68,Нормативы!$D:$D,'2020'!$I68,Нормативы!$F:$F,'2020'!$K68)</f>
        <v>5080</v>
      </c>
      <c r="AH68" s="33">
        <f>SUMIFS(Нормативы!T:T,Нормативы!$B:$B,$G68,Нормативы!$D:$D,'2020'!$I68,Нормативы!$F:$F,'2020'!$K68)</f>
        <v>540</v>
      </c>
      <c r="AI68" s="33">
        <f>SUMIFS(Нормативы!U:U,Нормативы!$B:$B,$G68,Нормативы!$D:$D,'2020'!$I68,Нормативы!$F:$F,'2020'!$K68)</f>
        <v>770</v>
      </c>
      <c r="AJ68" s="33">
        <f>SUMIFS(Нормативы!V:V,Нормативы!$B:$B,$G68,Нормативы!$D:$D,'2020'!$I68,Нормативы!$F:$F,'2020'!$K68)</f>
        <v>80</v>
      </c>
      <c r="AK68" s="33">
        <f>SUMIFS(Нормативы!W:W,Нормативы!$B:$B,$G68,Нормативы!$D:$D,'2020'!$I68,Нормативы!$F:$F,'2020'!$K68)</f>
        <v>120</v>
      </c>
      <c r="AL68" s="33">
        <f>SUMIFS(Нормативы!X:X,Нормативы!$B:$B,$G68,Нормативы!$D:$D,'2020'!$I68,Нормативы!$F:$F,'2020'!$K68)*O68</f>
        <v>13440</v>
      </c>
      <c r="AM68" s="33">
        <f t="shared" si="101"/>
        <v>10322.6</v>
      </c>
      <c r="AN68" s="33">
        <f t="shared" si="102"/>
        <v>3117.4</v>
      </c>
      <c r="AO68" s="33">
        <f>SUMIFS(Нормативы!AA:AA,Нормативы!$B:$B,$G68,Нормативы!$D:$D,'2020'!$I68,Нормативы!$F:$F,'2020'!$K68)</f>
        <v>3520</v>
      </c>
      <c r="AP68" s="141">
        <f t="shared" si="103"/>
        <v>92640</v>
      </c>
      <c r="AQ68" s="413">
        <f t="shared" si="104"/>
        <v>418180</v>
      </c>
      <c r="AR68" s="33">
        <f t="shared" si="105"/>
        <v>321182.8</v>
      </c>
      <c r="AS68" s="33">
        <f t="shared" si="106"/>
        <v>96997.2</v>
      </c>
      <c r="AT68" s="34">
        <f t="shared" si="0"/>
        <v>1540</v>
      </c>
      <c r="AU68" s="34">
        <f t="shared" si="1"/>
        <v>308</v>
      </c>
      <c r="AV68" s="34">
        <f t="shared" si="2"/>
        <v>16240</v>
      </c>
      <c r="AW68" s="34">
        <f t="shared" si="3"/>
        <v>30450</v>
      </c>
      <c r="AX68" s="34">
        <f t="shared" si="4"/>
        <v>3640</v>
      </c>
      <c r="AY68" s="34">
        <f t="shared" si="5"/>
        <v>18690</v>
      </c>
      <c r="AZ68" s="34">
        <f t="shared" si="6"/>
        <v>2380</v>
      </c>
      <c r="BA68" s="34">
        <f t="shared" si="7"/>
        <v>5740</v>
      </c>
      <c r="BB68" s="34">
        <f t="shared" si="107"/>
        <v>17220</v>
      </c>
      <c r="BC68" s="34">
        <f t="shared" si="8"/>
        <v>35560</v>
      </c>
      <c r="BD68" s="34">
        <f t="shared" si="9"/>
        <v>3780</v>
      </c>
      <c r="BE68" s="34">
        <f t="shared" si="10"/>
        <v>5390</v>
      </c>
      <c r="BF68" s="34">
        <f t="shared" si="11"/>
        <v>560</v>
      </c>
      <c r="BG68" s="34">
        <f t="shared" si="12"/>
        <v>840</v>
      </c>
      <c r="BH68" s="34">
        <f t="shared" si="13"/>
        <v>94080</v>
      </c>
      <c r="BI68" s="33">
        <f t="shared" si="108"/>
        <v>72258.100000000006</v>
      </c>
      <c r="BJ68" s="33">
        <f t="shared" si="109"/>
        <v>21821.9</v>
      </c>
      <c r="BK68" s="34">
        <f t="shared" si="14"/>
        <v>24640</v>
      </c>
      <c r="BL68" s="426">
        <f t="shared" si="15"/>
        <v>648480</v>
      </c>
      <c r="BM68" s="616">
        <f t="shared" si="110"/>
        <v>1362430</v>
      </c>
      <c r="BN68" s="33">
        <f t="shared" si="16"/>
        <v>1046413.2</v>
      </c>
      <c r="BO68" s="33">
        <f t="shared" si="17"/>
        <v>316016.8</v>
      </c>
      <c r="BP68" s="34">
        <f t="shared" si="111"/>
        <v>1540</v>
      </c>
      <c r="BQ68" s="34">
        <f t="shared" si="112"/>
        <v>308</v>
      </c>
      <c r="BR68" s="34">
        <f t="shared" si="113"/>
        <v>16240</v>
      </c>
      <c r="BS68" s="34">
        <f t="shared" si="18"/>
        <v>30450</v>
      </c>
      <c r="BT68" s="34">
        <f t="shared" si="19"/>
        <v>3640</v>
      </c>
      <c r="BU68" s="34">
        <f t="shared" si="20"/>
        <v>18690</v>
      </c>
      <c r="BV68" s="34">
        <f t="shared" si="21"/>
        <v>2380</v>
      </c>
      <c r="BW68" s="34">
        <f t="shared" si="22"/>
        <v>5740</v>
      </c>
      <c r="BX68" s="34">
        <f t="shared" si="23"/>
        <v>49800</v>
      </c>
      <c r="BY68" s="34">
        <f t="shared" si="24"/>
        <v>35560</v>
      </c>
      <c r="BZ68" s="34">
        <f t="shared" si="25"/>
        <v>3780</v>
      </c>
      <c r="CA68" s="34">
        <f t="shared" si="26"/>
        <v>5390</v>
      </c>
      <c r="CB68" s="34">
        <f t="shared" si="27"/>
        <v>560</v>
      </c>
      <c r="CC68" s="34">
        <f t="shared" si="28"/>
        <v>840</v>
      </c>
      <c r="CD68" s="34">
        <f t="shared" si="29"/>
        <v>306513</v>
      </c>
      <c r="CE68" s="33">
        <f t="shared" si="114"/>
        <v>235417.1</v>
      </c>
      <c r="CF68" s="33">
        <f t="shared" si="115"/>
        <v>71095.899999999994</v>
      </c>
      <c r="CG68" s="34">
        <f t="shared" si="30"/>
        <v>24640</v>
      </c>
      <c r="CH68" s="415">
        <f t="shared" si="31"/>
        <v>1837743</v>
      </c>
      <c r="CI68" s="88">
        <f t="shared" si="32"/>
        <v>194632.85709999999</v>
      </c>
      <c r="CJ68" s="90">
        <f t="shared" si="33"/>
        <v>149487.6</v>
      </c>
      <c r="CK68" s="90">
        <f t="shared" si="34"/>
        <v>45145.257100000003</v>
      </c>
      <c r="CL68" s="88">
        <f t="shared" si="35"/>
        <v>220</v>
      </c>
      <c r="CM68" s="88">
        <f t="shared" si="36"/>
        <v>44</v>
      </c>
      <c r="CN68" s="88">
        <f t="shared" si="37"/>
        <v>2320</v>
      </c>
      <c r="CO68" s="88">
        <f t="shared" si="38"/>
        <v>4350</v>
      </c>
      <c r="CP68" s="88">
        <f t="shared" si="39"/>
        <v>520</v>
      </c>
      <c r="CQ68" s="88">
        <f t="shared" si="40"/>
        <v>2670</v>
      </c>
      <c r="CR68" s="88">
        <f t="shared" si="41"/>
        <v>340</v>
      </c>
      <c r="CS68" s="88">
        <f t="shared" si="42"/>
        <v>820</v>
      </c>
      <c r="CT68" s="88">
        <f t="shared" si="43"/>
        <v>7114.2857000000004</v>
      </c>
      <c r="CU68" s="88">
        <f t="shared" si="44"/>
        <v>5080</v>
      </c>
      <c r="CV68" s="88">
        <f t="shared" si="45"/>
        <v>540</v>
      </c>
      <c r="CW68" s="88">
        <f t="shared" si="46"/>
        <v>770</v>
      </c>
      <c r="CX68" s="88">
        <f t="shared" si="47"/>
        <v>80</v>
      </c>
      <c r="CY68" s="88">
        <f t="shared" si="48"/>
        <v>120</v>
      </c>
      <c r="CZ68" s="88">
        <f t="shared" si="49"/>
        <v>43787.571400000001</v>
      </c>
      <c r="DA68" s="90">
        <f t="shared" si="50"/>
        <v>33631.014300000003</v>
      </c>
      <c r="DB68" s="90">
        <f t="shared" si="51"/>
        <v>10156.5571</v>
      </c>
      <c r="DC68" s="88">
        <f t="shared" si="52"/>
        <v>3520</v>
      </c>
      <c r="DD68" s="88">
        <f t="shared" si="53"/>
        <v>262534.71429999999</v>
      </c>
      <c r="AUV68" s="699">
        <f t="shared" si="65"/>
        <v>194632.86</v>
      </c>
      <c r="AUW68" s="699">
        <f t="shared" si="66"/>
        <v>149487.6</v>
      </c>
      <c r="AUX68" s="699">
        <f t="shared" si="67"/>
        <v>45145.26</v>
      </c>
      <c r="AUY68" s="699">
        <f t="shared" si="218"/>
        <v>220</v>
      </c>
      <c r="AUZ68" s="699">
        <f t="shared" si="204"/>
        <v>106.5</v>
      </c>
      <c r="AVA68" s="699">
        <f t="shared" si="204"/>
        <v>0.27</v>
      </c>
      <c r="AVB68" s="699">
        <f t="shared" si="219"/>
        <v>4350</v>
      </c>
      <c r="AVC68" s="699">
        <f t="shared" si="220"/>
        <v>520</v>
      </c>
      <c r="AVD68" s="699">
        <f t="shared" si="221"/>
        <v>2670</v>
      </c>
      <c r="AVE68" s="699">
        <f t="shared" si="222"/>
        <v>340</v>
      </c>
      <c r="AVF68" s="699">
        <f t="shared" si="223"/>
        <v>820</v>
      </c>
      <c r="AVG68" s="699">
        <f t="shared" si="224"/>
        <v>7114.29</v>
      </c>
      <c r="AVH68" s="699">
        <f t="shared" si="225"/>
        <v>5080</v>
      </c>
      <c r="AVI68" s="699">
        <f t="shared" si="226"/>
        <v>540</v>
      </c>
      <c r="AVJ68" s="699">
        <f t="shared" si="227"/>
        <v>770</v>
      </c>
      <c r="AVK68" s="699">
        <f t="shared" si="228"/>
        <v>80</v>
      </c>
      <c r="AVL68" s="699">
        <f t="shared" si="229"/>
        <v>120</v>
      </c>
      <c r="AVM68" s="699">
        <f t="shared" si="230"/>
        <v>43787.57</v>
      </c>
      <c r="AVN68" s="699">
        <f t="shared" si="231"/>
        <v>33631.01</v>
      </c>
      <c r="AVO68" s="699">
        <f t="shared" si="232"/>
        <v>10156.56</v>
      </c>
      <c r="AVP68" s="699">
        <f t="shared" si="233"/>
        <v>3520</v>
      </c>
      <c r="AVQ68" s="699">
        <f t="shared" si="234"/>
        <v>262534.71000000002</v>
      </c>
    </row>
    <row r="69" spans="1:108 1244:1265" ht="30" customHeight="1" x14ac:dyDescent="0.25">
      <c r="A69" s="643">
        <v>1</v>
      </c>
      <c r="B69" s="643">
        <v>9</v>
      </c>
      <c r="C69" s="664" t="s">
        <v>247</v>
      </c>
      <c r="D69" s="2"/>
      <c r="E69" s="101" t="s">
        <v>345</v>
      </c>
      <c r="F69" s="643" t="s">
        <v>38</v>
      </c>
      <c r="G69" s="643">
        <v>2</v>
      </c>
      <c r="H69" s="658" t="s">
        <v>10</v>
      </c>
      <c r="I69" s="643">
        <v>0</v>
      </c>
      <c r="J69" s="101" t="s">
        <v>381</v>
      </c>
      <c r="K69" s="643">
        <v>1</v>
      </c>
      <c r="L69" s="683" t="s">
        <v>350</v>
      </c>
      <c r="M69" s="11" t="s">
        <v>293</v>
      </c>
      <c r="N69" s="101" t="s">
        <v>387</v>
      </c>
      <c r="O69" s="643">
        <v>1</v>
      </c>
      <c r="P69" s="632">
        <v>3</v>
      </c>
      <c r="Q69" s="632">
        <v>3</v>
      </c>
      <c r="R69" s="632">
        <v>3</v>
      </c>
      <c r="S69" s="675">
        <f>SUMIF('Территориальный кк'!$A:$A,'2020'!$B69,'Территориальный кк'!D:D)</f>
        <v>3.258</v>
      </c>
      <c r="T69" s="676">
        <f>SUMIF('Территориальный кк'!$A:$A,'2020'!$B69,'Территориальный кк'!E:E)</f>
        <v>2.8919999999999999</v>
      </c>
      <c r="U69" s="33">
        <f>SUMIFS(Нормативы!G:G,Нормативы!$B:$B,$G69,Нормативы!$D:$D,'2020'!$I69,Нормативы!$F:$F,'2020'!$K69)*O69</f>
        <v>59740</v>
      </c>
      <c r="V69" s="33">
        <f t="shared" si="98"/>
        <v>45883.3</v>
      </c>
      <c r="W69" s="33">
        <f t="shared" si="99"/>
        <v>13856.7</v>
      </c>
      <c r="X69" s="33">
        <f>SUMIFS(Нормативы!J:J,Нормативы!$B:$B,$G69,Нормативы!$D:$D,'2020'!$I69,Нормативы!$F:$F,'2020'!$K69)</f>
        <v>220</v>
      </c>
      <c r="Y69" s="33">
        <f>SUMIFS(Нормативы!K:K,Нормативы!$B:$B,$G69,Нормативы!$D:$D,'2020'!$I69,Нормативы!$F:$F,'2020'!$K69)</f>
        <v>44</v>
      </c>
      <c r="Z69" s="33">
        <f>SUMIFS(Нормативы!L:L,Нормативы!$B:$B,$G69,Нормативы!$D:$D,'2020'!$I69,Нормативы!$F:$F,'2020'!$K69)</f>
        <v>2320</v>
      </c>
      <c r="AA69" s="33">
        <f t="shared" si="100"/>
        <v>4350</v>
      </c>
      <c r="AB69" s="33">
        <f>SUMIFS(Нормативы!N:N,Нормативы!$B:$B,$G69,Нормативы!$D:$D,'2020'!$I69,Нормативы!$F:$F,'2020'!$K69)*O69</f>
        <v>520</v>
      </c>
      <c r="AC69" s="33">
        <f>SUMIFS(Нормативы!O:O,Нормативы!$B:$B,$G69,Нормативы!$D:$D,'2020'!$I69,Нормативы!$F:$F,'2020'!$K69)</f>
        <v>2670</v>
      </c>
      <c r="AD69" s="33">
        <f>SUMIFS(Нормативы!P:P,Нормативы!$B:$B,$G69,Нормативы!$D:$D,'2020'!$I69,Нормативы!$F:$F,'2020'!$K69)*O69</f>
        <v>340</v>
      </c>
      <c r="AE69" s="33">
        <f>SUMIFS(Нормативы!Q:Q,Нормативы!$B:$B,$G69,Нормативы!$D:$D,'2020'!$I69,Нормативы!$F:$F,'2020'!$K69)</f>
        <v>820</v>
      </c>
      <c r="AF69" s="33">
        <f>SUMIFS(Нормативы!R:R,Нормативы!$B:$B,$G69,Нормативы!$D:$D,'2020'!$I69,Нормативы!$F:$F,'2020'!$K69)</f>
        <v>2460</v>
      </c>
      <c r="AG69" s="33">
        <f>SUMIFS(Нормативы!S:S,Нормативы!$B:$B,$G69,Нормативы!$D:$D,'2020'!$I69,Нормативы!$F:$F,'2020'!$K69)</f>
        <v>5080</v>
      </c>
      <c r="AH69" s="33">
        <f>SUMIFS(Нормативы!T:T,Нормативы!$B:$B,$G69,Нормативы!$D:$D,'2020'!$I69,Нормативы!$F:$F,'2020'!$K69)</f>
        <v>540</v>
      </c>
      <c r="AI69" s="33">
        <f>SUMIFS(Нормативы!U:U,Нормативы!$B:$B,$G69,Нормативы!$D:$D,'2020'!$I69,Нормативы!$F:$F,'2020'!$K69)</f>
        <v>770</v>
      </c>
      <c r="AJ69" s="33">
        <f>SUMIFS(Нормативы!V:V,Нормативы!$B:$B,$G69,Нормативы!$D:$D,'2020'!$I69,Нормативы!$F:$F,'2020'!$K69)</f>
        <v>80</v>
      </c>
      <c r="AK69" s="33">
        <f>SUMIFS(Нормативы!W:W,Нормативы!$B:$B,$G69,Нормативы!$D:$D,'2020'!$I69,Нормативы!$F:$F,'2020'!$K69)</f>
        <v>120</v>
      </c>
      <c r="AL69" s="33">
        <f>SUMIFS(Нормативы!X:X,Нормативы!$B:$B,$G69,Нормативы!$D:$D,'2020'!$I69,Нормативы!$F:$F,'2020'!$K69)*O69</f>
        <v>13440</v>
      </c>
      <c r="AM69" s="33">
        <f t="shared" si="101"/>
        <v>10322.6</v>
      </c>
      <c r="AN69" s="33">
        <f t="shared" si="102"/>
        <v>3117.4</v>
      </c>
      <c r="AO69" s="33">
        <f>SUMIFS(Нормативы!AA:AA,Нормативы!$B:$B,$G69,Нормативы!$D:$D,'2020'!$I69,Нормативы!$F:$F,'2020'!$K69)</f>
        <v>3520</v>
      </c>
      <c r="AP69" s="141">
        <f t="shared" si="103"/>
        <v>92640</v>
      </c>
      <c r="AQ69" s="413">
        <f t="shared" si="104"/>
        <v>179220</v>
      </c>
      <c r="AR69" s="33">
        <f t="shared" si="105"/>
        <v>137649.79999999999</v>
      </c>
      <c r="AS69" s="33">
        <f t="shared" si="106"/>
        <v>41570.199999999997</v>
      </c>
      <c r="AT69" s="34">
        <f t="shared" si="0"/>
        <v>660</v>
      </c>
      <c r="AU69" s="34">
        <f t="shared" si="1"/>
        <v>132</v>
      </c>
      <c r="AV69" s="34">
        <f t="shared" si="2"/>
        <v>6960</v>
      </c>
      <c r="AW69" s="34">
        <f t="shared" si="3"/>
        <v>13050</v>
      </c>
      <c r="AX69" s="34">
        <f t="shared" si="4"/>
        <v>1560</v>
      </c>
      <c r="AY69" s="34">
        <f t="shared" si="5"/>
        <v>8010</v>
      </c>
      <c r="AZ69" s="34">
        <f t="shared" si="6"/>
        <v>1020</v>
      </c>
      <c r="BA69" s="34">
        <f t="shared" si="7"/>
        <v>2460</v>
      </c>
      <c r="BB69" s="34">
        <f t="shared" si="107"/>
        <v>7380</v>
      </c>
      <c r="BC69" s="34">
        <f t="shared" si="8"/>
        <v>15240</v>
      </c>
      <c r="BD69" s="34">
        <f t="shared" si="9"/>
        <v>1620</v>
      </c>
      <c r="BE69" s="34">
        <f t="shared" si="10"/>
        <v>2310</v>
      </c>
      <c r="BF69" s="34">
        <f t="shared" si="11"/>
        <v>240</v>
      </c>
      <c r="BG69" s="34">
        <f t="shared" si="12"/>
        <v>360</v>
      </c>
      <c r="BH69" s="34">
        <f t="shared" si="13"/>
        <v>40320</v>
      </c>
      <c r="BI69" s="33">
        <f t="shared" si="108"/>
        <v>30967.7</v>
      </c>
      <c r="BJ69" s="33">
        <f t="shared" si="109"/>
        <v>9352.2999999999993</v>
      </c>
      <c r="BK69" s="34">
        <f t="shared" si="14"/>
        <v>10560</v>
      </c>
      <c r="BL69" s="426">
        <f t="shared" si="15"/>
        <v>277920</v>
      </c>
      <c r="BM69" s="616">
        <f t="shared" si="110"/>
        <v>583899</v>
      </c>
      <c r="BN69" s="33">
        <f t="shared" si="16"/>
        <v>448463.1</v>
      </c>
      <c r="BO69" s="33">
        <f t="shared" si="17"/>
        <v>135435.9</v>
      </c>
      <c r="BP69" s="34">
        <f t="shared" si="111"/>
        <v>660</v>
      </c>
      <c r="BQ69" s="34">
        <f t="shared" si="112"/>
        <v>132</v>
      </c>
      <c r="BR69" s="34">
        <f t="shared" si="113"/>
        <v>6960</v>
      </c>
      <c r="BS69" s="34">
        <f t="shared" si="18"/>
        <v>13050</v>
      </c>
      <c r="BT69" s="34">
        <f t="shared" si="19"/>
        <v>1560</v>
      </c>
      <c r="BU69" s="34">
        <f t="shared" si="20"/>
        <v>8010</v>
      </c>
      <c r="BV69" s="34">
        <f t="shared" si="21"/>
        <v>1020</v>
      </c>
      <c r="BW69" s="34">
        <f t="shared" si="22"/>
        <v>2460</v>
      </c>
      <c r="BX69" s="34">
        <f t="shared" si="23"/>
        <v>21343</v>
      </c>
      <c r="BY69" s="34">
        <f t="shared" si="24"/>
        <v>15240</v>
      </c>
      <c r="BZ69" s="34">
        <f t="shared" si="25"/>
        <v>1620</v>
      </c>
      <c r="CA69" s="34">
        <f t="shared" si="26"/>
        <v>2310</v>
      </c>
      <c r="CB69" s="34">
        <f t="shared" si="27"/>
        <v>240</v>
      </c>
      <c r="CC69" s="34">
        <f t="shared" si="28"/>
        <v>360</v>
      </c>
      <c r="CD69" s="34">
        <f t="shared" si="29"/>
        <v>131363</v>
      </c>
      <c r="CE69" s="33">
        <f t="shared" si="114"/>
        <v>100893.2</v>
      </c>
      <c r="CF69" s="33">
        <f t="shared" si="115"/>
        <v>30469.8</v>
      </c>
      <c r="CG69" s="34">
        <f t="shared" si="30"/>
        <v>10560</v>
      </c>
      <c r="CH69" s="415">
        <f t="shared" si="31"/>
        <v>787605</v>
      </c>
      <c r="CI69" s="88">
        <f t="shared" si="32"/>
        <v>194633</v>
      </c>
      <c r="CJ69" s="90">
        <f t="shared" si="33"/>
        <v>149487.70000000001</v>
      </c>
      <c r="CK69" s="90">
        <f t="shared" si="34"/>
        <v>45145.3</v>
      </c>
      <c r="CL69" s="88">
        <f t="shared" si="35"/>
        <v>220</v>
      </c>
      <c r="CM69" s="88">
        <f t="shared" si="36"/>
        <v>44</v>
      </c>
      <c r="CN69" s="88">
        <f t="shared" si="37"/>
        <v>2320</v>
      </c>
      <c r="CO69" s="88">
        <f t="shared" si="38"/>
        <v>4350</v>
      </c>
      <c r="CP69" s="88">
        <f t="shared" si="39"/>
        <v>520</v>
      </c>
      <c r="CQ69" s="88">
        <f t="shared" si="40"/>
        <v>2670</v>
      </c>
      <c r="CR69" s="88">
        <f t="shared" si="41"/>
        <v>340</v>
      </c>
      <c r="CS69" s="88">
        <f t="shared" si="42"/>
        <v>820</v>
      </c>
      <c r="CT69" s="88">
        <f t="shared" si="43"/>
        <v>7114.3333000000002</v>
      </c>
      <c r="CU69" s="88">
        <f t="shared" si="44"/>
        <v>5080</v>
      </c>
      <c r="CV69" s="88">
        <f t="shared" si="45"/>
        <v>540</v>
      </c>
      <c r="CW69" s="88">
        <f t="shared" si="46"/>
        <v>770</v>
      </c>
      <c r="CX69" s="88">
        <f t="shared" si="47"/>
        <v>80</v>
      </c>
      <c r="CY69" s="88">
        <f t="shared" si="48"/>
        <v>120</v>
      </c>
      <c r="CZ69" s="88">
        <f t="shared" si="49"/>
        <v>43787.666700000002</v>
      </c>
      <c r="DA69" s="90">
        <f t="shared" si="50"/>
        <v>33631.066700000003</v>
      </c>
      <c r="DB69" s="90">
        <f t="shared" si="51"/>
        <v>10156.6</v>
      </c>
      <c r="DC69" s="88">
        <f t="shared" si="52"/>
        <v>3520</v>
      </c>
      <c r="DD69" s="88">
        <f t="shared" si="53"/>
        <v>262535</v>
      </c>
      <c r="AUV69" s="699">
        <f t="shared" si="65"/>
        <v>194633</v>
      </c>
      <c r="AUW69" s="699">
        <f t="shared" si="66"/>
        <v>149487.71</v>
      </c>
      <c r="AUX69" s="699">
        <f t="shared" si="67"/>
        <v>45145.29</v>
      </c>
      <c r="AUY69" s="699">
        <f t="shared" si="218"/>
        <v>220</v>
      </c>
      <c r="AUZ69" s="699">
        <f t="shared" si="204"/>
        <v>45.64</v>
      </c>
      <c r="AVA69" s="699">
        <f t="shared" si="204"/>
        <v>0.12</v>
      </c>
      <c r="AVB69" s="699">
        <f t="shared" si="219"/>
        <v>4350</v>
      </c>
      <c r="AVC69" s="699">
        <f t="shared" si="220"/>
        <v>520</v>
      </c>
      <c r="AVD69" s="699">
        <f t="shared" si="221"/>
        <v>2670</v>
      </c>
      <c r="AVE69" s="699">
        <f t="shared" si="222"/>
        <v>340</v>
      </c>
      <c r="AVF69" s="699">
        <f t="shared" si="223"/>
        <v>820</v>
      </c>
      <c r="AVG69" s="699">
        <f t="shared" si="224"/>
        <v>7114.33</v>
      </c>
      <c r="AVH69" s="699">
        <f t="shared" si="225"/>
        <v>5080</v>
      </c>
      <c r="AVI69" s="699">
        <f t="shared" si="226"/>
        <v>540</v>
      </c>
      <c r="AVJ69" s="699">
        <f t="shared" si="227"/>
        <v>770</v>
      </c>
      <c r="AVK69" s="699">
        <f t="shared" si="228"/>
        <v>80</v>
      </c>
      <c r="AVL69" s="699">
        <f t="shared" si="229"/>
        <v>120</v>
      </c>
      <c r="AVM69" s="699">
        <f t="shared" si="230"/>
        <v>43787.67</v>
      </c>
      <c r="AVN69" s="699">
        <f t="shared" si="231"/>
        <v>33631.08</v>
      </c>
      <c r="AVO69" s="699">
        <f t="shared" si="232"/>
        <v>10156.59</v>
      </c>
      <c r="AVP69" s="699">
        <f t="shared" si="233"/>
        <v>3520</v>
      </c>
      <c r="AVQ69" s="699">
        <f t="shared" si="234"/>
        <v>262535</v>
      </c>
    </row>
    <row r="70" spans="1:108 1244:1265" ht="30" customHeight="1" x14ac:dyDescent="0.25">
      <c r="A70" s="643">
        <v>1</v>
      </c>
      <c r="B70" s="643">
        <v>9</v>
      </c>
      <c r="C70" s="664" t="s">
        <v>247</v>
      </c>
      <c r="D70" s="2"/>
      <c r="E70" s="101" t="s">
        <v>345</v>
      </c>
      <c r="F70" s="643" t="s">
        <v>38</v>
      </c>
      <c r="G70" s="643">
        <v>2</v>
      </c>
      <c r="H70" s="658" t="s">
        <v>10</v>
      </c>
      <c r="I70" s="643">
        <v>0</v>
      </c>
      <c r="J70" s="101" t="s">
        <v>361</v>
      </c>
      <c r="K70" s="643">
        <v>3</v>
      </c>
      <c r="L70" s="683" t="s">
        <v>350</v>
      </c>
      <c r="M70" s="11" t="s">
        <v>267</v>
      </c>
      <c r="N70" s="101" t="s">
        <v>387</v>
      </c>
      <c r="O70" s="643">
        <v>1</v>
      </c>
      <c r="P70" s="632">
        <v>32</v>
      </c>
      <c r="Q70" s="632">
        <v>32</v>
      </c>
      <c r="R70" s="632">
        <v>32</v>
      </c>
      <c r="S70" s="675">
        <f>SUMIF('Территориальный кк'!$A:$A,'2020'!$B70,'Территориальный кк'!D:D)</f>
        <v>3.258</v>
      </c>
      <c r="T70" s="676">
        <f>SUMIF('Территориальный кк'!$A:$A,'2020'!$B70,'Территориальный кк'!E:E)</f>
        <v>2.8919999999999999</v>
      </c>
      <c r="U70" s="33">
        <f>SUMIFS(Нормативы!G:G,Нормативы!$B:$B,$G70,Нормативы!$D:$D,'2020'!$I70,Нормативы!$F:$F,'2020'!$K70)*O70</f>
        <v>70600</v>
      </c>
      <c r="V70" s="33">
        <f t="shared" si="98"/>
        <v>54224.3</v>
      </c>
      <c r="W70" s="33">
        <f t="shared" si="99"/>
        <v>16375.7</v>
      </c>
      <c r="X70" s="33">
        <f>SUMIFS(Нормативы!J:J,Нормативы!$B:$B,$G70,Нормативы!$D:$D,'2020'!$I70,Нормативы!$F:$F,'2020'!$K70)</f>
        <v>8860</v>
      </c>
      <c r="Y70" s="33">
        <f>SUMIFS(Нормативы!K:K,Нормативы!$B:$B,$G70,Нормативы!$D:$D,'2020'!$I70,Нормативы!$F:$F,'2020'!$K70)</f>
        <v>0</v>
      </c>
      <c r="Z70" s="33">
        <f>SUMIFS(Нормативы!L:L,Нормативы!$B:$B,$G70,Нормативы!$D:$D,'2020'!$I70,Нормативы!$F:$F,'2020'!$K70)</f>
        <v>8110</v>
      </c>
      <c r="AA70" s="33">
        <f t="shared" si="100"/>
        <v>21610</v>
      </c>
      <c r="AB70" s="33">
        <f>SUMIFS(Нормативы!N:N,Нормативы!$B:$B,$G70,Нормативы!$D:$D,'2020'!$I70,Нормативы!$F:$F,'2020'!$K70)*O70</f>
        <v>520</v>
      </c>
      <c r="AC70" s="33">
        <f>SUMIFS(Нормативы!O:O,Нормативы!$B:$B,$G70,Нормативы!$D:$D,'2020'!$I70,Нормативы!$F:$F,'2020'!$K70)</f>
        <v>19720</v>
      </c>
      <c r="AD70" s="33">
        <f>SUMIFS(Нормативы!P:P,Нормативы!$B:$B,$G70,Нормативы!$D:$D,'2020'!$I70,Нормативы!$F:$F,'2020'!$K70)*O70</f>
        <v>400</v>
      </c>
      <c r="AE70" s="33">
        <f>SUMIFS(Нормативы!Q:Q,Нормативы!$B:$B,$G70,Нормативы!$D:$D,'2020'!$I70,Нормативы!$F:$F,'2020'!$K70)</f>
        <v>970</v>
      </c>
      <c r="AF70" s="33">
        <f>SUMIFS(Нормативы!R:R,Нормативы!$B:$B,$G70,Нормативы!$D:$D,'2020'!$I70,Нормативы!$F:$F,'2020'!$K70)</f>
        <v>2680</v>
      </c>
      <c r="AG70" s="33">
        <f>SUMIFS(Нормативы!S:S,Нормативы!$B:$B,$G70,Нормативы!$D:$D,'2020'!$I70,Нормативы!$F:$F,'2020'!$K70)</f>
        <v>5800</v>
      </c>
      <c r="AH70" s="33">
        <f>SUMIFS(Нормативы!T:T,Нормативы!$B:$B,$G70,Нормативы!$D:$D,'2020'!$I70,Нормативы!$F:$F,'2020'!$K70)</f>
        <v>540</v>
      </c>
      <c r="AI70" s="33">
        <f>SUMIFS(Нормативы!U:U,Нормативы!$B:$B,$G70,Нормативы!$D:$D,'2020'!$I70,Нормативы!$F:$F,'2020'!$K70)</f>
        <v>770</v>
      </c>
      <c r="AJ70" s="33">
        <f>SUMIFS(Нормативы!V:V,Нормативы!$B:$B,$G70,Нормативы!$D:$D,'2020'!$I70,Нормативы!$F:$F,'2020'!$K70)</f>
        <v>80</v>
      </c>
      <c r="AK70" s="33">
        <f>SUMIFS(Нормативы!W:W,Нормативы!$B:$B,$G70,Нормативы!$D:$D,'2020'!$I70,Нормативы!$F:$F,'2020'!$K70)</f>
        <v>330</v>
      </c>
      <c r="AL70" s="33">
        <f>SUMIFS(Нормативы!X:X,Нормативы!$B:$B,$G70,Нормативы!$D:$D,'2020'!$I70,Нормативы!$F:$F,'2020'!$K70)*O70</f>
        <v>16120</v>
      </c>
      <c r="AM70" s="33">
        <f t="shared" si="101"/>
        <v>12381</v>
      </c>
      <c r="AN70" s="33">
        <f t="shared" si="102"/>
        <v>3739</v>
      </c>
      <c r="AO70" s="33">
        <f>SUMIFS(Нормативы!AA:AA,Нормативы!$B:$B,$G70,Нормативы!$D:$D,'2020'!$I70,Нормативы!$F:$F,'2020'!$K70)</f>
        <v>3520</v>
      </c>
      <c r="AP70" s="141">
        <f t="shared" si="103"/>
        <v>139020</v>
      </c>
      <c r="AQ70" s="413">
        <f t="shared" si="104"/>
        <v>2259200</v>
      </c>
      <c r="AR70" s="33">
        <f t="shared" si="105"/>
        <v>1735176.7</v>
      </c>
      <c r="AS70" s="33">
        <f t="shared" si="106"/>
        <v>524023.3</v>
      </c>
      <c r="AT70" s="34">
        <f t="shared" si="0"/>
        <v>283520</v>
      </c>
      <c r="AU70" s="34">
        <f t="shared" si="1"/>
        <v>0</v>
      </c>
      <c r="AV70" s="34">
        <f t="shared" si="2"/>
        <v>259520</v>
      </c>
      <c r="AW70" s="34">
        <f t="shared" si="3"/>
        <v>691520</v>
      </c>
      <c r="AX70" s="34">
        <f t="shared" si="4"/>
        <v>16640</v>
      </c>
      <c r="AY70" s="34">
        <f t="shared" si="5"/>
        <v>631040</v>
      </c>
      <c r="AZ70" s="34">
        <f t="shared" si="6"/>
        <v>12800</v>
      </c>
      <c r="BA70" s="34">
        <f t="shared" si="7"/>
        <v>31040</v>
      </c>
      <c r="BB70" s="34">
        <f t="shared" si="107"/>
        <v>85760</v>
      </c>
      <c r="BC70" s="34">
        <f t="shared" si="8"/>
        <v>185600</v>
      </c>
      <c r="BD70" s="34">
        <f t="shared" si="9"/>
        <v>17280</v>
      </c>
      <c r="BE70" s="34">
        <f t="shared" si="10"/>
        <v>24640</v>
      </c>
      <c r="BF70" s="34">
        <f t="shared" si="11"/>
        <v>2560</v>
      </c>
      <c r="BG70" s="34">
        <f t="shared" si="12"/>
        <v>10560</v>
      </c>
      <c r="BH70" s="34">
        <f t="shared" si="13"/>
        <v>515840</v>
      </c>
      <c r="BI70" s="33">
        <f t="shared" si="108"/>
        <v>396190.5</v>
      </c>
      <c r="BJ70" s="33">
        <f t="shared" si="109"/>
        <v>119649.5</v>
      </c>
      <c r="BK70" s="34">
        <f t="shared" si="14"/>
        <v>112640</v>
      </c>
      <c r="BL70" s="426">
        <f t="shared" si="15"/>
        <v>4448640</v>
      </c>
      <c r="BM70" s="616">
        <f t="shared" si="110"/>
        <v>7360474</v>
      </c>
      <c r="BN70" s="33">
        <f t="shared" si="16"/>
        <v>5653205.7999999998</v>
      </c>
      <c r="BO70" s="33">
        <f t="shared" si="17"/>
        <v>1707268.2</v>
      </c>
      <c r="BP70" s="34">
        <f t="shared" si="111"/>
        <v>283520</v>
      </c>
      <c r="BQ70" s="34">
        <f t="shared" si="112"/>
        <v>0</v>
      </c>
      <c r="BR70" s="34">
        <f t="shared" si="113"/>
        <v>259520</v>
      </c>
      <c r="BS70" s="34">
        <f t="shared" si="18"/>
        <v>691520</v>
      </c>
      <c r="BT70" s="34">
        <f t="shared" si="19"/>
        <v>16640</v>
      </c>
      <c r="BU70" s="34">
        <f t="shared" si="20"/>
        <v>631040</v>
      </c>
      <c r="BV70" s="34">
        <f t="shared" si="21"/>
        <v>12800</v>
      </c>
      <c r="BW70" s="34">
        <f t="shared" si="22"/>
        <v>31040</v>
      </c>
      <c r="BX70" s="34">
        <f t="shared" si="23"/>
        <v>248018</v>
      </c>
      <c r="BY70" s="34">
        <f t="shared" si="24"/>
        <v>185600</v>
      </c>
      <c r="BZ70" s="34">
        <f t="shared" si="25"/>
        <v>17280</v>
      </c>
      <c r="CA70" s="34">
        <f t="shared" si="26"/>
        <v>24640</v>
      </c>
      <c r="CB70" s="34">
        <f t="shared" si="27"/>
        <v>2560</v>
      </c>
      <c r="CC70" s="34">
        <f t="shared" si="28"/>
        <v>10560</v>
      </c>
      <c r="CD70" s="34">
        <f t="shared" si="29"/>
        <v>1680607</v>
      </c>
      <c r="CE70" s="33">
        <f t="shared" si="114"/>
        <v>1290788.8</v>
      </c>
      <c r="CF70" s="33">
        <f t="shared" si="115"/>
        <v>389818.2</v>
      </c>
      <c r="CG70" s="34">
        <f t="shared" si="30"/>
        <v>112640</v>
      </c>
      <c r="CH70" s="415">
        <f t="shared" si="31"/>
        <v>10876939</v>
      </c>
      <c r="CI70" s="88">
        <f t="shared" si="32"/>
        <v>230014.8125</v>
      </c>
      <c r="CJ70" s="90">
        <f t="shared" si="33"/>
        <v>176662.6813</v>
      </c>
      <c r="CK70" s="90">
        <f t="shared" si="34"/>
        <v>53352.131300000001</v>
      </c>
      <c r="CL70" s="88">
        <f t="shared" si="35"/>
        <v>8860</v>
      </c>
      <c r="CM70" s="88">
        <f t="shared" si="36"/>
        <v>0</v>
      </c>
      <c r="CN70" s="88">
        <f t="shared" si="37"/>
        <v>8110</v>
      </c>
      <c r="CO70" s="88">
        <f t="shared" si="38"/>
        <v>21610</v>
      </c>
      <c r="CP70" s="88">
        <f t="shared" si="39"/>
        <v>520</v>
      </c>
      <c r="CQ70" s="88">
        <f t="shared" si="40"/>
        <v>19720</v>
      </c>
      <c r="CR70" s="88">
        <f t="shared" si="41"/>
        <v>400</v>
      </c>
      <c r="CS70" s="88">
        <f t="shared" si="42"/>
        <v>970</v>
      </c>
      <c r="CT70" s="88">
        <f t="shared" si="43"/>
        <v>7750.5625</v>
      </c>
      <c r="CU70" s="88">
        <f t="shared" si="44"/>
        <v>5800</v>
      </c>
      <c r="CV70" s="88">
        <f t="shared" si="45"/>
        <v>540</v>
      </c>
      <c r="CW70" s="88">
        <f t="shared" si="46"/>
        <v>770</v>
      </c>
      <c r="CX70" s="88">
        <f t="shared" si="47"/>
        <v>80</v>
      </c>
      <c r="CY70" s="88">
        <f t="shared" si="48"/>
        <v>330</v>
      </c>
      <c r="CZ70" s="88">
        <f t="shared" si="49"/>
        <v>52518.968800000002</v>
      </c>
      <c r="DA70" s="90">
        <f t="shared" si="50"/>
        <v>40337.15</v>
      </c>
      <c r="DB70" s="90">
        <f t="shared" si="51"/>
        <v>12181.818799999999</v>
      </c>
      <c r="DC70" s="88">
        <f t="shared" si="52"/>
        <v>3520</v>
      </c>
      <c r="DD70" s="88">
        <f t="shared" si="53"/>
        <v>339904.34379999997</v>
      </c>
      <c r="AUV70" s="699">
        <f t="shared" ref="AUV70:AUV133" si="235">BM70/P70</f>
        <v>230014.81</v>
      </c>
      <c r="AUW70" s="699">
        <f t="shared" ref="AUW70:AUW133" si="236">AUV70/1.302</f>
        <v>176662.68</v>
      </c>
      <c r="AUX70" s="699">
        <f t="shared" ref="AUX70:AUX133" si="237">AUV70-AUW70</f>
        <v>53352.13</v>
      </c>
      <c r="AUY70" s="699">
        <f t="shared" si="218"/>
        <v>8860</v>
      </c>
      <c r="AUZ70" s="699">
        <f t="shared" si="204"/>
        <v>0</v>
      </c>
      <c r="AVA70" s="699">
        <f t="shared" si="204"/>
        <v>3.68</v>
      </c>
      <c r="AVB70" s="699">
        <f t="shared" si="219"/>
        <v>21610</v>
      </c>
      <c r="AVC70" s="699">
        <f t="shared" si="220"/>
        <v>520</v>
      </c>
      <c r="AVD70" s="699">
        <f t="shared" si="221"/>
        <v>19720</v>
      </c>
      <c r="AVE70" s="699">
        <f t="shared" si="222"/>
        <v>400</v>
      </c>
      <c r="AVF70" s="699">
        <f t="shared" si="223"/>
        <v>970</v>
      </c>
      <c r="AVG70" s="699">
        <f t="shared" si="224"/>
        <v>7750.56</v>
      </c>
      <c r="AVH70" s="699">
        <f t="shared" si="225"/>
        <v>5800</v>
      </c>
      <c r="AVI70" s="699">
        <f t="shared" si="226"/>
        <v>540</v>
      </c>
      <c r="AVJ70" s="699">
        <f t="shared" si="227"/>
        <v>770</v>
      </c>
      <c r="AVK70" s="699">
        <f t="shared" si="228"/>
        <v>80</v>
      </c>
      <c r="AVL70" s="699">
        <f t="shared" si="229"/>
        <v>330</v>
      </c>
      <c r="AVM70" s="699">
        <f t="shared" si="230"/>
        <v>52518.97</v>
      </c>
      <c r="AVN70" s="699">
        <f t="shared" si="231"/>
        <v>40337.15</v>
      </c>
      <c r="AVO70" s="699">
        <f t="shared" si="232"/>
        <v>12181.82</v>
      </c>
      <c r="AVP70" s="699">
        <f t="shared" si="233"/>
        <v>3520</v>
      </c>
      <c r="AVQ70" s="699">
        <f t="shared" si="234"/>
        <v>339904.34</v>
      </c>
    </row>
    <row r="71" spans="1:108 1244:1265" ht="30" customHeight="1" x14ac:dyDescent="0.25">
      <c r="A71" s="643">
        <v>1</v>
      </c>
      <c r="B71" s="643">
        <v>9</v>
      </c>
      <c r="C71" s="664" t="s">
        <v>247</v>
      </c>
      <c r="D71" s="2"/>
      <c r="E71" s="101" t="s">
        <v>345</v>
      </c>
      <c r="F71" s="643" t="s">
        <v>38</v>
      </c>
      <c r="G71" s="643">
        <v>2</v>
      </c>
      <c r="H71" s="658" t="s">
        <v>8</v>
      </c>
      <c r="I71" s="643">
        <v>3</v>
      </c>
      <c r="J71" s="101" t="s">
        <v>361</v>
      </c>
      <c r="K71" s="643">
        <v>3</v>
      </c>
      <c r="L71" s="683" t="s">
        <v>350</v>
      </c>
      <c r="M71" s="11" t="s">
        <v>294</v>
      </c>
      <c r="N71" s="101" t="s">
        <v>387</v>
      </c>
      <c r="O71" s="643">
        <v>1</v>
      </c>
      <c r="P71" s="632">
        <v>20</v>
      </c>
      <c r="Q71" s="632">
        <v>20</v>
      </c>
      <c r="R71" s="632">
        <v>20</v>
      </c>
      <c r="S71" s="675">
        <f>SUMIF('Территориальный кк'!$A:$A,'2020'!$B71,'Территориальный кк'!D:D)</f>
        <v>3.258</v>
      </c>
      <c r="T71" s="676">
        <f>SUMIF('Территориальный кк'!$A:$A,'2020'!$B71,'Территориальный кк'!E:E)</f>
        <v>2.8919999999999999</v>
      </c>
      <c r="U71" s="33">
        <f>SUMIFS(Нормативы!G:G,Нормативы!$B:$B,$G71,Нормативы!$D:$D,'2020'!$I71,Нормативы!$F:$F,'2020'!$K71)*O71</f>
        <v>12944</v>
      </c>
      <c r="V71" s="33">
        <f t="shared" si="98"/>
        <v>9941.6</v>
      </c>
      <c r="W71" s="33">
        <f t="shared" si="99"/>
        <v>3002.4</v>
      </c>
      <c r="X71" s="33">
        <f>SUMIFS(Нормативы!J:J,Нормативы!$B:$B,$G71,Нормативы!$D:$D,'2020'!$I71,Нормативы!$F:$F,'2020'!$K71)</f>
        <v>486</v>
      </c>
      <c r="Y71" s="33">
        <f>SUMIFS(Нормативы!K:K,Нормативы!$B:$B,$G71,Нормативы!$D:$D,'2020'!$I71,Нормативы!$F:$F,'2020'!$K71)</f>
        <v>97</v>
      </c>
      <c r="Z71" s="33">
        <f>SUMIFS(Нормативы!L:L,Нормативы!$B:$B,$G71,Нормативы!$D:$D,'2020'!$I71,Нормативы!$F:$F,'2020'!$K71)</f>
        <v>348</v>
      </c>
      <c r="AA71" s="33">
        <f t="shared" si="100"/>
        <v>2031</v>
      </c>
      <c r="AB71" s="33">
        <f>SUMIFS(Нормативы!N:N,Нормативы!$B:$B,$G71,Нормативы!$D:$D,'2020'!$I71,Нормативы!$F:$F,'2020'!$K71)*O71</f>
        <v>52</v>
      </c>
      <c r="AC71" s="33">
        <f>SUMIFS(Нормативы!O:O,Нормативы!$B:$B,$G71,Нормативы!$D:$D,'2020'!$I71,Нормативы!$F:$F,'2020'!$K71)</f>
        <v>1728</v>
      </c>
      <c r="AD71" s="33">
        <f>SUMIFS(Нормативы!P:P,Нормативы!$B:$B,$G71,Нормативы!$D:$D,'2020'!$I71,Нормативы!$F:$F,'2020'!$K71)*O71</f>
        <v>73</v>
      </c>
      <c r="AE71" s="33">
        <f>SUMIFS(Нормативы!Q:Q,Нормативы!$B:$B,$G71,Нормативы!$D:$D,'2020'!$I71,Нормативы!$F:$F,'2020'!$K71)</f>
        <v>178</v>
      </c>
      <c r="AF71" s="33">
        <f>SUMIFS(Нормативы!R:R,Нормативы!$B:$B,$G71,Нормативы!$D:$D,'2020'!$I71,Нормативы!$F:$F,'2020'!$K71)</f>
        <v>275</v>
      </c>
      <c r="AG71" s="33">
        <f>SUMIFS(Нормативы!S:S,Нормативы!$B:$B,$G71,Нормативы!$D:$D,'2020'!$I71,Нормативы!$F:$F,'2020'!$K71)</f>
        <v>580</v>
      </c>
      <c r="AH71" s="33">
        <f>SUMIFS(Нормативы!T:T,Нормативы!$B:$B,$G71,Нормативы!$D:$D,'2020'!$I71,Нормативы!$F:$F,'2020'!$K71)</f>
        <v>54</v>
      </c>
      <c r="AI71" s="33">
        <f>SUMIFS(Нормативы!U:U,Нормативы!$B:$B,$G71,Нормативы!$D:$D,'2020'!$I71,Нормативы!$F:$F,'2020'!$K71)</f>
        <v>77</v>
      </c>
      <c r="AJ71" s="33">
        <f>SUMIFS(Нормативы!V:V,Нормативы!$B:$B,$G71,Нормативы!$D:$D,'2020'!$I71,Нормативы!$F:$F,'2020'!$K71)</f>
        <v>8</v>
      </c>
      <c r="AK71" s="33">
        <f>SUMIFS(Нормативы!W:W,Нормативы!$B:$B,$G71,Нормативы!$D:$D,'2020'!$I71,Нормативы!$F:$F,'2020'!$K71)</f>
        <v>39</v>
      </c>
      <c r="AL71" s="33">
        <f>SUMIFS(Нормативы!X:X,Нормативы!$B:$B,$G71,Нормативы!$D:$D,'2020'!$I71,Нормативы!$F:$F,'2020'!$K71)*O71</f>
        <v>1612</v>
      </c>
      <c r="AM71" s="33">
        <f t="shared" si="101"/>
        <v>1238.0999999999999</v>
      </c>
      <c r="AN71" s="33">
        <f t="shared" si="102"/>
        <v>373.9</v>
      </c>
      <c r="AO71" s="33">
        <f>SUMIFS(Нормативы!AA:AA,Нормативы!$B:$B,$G71,Нормативы!$D:$D,'2020'!$I71,Нормативы!$F:$F,'2020'!$K71)</f>
        <v>0</v>
      </c>
      <c r="AP71" s="141">
        <f t="shared" si="103"/>
        <v>18454</v>
      </c>
      <c r="AQ71" s="413">
        <f t="shared" si="104"/>
        <v>258880</v>
      </c>
      <c r="AR71" s="33">
        <f t="shared" si="105"/>
        <v>198832.6</v>
      </c>
      <c r="AS71" s="33">
        <f t="shared" si="106"/>
        <v>60047.4</v>
      </c>
      <c r="AT71" s="34">
        <f t="shared" si="0"/>
        <v>9720</v>
      </c>
      <c r="AU71" s="34">
        <f t="shared" si="1"/>
        <v>1940</v>
      </c>
      <c r="AV71" s="34">
        <f t="shared" si="2"/>
        <v>6960</v>
      </c>
      <c r="AW71" s="34">
        <f t="shared" si="3"/>
        <v>40620</v>
      </c>
      <c r="AX71" s="34">
        <f t="shared" si="4"/>
        <v>1040</v>
      </c>
      <c r="AY71" s="34">
        <f t="shared" si="5"/>
        <v>34560</v>
      </c>
      <c r="AZ71" s="34">
        <f t="shared" si="6"/>
        <v>1460</v>
      </c>
      <c r="BA71" s="34">
        <f t="shared" si="7"/>
        <v>3560</v>
      </c>
      <c r="BB71" s="34">
        <f t="shared" si="107"/>
        <v>5500</v>
      </c>
      <c r="BC71" s="34">
        <f t="shared" si="8"/>
        <v>11600</v>
      </c>
      <c r="BD71" s="34">
        <f t="shared" si="9"/>
        <v>1080</v>
      </c>
      <c r="BE71" s="34">
        <f t="shared" si="10"/>
        <v>1540</v>
      </c>
      <c r="BF71" s="34">
        <f t="shared" si="11"/>
        <v>160</v>
      </c>
      <c r="BG71" s="34">
        <f t="shared" si="12"/>
        <v>780</v>
      </c>
      <c r="BH71" s="34">
        <f t="shared" si="13"/>
        <v>32240</v>
      </c>
      <c r="BI71" s="33">
        <f t="shared" si="108"/>
        <v>24761.9</v>
      </c>
      <c r="BJ71" s="33">
        <f t="shared" si="109"/>
        <v>7478.1</v>
      </c>
      <c r="BK71" s="34">
        <f t="shared" si="14"/>
        <v>0</v>
      </c>
      <c r="BL71" s="426">
        <f t="shared" si="15"/>
        <v>369080</v>
      </c>
      <c r="BM71" s="616">
        <f t="shared" si="110"/>
        <v>843431</v>
      </c>
      <c r="BN71" s="33">
        <f t="shared" si="16"/>
        <v>647796.5</v>
      </c>
      <c r="BO71" s="33">
        <f t="shared" si="17"/>
        <v>195634.5</v>
      </c>
      <c r="BP71" s="34">
        <f t="shared" si="111"/>
        <v>9720</v>
      </c>
      <c r="BQ71" s="34">
        <f t="shared" si="112"/>
        <v>1940</v>
      </c>
      <c r="BR71" s="34">
        <f t="shared" si="113"/>
        <v>6960</v>
      </c>
      <c r="BS71" s="34">
        <f t="shared" si="18"/>
        <v>40620</v>
      </c>
      <c r="BT71" s="34">
        <f t="shared" si="19"/>
        <v>1040</v>
      </c>
      <c r="BU71" s="34">
        <f t="shared" si="20"/>
        <v>34560</v>
      </c>
      <c r="BV71" s="34">
        <f t="shared" si="21"/>
        <v>1460</v>
      </c>
      <c r="BW71" s="34">
        <f t="shared" si="22"/>
        <v>3560</v>
      </c>
      <c r="BX71" s="34">
        <f t="shared" si="23"/>
        <v>15906</v>
      </c>
      <c r="BY71" s="34">
        <f t="shared" si="24"/>
        <v>11600</v>
      </c>
      <c r="BZ71" s="34">
        <f t="shared" si="25"/>
        <v>1080</v>
      </c>
      <c r="CA71" s="34">
        <f t="shared" si="26"/>
        <v>1540</v>
      </c>
      <c r="CB71" s="34">
        <f t="shared" si="27"/>
        <v>160</v>
      </c>
      <c r="CC71" s="34">
        <f t="shared" si="28"/>
        <v>780</v>
      </c>
      <c r="CD71" s="34">
        <f t="shared" si="29"/>
        <v>105038</v>
      </c>
      <c r="CE71" s="33">
        <f t="shared" si="114"/>
        <v>80674.3</v>
      </c>
      <c r="CF71" s="33">
        <f t="shared" si="115"/>
        <v>24363.7</v>
      </c>
      <c r="CG71" s="34">
        <f t="shared" si="30"/>
        <v>0</v>
      </c>
      <c r="CH71" s="415">
        <f t="shared" si="31"/>
        <v>1036835</v>
      </c>
      <c r="CI71" s="88">
        <f t="shared" si="32"/>
        <v>42171.55</v>
      </c>
      <c r="CJ71" s="90">
        <f t="shared" si="33"/>
        <v>32389.825000000001</v>
      </c>
      <c r="CK71" s="90">
        <f t="shared" si="34"/>
        <v>9781.7250000000004</v>
      </c>
      <c r="CL71" s="88">
        <f t="shared" si="35"/>
        <v>486</v>
      </c>
      <c r="CM71" s="88">
        <f t="shared" si="36"/>
        <v>97</v>
      </c>
      <c r="CN71" s="88">
        <f t="shared" si="37"/>
        <v>348</v>
      </c>
      <c r="CO71" s="88">
        <f t="shared" si="38"/>
        <v>2031</v>
      </c>
      <c r="CP71" s="88">
        <f t="shared" si="39"/>
        <v>52</v>
      </c>
      <c r="CQ71" s="88">
        <f t="shared" si="40"/>
        <v>1728</v>
      </c>
      <c r="CR71" s="88">
        <f t="shared" si="41"/>
        <v>73</v>
      </c>
      <c r="CS71" s="88">
        <f t="shared" si="42"/>
        <v>178</v>
      </c>
      <c r="CT71" s="88">
        <f t="shared" si="43"/>
        <v>795.3</v>
      </c>
      <c r="CU71" s="88">
        <f t="shared" si="44"/>
        <v>580</v>
      </c>
      <c r="CV71" s="88">
        <f t="shared" si="45"/>
        <v>54</v>
      </c>
      <c r="CW71" s="88">
        <f t="shared" si="46"/>
        <v>77</v>
      </c>
      <c r="CX71" s="88">
        <f t="shared" si="47"/>
        <v>8</v>
      </c>
      <c r="CY71" s="88">
        <f t="shared" si="48"/>
        <v>39</v>
      </c>
      <c r="CZ71" s="88">
        <f t="shared" si="49"/>
        <v>5251.9</v>
      </c>
      <c r="DA71" s="90">
        <f t="shared" si="50"/>
        <v>4033.7150000000001</v>
      </c>
      <c r="DB71" s="90">
        <f t="shared" si="51"/>
        <v>1218.1849999999999</v>
      </c>
      <c r="DC71" s="88">
        <f t="shared" si="52"/>
        <v>0</v>
      </c>
      <c r="DD71" s="88">
        <f t="shared" si="53"/>
        <v>51841.75</v>
      </c>
      <c r="AUV71" s="699">
        <f t="shared" si="235"/>
        <v>42171.55</v>
      </c>
      <c r="AUW71" s="699">
        <f t="shared" si="236"/>
        <v>32389.82</v>
      </c>
      <c r="AUX71" s="699">
        <f t="shared" si="237"/>
        <v>9781.73</v>
      </c>
      <c r="AUY71" s="699">
        <f t="shared" si="218"/>
        <v>486</v>
      </c>
      <c r="AUZ71" s="699">
        <f t="shared" si="204"/>
        <v>670.82</v>
      </c>
      <c r="AVA71" s="699">
        <f t="shared" si="204"/>
        <v>0.54</v>
      </c>
      <c r="AVB71" s="699">
        <f t="shared" si="219"/>
        <v>2031</v>
      </c>
      <c r="AVC71" s="699">
        <f t="shared" si="220"/>
        <v>52</v>
      </c>
      <c r="AVD71" s="699">
        <f t="shared" si="221"/>
        <v>1728</v>
      </c>
      <c r="AVE71" s="699">
        <f t="shared" si="222"/>
        <v>73</v>
      </c>
      <c r="AVF71" s="699">
        <f t="shared" si="223"/>
        <v>178</v>
      </c>
      <c r="AVG71" s="699">
        <f t="shared" si="224"/>
        <v>795.3</v>
      </c>
      <c r="AVH71" s="699">
        <f t="shared" si="225"/>
        <v>580</v>
      </c>
      <c r="AVI71" s="699">
        <f t="shared" si="226"/>
        <v>54</v>
      </c>
      <c r="AVJ71" s="699">
        <f t="shared" si="227"/>
        <v>77</v>
      </c>
      <c r="AVK71" s="699">
        <f t="shared" si="228"/>
        <v>8</v>
      </c>
      <c r="AVL71" s="699">
        <f t="shared" si="229"/>
        <v>39</v>
      </c>
      <c r="AVM71" s="699">
        <f t="shared" si="230"/>
        <v>5251.9</v>
      </c>
      <c r="AVN71" s="699">
        <f t="shared" si="231"/>
        <v>4033.72</v>
      </c>
      <c r="AVO71" s="699">
        <f t="shared" si="232"/>
        <v>1218.18</v>
      </c>
      <c r="AVP71" s="699">
        <f t="shared" si="233"/>
        <v>0</v>
      </c>
      <c r="AVQ71" s="699">
        <f t="shared" si="234"/>
        <v>51841.75</v>
      </c>
    </row>
    <row r="72" spans="1:108 1244:1265" ht="30" customHeight="1" x14ac:dyDescent="0.25">
      <c r="A72" s="643">
        <v>1</v>
      </c>
      <c r="B72" s="643">
        <v>9</v>
      </c>
      <c r="C72" s="664" t="s">
        <v>247</v>
      </c>
      <c r="D72" s="2"/>
      <c r="E72" s="101" t="s">
        <v>345</v>
      </c>
      <c r="F72" s="643" t="s">
        <v>38</v>
      </c>
      <c r="G72" s="643">
        <v>2</v>
      </c>
      <c r="H72" s="658" t="s">
        <v>8</v>
      </c>
      <c r="I72" s="643">
        <v>3</v>
      </c>
      <c r="J72" s="101" t="s">
        <v>361</v>
      </c>
      <c r="K72" s="643">
        <v>3</v>
      </c>
      <c r="L72" s="683" t="s">
        <v>350</v>
      </c>
      <c r="M72" s="11" t="s">
        <v>295</v>
      </c>
      <c r="N72" s="101" t="s">
        <v>401</v>
      </c>
      <c r="O72" s="643">
        <v>2</v>
      </c>
      <c r="P72" s="632"/>
      <c r="Q72" s="632"/>
      <c r="R72" s="632"/>
      <c r="S72" s="675">
        <f>SUMIF('Территориальный кк'!$A:$A,'2020'!$B72,'Территориальный кк'!D:D)</f>
        <v>3.258</v>
      </c>
      <c r="T72" s="676">
        <f>SUMIF('Территориальный кк'!$A:$A,'2020'!$B72,'Территориальный кк'!E:E)</f>
        <v>2.8919999999999999</v>
      </c>
      <c r="U72" s="33">
        <f>SUMIFS(Нормативы!G:G,Нормативы!$B:$B,$G72,Нормативы!$D:$D,'2020'!$I72,Нормативы!$F:$F,'2020'!$K72)*O72</f>
        <v>25888</v>
      </c>
      <c r="V72" s="33">
        <f t="shared" si="98"/>
        <v>19883.3</v>
      </c>
      <c r="W72" s="33">
        <f t="shared" si="99"/>
        <v>6004.7</v>
      </c>
      <c r="X72" s="33">
        <f>SUMIFS(Нормативы!J:J,Нормативы!$B:$B,$G72,Нормативы!$D:$D,'2020'!$I72,Нормативы!$F:$F,'2020'!$K72)</f>
        <v>486</v>
      </c>
      <c r="Y72" s="33">
        <f>SUMIFS(Нормативы!K:K,Нормативы!$B:$B,$G72,Нормативы!$D:$D,'2020'!$I72,Нормативы!$F:$F,'2020'!$K72)</f>
        <v>97</v>
      </c>
      <c r="Z72" s="33">
        <f>SUMIFS(Нормативы!L:L,Нормативы!$B:$B,$G72,Нормативы!$D:$D,'2020'!$I72,Нормативы!$F:$F,'2020'!$K72)</f>
        <v>348</v>
      </c>
      <c r="AA72" s="33">
        <f t="shared" si="100"/>
        <v>2156</v>
      </c>
      <c r="AB72" s="33">
        <f>SUMIFS(Нормативы!N:N,Нормативы!$B:$B,$G72,Нормативы!$D:$D,'2020'!$I72,Нормативы!$F:$F,'2020'!$K72)*O72</f>
        <v>104</v>
      </c>
      <c r="AC72" s="33">
        <f>SUMIFS(Нормативы!O:O,Нормативы!$B:$B,$G72,Нормативы!$D:$D,'2020'!$I72,Нормативы!$F:$F,'2020'!$K72)</f>
        <v>1728</v>
      </c>
      <c r="AD72" s="33">
        <f>SUMIFS(Нормативы!P:P,Нормативы!$B:$B,$G72,Нормативы!$D:$D,'2020'!$I72,Нормативы!$F:$F,'2020'!$K72)*O72</f>
        <v>146</v>
      </c>
      <c r="AE72" s="33">
        <f>SUMIFS(Нормативы!Q:Q,Нормативы!$B:$B,$G72,Нормативы!$D:$D,'2020'!$I72,Нормативы!$F:$F,'2020'!$K72)</f>
        <v>178</v>
      </c>
      <c r="AF72" s="33">
        <f>SUMIFS(Нормативы!R:R,Нормативы!$B:$B,$G72,Нормативы!$D:$D,'2020'!$I72,Нормативы!$F:$F,'2020'!$K72)</f>
        <v>275</v>
      </c>
      <c r="AG72" s="33">
        <f>SUMIFS(Нормативы!S:S,Нормативы!$B:$B,$G72,Нормативы!$D:$D,'2020'!$I72,Нормативы!$F:$F,'2020'!$K72)</f>
        <v>580</v>
      </c>
      <c r="AH72" s="33">
        <f>SUMIFS(Нормативы!T:T,Нормативы!$B:$B,$G72,Нормативы!$D:$D,'2020'!$I72,Нормативы!$F:$F,'2020'!$K72)</f>
        <v>54</v>
      </c>
      <c r="AI72" s="33">
        <f>SUMIFS(Нормативы!U:U,Нормативы!$B:$B,$G72,Нормативы!$D:$D,'2020'!$I72,Нормативы!$F:$F,'2020'!$K72)</f>
        <v>77</v>
      </c>
      <c r="AJ72" s="33">
        <f>SUMIFS(Нормативы!V:V,Нормативы!$B:$B,$G72,Нормативы!$D:$D,'2020'!$I72,Нормативы!$F:$F,'2020'!$K72)</f>
        <v>8</v>
      </c>
      <c r="AK72" s="33">
        <f>SUMIFS(Нормативы!W:W,Нормативы!$B:$B,$G72,Нормативы!$D:$D,'2020'!$I72,Нормативы!$F:$F,'2020'!$K72)</f>
        <v>39</v>
      </c>
      <c r="AL72" s="33">
        <f>SUMIFS(Нормативы!X:X,Нормативы!$B:$B,$G72,Нормативы!$D:$D,'2020'!$I72,Нормативы!$F:$F,'2020'!$K72)*O72</f>
        <v>3224</v>
      </c>
      <c r="AM72" s="33">
        <f t="shared" si="101"/>
        <v>2476.1999999999998</v>
      </c>
      <c r="AN72" s="33">
        <f t="shared" si="102"/>
        <v>747.8</v>
      </c>
      <c r="AO72" s="33">
        <f>SUMIFS(Нормативы!AA:AA,Нормативы!$B:$B,$G72,Нормативы!$D:$D,'2020'!$I72,Нормативы!$F:$F,'2020'!$K72)</f>
        <v>0</v>
      </c>
      <c r="AP72" s="141">
        <f t="shared" si="103"/>
        <v>33135</v>
      </c>
      <c r="AQ72" s="413">
        <f t="shared" si="104"/>
        <v>0</v>
      </c>
      <c r="AR72" s="33">
        <f t="shared" si="105"/>
        <v>0</v>
      </c>
      <c r="AS72" s="33">
        <f t="shared" si="106"/>
        <v>0</v>
      </c>
      <c r="AT72" s="34">
        <f t="shared" si="0"/>
        <v>0</v>
      </c>
      <c r="AU72" s="34">
        <f t="shared" si="1"/>
        <v>0</v>
      </c>
      <c r="AV72" s="34">
        <f t="shared" si="2"/>
        <v>0</v>
      </c>
      <c r="AW72" s="34">
        <f t="shared" si="3"/>
        <v>0</v>
      </c>
      <c r="AX72" s="34">
        <f t="shared" si="4"/>
        <v>0</v>
      </c>
      <c r="AY72" s="34">
        <f t="shared" si="5"/>
        <v>0</v>
      </c>
      <c r="AZ72" s="34">
        <f t="shared" si="6"/>
        <v>0</v>
      </c>
      <c r="BA72" s="34">
        <f t="shared" si="7"/>
        <v>0</v>
      </c>
      <c r="BB72" s="34">
        <f t="shared" si="107"/>
        <v>0</v>
      </c>
      <c r="BC72" s="34">
        <f t="shared" si="8"/>
        <v>0</v>
      </c>
      <c r="BD72" s="34">
        <f t="shared" si="9"/>
        <v>0</v>
      </c>
      <c r="BE72" s="34">
        <f t="shared" si="10"/>
        <v>0</v>
      </c>
      <c r="BF72" s="34">
        <f t="shared" si="11"/>
        <v>0</v>
      </c>
      <c r="BG72" s="34">
        <f t="shared" si="12"/>
        <v>0</v>
      </c>
      <c r="BH72" s="34">
        <f t="shared" si="13"/>
        <v>0</v>
      </c>
      <c r="BI72" s="33">
        <f t="shared" si="108"/>
        <v>0</v>
      </c>
      <c r="BJ72" s="33">
        <f t="shared" si="109"/>
        <v>0</v>
      </c>
      <c r="BK72" s="34">
        <f t="shared" si="14"/>
        <v>0</v>
      </c>
      <c r="BL72" s="426">
        <f t="shared" si="15"/>
        <v>0</v>
      </c>
      <c r="BM72" s="616">
        <f t="shared" si="110"/>
        <v>0</v>
      </c>
      <c r="BN72" s="33">
        <f t="shared" si="16"/>
        <v>0</v>
      </c>
      <c r="BO72" s="33">
        <f t="shared" si="17"/>
        <v>0</v>
      </c>
      <c r="BP72" s="34">
        <f t="shared" si="111"/>
        <v>0</v>
      </c>
      <c r="BQ72" s="34">
        <f t="shared" si="112"/>
        <v>0</v>
      </c>
      <c r="BR72" s="34">
        <f t="shared" si="113"/>
        <v>0</v>
      </c>
      <c r="BS72" s="34">
        <f t="shared" si="18"/>
        <v>0</v>
      </c>
      <c r="BT72" s="34">
        <f t="shared" si="19"/>
        <v>0</v>
      </c>
      <c r="BU72" s="34">
        <f t="shared" si="20"/>
        <v>0</v>
      </c>
      <c r="BV72" s="34">
        <f t="shared" si="21"/>
        <v>0</v>
      </c>
      <c r="BW72" s="34">
        <f t="shared" si="22"/>
        <v>0</v>
      </c>
      <c r="BX72" s="34">
        <f t="shared" si="23"/>
        <v>0</v>
      </c>
      <c r="BY72" s="34">
        <f t="shared" si="24"/>
        <v>0</v>
      </c>
      <c r="BZ72" s="34">
        <f t="shared" si="25"/>
        <v>0</v>
      </c>
      <c r="CA72" s="34">
        <f t="shared" si="26"/>
        <v>0</v>
      </c>
      <c r="CB72" s="34">
        <f t="shared" si="27"/>
        <v>0</v>
      </c>
      <c r="CC72" s="34">
        <f t="shared" si="28"/>
        <v>0</v>
      </c>
      <c r="CD72" s="34">
        <f t="shared" si="29"/>
        <v>0</v>
      </c>
      <c r="CE72" s="33">
        <f t="shared" si="114"/>
        <v>0</v>
      </c>
      <c r="CF72" s="33">
        <f t="shared" si="115"/>
        <v>0</v>
      </c>
      <c r="CG72" s="34">
        <f t="shared" si="30"/>
        <v>0</v>
      </c>
      <c r="CH72" s="415">
        <f t="shared" si="31"/>
        <v>0</v>
      </c>
      <c r="CI72" s="88" t="e">
        <f t="shared" si="32"/>
        <v>#DIV/0!</v>
      </c>
      <c r="CJ72" s="90" t="e">
        <f t="shared" si="33"/>
        <v>#DIV/0!</v>
      </c>
      <c r="CK72" s="90" t="e">
        <f t="shared" si="34"/>
        <v>#DIV/0!</v>
      </c>
      <c r="CL72" s="88" t="e">
        <f t="shared" si="35"/>
        <v>#DIV/0!</v>
      </c>
      <c r="CM72" s="88" t="e">
        <f t="shared" si="36"/>
        <v>#DIV/0!</v>
      </c>
      <c r="CN72" s="88" t="e">
        <f t="shared" si="37"/>
        <v>#DIV/0!</v>
      </c>
      <c r="CO72" s="88" t="e">
        <f t="shared" si="38"/>
        <v>#DIV/0!</v>
      </c>
      <c r="CP72" s="88" t="e">
        <f t="shared" si="39"/>
        <v>#DIV/0!</v>
      </c>
      <c r="CQ72" s="88" t="e">
        <f t="shared" si="40"/>
        <v>#DIV/0!</v>
      </c>
      <c r="CR72" s="88" t="e">
        <f t="shared" si="41"/>
        <v>#DIV/0!</v>
      </c>
      <c r="CS72" s="88" t="e">
        <f t="shared" si="42"/>
        <v>#DIV/0!</v>
      </c>
      <c r="CT72" s="88" t="e">
        <f t="shared" si="43"/>
        <v>#DIV/0!</v>
      </c>
      <c r="CU72" s="88" t="e">
        <f t="shared" si="44"/>
        <v>#DIV/0!</v>
      </c>
      <c r="CV72" s="88" t="e">
        <f t="shared" si="45"/>
        <v>#DIV/0!</v>
      </c>
      <c r="CW72" s="88" t="e">
        <f t="shared" si="46"/>
        <v>#DIV/0!</v>
      </c>
      <c r="CX72" s="88" t="e">
        <f t="shared" si="47"/>
        <v>#DIV/0!</v>
      </c>
      <c r="CY72" s="88" t="e">
        <f t="shared" si="48"/>
        <v>#DIV/0!</v>
      </c>
      <c r="CZ72" s="88" t="e">
        <f t="shared" si="49"/>
        <v>#DIV/0!</v>
      </c>
      <c r="DA72" s="90" t="e">
        <f t="shared" si="50"/>
        <v>#DIV/0!</v>
      </c>
      <c r="DB72" s="90" t="e">
        <f t="shared" si="51"/>
        <v>#DIV/0!</v>
      </c>
      <c r="DC72" s="88" t="e">
        <f t="shared" si="52"/>
        <v>#DIV/0!</v>
      </c>
      <c r="DD72" s="88" t="e">
        <f t="shared" si="53"/>
        <v>#DIV/0!</v>
      </c>
      <c r="AUV72" s="699">
        <v>0</v>
      </c>
      <c r="AUW72" s="699">
        <f t="shared" si="236"/>
        <v>0</v>
      </c>
      <c r="AUX72" s="699">
        <f t="shared" si="237"/>
        <v>0</v>
      </c>
      <c r="AUY72" s="699">
        <f t="shared" si="204"/>
        <v>0</v>
      </c>
      <c r="AUZ72" s="699">
        <f t="shared" si="204"/>
        <v>0</v>
      </c>
      <c r="AVA72" s="699">
        <f t="shared" si="204"/>
        <v>0</v>
      </c>
      <c r="AVB72" s="699">
        <f t="shared" si="204"/>
        <v>0</v>
      </c>
      <c r="AVC72" s="697"/>
      <c r="AVD72" s="697"/>
      <c r="AVE72" s="697"/>
      <c r="AVF72" s="697"/>
      <c r="AVG72" s="697"/>
      <c r="AVH72" s="697"/>
      <c r="AVI72" s="697"/>
      <c r="AVJ72" s="697"/>
      <c r="AVK72" s="697"/>
      <c r="AVL72" s="697"/>
      <c r="AVM72" s="697"/>
      <c r="AVN72" s="697"/>
      <c r="AVO72" s="697"/>
      <c r="AVP72" s="697"/>
      <c r="AVQ72" s="697"/>
    </row>
    <row r="73" spans="1:108 1244:1265" ht="30" customHeight="1" x14ac:dyDescent="0.25">
      <c r="A73" s="643">
        <v>1</v>
      </c>
      <c r="B73" s="643">
        <v>9</v>
      </c>
      <c r="C73" s="664" t="s">
        <v>247</v>
      </c>
      <c r="D73" s="2"/>
      <c r="E73" s="101" t="s">
        <v>345</v>
      </c>
      <c r="F73" s="643" t="s">
        <v>38</v>
      </c>
      <c r="G73" s="643">
        <v>2</v>
      </c>
      <c r="H73" s="658" t="s">
        <v>10</v>
      </c>
      <c r="I73" s="643">
        <v>0</v>
      </c>
      <c r="J73" s="101" t="s">
        <v>362</v>
      </c>
      <c r="K73" s="643">
        <v>3</v>
      </c>
      <c r="L73" s="683" t="s">
        <v>350</v>
      </c>
      <c r="M73" s="11" t="s">
        <v>268</v>
      </c>
      <c r="N73" s="101" t="s">
        <v>387</v>
      </c>
      <c r="O73" s="643">
        <v>1</v>
      </c>
      <c r="P73" s="632">
        <v>11</v>
      </c>
      <c r="Q73" s="632">
        <v>11</v>
      </c>
      <c r="R73" s="632">
        <v>11</v>
      </c>
      <c r="S73" s="675">
        <f>SUMIF('Территориальный кк'!$A:$A,'2020'!$B73,'Территориальный кк'!D:D)</f>
        <v>3.258</v>
      </c>
      <c r="T73" s="676">
        <f>SUMIF('Территориальный кк'!$A:$A,'2020'!$B73,'Территориальный кк'!E:E)</f>
        <v>2.8919999999999999</v>
      </c>
      <c r="U73" s="33">
        <f>SUMIFS(Нормативы!G:G,Нормативы!$B:$B,$G73,Нормативы!$D:$D,'2020'!$I73,Нормативы!$F:$F,'2020'!$K73)*O73</f>
        <v>70600</v>
      </c>
      <c r="V73" s="33">
        <f t="shared" si="98"/>
        <v>54224.3</v>
      </c>
      <c r="W73" s="33">
        <f t="shared" si="99"/>
        <v>16375.7</v>
      </c>
      <c r="X73" s="33">
        <f>SUMIFS(Нормативы!J:J,Нормативы!$B:$B,$G73,Нормативы!$D:$D,'2020'!$I73,Нормативы!$F:$F,'2020'!$K73)</f>
        <v>8860</v>
      </c>
      <c r="Y73" s="33">
        <f>SUMIFS(Нормативы!K:K,Нормативы!$B:$B,$G73,Нормативы!$D:$D,'2020'!$I73,Нормативы!$F:$F,'2020'!$K73)</f>
        <v>0</v>
      </c>
      <c r="Z73" s="33">
        <f>SUMIFS(Нормативы!L:L,Нормативы!$B:$B,$G73,Нормативы!$D:$D,'2020'!$I73,Нормативы!$F:$F,'2020'!$K73)</f>
        <v>8110</v>
      </c>
      <c r="AA73" s="33">
        <f t="shared" si="100"/>
        <v>21610</v>
      </c>
      <c r="AB73" s="33">
        <f>SUMIFS(Нормативы!N:N,Нормативы!$B:$B,$G73,Нормативы!$D:$D,'2020'!$I73,Нормативы!$F:$F,'2020'!$K73)*O73</f>
        <v>520</v>
      </c>
      <c r="AC73" s="33">
        <f>SUMIFS(Нормативы!O:O,Нормативы!$B:$B,$G73,Нормативы!$D:$D,'2020'!$I73,Нормативы!$F:$F,'2020'!$K73)</f>
        <v>19720</v>
      </c>
      <c r="AD73" s="33">
        <f>SUMIFS(Нормативы!P:P,Нормативы!$B:$B,$G73,Нормативы!$D:$D,'2020'!$I73,Нормативы!$F:$F,'2020'!$K73)*O73</f>
        <v>400</v>
      </c>
      <c r="AE73" s="33">
        <f>SUMIFS(Нормативы!Q:Q,Нормативы!$B:$B,$G73,Нормативы!$D:$D,'2020'!$I73,Нормативы!$F:$F,'2020'!$K73)</f>
        <v>970</v>
      </c>
      <c r="AF73" s="33">
        <f>SUMIFS(Нормативы!R:R,Нормативы!$B:$B,$G73,Нормативы!$D:$D,'2020'!$I73,Нормативы!$F:$F,'2020'!$K73)</f>
        <v>2680</v>
      </c>
      <c r="AG73" s="33">
        <f>SUMIFS(Нормативы!S:S,Нормативы!$B:$B,$G73,Нормативы!$D:$D,'2020'!$I73,Нормативы!$F:$F,'2020'!$K73)</f>
        <v>5800</v>
      </c>
      <c r="AH73" s="33">
        <f>SUMIFS(Нормативы!T:T,Нормативы!$B:$B,$G73,Нормативы!$D:$D,'2020'!$I73,Нормативы!$F:$F,'2020'!$K73)</f>
        <v>540</v>
      </c>
      <c r="AI73" s="33">
        <f>SUMIFS(Нормативы!U:U,Нормативы!$B:$B,$G73,Нормативы!$D:$D,'2020'!$I73,Нормативы!$F:$F,'2020'!$K73)</f>
        <v>770</v>
      </c>
      <c r="AJ73" s="33">
        <f>SUMIFS(Нормативы!V:V,Нормативы!$B:$B,$G73,Нормативы!$D:$D,'2020'!$I73,Нормативы!$F:$F,'2020'!$K73)</f>
        <v>80</v>
      </c>
      <c r="AK73" s="33">
        <f>SUMIFS(Нормативы!W:W,Нормативы!$B:$B,$G73,Нормативы!$D:$D,'2020'!$I73,Нормативы!$F:$F,'2020'!$K73)</f>
        <v>330</v>
      </c>
      <c r="AL73" s="33">
        <f>SUMIFS(Нормативы!X:X,Нормативы!$B:$B,$G73,Нормативы!$D:$D,'2020'!$I73,Нормативы!$F:$F,'2020'!$K73)*O73</f>
        <v>16120</v>
      </c>
      <c r="AM73" s="33">
        <f t="shared" si="101"/>
        <v>12381</v>
      </c>
      <c r="AN73" s="33">
        <f t="shared" si="102"/>
        <v>3739</v>
      </c>
      <c r="AO73" s="33">
        <f>SUMIFS(Нормативы!AA:AA,Нормативы!$B:$B,$G73,Нормативы!$D:$D,'2020'!$I73,Нормативы!$F:$F,'2020'!$K73)</f>
        <v>3520</v>
      </c>
      <c r="AP73" s="141">
        <f t="shared" si="103"/>
        <v>139020</v>
      </c>
      <c r="AQ73" s="413">
        <f t="shared" si="104"/>
        <v>776600</v>
      </c>
      <c r="AR73" s="33">
        <f t="shared" si="105"/>
        <v>596467</v>
      </c>
      <c r="AS73" s="33">
        <f t="shared" si="106"/>
        <v>180133</v>
      </c>
      <c r="AT73" s="34">
        <f t="shared" si="0"/>
        <v>97460</v>
      </c>
      <c r="AU73" s="34">
        <f t="shared" si="1"/>
        <v>0</v>
      </c>
      <c r="AV73" s="34">
        <f t="shared" si="2"/>
        <v>89210</v>
      </c>
      <c r="AW73" s="34">
        <f t="shared" si="3"/>
        <v>237710</v>
      </c>
      <c r="AX73" s="34">
        <f t="shared" si="4"/>
        <v>5720</v>
      </c>
      <c r="AY73" s="34">
        <f t="shared" si="5"/>
        <v>216920</v>
      </c>
      <c r="AZ73" s="34">
        <f t="shared" si="6"/>
        <v>4400</v>
      </c>
      <c r="BA73" s="34">
        <f t="shared" si="7"/>
        <v>10670</v>
      </c>
      <c r="BB73" s="34">
        <f t="shared" si="107"/>
        <v>29480</v>
      </c>
      <c r="BC73" s="34">
        <f t="shared" si="8"/>
        <v>63800</v>
      </c>
      <c r="BD73" s="34">
        <f t="shared" si="9"/>
        <v>5940</v>
      </c>
      <c r="BE73" s="34">
        <f t="shared" si="10"/>
        <v>8470</v>
      </c>
      <c r="BF73" s="34">
        <f t="shared" si="11"/>
        <v>880</v>
      </c>
      <c r="BG73" s="34">
        <f t="shared" si="12"/>
        <v>3630</v>
      </c>
      <c r="BH73" s="34">
        <f t="shared" si="13"/>
        <v>177320</v>
      </c>
      <c r="BI73" s="33">
        <f t="shared" si="108"/>
        <v>136190.5</v>
      </c>
      <c r="BJ73" s="33">
        <f t="shared" si="109"/>
        <v>41129.5</v>
      </c>
      <c r="BK73" s="34">
        <f t="shared" si="14"/>
        <v>38720</v>
      </c>
      <c r="BL73" s="426">
        <f t="shared" si="15"/>
        <v>1529220</v>
      </c>
      <c r="BM73" s="616">
        <f t="shared" si="110"/>
        <v>2530163</v>
      </c>
      <c r="BN73" s="33">
        <f t="shared" si="16"/>
        <v>1943289.6</v>
      </c>
      <c r="BO73" s="33">
        <f t="shared" si="17"/>
        <v>586873.4</v>
      </c>
      <c r="BP73" s="34">
        <f t="shared" si="111"/>
        <v>97460</v>
      </c>
      <c r="BQ73" s="34">
        <f t="shared" si="112"/>
        <v>0</v>
      </c>
      <c r="BR73" s="34">
        <f t="shared" si="113"/>
        <v>89210</v>
      </c>
      <c r="BS73" s="34">
        <f t="shared" si="18"/>
        <v>237710</v>
      </c>
      <c r="BT73" s="34">
        <f t="shared" si="19"/>
        <v>5720</v>
      </c>
      <c r="BU73" s="34">
        <f t="shared" si="20"/>
        <v>216920</v>
      </c>
      <c r="BV73" s="34">
        <f t="shared" si="21"/>
        <v>4400</v>
      </c>
      <c r="BW73" s="34">
        <f t="shared" si="22"/>
        <v>10670</v>
      </c>
      <c r="BX73" s="34">
        <f t="shared" si="23"/>
        <v>85256</v>
      </c>
      <c r="BY73" s="34">
        <f t="shared" si="24"/>
        <v>63800</v>
      </c>
      <c r="BZ73" s="34">
        <f t="shared" si="25"/>
        <v>5940</v>
      </c>
      <c r="CA73" s="34">
        <f t="shared" si="26"/>
        <v>8470</v>
      </c>
      <c r="CB73" s="34">
        <f t="shared" si="27"/>
        <v>880</v>
      </c>
      <c r="CC73" s="34">
        <f t="shared" si="28"/>
        <v>3630</v>
      </c>
      <c r="CD73" s="34">
        <f t="shared" si="29"/>
        <v>577709</v>
      </c>
      <c r="CE73" s="33">
        <f t="shared" si="114"/>
        <v>443708.9</v>
      </c>
      <c r="CF73" s="33">
        <f t="shared" si="115"/>
        <v>134000.1</v>
      </c>
      <c r="CG73" s="34">
        <f t="shared" si="30"/>
        <v>38720</v>
      </c>
      <c r="CH73" s="415">
        <f t="shared" si="31"/>
        <v>3738948</v>
      </c>
      <c r="CI73" s="88">
        <f t="shared" si="32"/>
        <v>230014.81820000001</v>
      </c>
      <c r="CJ73" s="90">
        <f t="shared" si="33"/>
        <v>176662.69089999999</v>
      </c>
      <c r="CK73" s="90">
        <f t="shared" si="34"/>
        <v>53352.1273</v>
      </c>
      <c r="CL73" s="88">
        <f t="shared" si="35"/>
        <v>8860</v>
      </c>
      <c r="CM73" s="88">
        <f t="shared" si="36"/>
        <v>0</v>
      </c>
      <c r="CN73" s="88">
        <f t="shared" si="37"/>
        <v>8110</v>
      </c>
      <c r="CO73" s="88">
        <f t="shared" si="38"/>
        <v>21610</v>
      </c>
      <c r="CP73" s="88">
        <f t="shared" si="39"/>
        <v>520</v>
      </c>
      <c r="CQ73" s="88">
        <f t="shared" si="40"/>
        <v>19720</v>
      </c>
      <c r="CR73" s="88">
        <f t="shared" si="41"/>
        <v>400</v>
      </c>
      <c r="CS73" s="88">
        <f t="shared" si="42"/>
        <v>970</v>
      </c>
      <c r="CT73" s="88">
        <f t="shared" si="43"/>
        <v>7750.5455000000002</v>
      </c>
      <c r="CU73" s="88">
        <f t="shared" si="44"/>
        <v>5800</v>
      </c>
      <c r="CV73" s="88">
        <f t="shared" si="45"/>
        <v>540</v>
      </c>
      <c r="CW73" s="88">
        <f t="shared" si="46"/>
        <v>770</v>
      </c>
      <c r="CX73" s="88">
        <f t="shared" si="47"/>
        <v>80</v>
      </c>
      <c r="CY73" s="88">
        <f t="shared" si="48"/>
        <v>330</v>
      </c>
      <c r="CZ73" s="88">
        <f t="shared" si="49"/>
        <v>52519</v>
      </c>
      <c r="DA73" s="90">
        <f t="shared" si="50"/>
        <v>40337.172700000003</v>
      </c>
      <c r="DB73" s="90">
        <f t="shared" si="51"/>
        <v>12181.827300000001</v>
      </c>
      <c r="DC73" s="88">
        <f t="shared" si="52"/>
        <v>3520</v>
      </c>
      <c r="DD73" s="88">
        <f t="shared" si="53"/>
        <v>339904.36359999998</v>
      </c>
      <c r="AUV73" s="699">
        <f t="shared" si="235"/>
        <v>230014.82</v>
      </c>
      <c r="AUW73" s="699">
        <f t="shared" si="236"/>
        <v>176662.69</v>
      </c>
      <c r="AUX73" s="699">
        <f t="shared" si="237"/>
        <v>53352.13</v>
      </c>
      <c r="AUY73" s="699">
        <f t="shared" ref="AUY73:AUY75" si="238">BP73/P73</f>
        <v>8860</v>
      </c>
      <c r="AUZ73" s="699">
        <f t="shared" si="204"/>
        <v>0</v>
      </c>
      <c r="AVA73" s="699">
        <f t="shared" si="204"/>
        <v>1.26</v>
      </c>
      <c r="AVB73" s="699">
        <f t="shared" ref="AVB73:AVB75" si="239">AVC73+AVD73+AVE73+AVF73</f>
        <v>21610</v>
      </c>
      <c r="AVC73" s="699">
        <f t="shared" ref="AVC73:AVC75" si="240">BT73/P73</f>
        <v>520</v>
      </c>
      <c r="AVD73" s="699">
        <f t="shared" ref="AVD73:AVD75" si="241">BU73/P73</f>
        <v>19720</v>
      </c>
      <c r="AVE73" s="699">
        <f t="shared" ref="AVE73:AVE75" si="242">BV73/P73</f>
        <v>400</v>
      </c>
      <c r="AVF73" s="699">
        <f t="shared" ref="AVF73:AVF75" si="243">BW73/P73</f>
        <v>970</v>
      </c>
      <c r="AVG73" s="699">
        <f t="shared" ref="AVG73:AVG75" si="244">BX73/P73</f>
        <v>7750.55</v>
      </c>
      <c r="AVH73" s="699">
        <f t="shared" ref="AVH73:AVH75" si="245">BY73/P73</f>
        <v>5800</v>
      </c>
      <c r="AVI73" s="699">
        <f t="shared" ref="AVI73:AVI75" si="246">BZ73/P73</f>
        <v>540</v>
      </c>
      <c r="AVJ73" s="699">
        <f t="shared" ref="AVJ73:AVJ75" si="247">CA73/P73</f>
        <v>770</v>
      </c>
      <c r="AVK73" s="699">
        <f t="shared" ref="AVK73:AVK75" si="248">CB73/P73</f>
        <v>80</v>
      </c>
      <c r="AVL73" s="699">
        <f t="shared" ref="AVL73:AVL75" si="249">CC73/P73</f>
        <v>330</v>
      </c>
      <c r="AVM73" s="699">
        <f t="shared" ref="AVM73:AVM75" si="250">CD73/P73</f>
        <v>52519</v>
      </c>
      <c r="AVN73" s="699">
        <f t="shared" ref="AVN73:AVN75" si="251">AVM73/1.302</f>
        <v>40337.17</v>
      </c>
      <c r="AVO73" s="699">
        <f t="shared" ref="AVO73:AVO75" si="252">AVM73-AVN73</f>
        <v>12181.83</v>
      </c>
      <c r="AVP73" s="699">
        <f t="shared" ref="AVP73:AVP75" si="253">CG73/P73</f>
        <v>3520</v>
      </c>
      <c r="AVQ73" s="699">
        <f t="shared" ref="AVQ73:AVQ75" si="254">CH73/P73</f>
        <v>339904.36</v>
      </c>
    </row>
    <row r="74" spans="1:108 1244:1265" ht="30" customHeight="1" x14ac:dyDescent="0.25">
      <c r="A74" s="643">
        <v>1</v>
      </c>
      <c r="B74" s="643">
        <v>9</v>
      </c>
      <c r="C74" s="664" t="s">
        <v>247</v>
      </c>
      <c r="D74" s="2"/>
      <c r="E74" s="101" t="s">
        <v>345</v>
      </c>
      <c r="F74" s="643" t="s">
        <v>38</v>
      </c>
      <c r="G74" s="643">
        <v>2</v>
      </c>
      <c r="H74" s="658" t="s">
        <v>10</v>
      </c>
      <c r="I74" s="643">
        <v>0</v>
      </c>
      <c r="J74" s="101" t="s">
        <v>362</v>
      </c>
      <c r="K74" s="643">
        <v>3</v>
      </c>
      <c r="L74" s="683" t="s">
        <v>350</v>
      </c>
      <c r="M74" s="11" t="s">
        <v>296</v>
      </c>
      <c r="N74" s="101" t="s">
        <v>401</v>
      </c>
      <c r="O74" s="643">
        <v>2</v>
      </c>
      <c r="P74" s="632">
        <v>1</v>
      </c>
      <c r="Q74" s="632">
        <v>1</v>
      </c>
      <c r="R74" s="632">
        <v>1</v>
      </c>
      <c r="S74" s="675">
        <f>SUMIF('Территориальный кк'!$A:$A,'2020'!$B74,'Территориальный кк'!D:D)</f>
        <v>3.258</v>
      </c>
      <c r="T74" s="676">
        <f>SUMIF('Территориальный кк'!$A:$A,'2020'!$B74,'Территориальный кк'!E:E)</f>
        <v>2.8919999999999999</v>
      </c>
      <c r="U74" s="33">
        <f>SUMIFS(Нормативы!G:G,Нормативы!$B:$B,$G74,Нормативы!$D:$D,'2020'!$I74,Нормативы!$F:$F,'2020'!$K74)*O74</f>
        <v>141200</v>
      </c>
      <c r="V74" s="33">
        <f t="shared" si="98"/>
        <v>108448.5</v>
      </c>
      <c r="W74" s="33">
        <f t="shared" si="99"/>
        <v>32751.5</v>
      </c>
      <c r="X74" s="33">
        <f>SUMIFS(Нормативы!J:J,Нормативы!$B:$B,$G74,Нормативы!$D:$D,'2020'!$I74,Нормативы!$F:$F,'2020'!$K74)</f>
        <v>8860</v>
      </c>
      <c r="Y74" s="33">
        <f>SUMIFS(Нормативы!K:K,Нормативы!$B:$B,$G74,Нормативы!$D:$D,'2020'!$I74,Нормативы!$F:$F,'2020'!$K74)</f>
        <v>0</v>
      </c>
      <c r="Z74" s="33">
        <f>SUMIFS(Нормативы!L:L,Нормативы!$B:$B,$G74,Нормативы!$D:$D,'2020'!$I74,Нормативы!$F:$F,'2020'!$K74)</f>
        <v>8110</v>
      </c>
      <c r="AA74" s="33">
        <f t="shared" si="100"/>
        <v>22530</v>
      </c>
      <c r="AB74" s="33">
        <f>SUMIFS(Нормативы!N:N,Нормативы!$B:$B,$G74,Нормативы!$D:$D,'2020'!$I74,Нормативы!$F:$F,'2020'!$K74)*O74</f>
        <v>1040</v>
      </c>
      <c r="AC74" s="33">
        <f>SUMIFS(Нормативы!O:O,Нормативы!$B:$B,$G74,Нормативы!$D:$D,'2020'!$I74,Нормативы!$F:$F,'2020'!$K74)</f>
        <v>19720</v>
      </c>
      <c r="AD74" s="33">
        <f>SUMIFS(Нормативы!P:P,Нормативы!$B:$B,$G74,Нормативы!$D:$D,'2020'!$I74,Нормативы!$F:$F,'2020'!$K74)*O74</f>
        <v>800</v>
      </c>
      <c r="AE74" s="33">
        <f>SUMIFS(Нормативы!Q:Q,Нормативы!$B:$B,$G74,Нормативы!$D:$D,'2020'!$I74,Нормативы!$F:$F,'2020'!$K74)</f>
        <v>970</v>
      </c>
      <c r="AF74" s="33">
        <f>SUMIFS(Нормативы!R:R,Нормативы!$B:$B,$G74,Нормативы!$D:$D,'2020'!$I74,Нормативы!$F:$F,'2020'!$K74)</f>
        <v>2680</v>
      </c>
      <c r="AG74" s="33">
        <f>SUMIFS(Нормативы!S:S,Нормативы!$B:$B,$G74,Нормативы!$D:$D,'2020'!$I74,Нормативы!$F:$F,'2020'!$K74)</f>
        <v>5800</v>
      </c>
      <c r="AH74" s="33">
        <f>SUMIFS(Нормативы!T:T,Нормативы!$B:$B,$G74,Нормативы!$D:$D,'2020'!$I74,Нормативы!$F:$F,'2020'!$K74)</f>
        <v>540</v>
      </c>
      <c r="AI74" s="33">
        <f>SUMIFS(Нормативы!U:U,Нормативы!$B:$B,$G74,Нормативы!$D:$D,'2020'!$I74,Нормативы!$F:$F,'2020'!$K74)</f>
        <v>770</v>
      </c>
      <c r="AJ74" s="33">
        <f>SUMIFS(Нормативы!V:V,Нормативы!$B:$B,$G74,Нормативы!$D:$D,'2020'!$I74,Нормативы!$F:$F,'2020'!$K74)</f>
        <v>80</v>
      </c>
      <c r="AK74" s="33">
        <f>SUMIFS(Нормативы!W:W,Нормативы!$B:$B,$G74,Нормативы!$D:$D,'2020'!$I74,Нормативы!$F:$F,'2020'!$K74)</f>
        <v>330</v>
      </c>
      <c r="AL74" s="33">
        <f>SUMIFS(Нормативы!X:X,Нормативы!$B:$B,$G74,Нормативы!$D:$D,'2020'!$I74,Нормативы!$F:$F,'2020'!$K74)*O74</f>
        <v>32240</v>
      </c>
      <c r="AM74" s="33">
        <f t="shared" si="101"/>
        <v>24761.9</v>
      </c>
      <c r="AN74" s="33">
        <f t="shared" si="102"/>
        <v>7478.1</v>
      </c>
      <c r="AO74" s="33">
        <f>SUMIFS(Нормативы!AA:AA,Нормативы!$B:$B,$G74,Нормативы!$D:$D,'2020'!$I74,Нормативы!$F:$F,'2020'!$K74)</f>
        <v>3520</v>
      </c>
      <c r="AP74" s="141">
        <f t="shared" si="103"/>
        <v>226660</v>
      </c>
      <c r="AQ74" s="413">
        <f t="shared" si="104"/>
        <v>141200</v>
      </c>
      <c r="AR74" s="33">
        <f t="shared" si="105"/>
        <v>108448.5</v>
      </c>
      <c r="AS74" s="33">
        <f t="shared" si="106"/>
        <v>32751.5</v>
      </c>
      <c r="AT74" s="34">
        <f t="shared" si="0"/>
        <v>8860</v>
      </c>
      <c r="AU74" s="34">
        <f t="shared" si="1"/>
        <v>0</v>
      </c>
      <c r="AV74" s="34">
        <f t="shared" si="2"/>
        <v>8110</v>
      </c>
      <c r="AW74" s="34">
        <f t="shared" si="3"/>
        <v>22530</v>
      </c>
      <c r="AX74" s="34">
        <f t="shared" si="4"/>
        <v>1040</v>
      </c>
      <c r="AY74" s="34">
        <f t="shared" si="5"/>
        <v>19720</v>
      </c>
      <c r="AZ74" s="34">
        <f t="shared" si="6"/>
        <v>800</v>
      </c>
      <c r="BA74" s="34">
        <f t="shared" si="7"/>
        <v>970</v>
      </c>
      <c r="BB74" s="34">
        <f t="shared" si="107"/>
        <v>2680</v>
      </c>
      <c r="BC74" s="34">
        <f t="shared" si="8"/>
        <v>5800</v>
      </c>
      <c r="BD74" s="34">
        <f t="shared" si="9"/>
        <v>540</v>
      </c>
      <c r="BE74" s="34">
        <f t="shared" si="10"/>
        <v>770</v>
      </c>
      <c r="BF74" s="34">
        <f t="shared" si="11"/>
        <v>80</v>
      </c>
      <c r="BG74" s="34">
        <f t="shared" si="12"/>
        <v>330</v>
      </c>
      <c r="BH74" s="34">
        <f t="shared" si="13"/>
        <v>32240</v>
      </c>
      <c r="BI74" s="33">
        <f t="shared" si="108"/>
        <v>24761.9</v>
      </c>
      <c r="BJ74" s="33">
        <f t="shared" si="109"/>
        <v>7478.1</v>
      </c>
      <c r="BK74" s="34">
        <f t="shared" si="14"/>
        <v>3520</v>
      </c>
      <c r="BL74" s="426">
        <f t="shared" si="15"/>
        <v>226660</v>
      </c>
      <c r="BM74" s="616">
        <f t="shared" si="110"/>
        <v>460030</v>
      </c>
      <c r="BN74" s="33">
        <f t="shared" si="16"/>
        <v>353325.7</v>
      </c>
      <c r="BO74" s="33">
        <f t="shared" si="17"/>
        <v>106704.3</v>
      </c>
      <c r="BP74" s="34">
        <f t="shared" si="111"/>
        <v>8860</v>
      </c>
      <c r="BQ74" s="34">
        <f t="shared" si="112"/>
        <v>0</v>
      </c>
      <c r="BR74" s="34">
        <f t="shared" si="113"/>
        <v>8110</v>
      </c>
      <c r="BS74" s="34">
        <f t="shared" si="18"/>
        <v>22530</v>
      </c>
      <c r="BT74" s="34">
        <f t="shared" si="19"/>
        <v>1040</v>
      </c>
      <c r="BU74" s="34">
        <f t="shared" si="20"/>
        <v>19720</v>
      </c>
      <c r="BV74" s="34">
        <f t="shared" si="21"/>
        <v>800</v>
      </c>
      <c r="BW74" s="34">
        <f t="shared" si="22"/>
        <v>970</v>
      </c>
      <c r="BX74" s="34">
        <f t="shared" si="23"/>
        <v>7751</v>
      </c>
      <c r="BY74" s="34">
        <f t="shared" si="24"/>
        <v>5800</v>
      </c>
      <c r="BZ74" s="34">
        <f t="shared" si="25"/>
        <v>540</v>
      </c>
      <c r="CA74" s="34">
        <f t="shared" si="26"/>
        <v>770</v>
      </c>
      <c r="CB74" s="34">
        <f t="shared" si="27"/>
        <v>80</v>
      </c>
      <c r="CC74" s="34">
        <f t="shared" si="28"/>
        <v>330</v>
      </c>
      <c r="CD74" s="34">
        <f t="shared" si="29"/>
        <v>105038</v>
      </c>
      <c r="CE74" s="33">
        <f t="shared" si="114"/>
        <v>80674.3</v>
      </c>
      <c r="CF74" s="33">
        <f t="shared" si="115"/>
        <v>24363.7</v>
      </c>
      <c r="CG74" s="34">
        <f t="shared" si="30"/>
        <v>3520</v>
      </c>
      <c r="CH74" s="415">
        <f t="shared" si="31"/>
        <v>623359</v>
      </c>
      <c r="CI74" s="88">
        <f t="shared" si="32"/>
        <v>460030</v>
      </c>
      <c r="CJ74" s="90">
        <f t="shared" si="33"/>
        <v>353325.7</v>
      </c>
      <c r="CK74" s="90">
        <f t="shared" si="34"/>
        <v>106704.3</v>
      </c>
      <c r="CL74" s="88">
        <f t="shared" si="35"/>
        <v>8860</v>
      </c>
      <c r="CM74" s="88">
        <f t="shared" si="36"/>
        <v>0</v>
      </c>
      <c r="CN74" s="88">
        <f t="shared" si="37"/>
        <v>8110</v>
      </c>
      <c r="CO74" s="88">
        <f t="shared" si="38"/>
        <v>22530</v>
      </c>
      <c r="CP74" s="88">
        <f t="shared" si="39"/>
        <v>1040</v>
      </c>
      <c r="CQ74" s="88">
        <f t="shared" si="40"/>
        <v>19720</v>
      </c>
      <c r="CR74" s="88">
        <f t="shared" si="41"/>
        <v>800</v>
      </c>
      <c r="CS74" s="88">
        <f t="shared" si="42"/>
        <v>970</v>
      </c>
      <c r="CT74" s="88">
        <f t="shared" si="43"/>
        <v>7751</v>
      </c>
      <c r="CU74" s="88">
        <f t="shared" si="44"/>
        <v>5800</v>
      </c>
      <c r="CV74" s="88">
        <f t="shared" si="45"/>
        <v>540</v>
      </c>
      <c r="CW74" s="88">
        <f t="shared" si="46"/>
        <v>770</v>
      </c>
      <c r="CX74" s="88">
        <f t="shared" si="47"/>
        <v>80</v>
      </c>
      <c r="CY74" s="88">
        <f t="shared" si="48"/>
        <v>330</v>
      </c>
      <c r="CZ74" s="88">
        <f t="shared" si="49"/>
        <v>105038</v>
      </c>
      <c r="DA74" s="90">
        <f t="shared" si="50"/>
        <v>80674.3</v>
      </c>
      <c r="DB74" s="90">
        <f t="shared" si="51"/>
        <v>24363.7</v>
      </c>
      <c r="DC74" s="88">
        <f t="shared" si="52"/>
        <v>3520</v>
      </c>
      <c r="DD74" s="88">
        <f t="shared" si="53"/>
        <v>623359</v>
      </c>
      <c r="AUV74" s="699">
        <f t="shared" si="235"/>
        <v>460030</v>
      </c>
      <c r="AUW74" s="699">
        <f t="shared" si="236"/>
        <v>353325.65</v>
      </c>
      <c r="AUX74" s="699">
        <f t="shared" si="237"/>
        <v>106704.35</v>
      </c>
      <c r="AUY74" s="699">
        <f t="shared" si="238"/>
        <v>8860</v>
      </c>
      <c r="AUZ74" s="699">
        <f t="shared" si="204"/>
        <v>0</v>
      </c>
      <c r="AVA74" s="699">
        <f t="shared" si="204"/>
        <v>0.06</v>
      </c>
      <c r="AVB74" s="699">
        <f t="shared" si="239"/>
        <v>22530</v>
      </c>
      <c r="AVC74" s="699">
        <f t="shared" si="240"/>
        <v>1040</v>
      </c>
      <c r="AVD74" s="699">
        <f t="shared" si="241"/>
        <v>19720</v>
      </c>
      <c r="AVE74" s="699">
        <f t="shared" si="242"/>
        <v>800</v>
      </c>
      <c r="AVF74" s="699">
        <f t="shared" si="243"/>
        <v>970</v>
      </c>
      <c r="AVG74" s="699">
        <f t="shared" si="244"/>
        <v>7751</v>
      </c>
      <c r="AVH74" s="699">
        <f t="shared" si="245"/>
        <v>5800</v>
      </c>
      <c r="AVI74" s="699">
        <f t="shared" si="246"/>
        <v>540</v>
      </c>
      <c r="AVJ74" s="699">
        <f t="shared" si="247"/>
        <v>770</v>
      </c>
      <c r="AVK74" s="699">
        <f t="shared" si="248"/>
        <v>80</v>
      </c>
      <c r="AVL74" s="699">
        <f t="shared" si="249"/>
        <v>330</v>
      </c>
      <c r="AVM74" s="699">
        <f t="shared" si="250"/>
        <v>105038</v>
      </c>
      <c r="AVN74" s="699">
        <f t="shared" si="251"/>
        <v>80674.350000000006</v>
      </c>
      <c r="AVO74" s="699">
        <f t="shared" si="252"/>
        <v>24363.65</v>
      </c>
      <c r="AVP74" s="699">
        <f t="shared" si="253"/>
        <v>3520</v>
      </c>
      <c r="AVQ74" s="699">
        <f t="shared" si="254"/>
        <v>623359</v>
      </c>
    </row>
    <row r="75" spans="1:108 1244:1265" ht="30" customHeight="1" x14ac:dyDescent="0.25">
      <c r="A75" s="643">
        <v>1</v>
      </c>
      <c r="B75" s="643">
        <v>9</v>
      </c>
      <c r="C75" s="664" t="s">
        <v>247</v>
      </c>
      <c r="D75" s="2"/>
      <c r="E75" s="101" t="s">
        <v>345</v>
      </c>
      <c r="F75" s="643" t="s">
        <v>38</v>
      </c>
      <c r="G75" s="643">
        <v>2</v>
      </c>
      <c r="H75" s="658" t="s">
        <v>8</v>
      </c>
      <c r="I75" s="643">
        <v>3</v>
      </c>
      <c r="J75" s="101" t="s">
        <v>362</v>
      </c>
      <c r="K75" s="643">
        <v>3</v>
      </c>
      <c r="L75" s="683" t="s">
        <v>350</v>
      </c>
      <c r="M75" s="11" t="s">
        <v>297</v>
      </c>
      <c r="N75" s="101" t="s">
        <v>387</v>
      </c>
      <c r="O75" s="643">
        <v>1</v>
      </c>
      <c r="P75" s="632">
        <v>7</v>
      </c>
      <c r="Q75" s="632">
        <v>7</v>
      </c>
      <c r="R75" s="632">
        <v>7</v>
      </c>
      <c r="S75" s="675">
        <f>SUMIF('Территориальный кк'!$A:$A,'2020'!$B75,'Территориальный кк'!D:D)</f>
        <v>3.258</v>
      </c>
      <c r="T75" s="676">
        <f>SUMIF('Территориальный кк'!$A:$A,'2020'!$B75,'Территориальный кк'!E:E)</f>
        <v>2.8919999999999999</v>
      </c>
      <c r="U75" s="33">
        <f>SUMIFS(Нормативы!G:G,Нормативы!$B:$B,$G75,Нормативы!$D:$D,'2020'!$I75,Нормативы!$F:$F,'2020'!$K75)*O75</f>
        <v>12944</v>
      </c>
      <c r="V75" s="33">
        <f t="shared" si="98"/>
        <v>9941.6</v>
      </c>
      <c r="W75" s="33">
        <f t="shared" si="99"/>
        <v>3002.4</v>
      </c>
      <c r="X75" s="33">
        <f>SUMIFS(Нормативы!J:J,Нормативы!$B:$B,$G75,Нормативы!$D:$D,'2020'!$I75,Нормативы!$F:$F,'2020'!$K75)</f>
        <v>486</v>
      </c>
      <c r="Y75" s="33">
        <f>SUMIFS(Нормативы!K:K,Нормативы!$B:$B,$G75,Нормативы!$D:$D,'2020'!$I75,Нормативы!$F:$F,'2020'!$K75)</f>
        <v>97</v>
      </c>
      <c r="Z75" s="33">
        <f>SUMIFS(Нормативы!L:L,Нормативы!$B:$B,$G75,Нормативы!$D:$D,'2020'!$I75,Нормативы!$F:$F,'2020'!$K75)</f>
        <v>348</v>
      </c>
      <c r="AA75" s="33">
        <f t="shared" si="100"/>
        <v>2031</v>
      </c>
      <c r="AB75" s="33">
        <f>SUMIFS(Нормативы!N:N,Нормативы!$B:$B,$G75,Нормативы!$D:$D,'2020'!$I75,Нормативы!$F:$F,'2020'!$K75)*O75</f>
        <v>52</v>
      </c>
      <c r="AC75" s="33">
        <f>SUMIFS(Нормативы!O:O,Нормативы!$B:$B,$G75,Нормативы!$D:$D,'2020'!$I75,Нормативы!$F:$F,'2020'!$K75)</f>
        <v>1728</v>
      </c>
      <c r="AD75" s="33">
        <f>SUMIFS(Нормативы!P:P,Нормативы!$B:$B,$G75,Нормативы!$D:$D,'2020'!$I75,Нормативы!$F:$F,'2020'!$K75)*O75</f>
        <v>73</v>
      </c>
      <c r="AE75" s="33">
        <f>SUMIFS(Нормативы!Q:Q,Нормативы!$B:$B,$G75,Нормативы!$D:$D,'2020'!$I75,Нормативы!$F:$F,'2020'!$K75)</f>
        <v>178</v>
      </c>
      <c r="AF75" s="33">
        <f>SUMIFS(Нормативы!R:R,Нормативы!$B:$B,$G75,Нормативы!$D:$D,'2020'!$I75,Нормативы!$F:$F,'2020'!$K75)</f>
        <v>275</v>
      </c>
      <c r="AG75" s="33">
        <f>SUMIFS(Нормативы!S:S,Нормативы!$B:$B,$G75,Нормативы!$D:$D,'2020'!$I75,Нормативы!$F:$F,'2020'!$K75)</f>
        <v>580</v>
      </c>
      <c r="AH75" s="33">
        <f>SUMIFS(Нормативы!T:T,Нормативы!$B:$B,$G75,Нормативы!$D:$D,'2020'!$I75,Нормативы!$F:$F,'2020'!$K75)</f>
        <v>54</v>
      </c>
      <c r="AI75" s="33">
        <f>SUMIFS(Нормативы!U:U,Нормативы!$B:$B,$G75,Нормативы!$D:$D,'2020'!$I75,Нормативы!$F:$F,'2020'!$K75)</f>
        <v>77</v>
      </c>
      <c r="AJ75" s="33">
        <f>SUMIFS(Нормативы!V:V,Нормативы!$B:$B,$G75,Нормативы!$D:$D,'2020'!$I75,Нормативы!$F:$F,'2020'!$K75)</f>
        <v>8</v>
      </c>
      <c r="AK75" s="33">
        <f>SUMIFS(Нормативы!W:W,Нормативы!$B:$B,$G75,Нормативы!$D:$D,'2020'!$I75,Нормативы!$F:$F,'2020'!$K75)</f>
        <v>39</v>
      </c>
      <c r="AL75" s="33">
        <f>SUMIFS(Нормативы!X:X,Нормативы!$B:$B,$G75,Нормативы!$D:$D,'2020'!$I75,Нормативы!$F:$F,'2020'!$K75)*O75</f>
        <v>1612</v>
      </c>
      <c r="AM75" s="33">
        <f t="shared" si="101"/>
        <v>1238.0999999999999</v>
      </c>
      <c r="AN75" s="33">
        <f t="shared" si="102"/>
        <v>373.9</v>
      </c>
      <c r="AO75" s="33">
        <f>SUMIFS(Нормативы!AA:AA,Нормативы!$B:$B,$G75,Нормативы!$D:$D,'2020'!$I75,Нормативы!$F:$F,'2020'!$K75)</f>
        <v>0</v>
      </c>
      <c r="AP75" s="141">
        <f t="shared" si="103"/>
        <v>18454</v>
      </c>
      <c r="AQ75" s="413">
        <f t="shared" si="104"/>
        <v>90608</v>
      </c>
      <c r="AR75" s="33">
        <f t="shared" si="105"/>
        <v>69591.399999999994</v>
      </c>
      <c r="AS75" s="33">
        <f t="shared" si="106"/>
        <v>21016.6</v>
      </c>
      <c r="AT75" s="34">
        <f t="shared" si="0"/>
        <v>3402</v>
      </c>
      <c r="AU75" s="34">
        <f t="shared" si="1"/>
        <v>679</v>
      </c>
      <c r="AV75" s="34">
        <f t="shared" si="2"/>
        <v>2436</v>
      </c>
      <c r="AW75" s="34">
        <f t="shared" si="3"/>
        <v>14217</v>
      </c>
      <c r="AX75" s="34">
        <f t="shared" si="4"/>
        <v>364</v>
      </c>
      <c r="AY75" s="34">
        <f t="shared" si="5"/>
        <v>12096</v>
      </c>
      <c r="AZ75" s="34">
        <f t="shared" si="6"/>
        <v>511</v>
      </c>
      <c r="BA75" s="34">
        <f t="shared" si="7"/>
        <v>1246</v>
      </c>
      <c r="BB75" s="34">
        <f t="shared" si="107"/>
        <v>1925</v>
      </c>
      <c r="BC75" s="34">
        <f t="shared" si="8"/>
        <v>4060</v>
      </c>
      <c r="BD75" s="34">
        <f t="shared" si="9"/>
        <v>378</v>
      </c>
      <c r="BE75" s="34">
        <f t="shared" si="10"/>
        <v>539</v>
      </c>
      <c r="BF75" s="34">
        <f t="shared" si="11"/>
        <v>56</v>
      </c>
      <c r="BG75" s="34">
        <f t="shared" si="12"/>
        <v>273</v>
      </c>
      <c r="BH75" s="34">
        <f t="shared" si="13"/>
        <v>11284</v>
      </c>
      <c r="BI75" s="33">
        <f t="shared" si="108"/>
        <v>8666.7000000000007</v>
      </c>
      <c r="BJ75" s="33">
        <f t="shared" si="109"/>
        <v>2617.3000000000002</v>
      </c>
      <c r="BK75" s="34">
        <f t="shared" si="14"/>
        <v>0</v>
      </c>
      <c r="BL75" s="426">
        <f t="shared" si="15"/>
        <v>129178</v>
      </c>
      <c r="BM75" s="616">
        <f t="shared" si="110"/>
        <v>295201</v>
      </c>
      <c r="BN75" s="33">
        <f t="shared" si="16"/>
        <v>226728.9</v>
      </c>
      <c r="BO75" s="33">
        <f t="shared" si="17"/>
        <v>68472.100000000006</v>
      </c>
      <c r="BP75" s="34">
        <f t="shared" si="111"/>
        <v>3402</v>
      </c>
      <c r="BQ75" s="34">
        <f t="shared" si="112"/>
        <v>679</v>
      </c>
      <c r="BR75" s="34">
        <f t="shared" si="113"/>
        <v>2436</v>
      </c>
      <c r="BS75" s="34">
        <f t="shared" si="18"/>
        <v>14217</v>
      </c>
      <c r="BT75" s="34">
        <f t="shared" si="19"/>
        <v>364</v>
      </c>
      <c r="BU75" s="34">
        <f t="shared" si="20"/>
        <v>12096</v>
      </c>
      <c r="BV75" s="34">
        <f t="shared" si="21"/>
        <v>511</v>
      </c>
      <c r="BW75" s="34">
        <f t="shared" si="22"/>
        <v>1246</v>
      </c>
      <c r="BX75" s="34">
        <f t="shared" si="23"/>
        <v>5567</v>
      </c>
      <c r="BY75" s="34">
        <f t="shared" si="24"/>
        <v>4060</v>
      </c>
      <c r="BZ75" s="34">
        <f t="shared" si="25"/>
        <v>378</v>
      </c>
      <c r="CA75" s="34">
        <f t="shared" si="26"/>
        <v>539</v>
      </c>
      <c r="CB75" s="34">
        <f t="shared" si="27"/>
        <v>56</v>
      </c>
      <c r="CC75" s="34">
        <f t="shared" si="28"/>
        <v>273</v>
      </c>
      <c r="CD75" s="34">
        <f t="shared" si="29"/>
        <v>36763</v>
      </c>
      <c r="CE75" s="33">
        <f t="shared" si="114"/>
        <v>28235.8</v>
      </c>
      <c r="CF75" s="33">
        <f t="shared" si="115"/>
        <v>8527.2000000000007</v>
      </c>
      <c r="CG75" s="34">
        <f t="shared" si="30"/>
        <v>0</v>
      </c>
      <c r="CH75" s="415">
        <f t="shared" si="31"/>
        <v>362892</v>
      </c>
      <c r="CI75" s="88">
        <f t="shared" si="32"/>
        <v>42171.571400000001</v>
      </c>
      <c r="CJ75" s="90">
        <f t="shared" si="33"/>
        <v>32389.8429</v>
      </c>
      <c r="CK75" s="90">
        <f t="shared" si="34"/>
        <v>9781.7286000000004</v>
      </c>
      <c r="CL75" s="88">
        <f t="shared" si="35"/>
        <v>486</v>
      </c>
      <c r="CM75" s="88">
        <f t="shared" si="36"/>
        <v>97</v>
      </c>
      <c r="CN75" s="88">
        <f t="shared" si="37"/>
        <v>348</v>
      </c>
      <c r="CO75" s="88">
        <f t="shared" si="38"/>
        <v>2031</v>
      </c>
      <c r="CP75" s="88">
        <f t="shared" si="39"/>
        <v>52</v>
      </c>
      <c r="CQ75" s="88">
        <f t="shared" si="40"/>
        <v>1728</v>
      </c>
      <c r="CR75" s="88">
        <f t="shared" si="41"/>
        <v>73</v>
      </c>
      <c r="CS75" s="88">
        <f t="shared" si="42"/>
        <v>178</v>
      </c>
      <c r="CT75" s="88">
        <f t="shared" si="43"/>
        <v>795.28570000000002</v>
      </c>
      <c r="CU75" s="88">
        <f t="shared" si="44"/>
        <v>580</v>
      </c>
      <c r="CV75" s="88">
        <f t="shared" si="45"/>
        <v>54</v>
      </c>
      <c r="CW75" s="88">
        <f t="shared" si="46"/>
        <v>77</v>
      </c>
      <c r="CX75" s="88">
        <f t="shared" si="47"/>
        <v>8</v>
      </c>
      <c r="CY75" s="88">
        <f t="shared" si="48"/>
        <v>39</v>
      </c>
      <c r="CZ75" s="88">
        <f t="shared" si="49"/>
        <v>5251.8571000000002</v>
      </c>
      <c r="DA75" s="90">
        <f t="shared" si="50"/>
        <v>4033.6857</v>
      </c>
      <c r="DB75" s="90">
        <f t="shared" si="51"/>
        <v>1218.1713999999999</v>
      </c>
      <c r="DC75" s="88">
        <f t="shared" si="52"/>
        <v>0</v>
      </c>
      <c r="DD75" s="88">
        <f t="shared" si="53"/>
        <v>51841.7143</v>
      </c>
      <c r="AUV75" s="699">
        <f t="shared" si="235"/>
        <v>42171.57</v>
      </c>
      <c r="AUW75" s="699">
        <f t="shared" si="236"/>
        <v>32389.84</v>
      </c>
      <c r="AUX75" s="699">
        <f t="shared" si="237"/>
        <v>9781.73</v>
      </c>
      <c r="AUY75" s="699">
        <f t="shared" si="238"/>
        <v>486</v>
      </c>
      <c r="AUZ75" s="699">
        <f t="shared" si="204"/>
        <v>234.79</v>
      </c>
      <c r="AVA75" s="699">
        <f t="shared" si="204"/>
        <v>0.19</v>
      </c>
      <c r="AVB75" s="699">
        <f t="shared" si="239"/>
        <v>2031</v>
      </c>
      <c r="AVC75" s="699">
        <f t="shared" si="240"/>
        <v>52</v>
      </c>
      <c r="AVD75" s="699">
        <f t="shared" si="241"/>
        <v>1728</v>
      </c>
      <c r="AVE75" s="699">
        <f t="shared" si="242"/>
        <v>73</v>
      </c>
      <c r="AVF75" s="699">
        <f t="shared" si="243"/>
        <v>178</v>
      </c>
      <c r="AVG75" s="699">
        <f t="shared" si="244"/>
        <v>795.29</v>
      </c>
      <c r="AVH75" s="699">
        <f t="shared" si="245"/>
        <v>580</v>
      </c>
      <c r="AVI75" s="699">
        <f t="shared" si="246"/>
        <v>54</v>
      </c>
      <c r="AVJ75" s="699">
        <f t="shared" si="247"/>
        <v>77</v>
      </c>
      <c r="AVK75" s="699">
        <f t="shared" si="248"/>
        <v>8</v>
      </c>
      <c r="AVL75" s="699">
        <f t="shared" si="249"/>
        <v>39</v>
      </c>
      <c r="AVM75" s="699">
        <f t="shared" si="250"/>
        <v>5251.86</v>
      </c>
      <c r="AVN75" s="699">
        <f t="shared" si="251"/>
        <v>4033.69</v>
      </c>
      <c r="AVO75" s="699">
        <f t="shared" si="252"/>
        <v>1218.17</v>
      </c>
      <c r="AVP75" s="699">
        <f t="shared" si="253"/>
        <v>0</v>
      </c>
      <c r="AVQ75" s="699">
        <f t="shared" si="254"/>
        <v>51841.71</v>
      </c>
    </row>
    <row r="76" spans="1:108 1244:1265" ht="30" customHeight="1" x14ac:dyDescent="0.25">
      <c r="A76" s="643">
        <v>1</v>
      </c>
      <c r="B76" s="643">
        <v>9</v>
      </c>
      <c r="C76" s="664" t="s">
        <v>247</v>
      </c>
      <c r="D76" s="2"/>
      <c r="E76" s="101" t="s">
        <v>345</v>
      </c>
      <c r="F76" s="643" t="s">
        <v>38</v>
      </c>
      <c r="G76" s="643">
        <v>2</v>
      </c>
      <c r="H76" s="658" t="s">
        <v>8</v>
      </c>
      <c r="I76" s="643">
        <v>3</v>
      </c>
      <c r="J76" s="101" t="s">
        <v>362</v>
      </c>
      <c r="K76" s="643">
        <v>3</v>
      </c>
      <c r="L76" s="683" t="s">
        <v>350</v>
      </c>
      <c r="M76" s="11" t="s">
        <v>298</v>
      </c>
      <c r="N76" s="101" t="s">
        <v>401</v>
      </c>
      <c r="O76" s="643">
        <v>2</v>
      </c>
      <c r="P76" s="632"/>
      <c r="Q76" s="632"/>
      <c r="R76" s="632"/>
      <c r="S76" s="675">
        <f>SUMIF('Территориальный кк'!$A:$A,'2020'!$B76,'Территориальный кк'!D:D)</f>
        <v>3.258</v>
      </c>
      <c r="T76" s="676">
        <f>SUMIF('Территориальный кк'!$A:$A,'2020'!$B76,'Территориальный кк'!E:E)</f>
        <v>2.8919999999999999</v>
      </c>
      <c r="U76" s="33">
        <f>SUMIFS(Нормативы!G:G,Нормативы!$B:$B,$G76,Нормативы!$D:$D,'2020'!$I76,Нормативы!$F:$F,'2020'!$K76)*O76</f>
        <v>25888</v>
      </c>
      <c r="V76" s="33">
        <f t="shared" si="98"/>
        <v>19883.3</v>
      </c>
      <c r="W76" s="33">
        <f t="shared" si="99"/>
        <v>6004.7</v>
      </c>
      <c r="X76" s="33">
        <f>SUMIFS(Нормативы!J:J,Нормативы!$B:$B,$G76,Нормативы!$D:$D,'2020'!$I76,Нормативы!$F:$F,'2020'!$K76)</f>
        <v>486</v>
      </c>
      <c r="Y76" s="33">
        <f>SUMIFS(Нормативы!K:K,Нормативы!$B:$B,$G76,Нормативы!$D:$D,'2020'!$I76,Нормативы!$F:$F,'2020'!$K76)</f>
        <v>97</v>
      </c>
      <c r="Z76" s="33">
        <f>SUMIFS(Нормативы!L:L,Нормативы!$B:$B,$G76,Нормативы!$D:$D,'2020'!$I76,Нормативы!$F:$F,'2020'!$K76)</f>
        <v>348</v>
      </c>
      <c r="AA76" s="33">
        <f t="shared" si="100"/>
        <v>2156</v>
      </c>
      <c r="AB76" s="33">
        <f>SUMIFS(Нормативы!N:N,Нормативы!$B:$B,$G76,Нормативы!$D:$D,'2020'!$I76,Нормативы!$F:$F,'2020'!$K76)*O76</f>
        <v>104</v>
      </c>
      <c r="AC76" s="33">
        <f>SUMIFS(Нормативы!O:O,Нормативы!$B:$B,$G76,Нормативы!$D:$D,'2020'!$I76,Нормативы!$F:$F,'2020'!$K76)</f>
        <v>1728</v>
      </c>
      <c r="AD76" s="33">
        <f>SUMIFS(Нормативы!P:P,Нормативы!$B:$B,$G76,Нормативы!$D:$D,'2020'!$I76,Нормативы!$F:$F,'2020'!$K76)*O76</f>
        <v>146</v>
      </c>
      <c r="AE76" s="33">
        <f>SUMIFS(Нормативы!Q:Q,Нормативы!$B:$B,$G76,Нормативы!$D:$D,'2020'!$I76,Нормативы!$F:$F,'2020'!$K76)</f>
        <v>178</v>
      </c>
      <c r="AF76" s="33">
        <f>SUMIFS(Нормативы!R:R,Нормативы!$B:$B,$G76,Нормативы!$D:$D,'2020'!$I76,Нормативы!$F:$F,'2020'!$K76)</f>
        <v>275</v>
      </c>
      <c r="AG76" s="33">
        <f>SUMIFS(Нормативы!S:S,Нормативы!$B:$B,$G76,Нормативы!$D:$D,'2020'!$I76,Нормативы!$F:$F,'2020'!$K76)</f>
        <v>580</v>
      </c>
      <c r="AH76" s="33">
        <f>SUMIFS(Нормативы!T:T,Нормативы!$B:$B,$G76,Нормативы!$D:$D,'2020'!$I76,Нормативы!$F:$F,'2020'!$K76)</f>
        <v>54</v>
      </c>
      <c r="AI76" s="33">
        <f>SUMIFS(Нормативы!U:U,Нормативы!$B:$B,$G76,Нормативы!$D:$D,'2020'!$I76,Нормативы!$F:$F,'2020'!$K76)</f>
        <v>77</v>
      </c>
      <c r="AJ76" s="33">
        <f>SUMIFS(Нормативы!V:V,Нормативы!$B:$B,$G76,Нормативы!$D:$D,'2020'!$I76,Нормативы!$F:$F,'2020'!$K76)</f>
        <v>8</v>
      </c>
      <c r="AK76" s="33">
        <f>SUMIFS(Нормативы!W:W,Нормативы!$B:$B,$G76,Нормативы!$D:$D,'2020'!$I76,Нормативы!$F:$F,'2020'!$K76)</f>
        <v>39</v>
      </c>
      <c r="AL76" s="33">
        <f>SUMIFS(Нормативы!X:X,Нормативы!$B:$B,$G76,Нормативы!$D:$D,'2020'!$I76,Нормативы!$F:$F,'2020'!$K76)*O76</f>
        <v>3224</v>
      </c>
      <c r="AM76" s="33">
        <f t="shared" si="101"/>
        <v>2476.1999999999998</v>
      </c>
      <c r="AN76" s="33">
        <f t="shared" si="102"/>
        <v>747.8</v>
      </c>
      <c r="AO76" s="33">
        <f>SUMIFS(Нормативы!AA:AA,Нормативы!$B:$B,$G76,Нормативы!$D:$D,'2020'!$I76,Нормативы!$F:$F,'2020'!$K76)</f>
        <v>0</v>
      </c>
      <c r="AP76" s="141">
        <f t="shared" si="103"/>
        <v>33135</v>
      </c>
      <c r="AQ76" s="413">
        <f t="shared" si="104"/>
        <v>0</v>
      </c>
      <c r="AR76" s="33">
        <f t="shared" si="105"/>
        <v>0</v>
      </c>
      <c r="AS76" s="33">
        <f t="shared" si="106"/>
        <v>0</v>
      </c>
      <c r="AT76" s="34">
        <f t="shared" si="0"/>
        <v>0</v>
      </c>
      <c r="AU76" s="34">
        <f t="shared" si="1"/>
        <v>0</v>
      </c>
      <c r="AV76" s="34">
        <f t="shared" si="2"/>
        <v>0</v>
      </c>
      <c r="AW76" s="34">
        <f t="shared" si="3"/>
        <v>0</v>
      </c>
      <c r="AX76" s="34">
        <f t="shared" si="4"/>
        <v>0</v>
      </c>
      <c r="AY76" s="34">
        <f t="shared" si="5"/>
        <v>0</v>
      </c>
      <c r="AZ76" s="34">
        <f t="shared" si="6"/>
        <v>0</v>
      </c>
      <c r="BA76" s="34">
        <f t="shared" si="7"/>
        <v>0</v>
      </c>
      <c r="BB76" s="34">
        <f t="shared" si="107"/>
        <v>0</v>
      </c>
      <c r="BC76" s="34">
        <f t="shared" si="8"/>
        <v>0</v>
      </c>
      <c r="BD76" s="34">
        <f t="shared" si="9"/>
        <v>0</v>
      </c>
      <c r="BE76" s="34">
        <f t="shared" si="10"/>
        <v>0</v>
      </c>
      <c r="BF76" s="34">
        <f t="shared" si="11"/>
        <v>0</v>
      </c>
      <c r="BG76" s="34">
        <f t="shared" si="12"/>
        <v>0</v>
      </c>
      <c r="BH76" s="34">
        <f t="shared" si="13"/>
        <v>0</v>
      </c>
      <c r="BI76" s="33">
        <f t="shared" si="108"/>
        <v>0</v>
      </c>
      <c r="BJ76" s="33">
        <f t="shared" si="109"/>
        <v>0</v>
      </c>
      <c r="BK76" s="34">
        <f t="shared" si="14"/>
        <v>0</v>
      </c>
      <c r="BL76" s="426">
        <f t="shared" si="15"/>
        <v>0</v>
      </c>
      <c r="BM76" s="616">
        <f t="shared" si="110"/>
        <v>0</v>
      </c>
      <c r="BN76" s="33">
        <f t="shared" si="16"/>
        <v>0</v>
      </c>
      <c r="BO76" s="33">
        <f t="shared" si="17"/>
        <v>0</v>
      </c>
      <c r="BP76" s="34">
        <f t="shared" si="111"/>
        <v>0</v>
      </c>
      <c r="BQ76" s="34">
        <f t="shared" si="112"/>
        <v>0</v>
      </c>
      <c r="BR76" s="34">
        <f t="shared" si="113"/>
        <v>0</v>
      </c>
      <c r="BS76" s="34">
        <f t="shared" si="18"/>
        <v>0</v>
      </c>
      <c r="BT76" s="34">
        <f t="shared" si="19"/>
        <v>0</v>
      </c>
      <c r="BU76" s="34">
        <f t="shared" si="20"/>
        <v>0</v>
      </c>
      <c r="BV76" s="34">
        <f t="shared" si="21"/>
        <v>0</v>
      </c>
      <c r="BW76" s="34">
        <f t="shared" si="22"/>
        <v>0</v>
      </c>
      <c r="BX76" s="34">
        <f t="shared" si="23"/>
        <v>0</v>
      </c>
      <c r="BY76" s="34">
        <f t="shared" si="24"/>
        <v>0</v>
      </c>
      <c r="BZ76" s="34">
        <f t="shared" si="25"/>
        <v>0</v>
      </c>
      <c r="CA76" s="34">
        <f t="shared" si="26"/>
        <v>0</v>
      </c>
      <c r="CB76" s="34">
        <f t="shared" si="27"/>
        <v>0</v>
      </c>
      <c r="CC76" s="34">
        <f t="shared" si="28"/>
        <v>0</v>
      </c>
      <c r="CD76" s="34">
        <f t="shared" si="29"/>
        <v>0</v>
      </c>
      <c r="CE76" s="33">
        <f t="shared" si="114"/>
        <v>0</v>
      </c>
      <c r="CF76" s="33">
        <f t="shared" si="115"/>
        <v>0</v>
      </c>
      <c r="CG76" s="34">
        <f t="shared" si="30"/>
        <v>0</v>
      </c>
      <c r="CH76" s="415">
        <f t="shared" si="31"/>
        <v>0</v>
      </c>
      <c r="CI76" s="88" t="e">
        <f t="shared" si="32"/>
        <v>#DIV/0!</v>
      </c>
      <c r="CJ76" s="90" t="e">
        <f t="shared" si="33"/>
        <v>#DIV/0!</v>
      </c>
      <c r="CK76" s="90" t="e">
        <f t="shared" si="34"/>
        <v>#DIV/0!</v>
      </c>
      <c r="CL76" s="88" t="e">
        <f t="shared" si="35"/>
        <v>#DIV/0!</v>
      </c>
      <c r="CM76" s="88" t="e">
        <f t="shared" si="36"/>
        <v>#DIV/0!</v>
      </c>
      <c r="CN76" s="88" t="e">
        <f t="shared" si="37"/>
        <v>#DIV/0!</v>
      </c>
      <c r="CO76" s="88" t="e">
        <f t="shared" si="38"/>
        <v>#DIV/0!</v>
      </c>
      <c r="CP76" s="88" t="e">
        <f t="shared" si="39"/>
        <v>#DIV/0!</v>
      </c>
      <c r="CQ76" s="88" t="e">
        <f t="shared" si="40"/>
        <v>#DIV/0!</v>
      </c>
      <c r="CR76" s="88" t="e">
        <f t="shared" si="41"/>
        <v>#DIV/0!</v>
      </c>
      <c r="CS76" s="88" t="e">
        <f t="shared" si="42"/>
        <v>#DIV/0!</v>
      </c>
      <c r="CT76" s="88" t="e">
        <f t="shared" si="43"/>
        <v>#DIV/0!</v>
      </c>
      <c r="CU76" s="88" t="e">
        <f t="shared" si="44"/>
        <v>#DIV/0!</v>
      </c>
      <c r="CV76" s="88" t="e">
        <f t="shared" si="45"/>
        <v>#DIV/0!</v>
      </c>
      <c r="CW76" s="88" t="e">
        <f t="shared" si="46"/>
        <v>#DIV/0!</v>
      </c>
      <c r="CX76" s="88" t="e">
        <f t="shared" si="47"/>
        <v>#DIV/0!</v>
      </c>
      <c r="CY76" s="88" t="e">
        <f t="shared" si="48"/>
        <v>#DIV/0!</v>
      </c>
      <c r="CZ76" s="88" t="e">
        <f t="shared" si="49"/>
        <v>#DIV/0!</v>
      </c>
      <c r="DA76" s="90" t="e">
        <f t="shared" si="50"/>
        <v>#DIV/0!</v>
      </c>
      <c r="DB76" s="90" t="e">
        <f t="shared" si="51"/>
        <v>#DIV/0!</v>
      </c>
      <c r="DC76" s="88" t="e">
        <f t="shared" si="52"/>
        <v>#DIV/0!</v>
      </c>
      <c r="DD76" s="88" t="e">
        <f t="shared" si="53"/>
        <v>#DIV/0!</v>
      </c>
      <c r="AUV76" s="699">
        <v>0</v>
      </c>
      <c r="AUW76" s="699">
        <f t="shared" si="236"/>
        <v>0</v>
      </c>
      <c r="AUX76" s="699">
        <f t="shared" si="237"/>
        <v>0</v>
      </c>
      <c r="AUY76" s="699">
        <f t="shared" si="204"/>
        <v>0</v>
      </c>
      <c r="AUZ76" s="699">
        <f t="shared" si="204"/>
        <v>0</v>
      </c>
      <c r="AVA76" s="699">
        <f t="shared" si="204"/>
        <v>0</v>
      </c>
      <c r="AVB76" s="699">
        <f t="shared" si="204"/>
        <v>0</v>
      </c>
      <c r="AVC76" s="697"/>
      <c r="AVD76" s="697"/>
      <c r="AVE76" s="697"/>
      <c r="AVF76" s="697"/>
      <c r="AVG76" s="697"/>
      <c r="AVH76" s="697"/>
      <c r="AVI76" s="697"/>
      <c r="AVJ76" s="697"/>
      <c r="AVK76" s="697"/>
      <c r="AVL76" s="697"/>
      <c r="AVM76" s="697"/>
      <c r="AVN76" s="697"/>
      <c r="AVO76" s="697"/>
      <c r="AVP76" s="697"/>
      <c r="AVQ76" s="697"/>
    </row>
    <row r="77" spans="1:108 1244:1265" ht="30" customHeight="1" x14ac:dyDescent="0.25">
      <c r="A77" s="643">
        <v>1</v>
      </c>
      <c r="B77" s="643">
        <v>9</v>
      </c>
      <c r="C77" s="664" t="s">
        <v>247</v>
      </c>
      <c r="D77" s="2"/>
      <c r="E77" s="101" t="s">
        <v>345</v>
      </c>
      <c r="F77" s="643" t="s">
        <v>38</v>
      </c>
      <c r="G77" s="643">
        <v>2</v>
      </c>
      <c r="H77" s="658" t="s">
        <v>10</v>
      </c>
      <c r="I77" s="643">
        <v>0</v>
      </c>
      <c r="J77" s="101" t="s">
        <v>363</v>
      </c>
      <c r="K77" s="643">
        <v>3</v>
      </c>
      <c r="L77" s="683" t="s">
        <v>350</v>
      </c>
      <c r="M77" s="11" t="s">
        <v>269</v>
      </c>
      <c r="N77" s="101" t="s">
        <v>387</v>
      </c>
      <c r="O77" s="643">
        <v>1</v>
      </c>
      <c r="P77" s="632">
        <v>42</v>
      </c>
      <c r="Q77" s="632">
        <v>42</v>
      </c>
      <c r="R77" s="632">
        <v>42</v>
      </c>
      <c r="S77" s="675">
        <f>SUMIF('Территориальный кк'!$A:$A,'2020'!$B77,'Территориальный кк'!D:D)</f>
        <v>3.258</v>
      </c>
      <c r="T77" s="676">
        <f>SUMIF('Территориальный кк'!$A:$A,'2020'!$B77,'Территориальный кк'!E:E)</f>
        <v>2.8919999999999999</v>
      </c>
      <c r="U77" s="33">
        <f>SUMIFS(Нормативы!G:G,Нормативы!$B:$B,$G77,Нормативы!$D:$D,'2020'!$I77,Нормативы!$F:$F,'2020'!$K77)*O77</f>
        <v>70600</v>
      </c>
      <c r="V77" s="33">
        <f t="shared" si="98"/>
        <v>54224.3</v>
      </c>
      <c r="W77" s="33">
        <f t="shared" si="99"/>
        <v>16375.7</v>
      </c>
      <c r="X77" s="33">
        <f>SUMIFS(Нормативы!J:J,Нормативы!$B:$B,$G77,Нормативы!$D:$D,'2020'!$I77,Нормативы!$F:$F,'2020'!$K77)</f>
        <v>8860</v>
      </c>
      <c r="Y77" s="33">
        <f>SUMIFS(Нормативы!K:K,Нормативы!$B:$B,$G77,Нормативы!$D:$D,'2020'!$I77,Нормативы!$F:$F,'2020'!$K77)</f>
        <v>0</v>
      </c>
      <c r="Z77" s="33">
        <f>SUMIFS(Нормативы!L:L,Нормативы!$B:$B,$G77,Нормативы!$D:$D,'2020'!$I77,Нормативы!$F:$F,'2020'!$K77)</f>
        <v>8110</v>
      </c>
      <c r="AA77" s="33">
        <f t="shared" si="100"/>
        <v>21610</v>
      </c>
      <c r="AB77" s="33">
        <f>SUMIFS(Нормативы!N:N,Нормативы!$B:$B,$G77,Нормативы!$D:$D,'2020'!$I77,Нормативы!$F:$F,'2020'!$K77)*O77</f>
        <v>520</v>
      </c>
      <c r="AC77" s="33">
        <f>SUMIFS(Нормативы!O:O,Нормативы!$B:$B,$G77,Нормативы!$D:$D,'2020'!$I77,Нормативы!$F:$F,'2020'!$K77)</f>
        <v>19720</v>
      </c>
      <c r="AD77" s="33">
        <f>SUMIFS(Нормативы!P:P,Нормативы!$B:$B,$G77,Нормативы!$D:$D,'2020'!$I77,Нормативы!$F:$F,'2020'!$K77)*O77</f>
        <v>400</v>
      </c>
      <c r="AE77" s="33">
        <f>SUMIFS(Нормативы!Q:Q,Нормативы!$B:$B,$G77,Нормативы!$D:$D,'2020'!$I77,Нормативы!$F:$F,'2020'!$K77)</f>
        <v>970</v>
      </c>
      <c r="AF77" s="33">
        <f>SUMIFS(Нормативы!R:R,Нормативы!$B:$B,$G77,Нормативы!$D:$D,'2020'!$I77,Нормативы!$F:$F,'2020'!$K77)</f>
        <v>2680</v>
      </c>
      <c r="AG77" s="33">
        <f>SUMIFS(Нормативы!S:S,Нормативы!$B:$B,$G77,Нормативы!$D:$D,'2020'!$I77,Нормативы!$F:$F,'2020'!$K77)</f>
        <v>5800</v>
      </c>
      <c r="AH77" s="33">
        <f>SUMIFS(Нормативы!T:T,Нормативы!$B:$B,$G77,Нормативы!$D:$D,'2020'!$I77,Нормативы!$F:$F,'2020'!$K77)</f>
        <v>540</v>
      </c>
      <c r="AI77" s="33">
        <f>SUMIFS(Нормативы!U:U,Нормативы!$B:$B,$G77,Нормативы!$D:$D,'2020'!$I77,Нормативы!$F:$F,'2020'!$K77)</f>
        <v>770</v>
      </c>
      <c r="AJ77" s="33">
        <f>SUMIFS(Нормативы!V:V,Нормативы!$B:$B,$G77,Нормативы!$D:$D,'2020'!$I77,Нормативы!$F:$F,'2020'!$K77)</f>
        <v>80</v>
      </c>
      <c r="AK77" s="33">
        <f>SUMIFS(Нормативы!W:W,Нормативы!$B:$B,$G77,Нормативы!$D:$D,'2020'!$I77,Нормативы!$F:$F,'2020'!$K77)</f>
        <v>330</v>
      </c>
      <c r="AL77" s="33">
        <f>SUMIFS(Нормативы!X:X,Нормативы!$B:$B,$G77,Нормативы!$D:$D,'2020'!$I77,Нормативы!$F:$F,'2020'!$K77)*O77</f>
        <v>16120</v>
      </c>
      <c r="AM77" s="33">
        <f t="shared" si="101"/>
        <v>12381</v>
      </c>
      <c r="AN77" s="33">
        <f t="shared" si="102"/>
        <v>3739</v>
      </c>
      <c r="AO77" s="33">
        <f>SUMIFS(Нормативы!AA:AA,Нормативы!$B:$B,$G77,Нормативы!$D:$D,'2020'!$I77,Нормативы!$F:$F,'2020'!$K77)</f>
        <v>3520</v>
      </c>
      <c r="AP77" s="141">
        <f t="shared" si="103"/>
        <v>139020</v>
      </c>
      <c r="AQ77" s="413">
        <f t="shared" si="104"/>
        <v>2965200</v>
      </c>
      <c r="AR77" s="33">
        <f t="shared" si="105"/>
        <v>2277419.4</v>
      </c>
      <c r="AS77" s="33">
        <f t="shared" si="106"/>
        <v>687780.6</v>
      </c>
      <c r="AT77" s="34">
        <f t="shared" si="0"/>
        <v>372120</v>
      </c>
      <c r="AU77" s="34">
        <f t="shared" si="1"/>
        <v>0</v>
      </c>
      <c r="AV77" s="34">
        <f t="shared" si="2"/>
        <v>340620</v>
      </c>
      <c r="AW77" s="34">
        <f t="shared" si="3"/>
        <v>907620</v>
      </c>
      <c r="AX77" s="34">
        <f t="shared" si="4"/>
        <v>21840</v>
      </c>
      <c r="AY77" s="34">
        <f t="shared" si="5"/>
        <v>828240</v>
      </c>
      <c r="AZ77" s="34">
        <f t="shared" si="6"/>
        <v>16800</v>
      </c>
      <c r="BA77" s="34">
        <f t="shared" si="7"/>
        <v>40740</v>
      </c>
      <c r="BB77" s="34">
        <f t="shared" si="107"/>
        <v>112560</v>
      </c>
      <c r="BC77" s="34">
        <f t="shared" si="8"/>
        <v>243600</v>
      </c>
      <c r="BD77" s="34">
        <f t="shared" si="9"/>
        <v>22680</v>
      </c>
      <c r="BE77" s="34">
        <f t="shared" si="10"/>
        <v>32340</v>
      </c>
      <c r="BF77" s="34">
        <f t="shared" si="11"/>
        <v>3360</v>
      </c>
      <c r="BG77" s="34">
        <f t="shared" si="12"/>
        <v>13860</v>
      </c>
      <c r="BH77" s="34">
        <f t="shared" si="13"/>
        <v>677040</v>
      </c>
      <c r="BI77" s="33">
        <f t="shared" si="108"/>
        <v>520000</v>
      </c>
      <c r="BJ77" s="33">
        <f t="shared" si="109"/>
        <v>157040</v>
      </c>
      <c r="BK77" s="34">
        <f t="shared" si="14"/>
        <v>147840</v>
      </c>
      <c r="BL77" s="426">
        <f t="shared" si="15"/>
        <v>5838840</v>
      </c>
      <c r="BM77" s="616">
        <f t="shared" si="110"/>
        <v>9660622</v>
      </c>
      <c r="BN77" s="33">
        <f t="shared" si="16"/>
        <v>7419832.5999999996</v>
      </c>
      <c r="BO77" s="33">
        <f t="shared" si="17"/>
        <v>2240789.4</v>
      </c>
      <c r="BP77" s="34">
        <f t="shared" si="111"/>
        <v>372120</v>
      </c>
      <c r="BQ77" s="34">
        <f t="shared" si="112"/>
        <v>0</v>
      </c>
      <c r="BR77" s="34">
        <f t="shared" si="113"/>
        <v>340620</v>
      </c>
      <c r="BS77" s="34">
        <f t="shared" si="18"/>
        <v>907620</v>
      </c>
      <c r="BT77" s="34">
        <f t="shared" si="19"/>
        <v>21840</v>
      </c>
      <c r="BU77" s="34">
        <f t="shared" si="20"/>
        <v>828240</v>
      </c>
      <c r="BV77" s="34">
        <f t="shared" si="21"/>
        <v>16800</v>
      </c>
      <c r="BW77" s="34">
        <f t="shared" si="22"/>
        <v>40740</v>
      </c>
      <c r="BX77" s="34">
        <f t="shared" si="23"/>
        <v>325524</v>
      </c>
      <c r="BY77" s="34">
        <f t="shared" si="24"/>
        <v>243600</v>
      </c>
      <c r="BZ77" s="34">
        <f t="shared" si="25"/>
        <v>22680</v>
      </c>
      <c r="CA77" s="34">
        <f t="shared" si="26"/>
        <v>32340</v>
      </c>
      <c r="CB77" s="34">
        <f t="shared" si="27"/>
        <v>3360</v>
      </c>
      <c r="CC77" s="34">
        <f t="shared" si="28"/>
        <v>13860</v>
      </c>
      <c r="CD77" s="34">
        <f t="shared" si="29"/>
        <v>2205796</v>
      </c>
      <c r="CE77" s="33">
        <f t="shared" si="114"/>
        <v>1694159.8</v>
      </c>
      <c r="CF77" s="33">
        <f t="shared" si="115"/>
        <v>511636.2</v>
      </c>
      <c r="CG77" s="34">
        <f t="shared" si="30"/>
        <v>147840</v>
      </c>
      <c r="CH77" s="415">
        <f t="shared" si="31"/>
        <v>14275982</v>
      </c>
      <c r="CI77" s="88">
        <f t="shared" si="32"/>
        <v>230014.8095</v>
      </c>
      <c r="CJ77" s="90">
        <f t="shared" si="33"/>
        <v>176662.68100000001</v>
      </c>
      <c r="CK77" s="90">
        <f t="shared" si="34"/>
        <v>53352.128599999996</v>
      </c>
      <c r="CL77" s="88">
        <f t="shared" si="35"/>
        <v>8860</v>
      </c>
      <c r="CM77" s="88">
        <f t="shared" si="36"/>
        <v>0</v>
      </c>
      <c r="CN77" s="88">
        <f t="shared" si="37"/>
        <v>8110</v>
      </c>
      <c r="CO77" s="88">
        <f t="shared" si="38"/>
        <v>21610</v>
      </c>
      <c r="CP77" s="88">
        <f t="shared" si="39"/>
        <v>520</v>
      </c>
      <c r="CQ77" s="88">
        <f t="shared" si="40"/>
        <v>19720</v>
      </c>
      <c r="CR77" s="88">
        <f t="shared" si="41"/>
        <v>400</v>
      </c>
      <c r="CS77" s="88">
        <f t="shared" si="42"/>
        <v>970</v>
      </c>
      <c r="CT77" s="88">
        <f t="shared" si="43"/>
        <v>7750.5713999999998</v>
      </c>
      <c r="CU77" s="88">
        <f t="shared" si="44"/>
        <v>5800</v>
      </c>
      <c r="CV77" s="88">
        <f t="shared" si="45"/>
        <v>540</v>
      </c>
      <c r="CW77" s="88">
        <f t="shared" si="46"/>
        <v>770</v>
      </c>
      <c r="CX77" s="88">
        <f t="shared" si="47"/>
        <v>80</v>
      </c>
      <c r="CY77" s="88">
        <f t="shared" si="48"/>
        <v>330</v>
      </c>
      <c r="CZ77" s="88">
        <f t="shared" si="49"/>
        <v>52518.952400000002</v>
      </c>
      <c r="DA77" s="90">
        <f t="shared" si="50"/>
        <v>40337.138099999996</v>
      </c>
      <c r="DB77" s="90">
        <f t="shared" si="51"/>
        <v>12181.8143</v>
      </c>
      <c r="DC77" s="88">
        <f t="shared" si="52"/>
        <v>3520</v>
      </c>
      <c r="DD77" s="88">
        <f t="shared" si="53"/>
        <v>339904.3333</v>
      </c>
      <c r="AUV77" s="699">
        <f t="shared" si="235"/>
        <v>230014.81</v>
      </c>
      <c r="AUW77" s="699">
        <f t="shared" si="236"/>
        <v>176662.68</v>
      </c>
      <c r="AUX77" s="699">
        <f t="shared" si="237"/>
        <v>53352.13</v>
      </c>
      <c r="AUY77" s="699">
        <f>BP77/P77</f>
        <v>8860</v>
      </c>
      <c r="AUZ77" s="699">
        <f t="shared" si="204"/>
        <v>0</v>
      </c>
      <c r="AVA77" s="699">
        <f t="shared" si="204"/>
        <v>4.82</v>
      </c>
      <c r="AVB77" s="699">
        <f>AVC77+AVD77+AVE77+AVF77</f>
        <v>21610</v>
      </c>
      <c r="AVC77" s="699">
        <f>BT77/P77</f>
        <v>520</v>
      </c>
      <c r="AVD77" s="699">
        <f>BU77/P77</f>
        <v>19720</v>
      </c>
      <c r="AVE77" s="699">
        <f>BV77/P77</f>
        <v>400</v>
      </c>
      <c r="AVF77" s="699">
        <f>BW77/P77</f>
        <v>970</v>
      </c>
      <c r="AVG77" s="699">
        <f>BX77/P77</f>
        <v>7750.57</v>
      </c>
      <c r="AVH77" s="699">
        <f>BY77/P77</f>
        <v>5800</v>
      </c>
      <c r="AVI77" s="699">
        <f>BZ77/P77</f>
        <v>540</v>
      </c>
      <c r="AVJ77" s="699">
        <f>CA77/P77</f>
        <v>770</v>
      </c>
      <c r="AVK77" s="699">
        <f>CB77/P77</f>
        <v>80</v>
      </c>
      <c r="AVL77" s="699">
        <f>CC77/P77</f>
        <v>330</v>
      </c>
      <c r="AVM77" s="699">
        <f>CD77/P77</f>
        <v>52518.95</v>
      </c>
      <c r="AVN77" s="699">
        <f>AVM77/1.302</f>
        <v>40337.14</v>
      </c>
      <c r="AVO77" s="699">
        <f>AVM77-AVN77</f>
        <v>12181.81</v>
      </c>
      <c r="AVP77" s="699">
        <f>CG77/P77</f>
        <v>3520</v>
      </c>
      <c r="AVQ77" s="699">
        <f>CH77/P77</f>
        <v>339904.33</v>
      </c>
    </row>
    <row r="78" spans="1:108 1244:1265" ht="30" customHeight="1" x14ac:dyDescent="0.25">
      <c r="A78" s="643">
        <v>1</v>
      </c>
      <c r="B78" s="643">
        <v>9</v>
      </c>
      <c r="C78" s="664" t="s">
        <v>247</v>
      </c>
      <c r="D78" s="2"/>
      <c r="E78" s="101" t="s">
        <v>345</v>
      </c>
      <c r="F78" s="643" t="s">
        <v>38</v>
      </c>
      <c r="G78" s="643">
        <v>2</v>
      </c>
      <c r="H78" s="658" t="s">
        <v>10</v>
      </c>
      <c r="I78" s="643">
        <v>0</v>
      </c>
      <c r="J78" s="101" t="s">
        <v>363</v>
      </c>
      <c r="K78" s="643">
        <v>3</v>
      </c>
      <c r="L78" s="683" t="s">
        <v>350</v>
      </c>
      <c r="M78" s="11" t="s">
        <v>299</v>
      </c>
      <c r="N78" s="101" t="s">
        <v>401</v>
      </c>
      <c r="O78" s="643">
        <v>2</v>
      </c>
      <c r="P78" s="632"/>
      <c r="Q78" s="632"/>
      <c r="R78" s="632"/>
      <c r="S78" s="675">
        <f>SUMIF('Территориальный кк'!$A:$A,'2020'!$B78,'Территориальный кк'!D:D)</f>
        <v>3.258</v>
      </c>
      <c r="T78" s="676">
        <f>SUMIF('Территориальный кк'!$A:$A,'2020'!$B78,'Территориальный кк'!E:E)</f>
        <v>2.8919999999999999</v>
      </c>
      <c r="U78" s="33">
        <f>SUMIFS(Нормативы!G:G,Нормативы!$B:$B,$G78,Нормативы!$D:$D,'2020'!$I78,Нормативы!$F:$F,'2020'!$K78)*O78</f>
        <v>141200</v>
      </c>
      <c r="V78" s="33">
        <f t="shared" si="98"/>
        <v>108448.5</v>
      </c>
      <c r="W78" s="33">
        <f t="shared" si="99"/>
        <v>32751.5</v>
      </c>
      <c r="X78" s="33">
        <f>SUMIFS(Нормативы!J:J,Нормативы!$B:$B,$G78,Нормативы!$D:$D,'2020'!$I78,Нормативы!$F:$F,'2020'!$K78)</f>
        <v>8860</v>
      </c>
      <c r="Y78" s="33">
        <f>SUMIFS(Нормативы!K:K,Нормативы!$B:$B,$G78,Нормативы!$D:$D,'2020'!$I78,Нормативы!$F:$F,'2020'!$K78)</f>
        <v>0</v>
      </c>
      <c r="Z78" s="33">
        <f>SUMIFS(Нормативы!L:L,Нормативы!$B:$B,$G78,Нормативы!$D:$D,'2020'!$I78,Нормативы!$F:$F,'2020'!$K78)</f>
        <v>8110</v>
      </c>
      <c r="AA78" s="33">
        <f t="shared" si="100"/>
        <v>22530</v>
      </c>
      <c r="AB78" s="33">
        <f>SUMIFS(Нормативы!N:N,Нормативы!$B:$B,$G78,Нормативы!$D:$D,'2020'!$I78,Нормативы!$F:$F,'2020'!$K78)*O78</f>
        <v>1040</v>
      </c>
      <c r="AC78" s="33">
        <f>SUMIFS(Нормативы!O:O,Нормативы!$B:$B,$G78,Нормативы!$D:$D,'2020'!$I78,Нормативы!$F:$F,'2020'!$K78)</f>
        <v>19720</v>
      </c>
      <c r="AD78" s="33">
        <f>SUMIFS(Нормативы!P:P,Нормативы!$B:$B,$G78,Нормативы!$D:$D,'2020'!$I78,Нормативы!$F:$F,'2020'!$K78)*O78</f>
        <v>800</v>
      </c>
      <c r="AE78" s="33">
        <f>SUMIFS(Нормативы!Q:Q,Нормативы!$B:$B,$G78,Нормативы!$D:$D,'2020'!$I78,Нормативы!$F:$F,'2020'!$K78)</f>
        <v>970</v>
      </c>
      <c r="AF78" s="33">
        <f>SUMIFS(Нормативы!R:R,Нормативы!$B:$B,$G78,Нормативы!$D:$D,'2020'!$I78,Нормативы!$F:$F,'2020'!$K78)</f>
        <v>2680</v>
      </c>
      <c r="AG78" s="33">
        <f>SUMIFS(Нормативы!S:S,Нормативы!$B:$B,$G78,Нормативы!$D:$D,'2020'!$I78,Нормативы!$F:$F,'2020'!$K78)</f>
        <v>5800</v>
      </c>
      <c r="AH78" s="33">
        <f>SUMIFS(Нормативы!T:T,Нормативы!$B:$B,$G78,Нормативы!$D:$D,'2020'!$I78,Нормативы!$F:$F,'2020'!$K78)</f>
        <v>540</v>
      </c>
      <c r="AI78" s="33">
        <f>SUMIFS(Нормативы!U:U,Нормативы!$B:$B,$G78,Нормативы!$D:$D,'2020'!$I78,Нормативы!$F:$F,'2020'!$K78)</f>
        <v>770</v>
      </c>
      <c r="AJ78" s="33">
        <f>SUMIFS(Нормативы!V:V,Нормативы!$B:$B,$G78,Нормативы!$D:$D,'2020'!$I78,Нормативы!$F:$F,'2020'!$K78)</f>
        <v>80</v>
      </c>
      <c r="AK78" s="33">
        <f>SUMIFS(Нормативы!W:W,Нормативы!$B:$B,$G78,Нормативы!$D:$D,'2020'!$I78,Нормативы!$F:$F,'2020'!$K78)</f>
        <v>330</v>
      </c>
      <c r="AL78" s="33">
        <f>SUMIFS(Нормативы!X:X,Нормативы!$B:$B,$G78,Нормативы!$D:$D,'2020'!$I78,Нормативы!$F:$F,'2020'!$K78)*O78</f>
        <v>32240</v>
      </c>
      <c r="AM78" s="33">
        <f t="shared" si="101"/>
        <v>24761.9</v>
      </c>
      <c r="AN78" s="33">
        <f t="shared" si="102"/>
        <v>7478.1</v>
      </c>
      <c r="AO78" s="33">
        <f>SUMIFS(Нормативы!AA:AA,Нормативы!$B:$B,$G78,Нормативы!$D:$D,'2020'!$I78,Нормативы!$F:$F,'2020'!$K78)</f>
        <v>3520</v>
      </c>
      <c r="AP78" s="141">
        <f t="shared" si="103"/>
        <v>226660</v>
      </c>
      <c r="AQ78" s="413">
        <f t="shared" si="104"/>
        <v>0</v>
      </c>
      <c r="AR78" s="33">
        <f t="shared" si="105"/>
        <v>0</v>
      </c>
      <c r="AS78" s="33">
        <f t="shared" si="106"/>
        <v>0</v>
      </c>
      <c r="AT78" s="34">
        <f t="shared" si="0"/>
        <v>0</v>
      </c>
      <c r="AU78" s="34">
        <f t="shared" si="1"/>
        <v>0</v>
      </c>
      <c r="AV78" s="34">
        <f t="shared" si="2"/>
        <v>0</v>
      </c>
      <c r="AW78" s="34">
        <f t="shared" si="3"/>
        <v>0</v>
      </c>
      <c r="AX78" s="34">
        <f t="shared" si="4"/>
        <v>0</v>
      </c>
      <c r="AY78" s="34">
        <f t="shared" si="5"/>
        <v>0</v>
      </c>
      <c r="AZ78" s="34">
        <f t="shared" si="6"/>
        <v>0</v>
      </c>
      <c r="BA78" s="34">
        <f t="shared" si="7"/>
        <v>0</v>
      </c>
      <c r="BB78" s="34">
        <f t="shared" si="107"/>
        <v>0</v>
      </c>
      <c r="BC78" s="34">
        <f t="shared" si="8"/>
        <v>0</v>
      </c>
      <c r="BD78" s="34">
        <f t="shared" si="9"/>
        <v>0</v>
      </c>
      <c r="BE78" s="34">
        <f t="shared" si="10"/>
        <v>0</v>
      </c>
      <c r="BF78" s="34">
        <f t="shared" si="11"/>
        <v>0</v>
      </c>
      <c r="BG78" s="34">
        <f t="shared" si="12"/>
        <v>0</v>
      </c>
      <c r="BH78" s="34">
        <f t="shared" si="13"/>
        <v>0</v>
      </c>
      <c r="BI78" s="33">
        <f t="shared" si="108"/>
        <v>0</v>
      </c>
      <c r="BJ78" s="33">
        <f t="shared" si="109"/>
        <v>0</v>
      </c>
      <c r="BK78" s="34">
        <f t="shared" si="14"/>
        <v>0</v>
      </c>
      <c r="BL78" s="426">
        <f t="shared" si="15"/>
        <v>0</v>
      </c>
      <c r="BM78" s="616">
        <f t="shared" si="110"/>
        <v>0</v>
      </c>
      <c r="BN78" s="33">
        <f t="shared" si="16"/>
        <v>0</v>
      </c>
      <c r="BO78" s="33">
        <f t="shared" si="17"/>
        <v>0</v>
      </c>
      <c r="BP78" s="34">
        <f t="shared" si="111"/>
        <v>0</v>
      </c>
      <c r="BQ78" s="34">
        <f t="shared" si="112"/>
        <v>0</v>
      </c>
      <c r="BR78" s="34">
        <f t="shared" si="113"/>
        <v>0</v>
      </c>
      <c r="BS78" s="34">
        <f t="shared" si="18"/>
        <v>0</v>
      </c>
      <c r="BT78" s="34">
        <f t="shared" si="19"/>
        <v>0</v>
      </c>
      <c r="BU78" s="34">
        <f t="shared" si="20"/>
        <v>0</v>
      </c>
      <c r="BV78" s="34">
        <f t="shared" si="21"/>
        <v>0</v>
      </c>
      <c r="BW78" s="34">
        <f t="shared" si="22"/>
        <v>0</v>
      </c>
      <c r="BX78" s="34">
        <f t="shared" si="23"/>
        <v>0</v>
      </c>
      <c r="BY78" s="34">
        <f t="shared" si="24"/>
        <v>0</v>
      </c>
      <c r="BZ78" s="34">
        <f t="shared" si="25"/>
        <v>0</v>
      </c>
      <c r="CA78" s="34">
        <f t="shared" si="26"/>
        <v>0</v>
      </c>
      <c r="CB78" s="34">
        <f t="shared" si="27"/>
        <v>0</v>
      </c>
      <c r="CC78" s="34">
        <f t="shared" si="28"/>
        <v>0</v>
      </c>
      <c r="CD78" s="34">
        <f t="shared" si="29"/>
        <v>0</v>
      </c>
      <c r="CE78" s="33">
        <f t="shared" si="114"/>
        <v>0</v>
      </c>
      <c r="CF78" s="33">
        <f t="shared" si="115"/>
        <v>0</v>
      </c>
      <c r="CG78" s="34">
        <f t="shared" si="30"/>
        <v>0</v>
      </c>
      <c r="CH78" s="415">
        <f t="shared" si="31"/>
        <v>0</v>
      </c>
      <c r="CI78" s="88" t="e">
        <f t="shared" si="32"/>
        <v>#DIV/0!</v>
      </c>
      <c r="CJ78" s="90" t="e">
        <f t="shared" si="33"/>
        <v>#DIV/0!</v>
      </c>
      <c r="CK78" s="90" t="e">
        <f t="shared" si="34"/>
        <v>#DIV/0!</v>
      </c>
      <c r="CL78" s="88" t="e">
        <f t="shared" si="35"/>
        <v>#DIV/0!</v>
      </c>
      <c r="CM78" s="88" t="e">
        <f t="shared" si="36"/>
        <v>#DIV/0!</v>
      </c>
      <c r="CN78" s="88" t="e">
        <f t="shared" si="37"/>
        <v>#DIV/0!</v>
      </c>
      <c r="CO78" s="88" t="e">
        <f t="shared" si="38"/>
        <v>#DIV/0!</v>
      </c>
      <c r="CP78" s="88" t="e">
        <f t="shared" si="39"/>
        <v>#DIV/0!</v>
      </c>
      <c r="CQ78" s="88" t="e">
        <f t="shared" si="40"/>
        <v>#DIV/0!</v>
      </c>
      <c r="CR78" s="88" t="e">
        <f t="shared" si="41"/>
        <v>#DIV/0!</v>
      </c>
      <c r="CS78" s="88" t="e">
        <f t="shared" si="42"/>
        <v>#DIV/0!</v>
      </c>
      <c r="CT78" s="88" t="e">
        <f t="shared" si="43"/>
        <v>#DIV/0!</v>
      </c>
      <c r="CU78" s="88" t="e">
        <f t="shared" si="44"/>
        <v>#DIV/0!</v>
      </c>
      <c r="CV78" s="88" t="e">
        <f t="shared" si="45"/>
        <v>#DIV/0!</v>
      </c>
      <c r="CW78" s="88" t="e">
        <f t="shared" si="46"/>
        <v>#DIV/0!</v>
      </c>
      <c r="CX78" s="88" t="e">
        <f t="shared" si="47"/>
        <v>#DIV/0!</v>
      </c>
      <c r="CY78" s="88" t="e">
        <f t="shared" si="48"/>
        <v>#DIV/0!</v>
      </c>
      <c r="CZ78" s="88" t="e">
        <f t="shared" si="49"/>
        <v>#DIV/0!</v>
      </c>
      <c r="DA78" s="90" t="e">
        <f t="shared" si="50"/>
        <v>#DIV/0!</v>
      </c>
      <c r="DB78" s="90" t="e">
        <f t="shared" si="51"/>
        <v>#DIV/0!</v>
      </c>
      <c r="DC78" s="88" t="e">
        <f t="shared" si="52"/>
        <v>#DIV/0!</v>
      </c>
      <c r="DD78" s="88" t="e">
        <f t="shared" si="53"/>
        <v>#DIV/0!</v>
      </c>
      <c r="AUV78" s="699">
        <v>0</v>
      </c>
      <c r="AUW78" s="699">
        <f t="shared" si="236"/>
        <v>0</v>
      </c>
      <c r="AUX78" s="699">
        <f t="shared" si="237"/>
        <v>0</v>
      </c>
      <c r="AUY78" s="699">
        <f t="shared" si="204"/>
        <v>0</v>
      </c>
      <c r="AUZ78" s="699">
        <f t="shared" si="204"/>
        <v>0</v>
      </c>
      <c r="AVA78" s="699">
        <f t="shared" si="204"/>
        <v>0</v>
      </c>
      <c r="AVB78" s="699">
        <f t="shared" si="204"/>
        <v>0</v>
      </c>
      <c r="AVC78" s="697"/>
      <c r="AVD78" s="697"/>
      <c r="AVE78" s="697"/>
      <c r="AVF78" s="697"/>
      <c r="AVG78" s="697"/>
      <c r="AVH78" s="697"/>
      <c r="AVI78" s="697"/>
      <c r="AVJ78" s="697"/>
      <c r="AVK78" s="697"/>
      <c r="AVL78" s="697"/>
      <c r="AVM78" s="697"/>
      <c r="AVN78" s="697"/>
      <c r="AVO78" s="697"/>
      <c r="AVP78" s="697"/>
      <c r="AVQ78" s="697"/>
    </row>
    <row r="79" spans="1:108 1244:1265" ht="30" customHeight="1" x14ac:dyDescent="0.25">
      <c r="A79" s="643">
        <v>1</v>
      </c>
      <c r="B79" s="643">
        <v>9</v>
      </c>
      <c r="C79" s="664" t="s">
        <v>247</v>
      </c>
      <c r="D79" s="2"/>
      <c r="E79" s="101" t="s">
        <v>345</v>
      </c>
      <c r="F79" s="643" t="s">
        <v>38</v>
      </c>
      <c r="G79" s="643">
        <v>2</v>
      </c>
      <c r="H79" s="658" t="s">
        <v>8</v>
      </c>
      <c r="I79" s="643">
        <v>3</v>
      </c>
      <c r="J79" s="101" t="s">
        <v>363</v>
      </c>
      <c r="K79" s="643">
        <v>3</v>
      </c>
      <c r="L79" s="683" t="s">
        <v>350</v>
      </c>
      <c r="M79" s="11" t="s">
        <v>300</v>
      </c>
      <c r="N79" s="101" t="s">
        <v>387</v>
      </c>
      <c r="O79" s="643">
        <v>1</v>
      </c>
      <c r="P79" s="632">
        <v>23</v>
      </c>
      <c r="Q79" s="632">
        <v>23</v>
      </c>
      <c r="R79" s="632">
        <v>23</v>
      </c>
      <c r="S79" s="675">
        <f>SUMIF('Территориальный кк'!$A:$A,'2020'!$B79,'Территориальный кк'!D:D)</f>
        <v>3.258</v>
      </c>
      <c r="T79" s="676">
        <f>SUMIF('Территориальный кк'!$A:$A,'2020'!$B79,'Территориальный кк'!E:E)</f>
        <v>2.8919999999999999</v>
      </c>
      <c r="U79" s="33">
        <f>SUMIFS(Нормативы!G:G,Нормативы!$B:$B,$G79,Нормативы!$D:$D,'2020'!$I79,Нормативы!$F:$F,'2020'!$K79)*O79</f>
        <v>12944</v>
      </c>
      <c r="V79" s="33">
        <f t="shared" si="98"/>
        <v>9941.6</v>
      </c>
      <c r="W79" s="33">
        <f t="shared" si="99"/>
        <v>3002.4</v>
      </c>
      <c r="X79" s="33">
        <f>SUMIFS(Нормативы!J:J,Нормативы!$B:$B,$G79,Нормативы!$D:$D,'2020'!$I79,Нормативы!$F:$F,'2020'!$K79)</f>
        <v>486</v>
      </c>
      <c r="Y79" s="33">
        <f>SUMIFS(Нормативы!K:K,Нормативы!$B:$B,$G79,Нормативы!$D:$D,'2020'!$I79,Нормативы!$F:$F,'2020'!$K79)</f>
        <v>97</v>
      </c>
      <c r="Z79" s="33">
        <f>SUMIFS(Нормативы!L:L,Нормативы!$B:$B,$G79,Нормативы!$D:$D,'2020'!$I79,Нормативы!$F:$F,'2020'!$K79)</f>
        <v>348</v>
      </c>
      <c r="AA79" s="33">
        <f t="shared" si="100"/>
        <v>2031</v>
      </c>
      <c r="AB79" s="33">
        <f>SUMIFS(Нормативы!N:N,Нормативы!$B:$B,$G79,Нормативы!$D:$D,'2020'!$I79,Нормативы!$F:$F,'2020'!$K79)*O79</f>
        <v>52</v>
      </c>
      <c r="AC79" s="33">
        <f>SUMIFS(Нормативы!O:O,Нормативы!$B:$B,$G79,Нормативы!$D:$D,'2020'!$I79,Нормативы!$F:$F,'2020'!$K79)</f>
        <v>1728</v>
      </c>
      <c r="AD79" s="33">
        <f>SUMIFS(Нормативы!P:P,Нормативы!$B:$B,$G79,Нормативы!$D:$D,'2020'!$I79,Нормативы!$F:$F,'2020'!$K79)*O79</f>
        <v>73</v>
      </c>
      <c r="AE79" s="33">
        <f>SUMIFS(Нормативы!Q:Q,Нормативы!$B:$B,$G79,Нормативы!$D:$D,'2020'!$I79,Нормативы!$F:$F,'2020'!$K79)</f>
        <v>178</v>
      </c>
      <c r="AF79" s="33">
        <f>SUMIFS(Нормативы!R:R,Нормативы!$B:$B,$G79,Нормативы!$D:$D,'2020'!$I79,Нормативы!$F:$F,'2020'!$K79)</f>
        <v>275</v>
      </c>
      <c r="AG79" s="33">
        <f>SUMIFS(Нормативы!S:S,Нормативы!$B:$B,$G79,Нормативы!$D:$D,'2020'!$I79,Нормативы!$F:$F,'2020'!$K79)</f>
        <v>580</v>
      </c>
      <c r="AH79" s="33">
        <f>SUMIFS(Нормативы!T:T,Нормативы!$B:$B,$G79,Нормативы!$D:$D,'2020'!$I79,Нормативы!$F:$F,'2020'!$K79)</f>
        <v>54</v>
      </c>
      <c r="AI79" s="33">
        <f>SUMIFS(Нормативы!U:U,Нормативы!$B:$B,$G79,Нормативы!$D:$D,'2020'!$I79,Нормативы!$F:$F,'2020'!$K79)</f>
        <v>77</v>
      </c>
      <c r="AJ79" s="33">
        <f>SUMIFS(Нормативы!V:V,Нормативы!$B:$B,$G79,Нормативы!$D:$D,'2020'!$I79,Нормативы!$F:$F,'2020'!$K79)</f>
        <v>8</v>
      </c>
      <c r="AK79" s="33">
        <f>SUMIFS(Нормативы!W:W,Нормативы!$B:$B,$G79,Нормативы!$D:$D,'2020'!$I79,Нормативы!$F:$F,'2020'!$K79)</f>
        <v>39</v>
      </c>
      <c r="AL79" s="33">
        <f>SUMIFS(Нормативы!X:X,Нормативы!$B:$B,$G79,Нормативы!$D:$D,'2020'!$I79,Нормативы!$F:$F,'2020'!$K79)*O79</f>
        <v>1612</v>
      </c>
      <c r="AM79" s="33">
        <f t="shared" si="101"/>
        <v>1238.0999999999999</v>
      </c>
      <c r="AN79" s="33">
        <f t="shared" si="102"/>
        <v>373.9</v>
      </c>
      <c r="AO79" s="33">
        <f>SUMIFS(Нормативы!AA:AA,Нормативы!$B:$B,$G79,Нормативы!$D:$D,'2020'!$I79,Нормативы!$F:$F,'2020'!$K79)</f>
        <v>0</v>
      </c>
      <c r="AP79" s="141">
        <f t="shared" si="103"/>
        <v>18454</v>
      </c>
      <c r="AQ79" s="413">
        <f t="shared" si="104"/>
        <v>297712</v>
      </c>
      <c r="AR79" s="33">
        <f t="shared" si="105"/>
        <v>228657.5</v>
      </c>
      <c r="AS79" s="33">
        <f t="shared" si="106"/>
        <v>69054.5</v>
      </c>
      <c r="AT79" s="34">
        <f t="shared" si="0"/>
        <v>11178</v>
      </c>
      <c r="AU79" s="34">
        <f t="shared" si="1"/>
        <v>2231</v>
      </c>
      <c r="AV79" s="34">
        <f t="shared" si="2"/>
        <v>8004</v>
      </c>
      <c r="AW79" s="34">
        <f t="shared" si="3"/>
        <v>46713</v>
      </c>
      <c r="AX79" s="34">
        <f t="shared" si="4"/>
        <v>1196</v>
      </c>
      <c r="AY79" s="34">
        <f t="shared" si="5"/>
        <v>39744</v>
      </c>
      <c r="AZ79" s="34">
        <f t="shared" si="6"/>
        <v>1679</v>
      </c>
      <c r="BA79" s="34">
        <f t="shared" si="7"/>
        <v>4094</v>
      </c>
      <c r="BB79" s="34">
        <f t="shared" si="107"/>
        <v>6325</v>
      </c>
      <c r="BC79" s="34">
        <f t="shared" si="8"/>
        <v>13340</v>
      </c>
      <c r="BD79" s="34">
        <f t="shared" si="9"/>
        <v>1242</v>
      </c>
      <c r="BE79" s="34">
        <f t="shared" si="10"/>
        <v>1771</v>
      </c>
      <c r="BF79" s="34">
        <f t="shared" si="11"/>
        <v>184</v>
      </c>
      <c r="BG79" s="34">
        <f t="shared" si="12"/>
        <v>897</v>
      </c>
      <c r="BH79" s="34">
        <f t="shared" si="13"/>
        <v>37076</v>
      </c>
      <c r="BI79" s="33">
        <f t="shared" si="108"/>
        <v>28476.2</v>
      </c>
      <c r="BJ79" s="33">
        <f t="shared" si="109"/>
        <v>8599.7999999999993</v>
      </c>
      <c r="BK79" s="34">
        <f t="shared" si="14"/>
        <v>0</v>
      </c>
      <c r="BL79" s="426">
        <f t="shared" si="15"/>
        <v>424442</v>
      </c>
      <c r="BM79" s="616">
        <f t="shared" si="110"/>
        <v>969946</v>
      </c>
      <c r="BN79" s="33">
        <f t="shared" si="16"/>
        <v>744966.2</v>
      </c>
      <c r="BO79" s="33">
        <f t="shared" si="17"/>
        <v>224979.8</v>
      </c>
      <c r="BP79" s="34">
        <f t="shared" si="111"/>
        <v>11178</v>
      </c>
      <c r="BQ79" s="34">
        <f t="shared" si="112"/>
        <v>2231</v>
      </c>
      <c r="BR79" s="34">
        <f t="shared" si="113"/>
        <v>8004</v>
      </c>
      <c r="BS79" s="34">
        <f t="shared" si="18"/>
        <v>46713</v>
      </c>
      <c r="BT79" s="34">
        <f t="shared" si="19"/>
        <v>1196</v>
      </c>
      <c r="BU79" s="34">
        <f t="shared" si="20"/>
        <v>39744</v>
      </c>
      <c r="BV79" s="34">
        <f t="shared" si="21"/>
        <v>1679</v>
      </c>
      <c r="BW79" s="34">
        <f t="shared" si="22"/>
        <v>4094</v>
      </c>
      <c r="BX79" s="34">
        <f t="shared" si="23"/>
        <v>18292</v>
      </c>
      <c r="BY79" s="34">
        <f t="shared" si="24"/>
        <v>13340</v>
      </c>
      <c r="BZ79" s="34">
        <f t="shared" si="25"/>
        <v>1242</v>
      </c>
      <c r="CA79" s="34">
        <f t="shared" si="26"/>
        <v>1771</v>
      </c>
      <c r="CB79" s="34">
        <f t="shared" si="27"/>
        <v>184</v>
      </c>
      <c r="CC79" s="34">
        <f t="shared" si="28"/>
        <v>897</v>
      </c>
      <c r="CD79" s="34">
        <f t="shared" si="29"/>
        <v>120794</v>
      </c>
      <c r="CE79" s="33">
        <f t="shared" si="114"/>
        <v>92775.7</v>
      </c>
      <c r="CF79" s="33">
        <f t="shared" si="115"/>
        <v>28018.3</v>
      </c>
      <c r="CG79" s="34">
        <f t="shared" si="30"/>
        <v>0</v>
      </c>
      <c r="CH79" s="415">
        <f t="shared" si="31"/>
        <v>1192361</v>
      </c>
      <c r="CI79" s="88">
        <f t="shared" si="32"/>
        <v>42171.565199999997</v>
      </c>
      <c r="CJ79" s="90">
        <f t="shared" si="33"/>
        <v>32389.834800000001</v>
      </c>
      <c r="CK79" s="90">
        <f t="shared" si="34"/>
        <v>9781.7304000000004</v>
      </c>
      <c r="CL79" s="88">
        <f t="shared" si="35"/>
        <v>486</v>
      </c>
      <c r="CM79" s="88">
        <f t="shared" si="36"/>
        <v>97</v>
      </c>
      <c r="CN79" s="88">
        <f t="shared" si="37"/>
        <v>348</v>
      </c>
      <c r="CO79" s="88">
        <f t="shared" si="38"/>
        <v>2031</v>
      </c>
      <c r="CP79" s="88">
        <f t="shared" si="39"/>
        <v>52</v>
      </c>
      <c r="CQ79" s="88">
        <f t="shared" si="40"/>
        <v>1728</v>
      </c>
      <c r="CR79" s="88">
        <f t="shared" si="41"/>
        <v>73</v>
      </c>
      <c r="CS79" s="88">
        <f t="shared" si="42"/>
        <v>178</v>
      </c>
      <c r="CT79" s="88">
        <f t="shared" si="43"/>
        <v>795.30430000000001</v>
      </c>
      <c r="CU79" s="88">
        <f t="shared" si="44"/>
        <v>580</v>
      </c>
      <c r="CV79" s="88">
        <f t="shared" si="45"/>
        <v>54</v>
      </c>
      <c r="CW79" s="88">
        <f t="shared" si="46"/>
        <v>77</v>
      </c>
      <c r="CX79" s="88">
        <f t="shared" si="47"/>
        <v>8</v>
      </c>
      <c r="CY79" s="88">
        <f t="shared" si="48"/>
        <v>39</v>
      </c>
      <c r="CZ79" s="88">
        <f t="shared" si="49"/>
        <v>5251.9129999999996</v>
      </c>
      <c r="DA79" s="90">
        <f t="shared" si="50"/>
        <v>4033.7260999999999</v>
      </c>
      <c r="DB79" s="90">
        <f t="shared" si="51"/>
        <v>1218.1869999999999</v>
      </c>
      <c r="DC79" s="88">
        <f t="shared" si="52"/>
        <v>0</v>
      </c>
      <c r="DD79" s="88">
        <f t="shared" si="53"/>
        <v>51841.782599999999</v>
      </c>
      <c r="AUV79" s="699">
        <f t="shared" si="235"/>
        <v>42171.57</v>
      </c>
      <c r="AUW79" s="699">
        <f t="shared" si="236"/>
        <v>32389.84</v>
      </c>
      <c r="AUX79" s="699">
        <f t="shared" si="237"/>
        <v>9781.73</v>
      </c>
      <c r="AUY79" s="699">
        <f t="shared" ref="AUY79:AUY87" si="255">BP79/P79</f>
        <v>486</v>
      </c>
      <c r="AUZ79" s="699">
        <f t="shared" si="204"/>
        <v>771.44</v>
      </c>
      <c r="AVA79" s="699">
        <f t="shared" si="204"/>
        <v>0.62</v>
      </c>
      <c r="AVB79" s="699">
        <f t="shared" ref="AVB79:AVB87" si="256">AVC79+AVD79+AVE79+AVF79</f>
        <v>2031</v>
      </c>
      <c r="AVC79" s="699">
        <f t="shared" ref="AVC79:AVC87" si="257">BT79/P79</f>
        <v>52</v>
      </c>
      <c r="AVD79" s="699">
        <f t="shared" ref="AVD79:AVD87" si="258">BU79/P79</f>
        <v>1728</v>
      </c>
      <c r="AVE79" s="699">
        <f t="shared" ref="AVE79:AVE87" si="259">BV79/P79</f>
        <v>73</v>
      </c>
      <c r="AVF79" s="699">
        <f t="shared" ref="AVF79:AVF87" si="260">BW79/P79</f>
        <v>178</v>
      </c>
      <c r="AVG79" s="699">
        <f t="shared" ref="AVG79:AVG87" si="261">BX79/P79</f>
        <v>795.3</v>
      </c>
      <c r="AVH79" s="699">
        <f t="shared" ref="AVH79:AVH87" si="262">BY79/P79</f>
        <v>580</v>
      </c>
      <c r="AVI79" s="699">
        <f t="shared" ref="AVI79:AVI87" si="263">BZ79/P79</f>
        <v>54</v>
      </c>
      <c r="AVJ79" s="699">
        <f t="shared" ref="AVJ79:AVJ87" si="264">CA79/P79</f>
        <v>77</v>
      </c>
      <c r="AVK79" s="699">
        <f t="shared" ref="AVK79:AVK87" si="265">CB79/P79</f>
        <v>8</v>
      </c>
      <c r="AVL79" s="699">
        <f t="shared" ref="AVL79:AVL87" si="266">CC79/P79</f>
        <v>39</v>
      </c>
      <c r="AVM79" s="699">
        <f t="shared" ref="AVM79:AVM87" si="267">CD79/P79</f>
        <v>5251.91</v>
      </c>
      <c r="AVN79" s="699">
        <f t="shared" ref="AVN79:AVN87" si="268">AVM79/1.302</f>
        <v>4033.73</v>
      </c>
      <c r="AVO79" s="699">
        <f t="shared" ref="AVO79:AVO87" si="269">AVM79-AVN79</f>
        <v>1218.18</v>
      </c>
      <c r="AVP79" s="699">
        <f t="shared" ref="AVP79:AVP87" si="270">CG79/P79</f>
        <v>0</v>
      </c>
      <c r="AVQ79" s="699">
        <f t="shared" ref="AVQ79:AVQ87" si="271">CH79/P79</f>
        <v>51841.78</v>
      </c>
    </row>
    <row r="80" spans="1:108 1244:1265" ht="30" customHeight="1" x14ac:dyDescent="0.25">
      <c r="A80" s="643">
        <v>1</v>
      </c>
      <c r="B80" s="643">
        <v>9</v>
      </c>
      <c r="C80" s="664" t="s">
        <v>247</v>
      </c>
      <c r="D80" s="2"/>
      <c r="E80" s="101" t="s">
        <v>345</v>
      </c>
      <c r="F80" s="643" t="s">
        <v>38</v>
      </c>
      <c r="G80" s="643">
        <v>2</v>
      </c>
      <c r="H80" s="658" t="s">
        <v>10</v>
      </c>
      <c r="I80" s="643">
        <v>0</v>
      </c>
      <c r="J80" s="101" t="s">
        <v>382</v>
      </c>
      <c r="K80" s="643">
        <v>1</v>
      </c>
      <c r="L80" s="683" t="s">
        <v>350</v>
      </c>
      <c r="M80" s="11" t="s">
        <v>301</v>
      </c>
      <c r="N80" s="101" t="s">
        <v>387</v>
      </c>
      <c r="O80" s="643">
        <v>1</v>
      </c>
      <c r="P80" s="632">
        <v>7</v>
      </c>
      <c r="Q80" s="632">
        <v>7</v>
      </c>
      <c r="R80" s="632">
        <v>7</v>
      </c>
      <c r="S80" s="675">
        <f>SUMIF('Территориальный кк'!$A:$A,'2020'!$B80,'Территориальный кк'!D:D)</f>
        <v>3.258</v>
      </c>
      <c r="T80" s="676">
        <f>SUMIF('Территориальный кк'!$A:$A,'2020'!$B80,'Территориальный кк'!E:E)</f>
        <v>2.8919999999999999</v>
      </c>
      <c r="U80" s="33">
        <f>SUMIFS(Нормативы!G:G,Нормативы!$B:$B,$G80,Нормативы!$D:$D,'2020'!$I80,Нормативы!$F:$F,'2020'!$K80)*O80</f>
        <v>59740</v>
      </c>
      <c r="V80" s="33">
        <f t="shared" si="98"/>
        <v>45883.3</v>
      </c>
      <c r="W80" s="33">
        <f t="shared" si="99"/>
        <v>13856.7</v>
      </c>
      <c r="X80" s="33">
        <f>SUMIFS(Нормативы!J:J,Нормативы!$B:$B,$G80,Нормативы!$D:$D,'2020'!$I80,Нормативы!$F:$F,'2020'!$K80)</f>
        <v>220</v>
      </c>
      <c r="Y80" s="33">
        <f>SUMIFS(Нормативы!K:K,Нормативы!$B:$B,$G80,Нормативы!$D:$D,'2020'!$I80,Нормативы!$F:$F,'2020'!$K80)</f>
        <v>44</v>
      </c>
      <c r="Z80" s="33">
        <f>SUMIFS(Нормативы!L:L,Нормативы!$B:$B,$G80,Нормативы!$D:$D,'2020'!$I80,Нормативы!$F:$F,'2020'!$K80)</f>
        <v>2320</v>
      </c>
      <c r="AA80" s="33">
        <f t="shared" si="100"/>
        <v>4350</v>
      </c>
      <c r="AB80" s="33">
        <f>SUMIFS(Нормативы!N:N,Нормативы!$B:$B,$G80,Нормативы!$D:$D,'2020'!$I80,Нормативы!$F:$F,'2020'!$K80)*O80</f>
        <v>520</v>
      </c>
      <c r="AC80" s="33">
        <f>SUMIFS(Нормативы!O:O,Нормативы!$B:$B,$G80,Нормативы!$D:$D,'2020'!$I80,Нормативы!$F:$F,'2020'!$K80)</f>
        <v>2670</v>
      </c>
      <c r="AD80" s="33">
        <f>SUMIFS(Нормативы!P:P,Нормативы!$B:$B,$G80,Нормативы!$D:$D,'2020'!$I80,Нормативы!$F:$F,'2020'!$K80)*O80</f>
        <v>340</v>
      </c>
      <c r="AE80" s="33">
        <f>SUMIFS(Нормативы!Q:Q,Нормативы!$B:$B,$G80,Нормативы!$D:$D,'2020'!$I80,Нормативы!$F:$F,'2020'!$K80)</f>
        <v>820</v>
      </c>
      <c r="AF80" s="33">
        <f>SUMIFS(Нормативы!R:R,Нормативы!$B:$B,$G80,Нормативы!$D:$D,'2020'!$I80,Нормативы!$F:$F,'2020'!$K80)</f>
        <v>2460</v>
      </c>
      <c r="AG80" s="33">
        <f>SUMIFS(Нормативы!S:S,Нормативы!$B:$B,$G80,Нормативы!$D:$D,'2020'!$I80,Нормативы!$F:$F,'2020'!$K80)</f>
        <v>5080</v>
      </c>
      <c r="AH80" s="33">
        <f>SUMIFS(Нормативы!T:T,Нормативы!$B:$B,$G80,Нормативы!$D:$D,'2020'!$I80,Нормативы!$F:$F,'2020'!$K80)</f>
        <v>540</v>
      </c>
      <c r="AI80" s="33">
        <f>SUMIFS(Нормативы!U:U,Нормативы!$B:$B,$G80,Нормативы!$D:$D,'2020'!$I80,Нормативы!$F:$F,'2020'!$K80)</f>
        <v>770</v>
      </c>
      <c r="AJ80" s="33">
        <f>SUMIFS(Нормативы!V:V,Нормативы!$B:$B,$G80,Нормативы!$D:$D,'2020'!$I80,Нормативы!$F:$F,'2020'!$K80)</f>
        <v>80</v>
      </c>
      <c r="AK80" s="33">
        <f>SUMIFS(Нормативы!W:W,Нормативы!$B:$B,$G80,Нормативы!$D:$D,'2020'!$I80,Нормативы!$F:$F,'2020'!$K80)</f>
        <v>120</v>
      </c>
      <c r="AL80" s="33">
        <f>SUMIFS(Нормативы!X:X,Нормативы!$B:$B,$G80,Нормативы!$D:$D,'2020'!$I80,Нормативы!$F:$F,'2020'!$K80)*O80</f>
        <v>13440</v>
      </c>
      <c r="AM80" s="33">
        <f t="shared" si="101"/>
        <v>10322.6</v>
      </c>
      <c r="AN80" s="33">
        <f t="shared" si="102"/>
        <v>3117.4</v>
      </c>
      <c r="AO80" s="33">
        <f>SUMIFS(Нормативы!AA:AA,Нормативы!$B:$B,$G80,Нормативы!$D:$D,'2020'!$I80,Нормативы!$F:$F,'2020'!$K80)</f>
        <v>3520</v>
      </c>
      <c r="AP80" s="141">
        <f t="shared" si="103"/>
        <v>92640</v>
      </c>
      <c r="AQ80" s="413">
        <f t="shared" si="104"/>
        <v>418180</v>
      </c>
      <c r="AR80" s="33">
        <f t="shared" si="105"/>
        <v>321182.8</v>
      </c>
      <c r="AS80" s="33">
        <f t="shared" si="106"/>
        <v>96997.2</v>
      </c>
      <c r="AT80" s="34">
        <f t="shared" si="0"/>
        <v>1540</v>
      </c>
      <c r="AU80" s="34">
        <f t="shared" si="1"/>
        <v>308</v>
      </c>
      <c r="AV80" s="34">
        <f t="shared" si="2"/>
        <v>16240</v>
      </c>
      <c r="AW80" s="34">
        <f t="shared" si="3"/>
        <v>30450</v>
      </c>
      <c r="AX80" s="34">
        <f t="shared" si="4"/>
        <v>3640</v>
      </c>
      <c r="AY80" s="34">
        <f t="shared" si="5"/>
        <v>18690</v>
      </c>
      <c r="AZ80" s="34">
        <f t="shared" si="6"/>
        <v>2380</v>
      </c>
      <c r="BA80" s="34">
        <f t="shared" si="7"/>
        <v>5740</v>
      </c>
      <c r="BB80" s="34">
        <f t="shared" si="107"/>
        <v>17220</v>
      </c>
      <c r="BC80" s="34">
        <f t="shared" si="8"/>
        <v>35560</v>
      </c>
      <c r="BD80" s="34">
        <f t="shared" si="9"/>
        <v>3780</v>
      </c>
      <c r="BE80" s="34">
        <f t="shared" si="10"/>
        <v>5390</v>
      </c>
      <c r="BF80" s="34">
        <f t="shared" si="11"/>
        <v>560</v>
      </c>
      <c r="BG80" s="34">
        <f t="shared" si="12"/>
        <v>840</v>
      </c>
      <c r="BH80" s="34">
        <f t="shared" si="13"/>
        <v>94080</v>
      </c>
      <c r="BI80" s="33">
        <f t="shared" si="108"/>
        <v>72258.100000000006</v>
      </c>
      <c r="BJ80" s="33">
        <f t="shared" si="109"/>
        <v>21821.9</v>
      </c>
      <c r="BK80" s="34">
        <f t="shared" si="14"/>
        <v>24640</v>
      </c>
      <c r="BL80" s="426">
        <f t="shared" si="15"/>
        <v>648480</v>
      </c>
      <c r="BM80" s="616">
        <f t="shared" si="110"/>
        <v>1362430</v>
      </c>
      <c r="BN80" s="33">
        <f t="shared" si="16"/>
        <v>1046413.2</v>
      </c>
      <c r="BO80" s="33">
        <f t="shared" si="17"/>
        <v>316016.8</v>
      </c>
      <c r="BP80" s="34">
        <f t="shared" si="111"/>
        <v>1540</v>
      </c>
      <c r="BQ80" s="34">
        <f t="shared" si="112"/>
        <v>308</v>
      </c>
      <c r="BR80" s="34">
        <f t="shared" si="113"/>
        <v>16240</v>
      </c>
      <c r="BS80" s="34">
        <f t="shared" si="18"/>
        <v>30450</v>
      </c>
      <c r="BT80" s="34">
        <f t="shared" si="19"/>
        <v>3640</v>
      </c>
      <c r="BU80" s="34">
        <f t="shared" si="20"/>
        <v>18690</v>
      </c>
      <c r="BV80" s="34">
        <f t="shared" si="21"/>
        <v>2380</v>
      </c>
      <c r="BW80" s="34">
        <f t="shared" si="22"/>
        <v>5740</v>
      </c>
      <c r="BX80" s="34">
        <f t="shared" si="23"/>
        <v>49800</v>
      </c>
      <c r="BY80" s="34">
        <f t="shared" si="24"/>
        <v>35560</v>
      </c>
      <c r="BZ80" s="34">
        <f t="shared" si="25"/>
        <v>3780</v>
      </c>
      <c r="CA80" s="34">
        <f t="shared" si="26"/>
        <v>5390</v>
      </c>
      <c r="CB80" s="34">
        <f t="shared" si="27"/>
        <v>560</v>
      </c>
      <c r="CC80" s="34">
        <f t="shared" si="28"/>
        <v>840</v>
      </c>
      <c r="CD80" s="34">
        <f t="shared" si="29"/>
        <v>306513</v>
      </c>
      <c r="CE80" s="33">
        <f t="shared" si="114"/>
        <v>235417.1</v>
      </c>
      <c r="CF80" s="33">
        <f t="shared" si="115"/>
        <v>71095.899999999994</v>
      </c>
      <c r="CG80" s="34">
        <f t="shared" si="30"/>
        <v>24640</v>
      </c>
      <c r="CH80" s="415">
        <f t="shared" si="31"/>
        <v>1837743</v>
      </c>
      <c r="CI80" s="88">
        <f t="shared" si="32"/>
        <v>194632.85709999999</v>
      </c>
      <c r="CJ80" s="90">
        <f t="shared" si="33"/>
        <v>149487.6</v>
      </c>
      <c r="CK80" s="90">
        <f t="shared" si="34"/>
        <v>45145.257100000003</v>
      </c>
      <c r="CL80" s="88">
        <f t="shared" si="35"/>
        <v>220</v>
      </c>
      <c r="CM80" s="88">
        <f t="shared" si="36"/>
        <v>44</v>
      </c>
      <c r="CN80" s="88">
        <f t="shared" si="37"/>
        <v>2320</v>
      </c>
      <c r="CO80" s="88">
        <f t="shared" si="38"/>
        <v>4350</v>
      </c>
      <c r="CP80" s="88">
        <f t="shared" si="39"/>
        <v>520</v>
      </c>
      <c r="CQ80" s="88">
        <f t="shared" si="40"/>
        <v>2670</v>
      </c>
      <c r="CR80" s="88">
        <f t="shared" si="41"/>
        <v>340</v>
      </c>
      <c r="CS80" s="88">
        <f t="shared" si="42"/>
        <v>820</v>
      </c>
      <c r="CT80" s="88">
        <f t="shared" si="43"/>
        <v>7114.2857000000004</v>
      </c>
      <c r="CU80" s="88">
        <f t="shared" si="44"/>
        <v>5080</v>
      </c>
      <c r="CV80" s="88">
        <f t="shared" si="45"/>
        <v>540</v>
      </c>
      <c r="CW80" s="88">
        <f t="shared" si="46"/>
        <v>770</v>
      </c>
      <c r="CX80" s="88">
        <f t="shared" si="47"/>
        <v>80</v>
      </c>
      <c r="CY80" s="88">
        <f t="shared" si="48"/>
        <v>120</v>
      </c>
      <c r="CZ80" s="88">
        <f t="shared" si="49"/>
        <v>43787.571400000001</v>
      </c>
      <c r="DA80" s="90">
        <f t="shared" si="50"/>
        <v>33631.014300000003</v>
      </c>
      <c r="DB80" s="90">
        <f t="shared" si="51"/>
        <v>10156.5571</v>
      </c>
      <c r="DC80" s="88">
        <f t="shared" si="52"/>
        <v>3520</v>
      </c>
      <c r="DD80" s="88">
        <f t="shared" si="53"/>
        <v>262534.71429999999</v>
      </c>
      <c r="AUV80" s="699">
        <f t="shared" si="235"/>
        <v>194632.86</v>
      </c>
      <c r="AUW80" s="699">
        <f t="shared" si="236"/>
        <v>149487.6</v>
      </c>
      <c r="AUX80" s="699">
        <f t="shared" si="237"/>
        <v>45145.26</v>
      </c>
      <c r="AUY80" s="699">
        <f t="shared" si="255"/>
        <v>220</v>
      </c>
      <c r="AUZ80" s="699">
        <f t="shared" si="204"/>
        <v>106.5</v>
      </c>
      <c r="AVA80" s="699">
        <f t="shared" si="204"/>
        <v>0.27</v>
      </c>
      <c r="AVB80" s="699">
        <f t="shared" si="256"/>
        <v>4350</v>
      </c>
      <c r="AVC80" s="699">
        <f t="shared" si="257"/>
        <v>520</v>
      </c>
      <c r="AVD80" s="699">
        <f t="shared" si="258"/>
        <v>2670</v>
      </c>
      <c r="AVE80" s="699">
        <f t="shared" si="259"/>
        <v>340</v>
      </c>
      <c r="AVF80" s="699">
        <f t="shared" si="260"/>
        <v>820</v>
      </c>
      <c r="AVG80" s="699">
        <f t="shared" si="261"/>
        <v>7114.29</v>
      </c>
      <c r="AVH80" s="699">
        <f t="shared" si="262"/>
        <v>5080</v>
      </c>
      <c r="AVI80" s="699">
        <f t="shared" si="263"/>
        <v>540</v>
      </c>
      <c r="AVJ80" s="699">
        <f t="shared" si="264"/>
        <v>770</v>
      </c>
      <c r="AVK80" s="699">
        <f t="shared" si="265"/>
        <v>80</v>
      </c>
      <c r="AVL80" s="699">
        <f t="shared" si="266"/>
        <v>120</v>
      </c>
      <c r="AVM80" s="699">
        <f t="shared" si="267"/>
        <v>43787.57</v>
      </c>
      <c r="AVN80" s="699">
        <f t="shared" si="268"/>
        <v>33631.01</v>
      </c>
      <c r="AVO80" s="699">
        <f t="shared" si="269"/>
        <v>10156.56</v>
      </c>
      <c r="AVP80" s="699">
        <f t="shared" si="270"/>
        <v>3520</v>
      </c>
      <c r="AVQ80" s="699">
        <f t="shared" si="271"/>
        <v>262534.71000000002</v>
      </c>
    </row>
    <row r="81" spans="1:1265" ht="30" customHeight="1" x14ac:dyDescent="0.25">
      <c r="A81" s="643">
        <v>1</v>
      </c>
      <c r="B81" s="643">
        <v>9</v>
      </c>
      <c r="C81" s="664" t="s">
        <v>247</v>
      </c>
      <c r="D81" s="2"/>
      <c r="E81" s="101" t="s">
        <v>345</v>
      </c>
      <c r="F81" s="643" t="s">
        <v>38</v>
      </c>
      <c r="G81" s="643">
        <v>2</v>
      </c>
      <c r="H81" s="658" t="s">
        <v>8</v>
      </c>
      <c r="I81" s="643">
        <v>3</v>
      </c>
      <c r="J81" s="101" t="s">
        <v>382</v>
      </c>
      <c r="K81" s="643">
        <v>1</v>
      </c>
      <c r="L81" s="683" t="s">
        <v>350</v>
      </c>
      <c r="M81" s="11" t="s">
        <v>302</v>
      </c>
      <c r="N81" s="101" t="s">
        <v>387</v>
      </c>
      <c r="O81" s="643">
        <v>1</v>
      </c>
      <c r="P81" s="632">
        <v>5</v>
      </c>
      <c r="Q81" s="632">
        <v>5</v>
      </c>
      <c r="R81" s="632">
        <v>5</v>
      </c>
      <c r="S81" s="675">
        <f>SUMIF('Территориальный кк'!$A:$A,'2020'!$B81,'Территориальный кк'!D:D)</f>
        <v>3.258</v>
      </c>
      <c r="T81" s="676">
        <f>SUMIF('Территориальный кк'!$A:$A,'2020'!$B81,'Территориальный кк'!E:E)</f>
        <v>2.8919999999999999</v>
      </c>
      <c r="U81" s="33">
        <f>SUMIFS(Нормативы!G:G,Нормативы!$B:$B,$G81,Нормативы!$D:$D,'2020'!$I81,Нормативы!$F:$F,'2020'!$K81)*O81</f>
        <v>5974</v>
      </c>
      <c r="V81" s="33">
        <f t="shared" si="98"/>
        <v>4588.3</v>
      </c>
      <c r="W81" s="33">
        <f t="shared" si="99"/>
        <v>1385.7</v>
      </c>
      <c r="X81" s="33">
        <f>SUMIFS(Нормативы!J:J,Нормативы!$B:$B,$G81,Нормативы!$D:$D,'2020'!$I81,Нормативы!$F:$F,'2020'!$K81)</f>
        <v>22</v>
      </c>
      <c r="Y81" s="33">
        <f>SUMIFS(Нормативы!K:K,Нормативы!$B:$B,$G81,Нормативы!$D:$D,'2020'!$I81,Нормативы!$F:$F,'2020'!$K81)</f>
        <v>4</v>
      </c>
      <c r="Z81" s="33">
        <f>SUMIFS(Нормативы!L:L,Нормативы!$B:$B,$G81,Нормативы!$D:$D,'2020'!$I81,Нормативы!$F:$F,'2020'!$K81)</f>
        <v>232</v>
      </c>
      <c r="AA81" s="33">
        <f t="shared" si="100"/>
        <v>435</v>
      </c>
      <c r="AB81" s="33">
        <f>SUMIFS(Нормативы!N:N,Нормативы!$B:$B,$G81,Нормативы!$D:$D,'2020'!$I81,Нормативы!$F:$F,'2020'!$K81)*O81</f>
        <v>52</v>
      </c>
      <c r="AC81" s="33">
        <f>SUMIFS(Нормативы!O:O,Нормативы!$B:$B,$G81,Нормативы!$D:$D,'2020'!$I81,Нормативы!$F:$F,'2020'!$K81)</f>
        <v>267</v>
      </c>
      <c r="AD81" s="33">
        <f>SUMIFS(Нормативы!P:P,Нормативы!$B:$B,$G81,Нормативы!$D:$D,'2020'!$I81,Нормативы!$F:$F,'2020'!$K81)*O81</f>
        <v>34</v>
      </c>
      <c r="AE81" s="33">
        <f>SUMIFS(Нормативы!Q:Q,Нормативы!$B:$B,$G81,Нормативы!$D:$D,'2020'!$I81,Нормативы!$F:$F,'2020'!$K81)</f>
        <v>82</v>
      </c>
      <c r="AF81" s="33">
        <f>SUMIFS(Нормативы!R:R,Нормативы!$B:$B,$G81,Нормативы!$D:$D,'2020'!$I81,Нормативы!$F:$F,'2020'!$K81)</f>
        <v>246</v>
      </c>
      <c r="AG81" s="33">
        <f>SUMIFS(Нормативы!S:S,Нормативы!$B:$B,$G81,Нормативы!$D:$D,'2020'!$I81,Нормативы!$F:$F,'2020'!$K81)</f>
        <v>508</v>
      </c>
      <c r="AH81" s="33">
        <f>SUMIFS(Нормативы!T:T,Нормативы!$B:$B,$G81,Нормативы!$D:$D,'2020'!$I81,Нормативы!$F:$F,'2020'!$K81)</f>
        <v>54</v>
      </c>
      <c r="AI81" s="33">
        <f>SUMIFS(Нормативы!U:U,Нормативы!$B:$B,$G81,Нормативы!$D:$D,'2020'!$I81,Нормативы!$F:$F,'2020'!$K81)</f>
        <v>77</v>
      </c>
      <c r="AJ81" s="33">
        <f>SUMIFS(Нормативы!V:V,Нормативы!$B:$B,$G81,Нормативы!$D:$D,'2020'!$I81,Нормативы!$F:$F,'2020'!$K81)</f>
        <v>8</v>
      </c>
      <c r="AK81" s="33">
        <f>SUMIFS(Нормативы!W:W,Нормативы!$B:$B,$G81,Нормативы!$D:$D,'2020'!$I81,Нормативы!$F:$F,'2020'!$K81)</f>
        <v>12</v>
      </c>
      <c r="AL81" s="33">
        <f>SUMIFS(Нормативы!X:X,Нормативы!$B:$B,$G81,Нормативы!$D:$D,'2020'!$I81,Нормативы!$F:$F,'2020'!$K81)*O81</f>
        <v>1344</v>
      </c>
      <c r="AM81" s="33">
        <f t="shared" si="101"/>
        <v>1032.3</v>
      </c>
      <c r="AN81" s="33">
        <f t="shared" si="102"/>
        <v>311.7</v>
      </c>
      <c r="AO81" s="33">
        <f>SUMIFS(Нормативы!AA:AA,Нормативы!$B:$B,$G81,Нормативы!$D:$D,'2020'!$I81,Нормативы!$F:$F,'2020'!$K81)</f>
        <v>0</v>
      </c>
      <c r="AP81" s="141">
        <f t="shared" si="103"/>
        <v>8912</v>
      </c>
      <c r="AQ81" s="413">
        <f t="shared" ref="AQ81:AQ148" si="272">ROUND($P81*U81,0)</f>
        <v>29870</v>
      </c>
      <c r="AR81" s="33">
        <f t="shared" si="105"/>
        <v>22941.599999999999</v>
      </c>
      <c r="AS81" s="33">
        <f t="shared" si="106"/>
        <v>6928.4</v>
      </c>
      <c r="AT81" s="34">
        <f t="shared" ref="AT81:AT148" si="273">ROUND($P81*X81,0)</f>
        <v>110</v>
      </c>
      <c r="AU81" s="34">
        <f t="shared" ref="AU81:AU148" si="274">ROUND($P81*Y81,0)</f>
        <v>20</v>
      </c>
      <c r="AV81" s="34">
        <f t="shared" ref="AV81:AV148" si="275">ROUND($P81*Z81,0)</f>
        <v>1160</v>
      </c>
      <c r="AW81" s="34">
        <f t="shared" ref="AW81:AW148" si="276">ROUND($P81*AA81,0)</f>
        <v>2175</v>
      </c>
      <c r="AX81" s="34">
        <f t="shared" ref="AX81:AX148" si="277">ROUND($P81*AB81,0)</f>
        <v>260</v>
      </c>
      <c r="AY81" s="34">
        <f t="shared" ref="AY81:AY148" si="278">ROUND($P81*AC81,0)</f>
        <v>1335</v>
      </c>
      <c r="AZ81" s="34">
        <f t="shared" ref="AZ81:AZ148" si="279">ROUND($P81*AD81,0)</f>
        <v>170</v>
      </c>
      <c r="BA81" s="34">
        <f t="shared" ref="BA81:BA148" si="280">ROUND($P81*AE81,0)</f>
        <v>410</v>
      </c>
      <c r="BB81" s="34">
        <f t="shared" ref="BB81:BB148" si="281">ROUND($P81*AF81,0)</f>
        <v>1230</v>
      </c>
      <c r="BC81" s="34">
        <f t="shared" ref="BC81:BC148" si="282">ROUND($P81*AG81,0)</f>
        <v>2540</v>
      </c>
      <c r="BD81" s="34">
        <f t="shared" ref="BD81:BD148" si="283">ROUND($P81*AH81,0)</f>
        <v>270</v>
      </c>
      <c r="BE81" s="34">
        <f t="shared" ref="BE81:BE148" si="284">ROUND($P81*AI81,0)</f>
        <v>385</v>
      </c>
      <c r="BF81" s="34">
        <f t="shared" ref="BF81:BF148" si="285">ROUND($P81*AJ81,0)</f>
        <v>40</v>
      </c>
      <c r="BG81" s="34">
        <f t="shared" ref="BG81:BG148" si="286">ROUND($P81*AK81,0)</f>
        <v>60</v>
      </c>
      <c r="BH81" s="34">
        <f t="shared" ref="BH81:BH148" si="287">ROUND($P81*AL81,0)</f>
        <v>6720</v>
      </c>
      <c r="BI81" s="33">
        <f t="shared" si="108"/>
        <v>5161.3</v>
      </c>
      <c r="BJ81" s="33">
        <f t="shared" si="109"/>
        <v>1558.7</v>
      </c>
      <c r="BK81" s="34">
        <f t="shared" ref="BK81:BK148" si="288">ROUND($P81*AO81,0)</f>
        <v>0</v>
      </c>
      <c r="BL81" s="426">
        <f t="shared" ref="BL81:BL148" si="289">AQ81+AT81+AV81+AW81++BB81+BC81+BD81+BE81+BF81+BG81+BH81+BK81</f>
        <v>44560</v>
      </c>
      <c r="BM81" s="616">
        <f t="shared" ref="BM81:BM148" si="290">ROUND(AQ81*S81,0)</f>
        <v>97316</v>
      </c>
      <c r="BN81" s="33">
        <f t="shared" ref="BN81:BN148" si="291">ROUND(BM81/1.302,1)</f>
        <v>74743.5</v>
      </c>
      <c r="BO81" s="33">
        <f t="shared" ref="BO81:BO148" si="292">BM81-BN81</f>
        <v>22572.5</v>
      </c>
      <c r="BP81" s="34">
        <f t="shared" si="111"/>
        <v>110</v>
      </c>
      <c r="BQ81" s="34">
        <f t="shared" si="112"/>
        <v>20</v>
      </c>
      <c r="BR81" s="34">
        <f t="shared" si="113"/>
        <v>1160</v>
      </c>
      <c r="BS81" s="34">
        <f t="shared" ref="BS81:BS148" si="293">AW81</f>
        <v>2175</v>
      </c>
      <c r="BT81" s="34">
        <f t="shared" ref="BT81:BT148" si="294">AX81</f>
        <v>260</v>
      </c>
      <c r="BU81" s="34">
        <f t="shared" ref="BU81:BU148" si="295">AY81</f>
        <v>1335</v>
      </c>
      <c r="BV81" s="34">
        <f t="shared" ref="BV81:BV148" si="296">AZ81</f>
        <v>170</v>
      </c>
      <c r="BW81" s="34">
        <f t="shared" ref="BW81:BW148" si="297">BA81</f>
        <v>410</v>
      </c>
      <c r="BX81" s="34">
        <f t="shared" ref="BX81:BX148" si="298">ROUND(BB81*T81,0)</f>
        <v>3557</v>
      </c>
      <c r="BY81" s="34">
        <f t="shared" ref="BY81:BY148" si="299">BC81</f>
        <v>2540</v>
      </c>
      <c r="BZ81" s="34">
        <f t="shared" ref="BZ81:BZ148" si="300">BD81</f>
        <v>270</v>
      </c>
      <c r="CA81" s="34">
        <f t="shared" ref="CA81:CA148" si="301">BE81</f>
        <v>385</v>
      </c>
      <c r="CB81" s="34">
        <f t="shared" ref="CB81:CB148" si="302">BF81</f>
        <v>40</v>
      </c>
      <c r="CC81" s="34">
        <f t="shared" ref="CC81:CC148" si="303">BG81</f>
        <v>60</v>
      </c>
      <c r="CD81" s="34">
        <f t="shared" ref="CD81:CD148" si="304">ROUND(BH81*S81,0)</f>
        <v>21894</v>
      </c>
      <c r="CE81" s="33">
        <f t="shared" si="114"/>
        <v>16815.7</v>
      </c>
      <c r="CF81" s="33">
        <f t="shared" si="115"/>
        <v>5078.3</v>
      </c>
      <c r="CG81" s="34">
        <f t="shared" ref="CG81:CG148" si="305">BK81</f>
        <v>0</v>
      </c>
      <c r="CH81" s="415">
        <f t="shared" ref="CH81:CH148" si="306">BM81+BP81+BR81+BS81++BX81+BY81+BZ81+CA81+CB81+CC81+CD81+CG81</f>
        <v>129507</v>
      </c>
      <c r="CI81" s="88">
        <f t="shared" ref="CI81:CI148" si="307">ROUND(BM81/$P81,4)</f>
        <v>19463.2</v>
      </c>
      <c r="CJ81" s="90">
        <f t="shared" ref="CJ81:CJ148" si="308">ROUND(BN81/$P81,4)</f>
        <v>14948.7</v>
      </c>
      <c r="CK81" s="90">
        <f t="shared" ref="CK81:CK148" si="309">ROUND(BO81/$P81,4)</f>
        <v>4514.5</v>
      </c>
      <c r="CL81" s="88">
        <f t="shared" ref="CL81:CL148" si="310">ROUND(BP81/$P81,4)</f>
        <v>22</v>
      </c>
      <c r="CM81" s="88">
        <f t="shared" ref="CM81:CM148" si="311">ROUND(BQ81/$P81,4)</f>
        <v>4</v>
      </c>
      <c r="CN81" s="88">
        <f t="shared" ref="CN81:CN148" si="312">ROUND(BR81/$P81,4)</f>
        <v>232</v>
      </c>
      <c r="CO81" s="88">
        <f t="shared" ref="CO81:CO148" si="313">ROUND(BS81/$P81,4)</f>
        <v>435</v>
      </c>
      <c r="CP81" s="88">
        <f t="shared" ref="CP81:CP148" si="314">ROUND(BT81/$P81,4)</f>
        <v>52</v>
      </c>
      <c r="CQ81" s="88">
        <f t="shared" ref="CQ81:CQ148" si="315">ROUND(BU81/$P81,4)</f>
        <v>267</v>
      </c>
      <c r="CR81" s="88">
        <f t="shared" ref="CR81:CR148" si="316">ROUND(BV81/$P81,4)</f>
        <v>34</v>
      </c>
      <c r="CS81" s="88">
        <f t="shared" ref="CS81:CS148" si="317">ROUND(BW81/$P81,4)</f>
        <v>82</v>
      </c>
      <c r="CT81" s="88">
        <f t="shared" ref="CT81:CT148" si="318">ROUND(BX81/$P81,4)</f>
        <v>711.4</v>
      </c>
      <c r="CU81" s="88">
        <f t="shared" ref="CU81:CU148" si="319">ROUND(BY81/$P81,4)</f>
        <v>508</v>
      </c>
      <c r="CV81" s="88">
        <f t="shared" ref="CV81:CV148" si="320">ROUND(BZ81/$P81,4)</f>
        <v>54</v>
      </c>
      <c r="CW81" s="88">
        <f t="shared" ref="CW81:CW148" si="321">ROUND(CA81/$P81,4)</f>
        <v>77</v>
      </c>
      <c r="CX81" s="88">
        <f t="shared" ref="CX81:CX148" si="322">ROUND(CB81/$P81,4)</f>
        <v>8</v>
      </c>
      <c r="CY81" s="88">
        <f t="shared" ref="CY81:CY148" si="323">ROUND(CC81/$P81,4)</f>
        <v>12</v>
      </c>
      <c r="CZ81" s="88">
        <f t="shared" ref="CZ81:CZ148" si="324">ROUND(CD81/$P81,4)</f>
        <v>4378.8</v>
      </c>
      <c r="DA81" s="90">
        <f t="shared" ref="DA81:DA148" si="325">ROUND(CE81/$P81,4)</f>
        <v>3363.14</v>
      </c>
      <c r="DB81" s="90">
        <f t="shared" ref="DB81:DB148" si="326">ROUND(CF81/$P81,4)</f>
        <v>1015.66</v>
      </c>
      <c r="DC81" s="88">
        <f t="shared" ref="DC81:DC148" si="327">ROUND(CG81/$P81,4)</f>
        <v>0</v>
      </c>
      <c r="DD81" s="88">
        <f t="shared" ref="DD81:DD148" si="328">ROUND(CH81/$P81,4)</f>
        <v>25901.4</v>
      </c>
      <c r="AUV81" s="699">
        <f t="shared" si="235"/>
        <v>19463.2</v>
      </c>
      <c r="AUW81" s="699">
        <f t="shared" si="236"/>
        <v>14948.69</v>
      </c>
      <c r="AUX81" s="699">
        <f t="shared" si="237"/>
        <v>4514.51</v>
      </c>
      <c r="AUY81" s="699">
        <f t="shared" si="255"/>
        <v>22</v>
      </c>
      <c r="AUZ81" s="699">
        <f t="shared" si="204"/>
        <v>6.92</v>
      </c>
      <c r="AVA81" s="699">
        <f t="shared" si="204"/>
        <v>0.19</v>
      </c>
      <c r="AVB81" s="699">
        <f t="shared" si="256"/>
        <v>435</v>
      </c>
      <c r="AVC81" s="699">
        <f t="shared" si="257"/>
        <v>52</v>
      </c>
      <c r="AVD81" s="699">
        <f t="shared" si="258"/>
        <v>267</v>
      </c>
      <c r="AVE81" s="699">
        <f t="shared" si="259"/>
        <v>34</v>
      </c>
      <c r="AVF81" s="699">
        <f t="shared" si="260"/>
        <v>82</v>
      </c>
      <c r="AVG81" s="699">
        <f t="shared" si="261"/>
        <v>711.4</v>
      </c>
      <c r="AVH81" s="699">
        <f t="shared" si="262"/>
        <v>508</v>
      </c>
      <c r="AVI81" s="699">
        <f t="shared" si="263"/>
        <v>54</v>
      </c>
      <c r="AVJ81" s="699">
        <f t="shared" si="264"/>
        <v>77</v>
      </c>
      <c r="AVK81" s="699">
        <f t="shared" si="265"/>
        <v>8</v>
      </c>
      <c r="AVL81" s="699">
        <f t="shared" si="266"/>
        <v>12</v>
      </c>
      <c r="AVM81" s="699">
        <f t="shared" si="267"/>
        <v>4378.8</v>
      </c>
      <c r="AVN81" s="699">
        <f t="shared" si="268"/>
        <v>3363.13</v>
      </c>
      <c r="AVO81" s="699">
        <f t="shared" si="269"/>
        <v>1015.67</v>
      </c>
      <c r="AVP81" s="699">
        <f t="shared" si="270"/>
        <v>0</v>
      </c>
      <c r="AVQ81" s="699">
        <f t="shared" si="271"/>
        <v>25901.4</v>
      </c>
    </row>
    <row r="82" spans="1:1265" ht="30" customHeight="1" x14ac:dyDescent="0.25">
      <c r="A82" s="643">
        <v>1</v>
      </c>
      <c r="B82" s="643">
        <v>9</v>
      </c>
      <c r="C82" s="664" t="s">
        <v>247</v>
      </c>
      <c r="D82" s="2"/>
      <c r="E82" s="101" t="s">
        <v>345</v>
      </c>
      <c r="F82" s="643" t="s">
        <v>38</v>
      </c>
      <c r="G82" s="643">
        <v>2</v>
      </c>
      <c r="H82" s="658" t="s">
        <v>10</v>
      </c>
      <c r="I82" s="643">
        <v>0</v>
      </c>
      <c r="J82" s="101" t="s">
        <v>383</v>
      </c>
      <c r="K82" s="643">
        <v>1</v>
      </c>
      <c r="L82" s="683" t="s">
        <v>350</v>
      </c>
      <c r="M82" s="11" t="s">
        <v>303</v>
      </c>
      <c r="N82" s="101" t="s">
        <v>387</v>
      </c>
      <c r="O82" s="643">
        <v>1</v>
      </c>
      <c r="P82" s="632">
        <v>5</v>
      </c>
      <c r="Q82" s="632">
        <v>5</v>
      </c>
      <c r="R82" s="632">
        <v>5</v>
      </c>
      <c r="S82" s="675">
        <f>SUMIF('Территориальный кк'!$A:$A,'2020'!$B82,'Территориальный кк'!D:D)</f>
        <v>3.258</v>
      </c>
      <c r="T82" s="676">
        <f>SUMIF('Территориальный кк'!$A:$A,'2020'!$B82,'Территориальный кк'!E:E)</f>
        <v>2.8919999999999999</v>
      </c>
      <c r="U82" s="33">
        <f>SUMIFS(Нормативы!G:G,Нормативы!$B:$B,$G82,Нормативы!$D:$D,'2020'!$I82,Нормативы!$F:$F,'2020'!$K82)*O82</f>
        <v>59740</v>
      </c>
      <c r="V82" s="33">
        <f t="shared" ref="V82:V149" si="329">ROUND(U82/1.302,1)</f>
        <v>45883.3</v>
      </c>
      <c r="W82" s="33">
        <f t="shared" ref="W82:W149" si="330">U82-V82</f>
        <v>13856.7</v>
      </c>
      <c r="X82" s="33">
        <f>SUMIFS(Нормативы!J:J,Нормативы!$B:$B,$G82,Нормативы!$D:$D,'2020'!$I82,Нормативы!$F:$F,'2020'!$K82)</f>
        <v>220</v>
      </c>
      <c r="Y82" s="33">
        <f>SUMIFS(Нормативы!K:K,Нормативы!$B:$B,$G82,Нормативы!$D:$D,'2020'!$I82,Нормативы!$F:$F,'2020'!$K82)</f>
        <v>44</v>
      </c>
      <c r="Z82" s="33">
        <f>SUMIFS(Нормативы!L:L,Нормативы!$B:$B,$G82,Нормативы!$D:$D,'2020'!$I82,Нормативы!$F:$F,'2020'!$K82)</f>
        <v>2320</v>
      </c>
      <c r="AA82" s="33">
        <f t="shared" ref="AA82:AA149" si="331">AB82+AC82+AD82+AE82</f>
        <v>4350</v>
      </c>
      <c r="AB82" s="33">
        <f>SUMIFS(Нормативы!N:N,Нормативы!$B:$B,$G82,Нормативы!$D:$D,'2020'!$I82,Нормативы!$F:$F,'2020'!$K82)*O82</f>
        <v>520</v>
      </c>
      <c r="AC82" s="33">
        <f>SUMIFS(Нормативы!O:O,Нормативы!$B:$B,$G82,Нормативы!$D:$D,'2020'!$I82,Нормативы!$F:$F,'2020'!$K82)</f>
        <v>2670</v>
      </c>
      <c r="AD82" s="33">
        <f>SUMIFS(Нормативы!P:P,Нормативы!$B:$B,$G82,Нормативы!$D:$D,'2020'!$I82,Нормативы!$F:$F,'2020'!$K82)*O82</f>
        <v>340</v>
      </c>
      <c r="AE82" s="33">
        <f>SUMIFS(Нормативы!Q:Q,Нормативы!$B:$B,$G82,Нормативы!$D:$D,'2020'!$I82,Нормативы!$F:$F,'2020'!$K82)</f>
        <v>820</v>
      </c>
      <c r="AF82" s="33">
        <f>SUMIFS(Нормативы!R:R,Нормативы!$B:$B,$G82,Нормативы!$D:$D,'2020'!$I82,Нормативы!$F:$F,'2020'!$K82)</f>
        <v>2460</v>
      </c>
      <c r="AG82" s="33">
        <f>SUMIFS(Нормативы!S:S,Нормативы!$B:$B,$G82,Нормативы!$D:$D,'2020'!$I82,Нормативы!$F:$F,'2020'!$K82)</f>
        <v>5080</v>
      </c>
      <c r="AH82" s="33">
        <f>SUMIFS(Нормативы!T:T,Нормативы!$B:$B,$G82,Нормативы!$D:$D,'2020'!$I82,Нормативы!$F:$F,'2020'!$K82)</f>
        <v>540</v>
      </c>
      <c r="AI82" s="33">
        <f>SUMIFS(Нормативы!U:U,Нормативы!$B:$B,$G82,Нормативы!$D:$D,'2020'!$I82,Нормативы!$F:$F,'2020'!$K82)</f>
        <v>770</v>
      </c>
      <c r="AJ82" s="33">
        <f>SUMIFS(Нормативы!V:V,Нормативы!$B:$B,$G82,Нормативы!$D:$D,'2020'!$I82,Нормативы!$F:$F,'2020'!$K82)</f>
        <v>80</v>
      </c>
      <c r="AK82" s="33">
        <f>SUMIFS(Нормативы!W:W,Нормативы!$B:$B,$G82,Нормативы!$D:$D,'2020'!$I82,Нормативы!$F:$F,'2020'!$K82)</f>
        <v>120</v>
      </c>
      <c r="AL82" s="33">
        <f>SUMIFS(Нормативы!X:X,Нормативы!$B:$B,$G82,Нормативы!$D:$D,'2020'!$I82,Нормативы!$F:$F,'2020'!$K82)*O82</f>
        <v>13440</v>
      </c>
      <c r="AM82" s="33">
        <f t="shared" ref="AM82:AM149" si="332">ROUND(AL82/1.302,1)</f>
        <v>10322.6</v>
      </c>
      <c r="AN82" s="33">
        <f t="shared" ref="AN82:AN149" si="333">AL82-AM82</f>
        <v>3117.4</v>
      </c>
      <c r="AO82" s="33">
        <f>SUMIFS(Нормативы!AA:AA,Нормативы!$B:$B,$G82,Нормативы!$D:$D,'2020'!$I82,Нормативы!$F:$F,'2020'!$K82)</f>
        <v>3520</v>
      </c>
      <c r="AP82" s="141">
        <f t="shared" ref="AP82:AP149" si="334">U82+X82+Z82+AA82++AF82+AG82+AH82+AI82+AJ82+AK82+AL82+AO82</f>
        <v>92640</v>
      </c>
      <c r="AQ82" s="413">
        <f t="shared" si="272"/>
        <v>298700</v>
      </c>
      <c r="AR82" s="33">
        <f t="shared" ref="AR82:AR149" si="335">ROUND(AQ82/1.302,1)</f>
        <v>229416.3</v>
      </c>
      <c r="AS82" s="33">
        <f t="shared" ref="AS82:AS149" si="336">AQ82-AR82</f>
        <v>69283.7</v>
      </c>
      <c r="AT82" s="34">
        <f t="shared" si="273"/>
        <v>1100</v>
      </c>
      <c r="AU82" s="34">
        <f t="shared" si="274"/>
        <v>220</v>
      </c>
      <c r="AV82" s="34">
        <f t="shared" si="275"/>
        <v>11600</v>
      </c>
      <c r="AW82" s="34">
        <f t="shared" si="276"/>
        <v>21750</v>
      </c>
      <c r="AX82" s="34">
        <f t="shared" si="277"/>
        <v>2600</v>
      </c>
      <c r="AY82" s="34">
        <f t="shared" si="278"/>
        <v>13350</v>
      </c>
      <c r="AZ82" s="34">
        <f t="shared" si="279"/>
        <v>1700</v>
      </c>
      <c r="BA82" s="34">
        <f t="shared" si="280"/>
        <v>4100</v>
      </c>
      <c r="BB82" s="34">
        <f t="shared" si="281"/>
        <v>12300</v>
      </c>
      <c r="BC82" s="34">
        <f t="shared" si="282"/>
        <v>25400</v>
      </c>
      <c r="BD82" s="34">
        <f t="shared" si="283"/>
        <v>2700</v>
      </c>
      <c r="BE82" s="34">
        <f t="shared" si="284"/>
        <v>3850</v>
      </c>
      <c r="BF82" s="34">
        <f t="shared" si="285"/>
        <v>400</v>
      </c>
      <c r="BG82" s="34">
        <f t="shared" si="286"/>
        <v>600</v>
      </c>
      <c r="BH82" s="34">
        <f t="shared" si="287"/>
        <v>67200</v>
      </c>
      <c r="BI82" s="33">
        <f t="shared" ref="BI82:BI149" si="337">ROUND(BH82/1.302,1)</f>
        <v>51612.9</v>
      </c>
      <c r="BJ82" s="33">
        <f t="shared" ref="BJ82:BJ149" si="338">BH82-BI82</f>
        <v>15587.1</v>
      </c>
      <c r="BK82" s="34">
        <f t="shared" si="288"/>
        <v>17600</v>
      </c>
      <c r="BL82" s="426">
        <f t="shared" si="289"/>
        <v>463200</v>
      </c>
      <c r="BM82" s="616">
        <f t="shared" si="290"/>
        <v>973165</v>
      </c>
      <c r="BN82" s="33">
        <f t="shared" si="291"/>
        <v>747438.6</v>
      </c>
      <c r="BO82" s="33">
        <f t="shared" si="292"/>
        <v>225726.4</v>
      </c>
      <c r="BP82" s="34">
        <f t="shared" ref="BP82:BP149" si="339">AT82</f>
        <v>1100</v>
      </c>
      <c r="BQ82" s="34">
        <f t="shared" ref="BQ82:BQ149" si="340">AU82</f>
        <v>220</v>
      </c>
      <c r="BR82" s="34">
        <f t="shared" ref="BR82:BR149" si="341">AV82</f>
        <v>11600</v>
      </c>
      <c r="BS82" s="34">
        <f t="shared" si="293"/>
        <v>21750</v>
      </c>
      <c r="BT82" s="34">
        <f t="shared" si="294"/>
        <v>2600</v>
      </c>
      <c r="BU82" s="34">
        <f t="shared" si="295"/>
        <v>13350</v>
      </c>
      <c r="BV82" s="34">
        <f t="shared" si="296"/>
        <v>1700</v>
      </c>
      <c r="BW82" s="34">
        <f t="shared" si="297"/>
        <v>4100</v>
      </c>
      <c r="BX82" s="34">
        <f t="shared" si="298"/>
        <v>35572</v>
      </c>
      <c r="BY82" s="34">
        <f t="shared" si="299"/>
        <v>25400</v>
      </c>
      <c r="BZ82" s="34">
        <f t="shared" si="300"/>
        <v>2700</v>
      </c>
      <c r="CA82" s="34">
        <f t="shared" si="301"/>
        <v>3850</v>
      </c>
      <c r="CB82" s="34">
        <f t="shared" si="302"/>
        <v>400</v>
      </c>
      <c r="CC82" s="34">
        <f t="shared" si="303"/>
        <v>600</v>
      </c>
      <c r="CD82" s="34">
        <f t="shared" si="304"/>
        <v>218938</v>
      </c>
      <c r="CE82" s="33">
        <f t="shared" ref="CE82:CE149" si="342">ROUND(CD82/1.302,1)</f>
        <v>168155.1</v>
      </c>
      <c r="CF82" s="33">
        <f t="shared" ref="CF82:CF149" si="343">CD82-CE82</f>
        <v>50782.9</v>
      </c>
      <c r="CG82" s="34">
        <f t="shared" si="305"/>
        <v>17600</v>
      </c>
      <c r="CH82" s="415">
        <f t="shared" si="306"/>
        <v>1312675</v>
      </c>
      <c r="CI82" s="88">
        <f t="shared" si="307"/>
        <v>194633</v>
      </c>
      <c r="CJ82" s="90">
        <f t="shared" si="308"/>
        <v>149487.72</v>
      </c>
      <c r="CK82" s="90">
        <f t="shared" si="309"/>
        <v>45145.279999999999</v>
      </c>
      <c r="CL82" s="88">
        <f t="shared" si="310"/>
        <v>220</v>
      </c>
      <c r="CM82" s="88">
        <f t="shared" si="311"/>
        <v>44</v>
      </c>
      <c r="CN82" s="88">
        <f t="shared" si="312"/>
        <v>2320</v>
      </c>
      <c r="CO82" s="88">
        <f t="shared" si="313"/>
        <v>4350</v>
      </c>
      <c r="CP82" s="88">
        <f t="shared" si="314"/>
        <v>520</v>
      </c>
      <c r="CQ82" s="88">
        <f t="shared" si="315"/>
        <v>2670</v>
      </c>
      <c r="CR82" s="88">
        <f t="shared" si="316"/>
        <v>340</v>
      </c>
      <c r="CS82" s="88">
        <f t="shared" si="317"/>
        <v>820</v>
      </c>
      <c r="CT82" s="88">
        <f t="shared" si="318"/>
        <v>7114.4</v>
      </c>
      <c r="CU82" s="88">
        <f t="shared" si="319"/>
        <v>5080</v>
      </c>
      <c r="CV82" s="88">
        <f t="shared" si="320"/>
        <v>540</v>
      </c>
      <c r="CW82" s="88">
        <f t="shared" si="321"/>
        <v>770</v>
      </c>
      <c r="CX82" s="88">
        <f t="shared" si="322"/>
        <v>80</v>
      </c>
      <c r="CY82" s="88">
        <f t="shared" si="323"/>
        <v>120</v>
      </c>
      <c r="CZ82" s="88">
        <f t="shared" si="324"/>
        <v>43787.6</v>
      </c>
      <c r="DA82" s="90">
        <f t="shared" si="325"/>
        <v>33631.019999999997</v>
      </c>
      <c r="DB82" s="90">
        <f t="shared" si="326"/>
        <v>10156.58</v>
      </c>
      <c r="DC82" s="88">
        <f t="shared" si="327"/>
        <v>3520</v>
      </c>
      <c r="DD82" s="88">
        <f t="shared" si="328"/>
        <v>262535</v>
      </c>
      <c r="AUV82" s="699">
        <f t="shared" si="235"/>
        <v>194633</v>
      </c>
      <c r="AUW82" s="699">
        <f t="shared" si="236"/>
        <v>149487.71</v>
      </c>
      <c r="AUX82" s="699">
        <f t="shared" si="237"/>
        <v>45145.29</v>
      </c>
      <c r="AUY82" s="699">
        <f t="shared" si="255"/>
        <v>220</v>
      </c>
      <c r="AUZ82" s="699">
        <f t="shared" si="204"/>
        <v>76.069999999999993</v>
      </c>
      <c r="AVA82" s="699">
        <f t="shared" si="204"/>
        <v>0.19</v>
      </c>
      <c r="AVB82" s="699">
        <f t="shared" si="256"/>
        <v>4350</v>
      </c>
      <c r="AVC82" s="699">
        <f t="shared" si="257"/>
        <v>520</v>
      </c>
      <c r="AVD82" s="699">
        <f t="shared" si="258"/>
        <v>2670</v>
      </c>
      <c r="AVE82" s="699">
        <f t="shared" si="259"/>
        <v>340</v>
      </c>
      <c r="AVF82" s="699">
        <f t="shared" si="260"/>
        <v>820</v>
      </c>
      <c r="AVG82" s="699">
        <f t="shared" si="261"/>
        <v>7114.4</v>
      </c>
      <c r="AVH82" s="699">
        <f t="shared" si="262"/>
        <v>5080</v>
      </c>
      <c r="AVI82" s="699">
        <f t="shared" si="263"/>
        <v>540</v>
      </c>
      <c r="AVJ82" s="699">
        <f t="shared" si="264"/>
        <v>770</v>
      </c>
      <c r="AVK82" s="699">
        <f t="shared" si="265"/>
        <v>80</v>
      </c>
      <c r="AVL82" s="699">
        <f t="shared" si="266"/>
        <v>120</v>
      </c>
      <c r="AVM82" s="699">
        <f t="shared" si="267"/>
        <v>43787.6</v>
      </c>
      <c r="AVN82" s="699">
        <f t="shared" si="268"/>
        <v>33631.03</v>
      </c>
      <c r="AVO82" s="699">
        <f t="shared" si="269"/>
        <v>10156.57</v>
      </c>
      <c r="AVP82" s="699">
        <f t="shared" si="270"/>
        <v>3520</v>
      </c>
      <c r="AVQ82" s="699">
        <f t="shared" si="271"/>
        <v>262535</v>
      </c>
    </row>
    <row r="83" spans="1:1265" ht="30" customHeight="1" x14ac:dyDescent="0.25">
      <c r="A83" s="643">
        <v>1</v>
      </c>
      <c r="B83" s="643">
        <v>9</v>
      </c>
      <c r="C83" s="664" t="s">
        <v>247</v>
      </c>
      <c r="D83" s="2"/>
      <c r="E83" s="101" t="s">
        <v>345</v>
      </c>
      <c r="F83" s="643" t="s">
        <v>38</v>
      </c>
      <c r="G83" s="643">
        <v>2</v>
      </c>
      <c r="H83" s="658" t="s">
        <v>8</v>
      </c>
      <c r="I83" s="643">
        <v>3</v>
      </c>
      <c r="J83" s="101" t="s">
        <v>383</v>
      </c>
      <c r="K83" s="643">
        <v>1</v>
      </c>
      <c r="L83" s="683" t="s">
        <v>350</v>
      </c>
      <c r="M83" s="11" t="s">
        <v>304</v>
      </c>
      <c r="N83" s="101" t="s">
        <v>387</v>
      </c>
      <c r="O83" s="643">
        <v>1</v>
      </c>
      <c r="P83" s="632">
        <v>5</v>
      </c>
      <c r="Q83" s="632">
        <v>5</v>
      </c>
      <c r="R83" s="632">
        <v>5</v>
      </c>
      <c r="S83" s="675">
        <f>SUMIF('Территориальный кк'!$A:$A,'2020'!$B83,'Территориальный кк'!D:D)</f>
        <v>3.258</v>
      </c>
      <c r="T83" s="676">
        <f>SUMIF('Территориальный кк'!$A:$A,'2020'!$B83,'Территориальный кк'!E:E)</f>
        <v>2.8919999999999999</v>
      </c>
      <c r="U83" s="33">
        <f>SUMIFS(Нормативы!G:G,Нормативы!$B:$B,$G83,Нормативы!$D:$D,'2020'!$I83,Нормативы!$F:$F,'2020'!$K83)*O83</f>
        <v>5974</v>
      </c>
      <c r="V83" s="33">
        <f t="shared" si="329"/>
        <v>4588.3</v>
      </c>
      <c r="W83" s="33">
        <f t="shared" si="330"/>
        <v>1385.7</v>
      </c>
      <c r="X83" s="33">
        <f>SUMIFS(Нормативы!J:J,Нормативы!$B:$B,$G83,Нормативы!$D:$D,'2020'!$I83,Нормативы!$F:$F,'2020'!$K83)</f>
        <v>22</v>
      </c>
      <c r="Y83" s="33">
        <f>SUMIFS(Нормативы!K:K,Нормативы!$B:$B,$G83,Нормативы!$D:$D,'2020'!$I83,Нормативы!$F:$F,'2020'!$K83)</f>
        <v>4</v>
      </c>
      <c r="Z83" s="33">
        <f>SUMIFS(Нормативы!L:L,Нормативы!$B:$B,$G83,Нормативы!$D:$D,'2020'!$I83,Нормативы!$F:$F,'2020'!$K83)</f>
        <v>232</v>
      </c>
      <c r="AA83" s="33">
        <f t="shared" si="331"/>
        <v>435</v>
      </c>
      <c r="AB83" s="33">
        <f>SUMIFS(Нормативы!N:N,Нормативы!$B:$B,$G83,Нормативы!$D:$D,'2020'!$I83,Нормативы!$F:$F,'2020'!$K83)*O83</f>
        <v>52</v>
      </c>
      <c r="AC83" s="33">
        <f>SUMIFS(Нормативы!O:O,Нормативы!$B:$B,$G83,Нормативы!$D:$D,'2020'!$I83,Нормативы!$F:$F,'2020'!$K83)</f>
        <v>267</v>
      </c>
      <c r="AD83" s="33">
        <f>SUMIFS(Нормативы!P:P,Нормативы!$B:$B,$G83,Нормативы!$D:$D,'2020'!$I83,Нормативы!$F:$F,'2020'!$K83)*O83</f>
        <v>34</v>
      </c>
      <c r="AE83" s="33">
        <f>SUMIFS(Нормативы!Q:Q,Нормативы!$B:$B,$G83,Нормативы!$D:$D,'2020'!$I83,Нормативы!$F:$F,'2020'!$K83)</f>
        <v>82</v>
      </c>
      <c r="AF83" s="33">
        <f>SUMIFS(Нормативы!R:R,Нормативы!$B:$B,$G83,Нормативы!$D:$D,'2020'!$I83,Нормативы!$F:$F,'2020'!$K83)</f>
        <v>246</v>
      </c>
      <c r="AG83" s="33">
        <f>SUMIFS(Нормативы!S:S,Нормативы!$B:$B,$G83,Нормативы!$D:$D,'2020'!$I83,Нормативы!$F:$F,'2020'!$K83)</f>
        <v>508</v>
      </c>
      <c r="AH83" s="33">
        <f>SUMIFS(Нормативы!T:T,Нормативы!$B:$B,$G83,Нормативы!$D:$D,'2020'!$I83,Нормативы!$F:$F,'2020'!$K83)</f>
        <v>54</v>
      </c>
      <c r="AI83" s="33">
        <f>SUMIFS(Нормативы!U:U,Нормативы!$B:$B,$G83,Нормативы!$D:$D,'2020'!$I83,Нормативы!$F:$F,'2020'!$K83)</f>
        <v>77</v>
      </c>
      <c r="AJ83" s="33">
        <f>SUMIFS(Нормативы!V:V,Нормативы!$B:$B,$G83,Нормативы!$D:$D,'2020'!$I83,Нормативы!$F:$F,'2020'!$K83)</f>
        <v>8</v>
      </c>
      <c r="AK83" s="33">
        <f>SUMIFS(Нормативы!W:W,Нормативы!$B:$B,$G83,Нормативы!$D:$D,'2020'!$I83,Нормативы!$F:$F,'2020'!$K83)</f>
        <v>12</v>
      </c>
      <c r="AL83" s="33">
        <f>SUMIFS(Нормативы!X:X,Нормативы!$B:$B,$G83,Нормативы!$D:$D,'2020'!$I83,Нормативы!$F:$F,'2020'!$K83)*O83</f>
        <v>1344</v>
      </c>
      <c r="AM83" s="33">
        <f t="shared" si="332"/>
        <v>1032.3</v>
      </c>
      <c r="AN83" s="33">
        <f t="shared" si="333"/>
        <v>311.7</v>
      </c>
      <c r="AO83" s="33">
        <f>SUMIFS(Нормативы!AA:AA,Нормативы!$B:$B,$G83,Нормативы!$D:$D,'2020'!$I83,Нормативы!$F:$F,'2020'!$K83)</f>
        <v>0</v>
      </c>
      <c r="AP83" s="141">
        <f t="shared" si="334"/>
        <v>8912</v>
      </c>
      <c r="AQ83" s="413">
        <f t="shared" si="272"/>
        <v>29870</v>
      </c>
      <c r="AR83" s="33">
        <f t="shared" si="335"/>
        <v>22941.599999999999</v>
      </c>
      <c r="AS83" s="33">
        <f t="shared" si="336"/>
        <v>6928.4</v>
      </c>
      <c r="AT83" s="34">
        <f t="shared" si="273"/>
        <v>110</v>
      </c>
      <c r="AU83" s="34">
        <f t="shared" si="274"/>
        <v>20</v>
      </c>
      <c r="AV83" s="34">
        <f t="shared" si="275"/>
        <v>1160</v>
      </c>
      <c r="AW83" s="34">
        <f t="shared" si="276"/>
        <v>2175</v>
      </c>
      <c r="AX83" s="34">
        <f t="shared" si="277"/>
        <v>260</v>
      </c>
      <c r="AY83" s="34">
        <f t="shared" si="278"/>
        <v>1335</v>
      </c>
      <c r="AZ83" s="34">
        <f t="shared" si="279"/>
        <v>170</v>
      </c>
      <c r="BA83" s="34">
        <f t="shared" si="280"/>
        <v>410</v>
      </c>
      <c r="BB83" s="34">
        <f t="shared" si="281"/>
        <v>1230</v>
      </c>
      <c r="BC83" s="34">
        <f t="shared" si="282"/>
        <v>2540</v>
      </c>
      <c r="BD83" s="34">
        <f t="shared" si="283"/>
        <v>270</v>
      </c>
      <c r="BE83" s="34">
        <f t="shared" si="284"/>
        <v>385</v>
      </c>
      <c r="BF83" s="34">
        <f t="shared" si="285"/>
        <v>40</v>
      </c>
      <c r="BG83" s="34">
        <f t="shared" si="286"/>
        <v>60</v>
      </c>
      <c r="BH83" s="34">
        <f t="shared" si="287"/>
        <v>6720</v>
      </c>
      <c r="BI83" s="33">
        <f t="shared" si="337"/>
        <v>5161.3</v>
      </c>
      <c r="BJ83" s="33">
        <f t="shared" si="338"/>
        <v>1558.7</v>
      </c>
      <c r="BK83" s="34">
        <f t="shared" si="288"/>
        <v>0</v>
      </c>
      <c r="BL83" s="426">
        <f t="shared" si="289"/>
        <v>44560</v>
      </c>
      <c r="BM83" s="616">
        <f t="shared" si="290"/>
        <v>97316</v>
      </c>
      <c r="BN83" s="33">
        <f t="shared" si="291"/>
        <v>74743.5</v>
      </c>
      <c r="BO83" s="33">
        <f t="shared" si="292"/>
        <v>22572.5</v>
      </c>
      <c r="BP83" s="34">
        <f t="shared" si="339"/>
        <v>110</v>
      </c>
      <c r="BQ83" s="34">
        <f t="shared" si="340"/>
        <v>20</v>
      </c>
      <c r="BR83" s="34">
        <f t="shared" si="341"/>
        <v>1160</v>
      </c>
      <c r="BS83" s="34">
        <f t="shared" si="293"/>
        <v>2175</v>
      </c>
      <c r="BT83" s="34">
        <f t="shared" si="294"/>
        <v>260</v>
      </c>
      <c r="BU83" s="34">
        <f t="shared" si="295"/>
        <v>1335</v>
      </c>
      <c r="BV83" s="34">
        <f t="shared" si="296"/>
        <v>170</v>
      </c>
      <c r="BW83" s="34">
        <f t="shared" si="297"/>
        <v>410</v>
      </c>
      <c r="BX83" s="34">
        <f t="shared" si="298"/>
        <v>3557</v>
      </c>
      <c r="BY83" s="34">
        <f t="shared" si="299"/>
        <v>2540</v>
      </c>
      <c r="BZ83" s="34">
        <f t="shared" si="300"/>
        <v>270</v>
      </c>
      <c r="CA83" s="34">
        <f t="shared" si="301"/>
        <v>385</v>
      </c>
      <c r="CB83" s="34">
        <f t="shared" si="302"/>
        <v>40</v>
      </c>
      <c r="CC83" s="34">
        <f t="shared" si="303"/>
        <v>60</v>
      </c>
      <c r="CD83" s="34">
        <f t="shared" si="304"/>
        <v>21894</v>
      </c>
      <c r="CE83" s="33">
        <f t="shared" si="342"/>
        <v>16815.7</v>
      </c>
      <c r="CF83" s="33">
        <f t="shared" si="343"/>
        <v>5078.3</v>
      </c>
      <c r="CG83" s="34">
        <f t="shared" si="305"/>
        <v>0</v>
      </c>
      <c r="CH83" s="415">
        <f t="shared" si="306"/>
        <v>129507</v>
      </c>
      <c r="CI83" s="88">
        <f t="shared" si="307"/>
        <v>19463.2</v>
      </c>
      <c r="CJ83" s="90">
        <f t="shared" si="308"/>
        <v>14948.7</v>
      </c>
      <c r="CK83" s="90">
        <f t="shared" si="309"/>
        <v>4514.5</v>
      </c>
      <c r="CL83" s="88">
        <f t="shared" si="310"/>
        <v>22</v>
      </c>
      <c r="CM83" s="88">
        <f t="shared" si="311"/>
        <v>4</v>
      </c>
      <c r="CN83" s="88">
        <f t="shared" si="312"/>
        <v>232</v>
      </c>
      <c r="CO83" s="88">
        <f t="shared" si="313"/>
        <v>435</v>
      </c>
      <c r="CP83" s="88">
        <f t="shared" si="314"/>
        <v>52</v>
      </c>
      <c r="CQ83" s="88">
        <f t="shared" si="315"/>
        <v>267</v>
      </c>
      <c r="CR83" s="88">
        <f t="shared" si="316"/>
        <v>34</v>
      </c>
      <c r="CS83" s="88">
        <f t="shared" si="317"/>
        <v>82</v>
      </c>
      <c r="CT83" s="88">
        <f t="shared" si="318"/>
        <v>711.4</v>
      </c>
      <c r="CU83" s="88">
        <f t="shared" si="319"/>
        <v>508</v>
      </c>
      <c r="CV83" s="88">
        <f t="shared" si="320"/>
        <v>54</v>
      </c>
      <c r="CW83" s="88">
        <f t="shared" si="321"/>
        <v>77</v>
      </c>
      <c r="CX83" s="88">
        <f t="shared" si="322"/>
        <v>8</v>
      </c>
      <c r="CY83" s="88">
        <f t="shared" si="323"/>
        <v>12</v>
      </c>
      <c r="CZ83" s="88">
        <f t="shared" si="324"/>
        <v>4378.8</v>
      </c>
      <c r="DA83" s="90">
        <f t="shared" si="325"/>
        <v>3363.14</v>
      </c>
      <c r="DB83" s="90">
        <f t="shared" si="326"/>
        <v>1015.66</v>
      </c>
      <c r="DC83" s="88">
        <f t="shared" si="327"/>
        <v>0</v>
      </c>
      <c r="DD83" s="88">
        <f t="shared" si="328"/>
        <v>25901.4</v>
      </c>
      <c r="AUV83" s="699">
        <f t="shared" si="235"/>
        <v>19463.2</v>
      </c>
      <c r="AUW83" s="699">
        <f t="shared" si="236"/>
        <v>14948.69</v>
      </c>
      <c r="AUX83" s="699">
        <f t="shared" si="237"/>
        <v>4514.51</v>
      </c>
      <c r="AUY83" s="699">
        <f t="shared" si="255"/>
        <v>22</v>
      </c>
      <c r="AUZ83" s="699">
        <f t="shared" si="204"/>
        <v>6.92</v>
      </c>
      <c r="AVA83" s="699">
        <f t="shared" si="204"/>
        <v>0.19</v>
      </c>
      <c r="AVB83" s="699">
        <f t="shared" si="256"/>
        <v>435</v>
      </c>
      <c r="AVC83" s="699">
        <f t="shared" si="257"/>
        <v>52</v>
      </c>
      <c r="AVD83" s="699">
        <f t="shared" si="258"/>
        <v>267</v>
      </c>
      <c r="AVE83" s="699">
        <f t="shared" si="259"/>
        <v>34</v>
      </c>
      <c r="AVF83" s="699">
        <f t="shared" si="260"/>
        <v>82</v>
      </c>
      <c r="AVG83" s="699">
        <f t="shared" si="261"/>
        <v>711.4</v>
      </c>
      <c r="AVH83" s="699">
        <f t="shared" si="262"/>
        <v>508</v>
      </c>
      <c r="AVI83" s="699">
        <f t="shared" si="263"/>
        <v>54</v>
      </c>
      <c r="AVJ83" s="699">
        <f t="shared" si="264"/>
        <v>77</v>
      </c>
      <c r="AVK83" s="699">
        <f t="shared" si="265"/>
        <v>8</v>
      </c>
      <c r="AVL83" s="699">
        <f t="shared" si="266"/>
        <v>12</v>
      </c>
      <c r="AVM83" s="699">
        <f t="shared" si="267"/>
        <v>4378.8</v>
      </c>
      <c r="AVN83" s="699">
        <f t="shared" si="268"/>
        <v>3363.13</v>
      </c>
      <c r="AVO83" s="699">
        <f t="shared" si="269"/>
        <v>1015.67</v>
      </c>
      <c r="AVP83" s="699">
        <f t="shared" si="270"/>
        <v>0</v>
      </c>
      <c r="AVQ83" s="699">
        <f t="shared" si="271"/>
        <v>25901.4</v>
      </c>
    </row>
    <row r="84" spans="1:1265" ht="30" customHeight="1" x14ac:dyDescent="0.25">
      <c r="A84" s="643">
        <v>1</v>
      </c>
      <c r="B84" s="643">
        <v>9</v>
      </c>
      <c r="C84" s="664" t="s">
        <v>247</v>
      </c>
      <c r="D84" s="2"/>
      <c r="E84" s="101" t="s">
        <v>345</v>
      </c>
      <c r="F84" s="643" t="s">
        <v>38</v>
      </c>
      <c r="G84" s="643">
        <v>2</v>
      </c>
      <c r="H84" s="658" t="s">
        <v>10</v>
      </c>
      <c r="I84" s="643">
        <v>0</v>
      </c>
      <c r="J84" s="101" t="s">
        <v>384</v>
      </c>
      <c r="K84" s="643">
        <v>1</v>
      </c>
      <c r="L84" s="683" t="s">
        <v>350</v>
      </c>
      <c r="M84" s="11" t="s">
        <v>305</v>
      </c>
      <c r="N84" s="101" t="s">
        <v>387</v>
      </c>
      <c r="O84" s="643">
        <v>1</v>
      </c>
      <c r="P84" s="632">
        <v>5</v>
      </c>
      <c r="Q84" s="632">
        <v>5</v>
      </c>
      <c r="R84" s="632">
        <v>5</v>
      </c>
      <c r="S84" s="675">
        <f>SUMIF('Территориальный кк'!$A:$A,'2020'!$B84,'Территориальный кк'!D:D)</f>
        <v>3.258</v>
      </c>
      <c r="T84" s="676">
        <f>SUMIF('Территориальный кк'!$A:$A,'2020'!$B84,'Территориальный кк'!E:E)</f>
        <v>2.8919999999999999</v>
      </c>
      <c r="U84" s="33">
        <f>SUMIFS(Нормативы!G:G,Нормативы!$B:$B,$G84,Нормативы!$D:$D,'2020'!$I84,Нормативы!$F:$F,'2020'!$K84)*O84</f>
        <v>59740</v>
      </c>
      <c r="V84" s="33">
        <f t="shared" si="329"/>
        <v>45883.3</v>
      </c>
      <c r="W84" s="33">
        <f t="shared" si="330"/>
        <v>13856.7</v>
      </c>
      <c r="X84" s="33">
        <f>SUMIFS(Нормативы!J:J,Нормативы!$B:$B,$G84,Нормативы!$D:$D,'2020'!$I84,Нормативы!$F:$F,'2020'!$K84)</f>
        <v>220</v>
      </c>
      <c r="Y84" s="33">
        <f>SUMIFS(Нормативы!K:K,Нормативы!$B:$B,$G84,Нормативы!$D:$D,'2020'!$I84,Нормативы!$F:$F,'2020'!$K84)</f>
        <v>44</v>
      </c>
      <c r="Z84" s="33">
        <f>SUMIFS(Нормативы!L:L,Нормативы!$B:$B,$G84,Нормативы!$D:$D,'2020'!$I84,Нормативы!$F:$F,'2020'!$K84)</f>
        <v>2320</v>
      </c>
      <c r="AA84" s="33">
        <f t="shared" si="331"/>
        <v>4350</v>
      </c>
      <c r="AB84" s="33">
        <f>SUMIFS(Нормативы!N:N,Нормативы!$B:$B,$G84,Нормативы!$D:$D,'2020'!$I84,Нормативы!$F:$F,'2020'!$K84)*O84</f>
        <v>520</v>
      </c>
      <c r="AC84" s="33">
        <f>SUMIFS(Нормативы!O:O,Нормативы!$B:$B,$G84,Нормативы!$D:$D,'2020'!$I84,Нормативы!$F:$F,'2020'!$K84)</f>
        <v>2670</v>
      </c>
      <c r="AD84" s="33">
        <f>SUMIFS(Нормативы!P:P,Нормативы!$B:$B,$G84,Нормативы!$D:$D,'2020'!$I84,Нормативы!$F:$F,'2020'!$K84)*O84</f>
        <v>340</v>
      </c>
      <c r="AE84" s="33">
        <f>SUMIFS(Нормативы!Q:Q,Нормативы!$B:$B,$G84,Нормативы!$D:$D,'2020'!$I84,Нормативы!$F:$F,'2020'!$K84)</f>
        <v>820</v>
      </c>
      <c r="AF84" s="33">
        <f>SUMIFS(Нормативы!R:R,Нормативы!$B:$B,$G84,Нормативы!$D:$D,'2020'!$I84,Нормативы!$F:$F,'2020'!$K84)</f>
        <v>2460</v>
      </c>
      <c r="AG84" s="33">
        <f>SUMIFS(Нормативы!S:S,Нормативы!$B:$B,$G84,Нормативы!$D:$D,'2020'!$I84,Нормативы!$F:$F,'2020'!$K84)</f>
        <v>5080</v>
      </c>
      <c r="AH84" s="33">
        <f>SUMIFS(Нормативы!T:T,Нормативы!$B:$B,$G84,Нормативы!$D:$D,'2020'!$I84,Нормативы!$F:$F,'2020'!$K84)</f>
        <v>540</v>
      </c>
      <c r="AI84" s="33">
        <f>SUMIFS(Нормативы!U:U,Нормативы!$B:$B,$G84,Нормативы!$D:$D,'2020'!$I84,Нормативы!$F:$F,'2020'!$K84)</f>
        <v>770</v>
      </c>
      <c r="AJ84" s="33">
        <f>SUMIFS(Нормативы!V:V,Нормативы!$B:$B,$G84,Нормативы!$D:$D,'2020'!$I84,Нормативы!$F:$F,'2020'!$K84)</f>
        <v>80</v>
      </c>
      <c r="AK84" s="33">
        <f>SUMIFS(Нормативы!W:W,Нормативы!$B:$B,$G84,Нормативы!$D:$D,'2020'!$I84,Нормативы!$F:$F,'2020'!$K84)</f>
        <v>120</v>
      </c>
      <c r="AL84" s="33">
        <f>SUMIFS(Нормативы!X:X,Нормативы!$B:$B,$G84,Нормативы!$D:$D,'2020'!$I84,Нормативы!$F:$F,'2020'!$K84)*O84</f>
        <v>13440</v>
      </c>
      <c r="AM84" s="33">
        <f t="shared" si="332"/>
        <v>10322.6</v>
      </c>
      <c r="AN84" s="33">
        <f t="shared" si="333"/>
        <v>3117.4</v>
      </c>
      <c r="AO84" s="33">
        <f>SUMIFS(Нормативы!AA:AA,Нормативы!$B:$B,$G84,Нормативы!$D:$D,'2020'!$I84,Нормативы!$F:$F,'2020'!$K84)</f>
        <v>3520</v>
      </c>
      <c r="AP84" s="141">
        <f t="shared" si="334"/>
        <v>92640</v>
      </c>
      <c r="AQ84" s="413">
        <f t="shared" si="272"/>
        <v>298700</v>
      </c>
      <c r="AR84" s="33">
        <f t="shared" si="335"/>
        <v>229416.3</v>
      </c>
      <c r="AS84" s="33">
        <f t="shared" si="336"/>
        <v>69283.7</v>
      </c>
      <c r="AT84" s="34">
        <f t="shared" si="273"/>
        <v>1100</v>
      </c>
      <c r="AU84" s="34">
        <f t="shared" si="274"/>
        <v>220</v>
      </c>
      <c r="AV84" s="34">
        <f t="shared" si="275"/>
        <v>11600</v>
      </c>
      <c r="AW84" s="34">
        <f t="shared" si="276"/>
        <v>21750</v>
      </c>
      <c r="AX84" s="34">
        <f t="shared" si="277"/>
        <v>2600</v>
      </c>
      <c r="AY84" s="34">
        <f t="shared" si="278"/>
        <v>13350</v>
      </c>
      <c r="AZ84" s="34">
        <f t="shared" si="279"/>
        <v>1700</v>
      </c>
      <c r="BA84" s="34">
        <f t="shared" si="280"/>
        <v>4100</v>
      </c>
      <c r="BB84" s="34">
        <f t="shared" si="281"/>
        <v>12300</v>
      </c>
      <c r="BC84" s="34">
        <f t="shared" si="282"/>
        <v>25400</v>
      </c>
      <c r="BD84" s="34">
        <f t="shared" si="283"/>
        <v>2700</v>
      </c>
      <c r="BE84" s="34">
        <f t="shared" si="284"/>
        <v>3850</v>
      </c>
      <c r="BF84" s="34">
        <f t="shared" si="285"/>
        <v>400</v>
      </c>
      <c r="BG84" s="34">
        <f t="shared" si="286"/>
        <v>600</v>
      </c>
      <c r="BH84" s="34">
        <f t="shared" si="287"/>
        <v>67200</v>
      </c>
      <c r="BI84" s="33">
        <f t="shared" si="337"/>
        <v>51612.9</v>
      </c>
      <c r="BJ84" s="33">
        <f t="shared" si="338"/>
        <v>15587.1</v>
      </c>
      <c r="BK84" s="34">
        <f t="shared" si="288"/>
        <v>17600</v>
      </c>
      <c r="BL84" s="426">
        <f t="shared" si="289"/>
        <v>463200</v>
      </c>
      <c r="BM84" s="616">
        <f t="shared" si="290"/>
        <v>973165</v>
      </c>
      <c r="BN84" s="33">
        <f t="shared" si="291"/>
        <v>747438.6</v>
      </c>
      <c r="BO84" s="33">
        <f t="shared" si="292"/>
        <v>225726.4</v>
      </c>
      <c r="BP84" s="34">
        <f t="shared" si="339"/>
        <v>1100</v>
      </c>
      <c r="BQ84" s="34">
        <f t="shared" si="340"/>
        <v>220</v>
      </c>
      <c r="BR84" s="34">
        <f t="shared" si="341"/>
        <v>11600</v>
      </c>
      <c r="BS84" s="34">
        <f t="shared" si="293"/>
        <v>21750</v>
      </c>
      <c r="BT84" s="34">
        <f t="shared" si="294"/>
        <v>2600</v>
      </c>
      <c r="BU84" s="34">
        <f t="shared" si="295"/>
        <v>13350</v>
      </c>
      <c r="BV84" s="34">
        <f t="shared" si="296"/>
        <v>1700</v>
      </c>
      <c r="BW84" s="34">
        <f t="shared" si="297"/>
        <v>4100</v>
      </c>
      <c r="BX84" s="34">
        <f t="shared" si="298"/>
        <v>35572</v>
      </c>
      <c r="BY84" s="34">
        <f t="shared" si="299"/>
        <v>25400</v>
      </c>
      <c r="BZ84" s="34">
        <f t="shared" si="300"/>
        <v>2700</v>
      </c>
      <c r="CA84" s="34">
        <f t="shared" si="301"/>
        <v>3850</v>
      </c>
      <c r="CB84" s="34">
        <f t="shared" si="302"/>
        <v>400</v>
      </c>
      <c r="CC84" s="34">
        <f t="shared" si="303"/>
        <v>600</v>
      </c>
      <c r="CD84" s="34">
        <f t="shared" si="304"/>
        <v>218938</v>
      </c>
      <c r="CE84" s="33">
        <f t="shared" si="342"/>
        <v>168155.1</v>
      </c>
      <c r="CF84" s="33">
        <f t="shared" si="343"/>
        <v>50782.9</v>
      </c>
      <c r="CG84" s="34">
        <f t="shared" si="305"/>
        <v>17600</v>
      </c>
      <c r="CH84" s="415">
        <f t="shared" si="306"/>
        <v>1312675</v>
      </c>
      <c r="CI84" s="88">
        <f t="shared" si="307"/>
        <v>194633</v>
      </c>
      <c r="CJ84" s="90">
        <f t="shared" si="308"/>
        <v>149487.72</v>
      </c>
      <c r="CK84" s="90">
        <f t="shared" si="309"/>
        <v>45145.279999999999</v>
      </c>
      <c r="CL84" s="88">
        <f t="shared" si="310"/>
        <v>220</v>
      </c>
      <c r="CM84" s="88">
        <f t="shared" si="311"/>
        <v>44</v>
      </c>
      <c r="CN84" s="88">
        <f t="shared" si="312"/>
        <v>2320</v>
      </c>
      <c r="CO84" s="88">
        <f t="shared" si="313"/>
        <v>4350</v>
      </c>
      <c r="CP84" s="88">
        <f t="shared" si="314"/>
        <v>520</v>
      </c>
      <c r="CQ84" s="88">
        <f t="shared" si="315"/>
        <v>2670</v>
      </c>
      <c r="CR84" s="88">
        <f t="shared" si="316"/>
        <v>340</v>
      </c>
      <c r="CS84" s="88">
        <f t="shared" si="317"/>
        <v>820</v>
      </c>
      <c r="CT84" s="88">
        <f t="shared" si="318"/>
        <v>7114.4</v>
      </c>
      <c r="CU84" s="88">
        <f t="shared" si="319"/>
        <v>5080</v>
      </c>
      <c r="CV84" s="88">
        <f t="shared" si="320"/>
        <v>540</v>
      </c>
      <c r="CW84" s="88">
        <f t="shared" si="321"/>
        <v>770</v>
      </c>
      <c r="CX84" s="88">
        <f t="shared" si="322"/>
        <v>80</v>
      </c>
      <c r="CY84" s="88">
        <f t="shared" si="323"/>
        <v>120</v>
      </c>
      <c r="CZ84" s="88">
        <f t="shared" si="324"/>
        <v>43787.6</v>
      </c>
      <c r="DA84" s="90">
        <f t="shared" si="325"/>
        <v>33631.019999999997</v>
      </c>
      <c r="DB84" s="90">
        <f t="shared" si="326"/>
        <v>10156.58</v>
      </c>
      <c r="DC84" s="88">
        <f t="shared" si="327"/>
        <v>3520</v>
      </c>
      <c r="DD84" s="88">
        <f t="shared" si="328"/>
        <v>262535</v>
      </c>
      <c r="AUV84" s="699">
        <f t="shared" si="235"/>
        <v>194633</v>
      </c>
      <c r="AUW84" s="699">
        <f t="shared" si="236"/>
        <v>149487.71</v>
      </c>
      <c r="AUX84" s="699">
        <f t="shared" si="237"/>
        <v>45145.29</v>
      </c>
      <c r="AUY84" s="699">
        <f t="shared" si="255"/>
        <v>220</v>
      </c>
      <c r="AUZ84" s="699">
        <f t="shared" si="204"/>
        <v>76.069999999999993</v>
      </c>
      <c r="AVA84" s="699">
        <f t="shared" si="204"/>
        <v>0.19</v>
      </c>
      <c r="AVB84" s="699">
        <f t="shared" si="256"/>
        <v>4350</v>
      </c>
      <c r="AVC84" s="699">
        <f t="shared" si="257"/>
        <v>520</v>
      </c>
      <c r="AVD84" s="699">
        <f t="shared" si="258"/>
        <v>2670</v>
      </c>
      <c r="AVE84" s="699">
        <f t="shared" si="259"/>
        <v>340</v>
      </c>
      <c r="AVF84" s="699">
        <f t="shared" si="260"/>
        <v>820</v>
      </c>
      <c r="AVG84" s="699">
        <f t="shared" si="261"/>
        <v>7114.4</v>
      </c>
      <c r="AVH84" s="699">
        <f t="shared" si="262"/>
        <v>5080</v>
      </c>
      <c r="AVI84" s="699">
        <f t="shared" si="263"/>
        <v>540</v>
      </c>
      <c r="AVJ84" s="699">
        <f t="shared" si="264"/>
        <v>770</v>
      </c>
      <c r="AVK84" s="699">
        <f t="shared" si="265"/>
        <v>80</v>
      </c>
      <c r="AVL84" s="699">
        <f t="shared" si="266"/>
        <v>120</v>
      </c>
      <c r="AVM84" s="699">
        <f t="shared" si="267"/>
        <v>43787.6</v>
      </c>
      <c r="AVN84" s="699">
        <f t="shared" si="268"/>
        <v>33631.03</v>
      </c>
      <c r="AVO84" s="699">
        <f t="shared" si="269"/>
        <v>10156.57</v>
      </c>
      <c r="AVP84" s="699">
        <f t="shared" si="270"/>
        <v>3520</v>
      </c>
      <c r="AVQ84" s="699">
        <f t="shared" si="271"/>
        <v>262535</v>
      </c>
    </row>
    <row r="85" spans="1:1265" ht="30" customHeight="1" x14ac:dyDescent="0.25">
      <c r="A85" s="643">
        <v>1</v>
      </c>
      <c r="B85" s="643">
        <v>9</v>
      </c>
      <c r="C85" s="664" t="s">
        <v>247</v>
      </c>
      <c r="D85" s="2"/>
      <c r="E85" s="101" t="s">
        <v>345</v>
      </c>
      <c r="F85" s="643" t="s">
        <v>38</v>
      </c>
      <c r="G85" s="643">
        <v>2</v>
      </c>
      <c r="H85" s="658" t="s">
        <v>10</v>
      </c>
      <c r="I85" s="643">
        <v>0</v>
      </c>
      <c r="J85" s="101" t="s">
        <v>385</v>
      </c>
      <c r="K85" s="643">
        <v>1</v>
      </c>
      <c r="L85" s="683" t="s">
        <v>350</v>
      </c>
      <c r="M85" s="11" t="s">
        <v>306</v>
      </c>
      <c r="N85" s="101" t="s">
        <v>387</v>
      </c>
      <c r="O85" s="643">
        <v>1</v>
      </c>
      <c r="P85" s="632">
        <v>5</v>
      </c>
      <c r="Q85" s="632">
        <v>5</v>
      </c>
      <c r="R85" s="632">
        <v>5</v>
      </c>
      <c r="S85" s="675">
        <f>SUMIF('Территориальный кк'!$A:$A,'2020'!$B85,'Территориальный кк'!D:D)</f>
        <v>3.258</v>
      </c>
      <c r="T85" s="676">
        <f>SUMIF('Территориальный кк'!$A:$A,'2020'!$B85,'Территориальный кк'!E:E)</f>
        <v>2.8919999999999999</v>
      </c>
      <c r="U85" s="33">
        <f>SUMIFS(Нормативы!G:G,Нормативы!$B:$B,$G85,Нормативы!$D:$D,'2020'!$I85,Нормативы!$F:$F,'2020'!$K85)*O85</f>
        <v>59740</v>
      </c>
      <c r="V85" s="33">
        <f t="shared" si="329"/>
        <v>45883.3</v>
      </c>
      <c r="W85" s="33">
        <f t="shared" si="330"/>
        <v>13856.7</v>
      </c>
      <c r="X85" s="33">
        <f>SUMIFS(Нормативы!J:J,Нормативы!$B:$B,$G85,Нормативы!$D:$D,'2020'!$I85,Нормативы!$F:$F,'2020'!$K85)</f>
        <v>220</v>
      </c>
      <c r="Y85" s="33">
        <f>SUMIFS(Нормативы!K:K,Нормативы!$B:$B,$G85,Нормативы!$D:$D,'2020'!$I85,Нормативы!$F:$F,'2020'!$K85)</f>
        <v>44</v>
      </c>
      <c r="Z85" s="33">
        <f>SUMIFS(Нормативы!L:L,Нормативы!$B:$B,$G85,Нормативы!$D:$D,'2020'!$I85,Нормативы!$F:$F,'2020'!$K85)</f>
        <v>2320</v>
      </c>
      <c r="AA85" s="33">
        <f t="shared" si="331"/>
        <v>4350</v>
      </c>
      <c r="AB85" s="33">
        <f>SUMIFS(Нормативы!N:N,Нормативы!$B:$B,$G85,Нормативы!$D:$D,'2020'!$I85,Нормативы!$F:$F,'2020'!$K85)*O85</f>
        <v>520</v>
      </c>
      <c r="AC85" s="33">
        <f>SUMIFS(Нормативы!O:O,Нормативы!$B:$B,$G85,Нормативы!$D:$D,'2020'!$I85,Нормативы!$F:$F,'2020'!$K85)</f>
        <v>2670</v>
      </c>
      <c r="AD85" s="33">
        <f>SUMIFS(Нормативы!P:P,Нормативы!$B:$B,$G85,Нормативы!$D:$D,'2020'!$I85,Нормативы!$F:$F,'2020'!$K85)*O85</f>
        <v>340</v>
      </c>
      <c r="AE85" s="33">
        <f>SUMIFS(Нормативы!Q:Q,Нормативы!$B:$B,$G85,Нормативы!$D:$D,'2020'!$I85,Нормативы!$F:$F,'2020'!$K85)</f>
        <v>820</v>
      </c>
      <c r="AF85" s="33">
        <f>SUMIFS(Нормативы!R:R,Нормативы!$B:$B,$G85,Нормативы!$D:$D,'2020'!$I85,Нормативы!$F:$F,'2020'!$K85)</f>
        <v>2460</v>
      </c>
      <c r="AG85" s="33">
        <f>SUMIFS(Нормативы!S:S,Нормативы!$B:$B,$G85,Нормативы!$D:$D,'2020'!$I85,Нормативы!$F:$F,'2020'!$K85)</f>
        <v>5080</v>
      </c>
      <c r="AH85" s="33">
        <f>SUMIFS(Нормативы!T:T,Нормативы!$B:$B,$G85,Нормативы!$D:$D,'2020'!$I85,Нормативы!$F:$F,'2020'!$K85)</f>
        <v>540</v>
      </c>
      <c r="AI85" s="33">
        <f>SUMIFS(Нормативы!U:U,Нормативы!$B:$B,$G85,Нормативы!$D:$D,'2020'!$I85,Нормативы!$F:$F,'2020'!$K85)</f>
        <v>770</v>
      </c>
      <c r="AJ85" s="33">
        <f>SUMIFS(Нормативы!V:V,Нормативы!$B:$B,$G85,Нормативы!$D:$D,'2020'!$I85,Нормативы!$F:$F,'2020'!$K85)</f>
        <v>80</v>
      </c>
      <c r="AK85" s="33">
        <f>SUMIFS(Нормативы!W:W,Нормативы!$B:$B,$G85,Нормативы!$D:$D,'2020'!$I85,Нормативы!$F:$F,'2020'!$K85)</f>
        <v>120</v>
      </c>
      <c r="AL85" s="33">
        <f>SUMIFS(Нормативы!X:X,Нормативы!$B:$B,$G85,Нормативы!$D:$D,'2020'!$I85,Нормативы!$F:$F,'2020'!$K85)*O85</f>
        <v>13440</v>
      </c>
      <c r="AM85" s="33">
        <f t="shared" si="332"/>
        <v>10322.6</v>
      </c>
      <c r="AN85" s="33">
        <f t="shared" si="333"/>
        <v>3117.4</v>
      </c>
      <c r="AO85" s="33">
        <f>SUMIFS(Нормативы!AA:AA,Нормативы!$B:$B,$G85,Нормативы!$D:$D,'2020'!$I85,Нормативы!$F:$F,'2020'!$K85)</f>
        <v>3520</v>
      </c>
      <c r="AP85" s="141">
        <f t="shared" si="334"/>
        <v>92640</v>
      </c>
      <c r="AQ85" s="413">
        <f t="shared" si="272"/>
        <v>298700</v>
      </c>
      <c r="AR85" s="33">
        <f t="shared" si="335"/>
        <v>229416.3</v>
      </c>
      <c r="AS85" s="33">
        <f t="shared" si="336"/>
        <v>69283.7</v>
      </c>
      <c r="AT85" s="34">
        <f t="shared" si="273"/>
        <v>1100</v>
      </c>
      <c r="AU85" s="34">
        <f t="shared" si="274"/>
        <v>220</v>
      </c>
      <c r="AV85" s="34">
        <f t="shared" si="275"/>
        <v>11600</v>
      </c>
      <c r="AW85" s="34">
        <f t="shared" si="276"/>
        <v>21750</v>
      </c>
      <c r="AX85" s="34">
        <f t="shared" si="277"/>
        <v>2600</v>
      </c>
      <c r="AY85" s="34">
        <f t="shared" si="278"/>
        <v>13350</v>
      </c>
      <c r="AZ85" s="34">
        <f t="shared" si="279"/>
        <v>1700</v>
      </c>
      <c r="BA85" s="34">
        <f t="shared" si="280"/>
        <v>4100</v>
      </c>
      <c r="BB85" s="34">
        <f t="shared" si="281"/>
        <v>12300</v>
      </c>
      <c r="BC85" s="34">
        <f t="shared" si="282"/>
        <v>25400</v>
      </c>
      <c r="BD85" s="34">
        <f t="shared" si="283"/>
        <v>2700</v>
      </c>
      <c r="BE85" s="34">
        <f t="shared" si="284"/>
        <v>3850</v>
      </c>
      <c r="BF85" s="34">
        <f t="shared" si="285"/>
        <v>400</v>
      </c>
      <c r="BG85" s="34">
        <f t="shared" si="286"/>
        <v>600</v>
      </c>
      <c r="BH85" s="34">
        <f t="shared" si="287"/>
        <v>67200</v>
      </c>
      <c r="BI85" s="33">
        <f t="shared" si="337"/>
        <v>51612.9</v>
      </c>
      <c r="BJ85" s="33">
        <f t="shared" si="338"/>
        <v>15587.1</v>
      </c>
      <c r="BK85" s="34">
        <f t="shared" si="288"/>
        <v>17600</v>
      </c>
      <c r="BL85" s="426">
        <f t="shared" si="289"/>
        <v>463200</v>
      </c>
      <c r="BM85" s="616">
        <f t="shared" si="290"/>
        <v>973165</v>
      </c>
      <c r="BN85" s="33">
        <f t="shared" si="291"/>
        <v>747438.6</v>
      </c>
      <c r="BO85" s="33">
        <f t="shared" si="292"/>
        <v>225726.4</v>
      </c>
      <c r="BP85" s="34">
        <f t="shared" si="339"/>
        <v>1100</v>
      </c>
      <c r="BQ85" s="34">
        <f t="shared" si="340"/>
        <v>220</v>
      </c>
      <c r="BR85" s="34">
        <f t="shared" si="341"/>
        <v>11600</v>
      </c>
      <c r="BS85" s="34">
        <f t="shared" si="293"/>
        <v>21750</v>
      </c>
      <c r="BT85" s="34">
        <f t="shared" si="294"/>
        <v>2600</v>
      </c>
      <c r="BU85" s="34">
        <f t="shared" si="295"/>
        <v>13350</v>
      </c>
      <c r="BV85" s="34">
        <f t="shared" si="296"/>
        <v>1700</v>
      </c>
      <c r="BW85" s="34">
        <f t="shared" si="297"/>
        <v>4100</v>
      </c>
      <c r="BX85" s="34">
        <f t="shared" si="298"/>
        <v>35572</v>
      </c>
      <c r="BY85" s="34">
        <f t="shared" si="299"/>
        <v>25400</v>
      </c>
      <c r="BZ85" s="34">
        <f t="shared" si="300"/>
        <v>2700</v>
      </c>
      <c r="CA85" s="34">
        <f t="shared" si="301"/>
        <v>3850</v>
      </c>
      <c r="CB85" s="34">
        <f t="shared" si="302"/>
        <v>400</v>
      </c>
      <c r="CC85" s="34">
        <f t="shared" si="303"/>
        <v>600</v>
      </c>
      <c r="CD85" s="34">
        <f t="shared" si="304"/>
        <v>218938</v>
      </c>
      <c r="CE85" s="33">
        <f t="shared" si="342"/>
        <v>168155.1</v>
      </c>
      <c r="CF85" s="33">
        <f t="shared" si="343"/>
        <v>50782.9</v>
      </c>
      <c r="CG85" s="34">
        <f t="shared" si="305"/>
        <v>17600</v>
      </c>
      <c r="CH85" s="415">
        <f t="shared" si="306"/>
        <v>1312675</v>
      </c>
      <c r="CI85" s="88">
        <f t="shared" si="307"/>
        <v>194633</v>
      </c>
      <c r="CJ85" s="90">
        <f t="shared" si="308"/>
        <v>149487.72</v>
      </c>
      <c r="CK85" s="90">
        <f t="shared" si="309"/>
        <v>45145.279999999999</v>
      </c>
      <c r="CL85" s="88">
        <f t="shared" si="310"/>
        <v>220</v>
      </c>
      <c r="CM85" s="88">
        <f t="shared" si="311"/>
        <v>44</v>
      </c>
      <c r="CN85" s="88">
        <f t="shared" si="312"/>
        <v>2320</v>
      </c>
      <c r="CO85" s="88">
        <f t="shared" si="313"/>
        <v>4350</v>
      </c>
      <c r="CP85" s="88">
        <f t="shared" si="314"/>
        <v>520</v>
      </c>
      <c r="CQ85" s="88">
        <f t="shared" si="315"/>
        <v>2670</v>
      </c>
      <c r="CR85" s="88">
        <f t="shared" si="316"/>
        <v>340</v>
      </c>
      <c r="CS85" s="88">
        <f t="shared" si="317"/>
        <v>820</v>
      </c>
      <c r="CT85" s="88">
        <f t="shared" si="318"/>
        <v>7114.4</v>
      </c>
      <c r="CU85" s="88">
        <f t="shared" si="319"/>
        <v>5080</v>
      </c>
      <c r="CV85" s="88">
        <f t="shared" si="320"/>
        <v>540</v>
      </c>
      <c r="CW85" s="88">
        <f t="shared" si="321"/>
        <v>770</v>
      </c>
      <c r="CX85" s="88">
        <f t="shared" si="322"/>
        <v>80</v>
      </c>
      <c r="CY85" s="88">
        <f t="shared" si="323"/>
        <v>120</v>
      </c>
      <c r="CZ85" s="88">
        <f t="shared" si="324"/>
        <v>43787.6</v>
      </c>
      <c r="DA85" s="90">
        <f t="shared" si="325"/>
        <v>33631.019999999997</v>
      </c>
      <c r="DB85" s="90">
        <f t="shared" si="326"/>
        <v>10156.58</v>
      </c>
      <c r="DC85" s="88">
        <f t="shared" si="327"/>
        <v>3520</v>
      </c>
      <c r="DD85" s="88">
        <f t="shared" si="328"/>
        <v>262535</v>
      </c>
      <c r="AUV85" s="699">
        <f t="shared" si="235"/>
        <v>194633</v>
      </c>
      <c r="AUW85" s="699">
        <f t="shared" si="236"/>
        <v>149487.71</v>
      </c>
      <c r="AUX85" s="699">
        <f t="shared" si="237"/>
        <v>45145.29</v>
      </c>
      <c r="AUY85" s="699">
        <f t="shared" si="255"/>
        <v>220</v>
      </c>
      <c r="AUZ85" s="699">
        <f t="shared" ref="AUY85:AVA148" si="344">BQ85/T85</f>
        <v>76.069999999999993</v>
      </c>
      <c r="AVA85" s="699">
        <f t="shared" si="344"/>
        <v>0.19</v>
      </c>
      <c r="AVB85" s="699">
        <f t="shared" si="256"/>
        <v>4350</v>
      </c>
      <c r="AVC85" s="699">
        <f t="shared" si="257"/>
        <v>520</v>
      </c>
      <c r="AVD85" s="699">
        <f t="shared" si="258"/>
        <v>2670</v>
      </c>
      <c r="AVE85" s="699">
        <f t="shared" si="259"/>
        <v>340</v>
      </c>
      <c r="AVF85" s="699">
        <f t="shared" si="260"/>
        <v>820</v>
      </c>
      <c r="AVG85" s="699">
        <f t="shared" si="261"/>
        <v>7114.4</v>
      </c>
      <c r="AVH85" s="699">
        <f t="shared" si="262"/>
        <v>5080</v>
      </c>
      <c r="AVI85" s="699">
        <f t="shared" si="263"/>
        <v>540</v>
      </c>
      <c r="AVJ85" s="699">
        <f t="shared" si="264"/>
        <v>770</v>
      </c>
      <c r="AVK85" s="699">
        <f t="shared" si="265"/>
        <v>80</v>
      </c>
      <c r="AVL85" s="699">
        <f t="shared" si="266"/>
        <v>120</v>
      </c>
      <c r="AVM85" s="699">
        <f t="shared" si="267"/>
        <v>43787.6</v>
      </c>
      <c r="AVN85" s="699">
        <f t="shared" si="268"/>
        <v>33631.03</v>
      </c>
      <c r="AVO85" s="699">
        <f t="shared" si="269"/>
        <v>10156.57</v>
      </c>
      <c r="AVP85" s="699">
        <f t="shared" si="270"/>
        <v>3520</v>
      </c>
      <c r="AVQ85" s="699">
        <f t="shared" si="271"/>
        <v>262535</v>
      </c>
    </row>
    <row r="86" spans="1:1265" ht="30" customHeight="1" x14ac:dyDescent="0.25">
      <c r="A86" s="643">
        <v>1</v>
      </c>
      <c r="B86" s="643">
        <v>9</v>
      </c>
      <c r="C86" s="664" t="s">
        <v>247</v>
      </c>
      <c r="D86" s="2"/>
      <c r="E86" s="101" t="s">
        <v>345</v>
      </c>
      <c r="F86" s="643" t="s">
        <v>38</v>
      </c>
      <c r="G86" s="643">
        <v>2</v>
      </c>
      <c r="H86" s="658" t="s">
        <v>10</v>
      </c>
      <c r="I86" s="643">
        <v>0</v>
      </c>
      <c r="J86" s="101" t="s">
        <v>364</v>
      </c>
      <c r="K86" s="643">
        <v>3</v>
      </c>
      <c r="L86" s="683" t="s">
        <v>350</v>
      </c>
      <c r="M86" s="11" t="s">
        <v>270</v>
      </c>
      <c r="N86" s="101" t="s">
        <v>387</v>
      </c>
      <c r="O86" s="643">
        <v>1</v>
      </c>
      <c r="P86" s="632">
        <v>158</v>
      </c>
      <c r="Q86" s="632">
        <v>158</v>
      </c>
      <c r="R86" s="632">
        <v>158</v>
      </c>
      <c r="S86" s="675">
        <f>SUMIF('Территориальный кк'!$A:$A,'2020'!$B86,'Территориальный кк'!D:D)</f>
        <v>3.258</v>
      </c>
      <c r="T86" s="676">
        <f>SUMIF('Территориальный кк'!$A:$A,'2020'!$B86,'Территориальный кк'!E:E)</f>
        <v>2.8919999999999999</v>
      </c>
      <c r="U86" s="618">
        <f>SUMIFS(Нормативы!G:G,Нормативы!$B:$B,$G86,Нормативы!$D:$D,'2020'!$I86,Нормативы!$F:$F,'2020'!$K86)*O86</f>
        <v>70600</v>
      </c>
      <c r="V86" s="618">
        <f t="shared" si="329"/>
        <v>54224.3</v>
      </c>
      <c r="W86" s="618">
        <f t="shared" si="330"/>
        <v>16375.7</v>
      </c>
      <c r="X86" s="618">
        <f>SUMIFS(Нормативы!J:J,Нормативы!$B:$B,$G86,Нормативы!$D:$D,'2020'!$I86,Нормативы!$F:$F,'2020'!$K86)</f>
        <v>8860</v>
      </c>
      <c r="Y86" s="618">
        <f>SUMIFS(Нормативы!K:K,Нормативы!$B:$B,$G86,Нормативы!$D:$D,'2020'!$I86,Нормативы!$F:$F,'2020'!$K86)</f>
        <v>0</v>
      </c>
      <c r="Z86" s="618">
        <f>SUMIFS(Нормативы!L:L,Нормативы!$B:$B,$G86,Нормативы!$D:$D,'2020'!$I86,Нормативы!$F:$F,'2020'!$K86)</f>
        <v>8110</v>
      </c>
      <c r="AA86" s="618">
        <f t="shared" si="331"/>
        <v>21610</v>
      </c>
      <c r="AB86" s="618">
        <f>SUMIFS(Нормативы!N:N,Нормативы!$B:$B,$G86,Нормативы!$D:$D,'2020'!$I86,Нормативы!$F:$F,'2020'!$K86)*O86</f>
        <v>520</v>
      </c>
      <c r="AC86" s="618">
        <f>SUMIFS(Нормативы!O:O,Нормативы!$B:$B,$G86,Нормативы!$D:$D,'2020'!$I86,Нормативы!$F:$F,'2020'!$K86)</f>
        <v>19720</v>
      </c>
      <c r="AD86" s="618">
        <f>SUMIFS(Нормативы!P:P,Нормативы!$B:$B,$G86,Нормативы!$D:$D,'2020'!$I86,Нормативы!$F:$F,'2020'!$K86)*O86</f>
        <v>400</v>
      </c>
      <c r="AE86" s="618">
        <f>SUMIFS(Нормативы!Q:Q,Нормативы!$B:$B,$G86,Нормативы!$D:$D,'2020'!$I86,Нормативы!$F:$F,'2020'!$K86)</f>
        <v>970</v>
      </c>
      <c r="AF86" s="618">
        <f>SUMIFS(Нормативы!R:R,Нормативы!$B:$B,$G86,Нормативы!$D:$D,'2020'!$I86,Нормативы!$F:$F,'2020'!$K86)</f>
        <v>2680</v>
      </c>
      <c r="AG86" s="618">
        <f>SUMIFS(Нормативы!S:S,Нормативы!$B:$B,$G86,Нормативы!$D:$D,'2020'!$I86,Нормативы!$F:$F,'2020'!$K86)</f>
        <v>5800</v>
      </c>
      <c r="AH86" s="618">
        <f>SUMIFS(Нормативы!T:T,Нормативы!$B:$B,$G86,Нормативы!$D:$D,'2020'!$I86,Нормативы!$F:$F,'2020'!$K86)</f>
        <v>540</v>
      </c>
      <c r="AI86" s="618">
        <f>SUMIFS(Нормативы!U:U,Нормативы!$B:$B,$G86,Нормативы!$D:$D,'2020'!$I86,Нормативы!$F:$F,'2020'!$K86)</f>
        <v>770</v>
      </c>
      <c r="AJ86" s="618">
        <f>SUMIFS(Нормативы!V:V,Нормативы!$B:$B,$G86,Нормативы!$D:$D,'2020'!$I86,Нормативы!$F:$F,'2020'!$K86)</f>
        <v>80</v>
      </c>
      <c r="AK86" s="618">
        <f>SUMIFS(Нормативы!W:W,Нормативы!$B:$B,$G86,Нормативы!$D:$D,'2020'!$I86,Нормативы!$F:$F,'2020'!$K86)</f>
        <v>330</v>
      </c>
      <c r="AL86" s="618">
        <f>SUMIFS(Нормативы!X:X,Нормативы!$B:$B,$G86,Нормативы!$D:$D,'2020'!$I86,Нормативы!$F:$F,'2020'!$K86)*O86</f>
        <v>16120</v>
      </c>
      <c r="AM86" s="618">
        <f t="shared" si="332"/>
        <v>12381</v>
      </c>
      <c r="AN86" s="618">
        <f t="shared" si="333"/>
        <v>3739</v>
      </c>
      <c r="AO86" s="618">
        <f>SUMIFS(Нормативы!AA:AA,Нормативы!$B:$B,$G86,Нормативы!$D:$D,'2020'!$I86,Нормативы!$F:$F,'2020'!$K86)</f>
        <v>3520</v>
      </c>
      <c r="AP86" s="619">
        <f t="shared" si="334"/>
        <v>139020</v>
      </c>
      <c r="AQ86" s="413">
        <f t="shared" si="272"/>
        <v>11154800</v>
      </c>
      <c r="AR86" s="618">
        <f t="shared" si="335"/>
        <v>8567434.6999999993</v>
      </c>
      <c r="AS86" s="618">
        <f t="shared" si="336"/>
        <v>2587365.2999999998</v>
      </c>
      <c r="AT86" s="616">
        <f t="shared" si="273"/>
        <v>1399880</v>
      </c>
      <c r="AU86" s="616">
        <f t="shared" si="274"/>
        <v>0</v>
      </c>
      <c r="AV86" s="616">
        <f t="shared" si="275"/>
        <v>1281380</v>
      </c>
      <c r="AW86" s="616">
        <f t="shared" si="276"/>
        <v>3414380</v>
      </c>
      <c r="AX86" s="616">
        <f t="shared" si="277"/>
        <v>82160</v>
      </c>
      <c r="AY86" s="616">
        <f t="shared" si="278"/>
        <v>3115760</v>
      </c>
      <c r="AZ86" s="616">
        <f t="shared" si="279"/>
        <v>63200</v>
      </c>
      <c r="BA86" s="616">
        <f t="shared" si="280"/>
        <v>153260</v>
      </c>
      <c r="BB86" s="616">
        <f t="shared" si="281"/>
        <v>423440</v>
      </c>
      <c r="BC86" s="616">
        <f t="shared" si="282"/>
        <v>916400</v>
      </c>
      <c r="BD86" s="616">
        <f t="shared" si="283"/>
        <v>85320</v>
      </c>
      <c r="BE86" s="616">
        <f t="shared" si="284"/>
        <v>121660</v>
      </c>
      <c r="BF86" s="616">
        <f t="shared" si="285"/>
        <v>12640</v>
      </c>
      <c r="BG86" s="616">
        <f t="shared" si="286"/>
        <v>52140</v>
      </c>
      <c r="BH86" s="616">
        <f t="shared" si="287"/>
        <v>2546960</v>
      </c>
      <c r="BI86" s="618">
        <f t="shared" si="337"/>
        <v>1956190.5</v>
      </c>
      <c r="BJ86" s="618">
        <f t="shared" si="338"/>
        <v>590769.5</v>
      </c>
      <c r="BK86" s="616">
        <f t="shared" si="288"/>
        <v>556160</v>
      </c>
      <c r="BL86" s="620">
        <f t="shared" si="289"/>
        <v>21965160</v>
      </c>
      <c r="BM86" s="616">
        <f t="shared" si="290"/>
        <v>36342338</v>
      </c>
      <c r="BN86" s="618">
        <f t="shared" si="291"/>
        <v>27912702</v>
      </c>
      <c r="BO86" s="618">
        <f t="shared" si="292"/>
        <v>8429636</v>
      </c>
      <c r="BP86" s="616">
        <f t="shared" si="339"/>
        <v>1399880</v>
      </c>
      <c r="BQ86" s="616">
        <f t="shared" si="340"/>
        <v>0</v>
      </c>
      <c r="BR86" s="616">
        <f t="shared" si="341"/>
        <v>1281380</v>
      </c>
      <c r="BS86" s="616">
        <f t="shared" si="293"/>
        <v>3414380</v>
      </c>
      <c r="BT86" s="616">
        <f t="shared" si="294"/>
        <v>82160</v>
      </c>
      <c r="BU86" s="616">
        <f t="shared" si="295"/>
        <v>3115760</v>
      </c>
      <c r="BV86" s="616">
        <f t="shared" si="296"/>
        <v>63200</v>
      </c>
      <c r="BW86" s="616">
        <f t="shared" si="297"/>
        <v>153260</v>
      </c>
      <c r="BX86" s="616">
        <f t="shared" si="298"/>
        <v>1224588</v>
      </c>
      <c r="BY86" s="616">
        <f t="shared" si="299"/>
        <v>916400</v>
      </c>
      <c r="BZ86" s="616">
        <f t="shared" si="300"/>
        <v>85320</v>
      </c>
      <c r="CA86" s="616">
        <f t="shared" si="301"/>
        <v>121660</v>
      </c>
      <c r="CB86" s="616">
        <f t="shared" si="302"/>
        <v>12640</v>
      </c>
      <c r="CC86" s="616">
        <f t="shared" si="303"/>
        <v>52140</v>
      </c>
      <c r="CD86" s="616">
        <f t="shared" si="304"/>
        <v>8297996</v>
      </c>
      <c r="CE86" s="618">
        <f t="shared" si="342"/>
        <v>6373268.7999999998</v>
      </c>
      <c r="CF86" s="618">
        <f t="shared" si="343"/>
        <v>1924727.2</v>
      </c>
      <c r="CG86" s="616">
        <f t="shared" si="305"/>
        <v>556160</v>
      </c>
      <c r="CH86" s="621">
        <f t="shared" si="306"/>
        <v>53704882</v>
      </c>
      <c r="CI86" s="88">
        <f t="shared" si="307"/>
        <v>230014.79749999999</v>
      </c>
      <c r="CJ86" s="90">
        <f t="shared" si="308"/>
        <v>176662.6709</v>
      </c>
      <c r="CK86" s="90">
        <f t="shared" si="309"/>
        <v>53352.126600000003</v>
      </c>
      <c r="CL86" s="88">
        <f t="shared" si="310"/>
        <v>8860</v>
      </c>
      <c r="CM86" s="88">
        <f t="shared" si="311"/>
        <v>0</v>
      </c>
      <c r="CN86" s="88">
        <f t="shared" si="312"/>
        <v>8110</v>
      </c>
      <c r="CO86" s="88">
        <f t="shared" si="313"/>
        <v>21610</v>
      </c>
      <c r="CP86" s="88">
        <f t="shared" si="314"/>
        <v>520</v>
      </c>
      <c r="CQ86" s="88">
        <f t="shared" si="315"/>
        <v>19720</v>
      </c>
      <c r="CR86" s="88">
        <f t="shared" si="316"/>
        <v>400</v>
      </c>
      <c r="CS86" s="88">
        <f t="shared" si="317"/>
        <v>970</v>
      </c>
      <c r="CT86" s="88">
        <f t="shared" si="318"/>
        <v>7750.5569999999998</v>
      </c>
      <c r="CU86" s="88">
        <f t="shared" si="319"/>
        <v>5800</v>
      </c>
      <c r="CV86" s="88">
        <f t="shared" si="320"/>
        <v>540</v>
      </c>
      <c r="CW86" s="88">
        <f t="shared" si="321"/>
        <v>770</v>
      </c>
      <c r="CX86" s="88">
        <f t="shared" si="322"/>
        <v>80</v>
      </c>
      <c r="CY86" s="88">
        <f t="shared" si="323"/>
        <v>330</v>
      </c>
      <c r="CZ86" s="88">
        <f t="shared" si="324"/>
        <v>52518.962</v>
      </c>
      <c r="DA86" s="90">
        <f t="shared" si="325"/>
        <v>40337.1443</v>
      </c>
      <c r="DB86" s="90">
        <f t="shared" si="326"/>
        <v>12181.8177</v>
      </c>
      <c r="DC86" s="88">
        <f t="shared" si="327"/>
        <v>3520</v>
      </c>
      <c r="DD86" s="88">
        <f t="shared" si="328"/>
        <v>339904.31650000002</v>
      </c>
      <c r="AUV86" s="699">
        <f t="shared" si="235"/>
        <v>230014.8</v>
      </c>
      <c r="AUW86" s="699">
        <f t="shared" si="236"/>
        <v>176662.67</v>
      </c>
      <c r="AUX86" s="699">
        <f t="shared" si="237"/>
        <v>53352.13</v>
      </c>
      <c r="AUY86" s="699">
        <f t="shared" si="255"/>
        <v>8860</v>
      </c>
      <c r="AUZ86" s="699">
        <f t="shared" si="344"/>
        <v>0</v>
      </c>
      <c r="AVA86" s="699">
        <f t="shared" si="344"/>
        <v>18.149999999999999</v>
      </c>
      <c r="AVB86" s="699">
        <f t="shared" si="256"/>
        <v>21610</v>
      </c>
      <c r="AVC86" s="699">
        <f t="shared" si="257"/>
        <v>520</v>
      </c>
      <c r="AVD86" s="699">
        <f t="shared" si="258"/>
        <v>19720</v>
      </c>
      <c r="AVE86" s="699">
        <f t="shared" si="259"/>
        <v>400</v>
      </c>
      <c r="AVF86" s="699">
        <f t="shared" si="260"/>
        <v>970</v>
      </c>
      <c r="AVG86" s="699">
        <f t="shared" si="261"/>
        <v>7750.56</v>
      </c>
      <c r="AVH86" s="699">
        <f t="shared" si="262"/>
        <v>5800</v>
      </c>
      <c r="AVI86" s="699">
        <f t="shared" si="263"/>
        <v>540</v>
      </c>
      <c r="AVJ86" s="699">
        <f t="shared" si="264"/>
        <v>770</v>
      </c>
      <c r="AVK86" s="699">
        <f t="shared" si="265"/>
        <v>80</v>
      </c>
      <c r="AVL86" s="699">
        <f t="shared" si="266"/>
        <v>330</v>
      </c>
      <c r="AVM86" s="699">
        <f t="shared" si="267"/>
        <v>52518.96</v>
      </c>
      <c r="AVN86" s="699">
        <f t="shared" si="268"/>
        <v>40337.14</v>
      </c>
      <c r="AVO86" s="699">
        <f t="shared" si="269"/>
        <v>12181.82</v>
      </c>
      <c r="AVP86" s="699">
        <f t="shared" si="270"/>
        <v>3520</v>
      </c>
      <c r="AVQ86" s="699">
        <f t="shared" si="271"/>
        <v>339904.32</v>
      </c>
    </row>
    <row r="87" spans="1:1265" ht="30" customHeight="1" x14ac:dyDescent="0.25">
      <c r="A87" s="643">
        <v>1</v>
      </c>
      <c r="B87" s="643">
        <v>9</v>
      </c>
      <c r="C87" s="664" t="s">
        <v>247</v>
      </c>
      <c r="D87" s="2"/>
      <c r="E87" s="101" t="s">
        <v>345</v>
      </c>
      <c r="F87" s="643" t="s">
        <v>38</v>
      </c>
      <c r="G87" s="643">
        <v>2</v>
      </c>
      <c r="H87" s="658" t="s">
        <v>8</v>
      </c>
      <c r="I87" s="643">
        <v>3</v>
      </c>
      <c r="J87" s="101" t="s">
        <v>364</v>
      </c>
      <c r="K87" s="643">
        <v>3</v>
      </c>
      <c r="L87" s="683" t="s">
        <v>350</v>
      </c>
      <c r="M87" s="11" t="s">
        <v>307</v>
      </c>
      <c r="N87" s="101" t="s">
        <v>387</v>
      </c>
      <c r="O87" s="643">
        <v>1</v>
      </c>
      <c r="P87" s="632">
        <v>85</v>
      </c>
      <c r="Q87" s="632">
        <v>85</v>
      </c>
      <c r="R87" s="632">
        <v>85</v>
      </c>
      <c r="S87" s="675">
        <f>SUMIF('Территориальный кк'!$A:$A,'2020'!$B87,'Территориальный кк'!D:D)</f>
        <v>3.258</v>
      </c>
      <c r="T87" s="676">
        <f>SUMIF('Территориальный кк'!$A:$A,'2020'!$B87,'Территориальный кк'!E:E)</f>
        <v>2.8919999999999999</v>
      </c>
      <c r="U87" s="618">
        <f>SUMIFS(Нормативы!G:G,Нормативы!$B:$B,$G87,Нормативы!$D:$D,'2020'!$I87,Нормативы!$F:$F,'2020'!$K87)*O87</f>
        <v>12944</v>
      </c>
      <c r="V87" s="618">
        <f t="shared" si="329"/>
        <v>9941.6</v>
      </c>
      <c r="W87" s="618">
        <f t="shared" si="330"/>
        <v>3002.4</v>
      </c>
      <c r="X87" s="618">
        <f>SUMIFS(Нормативы!J:J,Нормативы!$B:$B,$G87,Нормативы!$D:$D,'2020'!$I87,Нормативы!$F:$F,'2020'!$K87)</f>
        <v>486</v>
      </c>
      <c r="Y87" s="618">
        <f>SUMIFS(Нормативы!K:K,Нормативы!$B:$B,$G87,Нормативы!$D:$D,'2020'!$I87,Нормативы!$F:$F,'2020'!$K87)</f>
        <v>97</v>
      </c>
      <c r="Z87" s="618">
        <f>SUMIFS(Нормативы!L:L,Нормативы!$B:$B,$G87,Нормативы!$D:$D,'2020'!$I87,Нормативы!$F:$F,'2020'!$K87)</f>
        <v>348</v>
      </c>
      <c r="AA87" s="618">
        <f t="shared" si="331"/>
        <v>2031</v>
      </c>
      <c r="AB87" s="618">
        <f>SUMIFS(Нормативы!N:N,Нормативы!$B:$B,$G87,Нормативы!$D:$D,'2020'!$I87,Нормативы!$F:$F,'2020'!$K87)*O87</f>
        <v>52</v>
      </c>
      <c r="AC87" s="618">
        <f>SUMIFS(Нормативы!O:O,Нормативы!$B:$B,$G87,Нормативы!$D:$D,'2020'!$I87,Нормативы!$F:$F,'2020'!$K87)</f>
        <v>1728</v>
      </c>
      <c r="AD87" s="618">
        <f>SUMIFS(Нормативы!P:P,Нормативы!$B:$B,$G87,Нормативы!$D:$D,'2020'!$I87,Нормативы!$F:$F,'2020'!$K87)*O87</f>
        <v>73</v>
      </c>
      <c r="AE87" s="618">
        <f>SUMIFS(Нормативы!Q:Q,Нормативы!$B:$B,$G87,Нормативы!$D:$D,'2020'!$I87,Нормативы!$F:$F,'2020'!$K87)</f>
        <v>178</v>
      </c>
      <c r="AF87" s="618">
        <f>SUMIFS(Нормативы!R:R,Нормативы!$B:$B,$G87,Нормативы!$D:$D,'2020'!$I87,Нормативы!$F:$F,'2020'!$K87)</f>
        <v>275</v>
      </c>
      <c r="AG87" s="618">
        <f>SUMIFS(Нормативы!S:S,Нормативы!$B:$B,$G87,Нормативы!$D:$D,'2020'!$I87,Нормативы!$F:$F,'2020'!$K87)</f>
        <v>580</v>
      </c>
      <c r="AH87" s="618">
        <f>SUMIFS(Нормативы!T:T,Нормативы!$B:$B,$G87,Нормативы!$D:$D,'2020'!$I87,Нормативы!$F:$F,'2020'!$K87)</f>
        <v>54</v>
      </c>
      <c r="AI87" s="618">
        <f>SUMIFS(Нормативы!U:U,Нормативы!$B:$B,$G87,Нормативы!$D:$D,'2020'!$I87,Нормативы!$F:$F,'2020'!$K87)</f>
        <v>77</v>
      </c>
      <c r="AJ87" s="618">
        <f>SUMIFS(Нормативы!V:V,Нормативы!$B:$B,$G87,Нормативы!$D:$D,'2020'!$I87,Нормативы!$F:$F,'2020'!$K87)</f>
        <v>8</v>
      </c>
      <c r="AK87" s="618">
        <f>SUMIFS(Нормативы!W:W,Нормативы!$B:$B,$G87,Нормативы!$D:$D,'2020'!$I87,Нормативы!$F:$F,'2020'!$K87)</f>
        <v>39</v>
      </c>
      <c r="AL87" s="618">
        <f>SUMIFS(Нормативы!X:X,Нормативы!$B:$B,$G87,Нормативы!$D:$D,'2020'!$I87,Нормативы!$F:$F,'2020'!$K87)*O87</f>
        <v>1612</v>
      </c>
      <c r="AM87" s="618">
        <f t="shared" si="332"/>
        <v>1238.0999999999999</v>
      </c>
      <c r="AN87" s="618">
        <f t="shared" si="333"/>
        <v>373.9</v>
      </c>
      <c r="AO87" s="618">
        <f>SUMIFS(Нормативы!AA:AA,Нормативы!$B:$B,$G87,Нормативы!$D:$D,'2020'!$I87,Нормативы!$F:$F,'2020'!$K87)</f>
        <v>0</v>
      </c>
      <c r="AP87" s="619">
        <f t="shared" si="334"/>
        <v>18454</v>
      </c>
      <c r="AQ87" s="413">
        <f t="shared" si="272"/>
        <v>1100240</v>
      </c>
      <c r="AR87" s="618">
        <f t="shared" si="335"/>
        <v>845038.4</v>
      </c>
      <c r="AS87" s="618">
        <f t="shared" si="336"/>
        <v>255201.6</v>
      </c>
      <c r="AT87" s="616">
        <f t="shared" si="273"/>
        <v>41310</v>
      </c>
      <c r="AU87" s="616">
        <f t="shared" si="274"/>
        <v>8245</v>
      </c>
      <c r="AV87" s="616">
        <f t="shared" si="275"/>
        <v>29580</v>
      </c>
      <c r="AW87" s="616">
        <f t="shared" si="276"/>
        <v>172635</v>
      </c>
      <c r="AX87" s="616">
        <f t="shared" si="277"/>
        <v>4420</v>
      </c>
      <c r="AY87" s="616">
        <f t="shared" si="278"/>
        <v>146880</v>
      </c>
      <c r="AZ87" s="616">
        <f t="shared" si="279"/>
        <v>6205</v>
      </c>
      <c r="BA87" s="616">
        <f t="shared" si="280"/>
        <v>15130</v>
      </c>
      <c r="BB87" s="616">
        <f t="shared" si="281"/>
        <v>23375</v>
      </c>
      <c r="BC87" s="616">
        <f t="shared" si="282"/>
        <v>49300</v>
      </c>
      <c r="BD87" s="616">
        <f t="shared" si="283"/>
        <v>4590</v>
      </c>
      <c r="BE87" s="616">
        <f t="shared" si="284"/>
        <v>6545</v>
      </c>
      <c r="BF87" s="616">
        <f t="shared" si="285"/>
        <v>680</v>
      </c>
      <c r="BG87" s="616">
        <f t="shared" si="286"/>
        <v>3315</v>
      </c>
      <c r="BH87" s="616">
        <f t="shared" si="287"/>
        <v>137020</v>
      </c>
      <c r="BI87" s="618">
        <f t="shared" si="337"/>
        <v>105238.1</v>
      </c>
      <c r="BJ87" s="618">
        <f t="shared" si="338"/>
        <v>31781.9</v>
      </c>
      <c r="BK87" s="616">
        <f t="shared" si="288"/>
        <v>0</v>
      </c>
      <c r="BL87" s="620">
        <f t="shared" si="289"/>
        <v>1568590</v>
      </c>
      <c r="BM87" s="616">
        <f t="shared" si="290"/>
        <v>3584582</v>
      </c>
      <c r="BN87" s="618">
        <f t="shared" si="291"/>
        <v>2753135.2</v>
      </c>
      <c r="BO87" s="618">
        <f t="shared" si="292"/>
        <v>831446.8</v>
      </c>
      <c r="BP87" s="616">
        <f t="shared" si="339"/>
        <v>41310</v>
      </c>
      <c r="BQ87" s="616">
        <f t="shared" si="340"/>
        <v>8245</v>
      </c>
      <c r="BR87" s="616">
        <f t="shared" si="341"/>
        <v>29580</v>
      </c>
      <c r="BS87" s="616">
        <f t="shared" si="293"/>
        <v>172635</v>
      </c>
      <c r="BT87" s="616">
        <f t="shared" si="294"/>
        <v>4420</v>
      </c>
      <c r="BU87" s="616">
        <f t="shared" si="295"/>
        <v>146880</v>
      </c>
      <c r="BV87" s="616">
        <f t="shared" si="296"/>
        <v>6205</v>
      </c>
      <c r="BW87" s="616">
        <f t="shared" si="297"/>
        <v>15130</v>
      </c>
      <c r="BX87" s="616">
        <f t="shared" si="298"/>
        <v>67601</v>
      </c>
      <c r="BY87" s="616">
        <f t="shared" si="299"/>
        <v>49300</v>
      </c>
      <c r="BZ87" s="616">
        <f t="shared" si="300"/>
        <v>4590</v>
      </c>
      <c r="CA87" s="616">
        <f t="shared" si="301"/>
        <v>6545</v>
      </c>
      <c r="CB87" s="616">
        <f t="shared" si="302"/>
        <v>680</v>
      </c>
      <c r="CC87" s="616">
        <f t="shared" si="303"/>
        <v>3315</v>
      </c>
      <c r="CD87" s="616">
        <f t="shared" si="304"/>
        <v>446411</v>
      </c>
      <c r="CE87" s="618">
        <f t="shared" si="342"/>
        <v>342865.6</v>
      </c>
      <c r="CF87" s="618">
        <f t="shared" si="343"/>
        <v>103545.4</v>
      </c>
      <c r="CG87" s="616">
        <f t="shared" si="305"/>
        <v>0</v>
      </c>
      <c r="CH87" s="621">
        <f t="shared" si="306"/>
        <v>4406549</v>
      </c>
      <c r="CI87" s="88">
        <f t="shared" si="307"/>
        <v>42171.552900000002</v>
      </c>
      <c r="CJ87" s="90">
        <f t="shared" si="308"/>
        <v>32389.8259</v>
      </c>
      <c r="CK87" s="90">
        <f t="shared" si="309"/>
        <v>9781.7271000000001</v>
      </c>
      <c r="CL87" s="88">
        <f t="shared" si="310"/>
        <v>486</v>
      </c>
      <c r="CM87" s="88">
        <f t="shared" si="311"/>
        <v>97</v>
      </c>
      <c r="CN87" s="88">
        <f t="shared" si="312"/>
        <v>348</v>
      </c>
      <c r="CO87" s="88">
        <f t="shared" si="313"/>
        <v>2031</v>
      </c>
      <c r="CP87" s="88">
        <f t="shared" si="314"/>
        <v>52</v>
      </c>
      <c r="CQ87" s="88">
        <f t="shared" si="315"/>
        <v>1728</v>
      </c>
      <c r="CR87" s="88">
        <f t="shared" si="316"/>
        <v>73</v>
      </c>
      <c r="CS87" s="88">
        <f t="shared" si="317"/>
        <v>178</v>
      </c>
      <c r="CT87" s="88">
        <f t="shared" si="318"/>
        <v>795.30589999999995</v>
      </c>
      <c r="CU87" s="88">
        <f t="shared" si="319"/>
        <v>580</v>
      </c>
      <c r="CV87" s="88">
        <f t="shared" si="320"/>
        <v>54</v>
      </c>
      <c r="CW87" s="88">
        <f t="shared" si="321"/>
        <v>77</v>
      </c>
      <c r="CX87" s="88">
        <f t="shared" si="322"/>
        <v>8</v>
      </c>
      <c r="CY87" s="88">
        <f t="shared" si="323"/>
        <v>39</v>
      </c>
      <c r="CZ87" s="88">
        <f t="shared" si="324"/>
        <v>5251.8941000000004</v>
      </c>
      <c r="DA87" s="90">
        <f t="shared" si="325"/>
        <v>4033.7129</v>
      </c>
      <c r="DB87" s="90">
        <f t="shared" si="326"/>
        <v>1218.1812</v>
      </c>
      <c r="DC87" s="88">
        <f t="shared" si="327"/>
        <v>0</v>
      </c>
      <c r="DD87" s="88">
        <f t="shared" si="328"/>
        <v>51841.752899999999</v>
      </c>
      <c r="AUV87" s="699">
        <f t="shared" si="235"/>
        <v>42171.55</v>
      </c>
      <c r="AUW87" s="699">
        <f t="shared" si="236"/>
        <v>32389.82</v>
      </c>
      <c r="AUX87" s="699">
        <f t="shared" si="237"/>
        <v>9781.73</v>
      </c>
      <c r="AUY87" s="699">
        <f t="shared" si="255"/>
        <v>486</v>
      </c>
      <c r="AUZ87" s="699">
        <f t="shared" si="344"/>
        <v>2850.97</v>
      </c>
      <c r="AVA87" s="699">
        <f t="shared" si="344"/>
        <v>2.29</v>
      </c>
      <c r="AVB87" s="699">
        <f t="shared" si="256"/>
        <v>2031</v>
      </c>
      <c r="AVC87" s="699">
        <f t="shared" si="257"/>
        <v>52</v>
      </c>
      <c r="AVD87" s="699">
        <f t="shared" si="258"/>
        <v>1728</v>
      </c>
      <c r="AVE87" s="699">
        <f t="shared" si="259"/>
        <v>73</v>
      </c>
      <c r="AVF87" s="699">
        <f t="shared" si="260"/>
        <v>178</v>
      </c>
      <c r="AVG87" s="699">
        <f t="shared" si="261"/>
        <v>795.31</v>
      </c>
      <c r="AVH87" s="699">
        <f t="shared" si="262"/>
        <v>580</v>
      </c>
      <c r="AVI87" s="699">
        <f t="shared" si="263"/>
        <v>54</v>
      </c>
      <c r="AVJ87" s="699">
        <f t="shared" si="264"/>
        <v>77</v>
      </c>
      <c r="AVK87" s="699">
        <f t="shared" si="265"/>
        <v>8</v>
      </c>
      <c r="AVL87" s="699">
        <f t="shared" si="266"/>
        <v>39</v>
      </c>
      <c r="AVM87" s="699">
        <f t="shared" si="267"/>
        <v>5251.89</v>
      </c>
      <c r="AVN87" s="699">
        <f t="shared" si="268"/>
        <v>4033.71</v>
      </c>
      <c r="AVO87" s="699">
        <f t="shared" si="269"/>
        <v>1218.18</v>
      </c>
      <c r="AVP87" s="699">
        <f t="shared" si="270"/>
        <v>0</v>
      </c>
      <c r="AVQ87" s="699">
        <f t="shared" si="271"/>
        <v>51841.75</v>
      </c>
    </row>
    <row r="88" spans="1:1265" ht="30" customHeight="1" x14ac:dyDescent="0.25">
      <c r="A88" s="643">
        <v>1</v>
      </c>
      <c r="B88" s="643">
        <v>9</v>
      </c>
      <c r="C88" s="664" t="s">
        <v>247</v>
      </c>
      <c r="D88" s="2"/>
      <c r="E88" s="101" t="s">
        <v>346</v>
      </c>
      <c r="F88" s="643" t="s">
        <v>39</v>
      </c>
      <c r="G88" s="643">
        <v>3</v>
      </c>
      <c r="H88" s="658" t="s">
        <v>10</v>
      </c>
      <c r="I88" s="643">
        <v>0</v>
      </c>
      <c r="J88" s="101" t="s">
        <v>365</v>
      </c>
      <c r="K88" s="643">
        <v>2</v>
      </c>
      <c r="L88" s="683" t="s">
        <v>351</v>
      </c>
      <c r="M88" s="11" t="s">
        <v>271</v>
      </c>
      <c r="N88" s="101" t="s">
        <v>387</v>
      </c>
      <c r="O88" s="643">
        <v>1</v>
      </c>
      <c r="P88" s="632"/>
      <c r="Q88" s="632"/>
      <c r="R88" s="632"/>
      <c r="S88" s="675">
        <f>SUMIF('Территориальный кк'!$A:$A,'2020'!$B88,'Территориальный кк'!D:D)</f>
        <v>3.258</v>
      </c>
      <c r="T88" s="676">
        <f>SUMIF('Территориальный кк'!$A:$A,'2020'!$B88,'Территориальный кк'!E:E)</f>
        <v>2.8919999999999999</v>
      </c>
      <c r="U88" s="618">
        <f>SUMIFS(Нормативы!G:G,Нормативы!$B:$B,$G88,Нормативы!$D:$D,'2020'!$I88,Нормативы!$F:$F,'2020'!$K88)*O88</f>
        <v>78450</v>
      </c>
      <c r="V88" s="618">
        <f t="shared" si="329"/>
        <v>60253.5</v>
      </c>
      <c r="W88" s="618">
        <f t="shared" si="330"/>
        <v>18196.5</v>
      </c>
      <c r="X88" s="618">
        <f>SUMIFS(Нормативы!J:J,Нормативы!$B:$B,$G88,Нормативы!$D:$D,'2020'!$I88,Нормативы!$F:$F,'2020'!$K88)</f>
        <v>1610</v>
      </c>
      <c r="Y88" s="618">
        <f>SUMIFS(Нормативы!K:K,Нормативы!$B:$B,$G88,Нормативы!$D:$D,'2020'!$I88,Нормативы!$F:$F,'2020'!$K88)</f>
        <v>322</v>
      </c>
      <c r="Z88" s="618">
        <f>SUMIFS(Нормативы!L:L,Нормативы!$B:$B,$G88,Нормативы!$D:$D,'2020'!$I88,Нормативы!$F:$F,'2020'!$K88)</f>
        <v>3480</v>
      </c>
      <c r="AA88" s="618">
        <f t="shared" si="331"/>
        <v>8580</v>
      </c>
      <c r="AB88" s="618">
        <f>SUMIFS(Нормативы!N:N,Нормативы!$B:$B,$G88,Нормативы!$D:$D,'2020'!$I88,Нормативы!$F:$F,'2020'!$K88)*O88</f>
        <v>880</v>
      </c>
      <c r="AC88" s="618">
        <f>SUMIFS(Нормативы!O:O,Нормативы!$B:$B,$G88,Нормативы!$D:$D,'2020'!$I88,Нормативы!$F:$F,'2020'!$K88)</f>
        <v>6180</v>
      </c>
      <c r="AD88" s="618">
        <f>SUMIFS(Нормативы!P:P,Нормативы!$B:$B,$G88,Нормативы!$D:$D,'2020'!$I88,Нормативы!$F:$F,'2020'!$K88)*O88</f>
        <v>440</v>
      </c>
      <c r="AE88" s="618">
        <f>SUMIFS(Нормативы!Q:Q,Нормативы!$B:$B,$G88,Нормативы!$D:$D,'2020'!$I88,Нормативы!$F:$F,'2020'!$K88)</f>
        <v>1080</v>
      </c>
      <c r="AF88" s="618">
        <f>SUMIFS(Нормативы!R:R,Нормативы!$B:$B,$G88,Нормативы!$D:$D,'2020'!$I88,Нормативы!$F:$F,'2020'!$K88)</f>
        <v>2490</v>
      </c>
      <c r="AG88" s="618">
        <f>SUMIFS(Нормативы!S:S,Нормативы!$B:$B,$G88,Нормативы!$D:$D,'2020'!$I88,Нормативы!$F:$F,'2020'!$K88)</f>
        <v>5800</v>
      </c>
      <c r="AH88" s="618">
        <f>SUMIFS(Нормативы!T:T,Нормативы!$B:$B,$G88,Нормативы!$D:$D,'2020'!$I88,Нормативы!$F:$F,'2020'!$K88)</f>
        <v>540</v>
      </c>
      <c r="AI88" s="618">
        <f>SUMIFS(Нормативы!U:U,Нормативы!$B:$B,$G88,Нормативы!$D:$D,'2020'!$I88,Нормативы!$F:$F,'2020'!$K88)</f>
        <v>770</v>
      </c>
      <c r="AJ88" s="618">
        <f>SUMIFS(Нормативы!V:V,Нормативы!$B:$B,$G88,Нормативы!$D:$D,'2020'!$I88,Нормативы!$F:$F,'2020'!$K88)</f>
        <v>170</v>
      </c>
      <c r="AK88" s="618">
        <f>SUMIFS(Нормативы!W:W,Нормативы!$B:$B,$G88,Нормативы!$D:$D,'2020'!$I88,Нормативы!$F:$F,'2020'!$K88)</f>
        <v>200</v>
      </c>
      <c r="AL88" s="618">
        <f>SUMIFS(Нормативы!X:X,Нормативы!$B:$B,$G88,Нормативы!$D:$D,'2020'!$I88,Нормативы!$F:$F,'2020'!$K88)*O88</f>
        <v>13440</v>
      </c>
      <c r="AM88" s="618">
        <f t="shared" si="332"/>
        <v>10322.6</v>
      </c>
      <c r="AN88" s="618">
        <f t="shared" si="333"/>
        <v>3117.4</v>
      </c>
      <c r="AO88" s="618">
        <f>SUMIFS(Нормативы!AA:AA,Нормативы!$B:$B,$G88,Нормативы!$D:$D,'2020'!$I88,Нормативы!$F:$F,'2020'!$K88)</f>
        <v>0</v>
      </c>
      <c r="AP88" s="619">
        <f t="shared" si="334"/>
        <v>115530</v>
      </c>
      <c r="AQ88" s="413">
        <f t="shared" si="272"/>
        <v>0</v>
      </c>
      <c r="AR88" s="618">
        <f t="shared" si="335"/>
        <v>0</v>
      </c>
      <c r="AS88" s="618">
        <f t="shared" si="336"/>
        <v>0</v>
      </c>
      <c r="AT88" s="616">
        <f t="shared" si="273"/>
        <v>0</v>
      </c>
      <c r="AU88" s="616">
        <f t="shared" si="274"/>
        <v>0</v>
      </c>
      <c r="AV88" s="616">
        <f t="shared" si="275"/>
        <v>0</v>
      </c>
      <c r="AW88" s="616">
        <f t="shared" si="276"/>
        <v>0</v>
      </c>
      <c r="AX88" s="616">
        <f t="shared" si="277"/>
        <v>0</v>
      </c>
      <c r="AY88" s="616">
        <f t="shared" si="278"/>
        <v>0</v>
      </c>
      <c r="AZ88" s="616">
        <f t="shared" si="279"/>
        <v>0</v>
      </c>
      <c r="BA88" s="616">
        <f t="shared" si="280"/>
        <v>0</v>
      </c>
      <c r="BB88" s="616">
        <f t="shared" si="281"/>
        <v>0</v>
      </c>
      <c r="BC88" s="616">
        <f t="shared" si="282"/>
        <v>0</v>
      </c>
      <c r="BD88" s="616">
        <f t="shared" si="283"/>
        <v>0</v>
      </c>
      <c r="BE88" s="616">
        <f t="shared" si="284"/>
        <v>0</v>
      </c>
      <c r="BF88" s="616">
        <f t="shared" si="285"/>
        <v>0</v>
      </c>
      <c r="BG88" s="616">
        <f t="shared" si="286"/>
        <v>0</v>
      </c>
      <c r="BH88" s="616">
        <f t="shared" si="287"/>
        <v>0</v>
      </c>
      <c r="BI88" s="618">
        <f t="shared" si="337"/>
        <v>0</v>
      </c>
      <c r="BJ88" s="618">
        <f t="shared" si="338"/>
        <v>0</v>
      </c>
      <c r="BK88" s="616">
        <f t="shared" si="288"/>
        <v>0</v>
      </c>
      <c r="BL88" s="620">
        <f t="shared" si="289"/>
        <v>0</v>
      </c>
      <c r="BM88" s="616">
        <f t="shared" si="290"/>
        <v>0</v>
      </c>
      <c r="BN88" s="618">
        <f t="shared" si="291"/>
        <v>0</v>
      </c>
      <c r="BO88" s="618">
        <f t="shared" si="292"/>
        <v>0</v>
      </c>
      <c r="BP88" s="616">
        <f t="shared" si="339"/>
        <v>0</v>
      </c>
      <c r="BQ88" s="616">
        <f t="shared" si="340"/>
        <v>0</v>
      </c>
      <c r="BR88" s="616">
        <f t="shared" si="341"/>
        <v>0</v>
      </c>
      <c r="BS88" s="616">
        <f t="shared" si="293"/>
        <v>0</v>
      </c>
      <c r="BT88" s="616">
        <f t="shared" si="294"/>
        <v>0</v>
      </c>
      <c r="BU88" s="616">
        <f t="shared" si="295"/>
        <v>0</v>
      </c>
      <c r="BV88" s="616">
        <f t="shared" si="296"/>
        <v>0</v>
      </c>
      <c r="BW88" s="616">
        <f t="shared" si="297"/>
        <v>0</v>
      </c>
      <c r="BX88" s="616">
        <f t="shared" si="298"/>
        <v>0</v>
      </c>
      <c r="BY88" s="616">
        <f t="shared" si="299"/>
        <v>0</v>
      </c>
      <c r="BZ88" s="616">
        <f t="shared" si="300"/>
        <v>0</v>
      </c>
      <c r="CA88" s="616">
        <f t="shared" si="301"/>
        <v>0</v>
      </c>
      <c r="CB88" s="616">
        <f t="shared" si="302"/>
        <v>0</v>
      </c>
      <c r="CC88" s="616">
        <f t="shared" si="303"/>
        <v>0</v>
      </c>
      <c r="CD88" s="616">
        <f t="shared" si="304"/>
        <v>0</v>
      </c>
      <c r="CE88" s="618">
        <f t="shared" si="342"/>
        <v>0</v>
      </c>
      <c r="CF88" s="618">
        <f t="shared" si="343"/>
        <v>0</v>
      </c>
      <c r="CG88" s="616">
        <f t="shared" si="305"/>
        <v>0</v>
      </c>
      <c r="CH88" s="621">
        <f t="shared" si="306"/>
        <v>0</v>
      </c>
      <c r="CI88" s="88" t="e">
        <f t="shared" si="307"/>
        <v>#DIV/0!</v>
      </c>
      <c r="CJ88" s="90" t="e">
        <f t="shared" si="308"/>
        <v>#DIV/0!</v>
      </c>
      <c r="CK88" s="90" t="e">
        <f t="shared" si="309"/>
        <v>#DIV/0!</v>
      </c>
      <c r="CL88" s="88" t="e">
        <f t="shared" si="310"/>
        <v>#DIV/0!</v>
      </c>
      <c r="CM88" s="88" t="e">
        <f t="shared" si="311"/>
        <v>#DIV/0!</v>
      </c>
      <c r="CN88" s="88" t="e">
        <f t="shared" si="312"/>
        <v>#DIV/0!</v>
      </c>
      <c r="CO88" s="88" t="e">
        <f t="shared" si="313"/>
        <v>#DIV/0!</v>
      </c>
      <c r="CP88" s="88" t="e">
        <f t="shared" si="314"/>
        <v>#DIV/0!</v>
      </c>
      <c r="CQ88" s="88" t="e">
        <f t="shared" si="315"/>
        <v>#DIV/0!</v>
      </c>
      <c r="CR88" s="88" t="e">
        <f t="shared" si="316"/>
        <v>#DIV/0!</v>
      </c>
      <c r="CS88" s="88" t="e">
        <f t="shared" si="317"/>
        <v>#DIV/0!</v>
      </c>
      <c r="CT88" s="88" t="e">
        <f t="shared" si="318"/>
        <v>#DIV/0!</v>
      </c>
      <c r="CU88" s="88" t="e">
        <f t="shared" si="319"/>
        <v>#DIV/0!</v>
      </c>
      <c r="CV88" s="88" t="e">
        <f t="shared" si="320"/>
        <v>#DIV/0!</v>
      </c>
      <c r="CW88" s="88" t="e">
        <f t="shared" si="321"/>
        <v>#DIV/0!</v>
      </c>
      <c r="CX88" s="88" t="e">
        <f t="shared" si="322"/>
        <v>#DIV/0!</v>
      </c>
      <c r="CY88" s="88" t="e">
        <f t="shared" si="323"/>
        <v>#DIV/0!</v>
      </c>
      <c r="CZ88" s="88" t="e">
        <f t="shared" si="324"/>
        <v>#DIV/0!</v>
      </c>
      <c r="DA88" s="90" t="e">
        <f t="shared" si="325"/>
        <v>#DIV/0!</v>
      </c>
      <c r="DB88" s="90" t="e">
        <f t="shared" si="326"/>
        <v>#DIV/0!</v>
      </c>
      <c r="DC88" s="88" t="e">
        <f t="shared" si="327"/>
        <v>#DIV/0!</v>
      </c>
      <c r="DD88" s="88" t="e">
        <f t="shared" si="328"/>
        <v>#DIV/0!</v>
      </c>
      <c r="AUV88" s="699">
        <v>0</v>
      </c>
      <c r="AUW88" s="699">
        <f t="shared" si="236"/>
        <v>0</v>
      </c>
      <c r="AUX88" s="699">
        <f t="shared" si="237"/>
        <v>0</v>
      </c>
      <c r="AUY88" s="699">
        <f t="shared" si="344"/>
        <v>0</v>
      </c>
      <c r="AUZ88" s="699">
        <f t="shared" si="344"/>
        <v>0</v>
      </c>
      <c r="AVA88" s="699">
        <f t="shared" si="344"/>
        <v>0</v>
      </c>
      <c r="AVB88" s="699">
        <f t="shared" ref="AVB88:AVB132" si="345">BS88/V88</f>
        <v>0</v>
      </c>
      <c r="AVC88" s="697"/>
      <c r="AVD88" s="697"/>
      <c r="AVE88" s="697"/>
      <c r="AVF88" s="697"/>
      <c r="AVG88" s="697"/>
      <c r="AVH88" s="697"/>
      <c r="AVI88" s="697"/>
      <c r="AVJ88" s="697"/>
      <c r="AVK88" s="697"/>
      <c r="AVL88" s="697"/>
      <c r="AVM88" s="697"/>
      <c r="AVN88" s="697"/>
      <c r="AVO88" s="697"/>
      <c r="AVP88" s="697"/>
      <c r="AVQ88" s="697"/>
    </row>
    <row r="89" spans="1:1265" ht="30" customHeight="1" x14ac:dyDescent="0.25">
      <c r="A89" s="643">
        <v>1</v>
      </c>
      <c r="B89" s="643">
        <v>9</v>
      </c>
      <c r="C89" s="664" t="s">
        <v>247</v>
      </c>
      <c r="D89" s="2"/>
      <c r="E89" s="101" t="s">
        <v>346</v>
      </c>
      <c r="F89" s="643" t="s">
        <v>39</v>
      </c>
      <c r="G89" s="643">
        <v>3</v>
      </c>
      <c r="H89" s="658" t="s">
        <v>10</v>
      </c>
      <c r="I89" s="643">
        <v>0</v>
      </c>
      <c r="J89" s="101" t="s">
        <v>386</v>
      </c>
      <c r="K89" s="643">
        <v>3</v>
      </c>
      <c r="L89" s="683" t="s">
        <v>351</v>
      </c>
      <c r="M89" s="11" t="s">
        <v>308</v>
      </c>
      <c r="N89" s="101" t="s">
        <v>387</v>
      </c>
      <c r="O89" s="643">
        <v>1</v>
      </c>
      <c r="P89" s="632"/>
      <c r="Q89" s="632"/>
      <c r="R89" s="632"/>
      <c r="S89" s="675">
        <f>SUMIF('Территориальный кк'!$A:$A,'2020'!$B89,'Территориальный кк'!D:D)</f>
        <v>3.258</v>
      </c>
      <c r="T89" s="676">
        <f>SUMIF('Территориальный кк'!$A:$A,'2020'!$B89,'Территориальный кк'!E:E)</f>
        <v>2.8919999999999999</v>
      </c>
      <c r="U89" s="618">
        <f>SUMIFS(Нормативы!G:G,Нормативы!$B:$B,$G89,Нормативы!$D:$D,'2020'!$I89,Нормативы!$F:$F,'2020'!$K89)*O89</f>
        <v>78450</v>
      </c>
      <c r="V89" s="618">
        <f t="shared" si="329"/>
        <v>60253.5</v>
      </c>
      <c r="W89" s="618">
        <f t="shared" si="330"/>
        <v>18196.5</v>
      </c>
      <c r="X89" s="618">
        <f>SUMIFS(Нормативы!J:J,Нормативы!$B:$B,$G89,Нормативы!$D:$D,'2020'!$I89,Нормативы!$F:$F,'2020'!$K89)</f>
        <v>6840</v>
      </c>
      <c r="Y89" s="618">
        <f>SUMIFS(Нормативы!K:K,Нормативы!$B:$B,$G89,Нормативы!$D:$D,'2020'!$I89,Нормативы!$F:$F,'2020'!$K89)</f>
        <v>1368</v>
      </c>
      <c r="Z89" s="618">
        <f>SUMIFS(Нормативы!L:L,Нормативы!$B:$B,$G89,Нормативы!$D:$D,'2020'!$I89,Нормативы!$F:$F,'2020'!$K89)</f>
        <v>8110</v>
      </c>
      <c r="AA89" s="618">
        <f t="shared" si="331"/>
        <v>23360</v>
      </c>
      <c r="AB89" s="618">
        <f>SUMIFS(Нормативы!N:N,Нормативы!$B:$B,$G89,Нормативы!$D:$D,'2020'!$I89,Нормативы!$F:$F,'2020'!$K89)*O89</f>
        <v>880</v>
      </c>
      <c r="AC89" s="618">
        <f>SUMIFS(Нормативы!O:O,Нормативы!$B:$B,$G89,Нормативы!$D:$D,'2020'!$I89,Нормативы!$F:$F,'2020'!$K89)</f>
        <v>20960</v>
      </c>
      <c r="AD89" s="618">
        <f>SUMIFS(Нормативы!P:P,Нормативы!$B:$B,$G89,Нормативы!$D:$D,'2020'!$I89,Нормативы!$F:$F,'2020'!$K89)*O89</f>
        <v>440</v>
      </c>
      <c r="AE89" s="618">
        <f>SUMIFS(Нормативы!Q:Q,Нормативы!$B:$B,$G89,Нормативы!$D:$D,'2020'!$I89,Нормативы!$F:$F,'2020'!$K89)</f>
        <v>1080</v>
      </c>
      <c r="AF89" s="618">
        <f>SUMIFS(Нормативы!R:R,Нормативы!$B:$B,$G89,Нормативы!$D:$D,'2020'!$I89,Нормативы!$F:$F,'2020'!$K89)</f>
        <v>2700</v>
      </c>
      <c r="AG89" s="618">
        <f>SUMIFS(Нормативы!S:S,Нормативы!$B:$B,$G89,Нормативы!$D:$D,'2020'!$I89,Нормативы!$F:$F,'2020'!$K89)</f>
        <v>5800</v>
      </c>
      <c r="AH89" s="618">
        <f>SUMIFS(Нормативы!T:T,Нормативы!$B:$B,$G89,Нормативы!$D:$D,'2020'!$I89,Нормативы!$F:$F,'2020'!$K89)</f>
        <v>540</v>
      </c>
      <c r="AI89" s="618">
        <f>SUMIFS(Нормативы!U:U,Нормативы!$B:$B,$G89,Нормативы!$D:$D,'2020'!$I89,Нормативы!$F:$F,'2020'!$K89)</f>
        <v>770</v>
      </c>
      <c r="AJ89" s="618">
        <f>SUMIFS(Нормативы!V:V,Нормативы!$B:$B,$G89,Нормативы!$D:$D,'2020'!$I89,Нормативы!$F:$F,'2020'!$K89)</f>
        <v>170</v>
      </c>
      <c r="AK89" s="618">
        <f>SUMIFS(Нормативы!W:W,Нормативы!$B:$B,$G89,Нормативы!$D:$D,'2020'!$I89,Нормативы!$F:$F,'2020'!$K89)</f>
        <v>200</v>
      </c>
      <c r="AL89" s="618">
        <f>SUMIFS(Нормативы!X:X,Нормативы!$B:$B,$G89,Нормативы!$D:$D,'2020'!$I89,Нормативы!$F:$F,'2020'!$K89)*O89</f>
        <v>13440</v>
      </c>
      <c r="AM89" s="618">
        <f t="shared" si="332"/>
        <v>10322.6</v>
      </c>
      <c r="AN89" s="618">
        <f t="shared" si="333"/>
        <v>3117.4</v>
      </c>
      <c r="AO89" s="618">
        <f>SUMIFS(Нормативы!AA:AA,Нормативы!$B:$B,$G89,Нормативы!$D:$D,'2020'!$I89,Нормативы!$F:$F,'2020'!$K89)</f>
        <v>0</v>
      </c>
      <c r="AP89" s="619">
        <f t="shared" si="334"/>
        <v>140380</v>
      </c>
      <c r="AQ89" s="413">
        <f t="shared" si="272"/>
        <v>0</v>
      </c>
      <c r="AR89" s="618">
        <f t="shared" si="335"/>
        <v>0</v>
      </c>
      <c r="AS89" s="618">
        <f t="shared" si="336"/>
        <v>0</v>
      </c>
      <c r="AT89" s="616">
        <f t="shared" si="273"/>
        <v>0</v>
      </c>
      <c r="AU89" s="616">
        <f t="shared" si="274"/>
        <v>0</v>
      </c>
      <c r="AV89" s="616">
        <f t="shared" si="275"/>
        <v>0</v>
      </c>
      <c r="AW89" s="616">
        <f t="shared" si="276"/>
        <v>0</v>
      </c>
      <c r="AX89" s="616">
        <f t="shared" si="277"/>
        <v>0</v>
      </c>
      <c r="AY89" s="616">
        <f t="shared" si="278"/>
        <v>0</v>
      </c>
      <c r="AZ89" s="616">
        <f t="shared" si="279"/>
        <v>0</v>
      </c>
      <c r="BA89" s="616">
        <f t="shared" si="280"/>
        <v>0</v>
      </c>
      <c r="BB89" s="616">
        <f t="shared" si="281"/>
        <v>0</v>
      </c>
      <c r="BC89" s="616">
        <f t="shared" si="282"/>
        <v>0</v>
      </c>
      <c r="BD89" s="616">
        <f t="shared" si="283"/>
        <v>0</v>
      </c>
      <c r="BE89" s="616">
        <f t="shared" si="284"/>
        <v>0</v>
      </c>
      <c r="BF89" s="616">
        <f t="shared" si="285"/>
        <v>0</v>
      </c>
      <c r="BG89" s="616">
        <f t="shared" si="286"/>
        <v>0</v>
      </c>
      <c r="BH89" s="616">
        <f t="shared" si="287"/>
        <v>0</v>
      </c>
      <c r="BI89" s="618">
        <f t="shared" si="337"/>
        <v>0</v>
      </c>
      <c r="BJ89" s="618">
        <f t="shared" si="338"/>
        <v>0</v>
      </c>
      <c r="BK89" s="616">
        <f t="shared" si="288"/>
        <v>0</v>
      </c>
      <c r="BL89" s="620">
        <f t="shared" si="289"/>
        <v>0</v>
      </c>
      <c r="BM89" s="616">
        <f t="shared" si="290"/>
        <v>0</v>
      </c>
      <c r="BN89" s="618">
        <f t="shared" si="291"/>
        <v>0</v>
      </c>
      <c r="BO89" s="618">
        <f t="shared" si="292"/>
        <v>0</v>
      </c>
      <c r="BP89" s="616">
        <f t="shared" si="339"/>
        <v>0</v>
      </c>
      <c r="BQ89" s="616">
        <f t="shared" si="340"/>
        <v>0</v>
      </c>
      <c r="BR89" s="616">
        <f t="shared" si="341"/>
        <v>0</v>
      </c>
      <c r="BS89" s="616">
        <f t="shared" si="293"/>
        <v>0</v>
      </c>
      <c r="BT89" s="616">
        <f t="shared" si="294"/>
        <v>0</v>
      </c>
      <c r="BU89" s="616">
        <f t="shared" si="295"/>
        <v>0</v>
      </c>
      <c r="BV89" s="616">
        <f t="shared" si="296"/>
        <v>0</v>
      </c>
      <c r="BW89" s="616">
        <f t="shared" si="297"/>
        <v>0</v>
      </c>
      <c r="BX89" s="616">
        <f t="shared" si="298"/>
        <v>0</v>
      </c>
      <c r="BY89" s="616">
        <f t="shared" si="299"/>
        <v>0</v>
      </c>
      <c r="BZ89" s="616">
        <f t="shared" si="300"/>
        <v>0</v>
      </c>
      <c r="CA89" s="616">
        <f t="shared" si="301"/>
        <v>0</v>
      </c>
      <c r="CB89" s="616">
        <f t="shared" si="302"/>
        <v>0</v>
      </c>
      <c r="CC89" s="616">
        <f t="shared" si="303"/>
        <v>0</v>
      </c>
      <c r="CD89" s="616">
        <f t="shared" si="304"/>
        <v>0</v>
      </c>
      <c r="CE89" s="618">
        <f t="shared" si="342"/>
        <v>0</v>
      </c>
      <c r="CF89" s="618">
        <f t="shared" si="343"/>
        <v>0</v>
      </c>
      <c r="CG89" s="616">
        <f t="shared" si="305"/>
        <v>0</v>
      </c>
      <c r="CH89" s="621">
        <f t="shared" si="306"/>
        <v>0</v>
      </c>
      <c r="CI89" s="88" t="e">
        <f t="shared" si="307"/>
        <v>#DIV/0!</v>
      </c>
      <c r="CJ89" s="90" t="e">
        <f t="shared" si="308"/>
        <v>#DIV/0!</v>
      </c>
      <c r="CK89" s="90" t="e">
        <f t="shared" si="309"/>
        <v>#DIV/0!</v>
      </c>
      <c r="CL89" s="88" t="e">
        <f t="shared" si="310"/>
        <v>#DIV/0!</v>
      </c>
      <c r="CM89" s="88" t="e">
        <f t="shared" si="311"/>
        <v>#DIV/0!</v>
      </c>
      <c r="CN89" s="88" t="e">
        <f t="shared" si="312"/>
        <v>#DIV/0!</v>
      </c>
      <c r="CO89" s="88" t="e">
        <f t="shared" si="313"/>
        <v>#DIV/0!</v>
      </c>
      <c r="CP89" s="88" t="e">
        <f t="shared" si="314"/>
        <v>#DIV/0!</v>
      </c>
      <c r="CQ89" s="88" t="e">
        <f t="shared" si="315"/>
        <v>#DIV/0!</v>
      </c>
      <c r="CR89" s="88" t="e">
        <f t="shared" si="316"/>
        <v>#DIV/0!</v>
      </c>
      <c r="CS89" s="88" t="e">
        <f t="shared" si="317"/>
        <v>#DIV/0!</v>
      </c>
      <c r="CT89" s="88" t="e">
        <f t="shared" si="318"/>
        <v>#DIV/0!</v>
      </c>
      <c r="CU89" s="88" t="e">
        <f t="shared" si="319"/>
        <v>#DIV/0!</v>
      </c>
      <c r="CV89" s="88" t="e">
        <f t="shared" si="320"/>
        <v>#DIV/0!</v>
      </c>
      <c r="CW89" s="88" t="e">
        <f t="shared" si="321"/>
        <v>#DIV/0!</v>
      </c>
      <c r="CX89" s="88" t="e">
        <f t="shared" si="322"/>
        <v>#DIV/0!</v>
      </c>
      <c r="CY89" s="88" t="e">
        <f t="shared" si="323"/>
        <v>#DIV/0!</v>
      </c>
      <c r="CZ89" s="88" t="e">
        <f t="shared" si="324"/>
        <v>#DIV/0!</v>
      </c>
      <c r="DA89" s="90" t="e">
        <f t="shared" si="325"/>
        <v>#DIV/0!</v>
      </c>
      <c r="DB89" s="90" t="e">
        <f t="shared" si="326"/>
        <v>#DIV/0!</v>
      </c>
      <c r="DC89" s="88" t="e">
        <f t="shared" si="327"/>
        <v>#DIV/0!</v>
      </c>
      <c r="DD89" s="88" t="e">
        <f t="shared" si="328"/>
        <v>#DIV/0!</v>
      </c>
      <c r="AUV89" s="699">
        <v>0</v>
      </c>
      <c r="AUW89" s="699">
        <f t="shared" si="236"/>
        <v>0</v>
      </c>
      <c r="AUX89" s="699">
        <f t="shared" si="237"/>
        <v>0</v>
      </c>
      <c r="AUY89" s="699">
        <f t="shared" si="344"/>
        <v>0</v>
      </c>
      <c r="AUZ89" s="699">
        <f t="shared" si="344"/>
        <v>0</v>
      </c>
      <c r="AVA89" s="699">
        <f t="shared" si="344"/>
        <v>0</v>
      </c>
      <c r="AVB89" s="699">
        <f t="shared" si="345"/>
        <v>0</v>
      </c>
      <c r="AVC89" s="697"/>
      <c r="AVD89" s="697"/>
      <c r="AVE89" s="697"/>
      <c r="AVF89" s="697"/>
      <c r="AVG89" s="697"/>
      <c r="AVH89" s="697"/>
      <c r="AVI89" s="697"/>
      <c r="AVJ89" s="697"/>
      <c r="AVK89" s="697"/>
      <c r="AVL89" s="697"/>
      <c r="AVM89" s="697"/>
      <c r="AVN89" s="697"/>
      <c r="AVO89" s="697"/>
      <c r="AVP89" s="697"/>
      <c r="AVQ89" s="697"/>
    </row>
    <row r="90" spans="1:1265" ht="30" customHeight="1" x14ac:dyDescent="0.25">
      <c r="A90" s="643">
        <v>1</v>
      </c>
      <c r="B90" s="643">
        <v>9</v>
      </c>
      <c r="C90" s="664" t="s">
        <v>247</v>
      </c>
      <c r="D90" s="2"/>
      <c r="E90" s="101" t="s">
        <v>346</v>
      </c>
      <c r="F90" s="643" t="s">
        <v>39</v>
      </c>
      <c r="G90" s="643">
        <v>3</v>
      </c>
      <c r="H90" s="658" t="s">
        <v>10</v>
      </c>
      <c r="I90" s="643">
        <v>0</v>
      </c>
      <c r="J90" s="101" t="s">
        <v>367</v>
      </c>
      <c r="K90" s="643">
        <v>3</v>
      </c>
      <c r="L90" s="683" t="s">
        <v>351</v>
      </c>
      <c r="M90" s="11" t="s">
        <v>273</v>
      </c>
      <c r="N90" s="101" t="s">
        <v>387</v>
      </c>
      <c r="O90" s="643">
        <v>1</v>
      </c>
      <c r="P90" s="632">
        <v>46</v>
      </c>
      <c r="Q90" s="632">
        <v>46</v>
      </c>
      <c r="R90" s="632">
        <v>46</v>
      </c>
      <c r="S90" s="675">
        <f>SUMIF('Территориальный кк'!$A:$A,'2020'!$B90,'Территориальный кк'!D:D)</f>
        <v>3.258</v>
      </c>
      <c r="T90" s="676">
        <f>SUMIF('Территориальный кк'!$A:$A,'2020'!$B90,'Территориальный кк'!E:E)</f>
        <v>2.8919999999999999</v>
      </c>
      <c r="U90" s="618">
        <f>SUMIFS(Нормативы!G:G,Нормативы!$B:$B,$G90,Нормативы!$D:$D,'2020'!$I90,Нормативы!$F:$F,'2020'!$K90)*O90</f>
        <v>78450</v>
      </c>
      <c r="V90" s="618">
        <f t="shared" si="329"/>
        <v>60253.5</v>
      </c>
      <c r="W90" s="618">
        <f t="shared" si="330"/>
        <v>18196.5</v>
      </c>
      <c r="X90" s="618">
        <f>SUMIFS(Нормативы!J:J,Нормативы!$B:$B,$G90,Нормативы!$D:$D,'2020'!$I90,Нормативы!$F:$F,'2020'!$K90)</f>
        <v>6840</v>
      </c>
      <c r="Y90" s="618">
        <f>SUMIFS(Нормативы!K:K,Нормативы!$B:$B,$G90,Нормативы!$D:$D,'2020'!$I90,Нормативы!$F:$F,'2020'!$K90)</f>
        <v>1368</v>
      </c>
      <c r="Z90" s="618">
        <f>SUMIFS(Нормативы!L:L,Нормативы!$B:$B,$G90,Нормативы!$D:$D,'2020'!$I90,Нормативы!$F:$F,'2020'!$K90)</f>
        <v>8110</v>
      </c>
      <c r="AA90" s="618">
        <f t="shared" si="331"/>
        <v>23360</v>
      </c>
      <c r="AB90" s="618">
        <f>SUMIFS(Нормативы!N:N,Нормативы!$B:$B,$G90,Нормативы!$D:$D,'2020'!$I90,Нормативы!$F:$F,'2020'!$K90)*O90</f>
        <v>880</v>
      </c>
      <c r="AC90" s="618">
        <f>SUMIFS(Нормативы!O:O,Нормативы!$B:$B,$G90,Нормативы!$D:$D,'2020'!$I90,Нормативы!$F:$F,'2020'!$K90)</f>
        <v>20960</v>
      </c>
      <c r="AD90" s="618">
        <f>SUMIFS(Нормативы!P:P,Нормативы!$B:$B,$G90,Нормативы!$D:$D,'2020'!$I90,Нормативы!$F:$F,'2020'!$K90)*O90</f>
        <v>440</v>
      </c>
      <c r="AE90" s="618">
        <f>SUMIFS(Нормативы!Q:Q,Нормативы!$B:$B,$G90,Нормативы!$D:$D,'2020'!$I90,Нормативы!$F:$F,'2020'!$K90)</f>
        <v>1080</v>
      </c>
      <c r="AF90" s="618">
        <f>SUMIFS(Нормативы!R:R,Нормативы!$B:$B,$G90,Нормативы!$D:$D,'2020'!$I90,Нормативы!$F:$F,'2020'!$K90)</f>
        <v>2700</v>
      </c>
      <c r="AG90" s="618">
        <f>SUMIFS(Нормативы!S:S,Нормативы!$B:$B,$G90,Нормативы!$D:$D,'2020'!$I90,Нормативы!$F:$F,'2020'!$K90)</f>
        <v>5800</v>
      </c>
      <c r="AH90" s="618">
        <f>SUMIFS(Нормативы!T:T,Нормативы!$B:$B,$G90,Нормативы!$D:$D,'2020'!$I90,Нормативы!$F:$F,'2020'!$K90)</f>
        <v>540</v>
      </c>
      <c r="AI90" s="618">
        <f>SUMIFS(Нормативы!U:U,Нормативы!$B:$B,$G90,Нормативы!$D:$D,'2020'!$I90,Нормативы!$F:$F,'2020'!$K90)</f>
        <v>770</v>
      </c>
      <c r="AJ90" s="618">
        <f>SUMIFS(Нормативы!V:V,Нормативы!$B:$B,$G90,Нормативы!$D:$D,'2020'!$I90,Нормативы!$F:$F,'2020'!$K90)</f>
        <v>170</v>
      </c>
      <c r="AK90" s="618">
        <f>SUMIFS(Нормативы!W:W,Нормативы!$B:$B,$G90,Нормативы!$D:$D,'2020'!$I90,Нормативы!$F:$F,'2020'!$K90)</f>
        <v>200</v>
      </c>
      <c r="AL90" s="618">
        <f>SUMIFS(Нормативы!X:X,Нормативы!$B:$B,$G90,Нормативы!$D:$D,'2020'!$I90,Нормативы!$F:$F,'2020'!$K90)*O90</f>
        <v>13440</v>
      </c>
      <c r="AM90" s="618">
        <f t="shared" si="332"/>
        <v>10322.6</v>
      </c>
      <c r="AN90" s="618">
        <f t="shared" si="333"/>
        <v>3117.4</v>
      </c>
      <c r="AO90" s="618">
        <f>SUMIFS(Нормативы!AA:AA,Нормативы!$B:$B,$G90,Нормативы!$D:$D,'2020'!$I90,Нормативы!$F:$F,'2020'!$K90)</f>
        <v>0</v>
      </c>
      <c r="AP90" s="619">
        <f t="shared" si="334"/>
        <v>140380</v>
      </c>
      <c r="AQ90" s="413">
        <f t="shared" si="272"/>
        <v>3608700</v>
      </c>
      <c r="AR90" s="618">
        <f t="shared" si="335"/>
        <v>2771659</v>
      </c>
      <c r="AS90" s="618">
        <f t="shared" si="336"/>
        <v>837041</v>
      </c>
      <c r="AT90" s="616">
        <f t="shared" si="273"/>
        <v>314640</v>
      </c>
      <c r="AU90" s="616">
        <f t="shared" si="274"/>
        <v>62928</v>
      </c>
      <c r="AV90" s="616">
        <f t="shared" si="275"/>
        <v>373060</v>
      </c>
      <c r="AW90" s="616">
        <f t="shared" si="276"/>
        <v>1074560</v>
      </c>
      <c r="AX90" s="616">
        <f t="shared" si="277"/>
        <v>40480</v>
      </c>
      <c r="AY90" s="616">
        <f t="shared" si="278"/>
        <v>964160</v>
      </c>
      <c r="AZ90" s="616">
        <f t="shared" si="279"/>
        <v>20240</v>
      </c>
      <c r="BA90" s="616">
        <f t="shared" si="280"/>
        <v>49680</v>
      </c>
      <c r="BB90" s="616">
        <f t="shared" si="281"/>
        <v>124200</v>
      </c>
      <c r="BC90" s="616">
        <f t="shared" si="282"/>
        <v>266800</v>
      </c>
      <c r="BD90" s="616">
        <f t="shared" si="283"/>
        <v>24840</v>
      </c>
      <c r="BE90" s="616">
        <f t="shared" si="284"/>
        <v>35420</v>
      </c>
      <c r="BF90" s="616">
        <f t="shared" si="285"/>
        <v>7820</v>
      </c>
      <c r="BG90" s="616">
        <f t="shared" si="286"/>
        <v>9200</v>
      </c>
      <c r="BH90" s="616">
        <f t="shared" si="287"/>
        <v>618240</v>
      </c>
      <c r="BI90" s="618">
        <f t="shared" si="337"/>
        <v>474838.7</v>
      </c>
      <c r="BJ90" s="618">
        <f t="shared" si="338"/>
        <v>143401.29999999999</v>
      </c>
      <c r="BK90" s="616">
        <f t="shared" si="288"/>
        <v>0</v>
      </c>
      <c r="BL90" s="620">
        <f t="shared" si="289"/>
        <v>6457480</v>
      </c>
      <c r="BM90" s="616">
        <f t="shared" si="290"/>
        <v>11757145</v>
      </c>
      <c r="BN90" s="618">
        <f t="shared" si="291"/>
        <v>9030065.3000000007</v>
      </c>
      <c r="BO90" s="618">
        <f t="shared" si="292"/>
        <v>2727079.7</v>
      </c>
      <c r="BP90" s="616">
        <f t="shared" si="339"/>
        <v>314640</v>
      </c>
      <c r="BQ90" s="616">
        <f t="shared" si="340"/>
        <v>62928</v>
      </c>
      <c r="BR90" s="616">
        <f t="shared" si="341"/>
        <v>373060</v>
      </c>
      <c r="BS90" s="616">
        <f t="shared" si="293"/>
        <v>1074560</v>
      </c>
      <c r="BT90" s="616">
        <f t="shared" si="294"/>
        <v>40480</v>
      </c>
      <c r="BU90" s="616">
        <f t="shared" si="295"/>
        <v>964160</v>
      </c>
      <c r="BV90" s="616">
        <f t="shared" si="296"/>
        <v>20240</v>
      </c>
      <c r="BW90" s="616">
        <f t="shared" si="297"/>
        <v>49680</v>
      </c>
      <c r="BX90" s="616">
        <f t="shared" si="298"/>
        <v>359186</v>
      </c>
      <c r="BY90" s="616">
        <f t="shared" si="299"/>
        <v>266800</v>
      </c>
      <c r="BZ90" s="616">
        <f t="shared" si="300"/>
        <v>24840</v>
      </c>
      <c r="CA90" s="616">
        <f t="shared" si="301"/>
        <v>35420</v>
      </c>
      <c r="CB90" s="616">
        <f t="shared" si="302"/>
        <v>7820</v>
      </c>
      <c r="CC90" s="616">
        <f t="shared" si="303"/>
        <v>9200</v>
      </c>
      <c r="CD90" s="616">
        <f t="shared" si="304"/>
        <v>2014226</v>
      </c>
      <c r="CE90" s="618">
        <f t="shared" si="342"/>
        <v>1547024.6</v>
      </c>
      <c r="CF90" s="618">
        <f t="shared" si="343"/>
        <v>467201.4</v>
      </c>
      <c r="CG90" s="616">
        <f t="shared" si="305"/>
        <v>0</v>
      </c>
      <c r="CH90" s="621">
        <f t="shared" si="306"/>
        <v>16236897</v>
      </c>
      <c r="CI90" s="88">
        <f t="shared" si="307"/>
        <v>255590.10870000001</v>
      </c>
      <c r="CJ90" s="90">
        <f t="shared" si="308"/>
        <v>196305.76740000001</v>
      </c>
      <c r="CK90" s="90">
        <f t="shared" si="309"/>
        <v>59284.3413</v>
      </c>
      <c r="CL90" s="88">
        <f t="shared" si="310"/>
        <v>6840</v>
      </c>
      <c r="CM90" s="88">
        <f t="shared" si="311"/>
        <v>1368</v>
      </c>
      <c r="CN90" s="88">
        <f t="shared" si="312"/>
        <v>8110</v>
      </c>
      <c r="CO90" s="88">
        <f t="shared" si="313"/>
        <v>23360</v>
      </c>
      <c r="CP90" s="88">
        <f t="shared" si="314"/>
        <v>880</v>
      </c>
      <c r="CQ90" s="88">
        <f t="shared" si="315"/>
        <v>20960</v>
      </c>
      <c r="CR90" s="88">
        <f t="shared" si="316"/>
        <v>440</v>
      </c>
      <c r="CS90" s="88">
        <f t="shared" si="317"/>
        <v>1080</v>
      </c>
      <c r="CT90" s="88">
        <f t="shared" si="318"/>
        <v>7808.3913000000002</v>
      </c>
      <c r="CU90" s="88">
        <f t="shared" si="319"/>
        <v>5800</v>
      </c>
      <c r="CV90" s="88">
        <f t="shared" si="320"/>
        <v>540</v>
      </c>
      <c r="CW90" s="88">
        <f t="shared" si="321"/>
        <v>770</v>
      </c>
      <c r="CX90" s="88">
        <f t="shared" si="322"/>
        <v>170</v>
      </c>
      <c r="CY90" s="88">
        <f t="shared" si="323"/>
        <v>200</v>
      </c>
      <c r="CZ90" s="88">
        <f t="shared" si="324"/>
        <v>43787.521699999998</v>
      </c>
      <c r="DA90" s="90">
        <f t="shared" si="325"/>
        <v>33630.969599999997</v>
      </c>
      <c r="DB90" s="90">
        <f t="shared" si="326"/>
        <v>10156.5522</v>
      </c>
      <c r="DC90" s="88">
        <f t="shared" si="327"/>
        <v>0</v>
      </c>
      <c r="DD90" s="88">
        <f t="shared" si="328"/>
        <v>352976.02169999998</v>
      </c>
      <c r="AUV90" s="699">
        <f t="shared" si="235"/>
        <v>255590.11</v>
      </c>
      <c r="AUW90" s="699">
        <f t="shared" si="236"/>
        <v>196305.77</v>
      </c>
      <c r="AUX90" s="699">
        <f t="shared" si="237"/>
        <v>59284.34</v>
      </c>
      <c r="AUY90" s="699">
        <f>BP90/P90</f>
        <v>6840</v>
      </c>
      <c r="AUZ90" s="699">
        <f t="shared" si="344"/>
        <v>21759.34</v>
      </c>
      <c r="AVA90" s="699">
        <f t="shared" si="344"/>
        <v>4.76</v>
      </c>
      <c r="AVB90" s="699">
        <f>AVC90+AVD90+AVE90+AVF90</f>
        <v>23360</v>
      </c>
      <c r="AVC90" s="699">
        <f>BT90/P90</f>
        <v>880</v>
      </c>
      <c r="AVD90" s="699">
        <f>BU90/P90</f>
        <v>20960</v>
      </c>
      <c r="AVE90" s="699">
        <f>BV90/P90</f>
        <v>440</v>
      </c>
      <c r="AVF90" s="699">
        <f>BW90/P90</f>
        <v>1080</v>
      </c>
      <c r="AVG90" s="699">
        <f>BX90/P90</f>
        <v>7808.39</v>
      </c>
      <c r="AVH90" s="699">
        <f>BY90/P90</f>
        <v>5800</v>
      </c>
      <c r="AVI90" s="699">
        <f>BZ90/P90</f>
        <v>540</v>
      </c>
      <c r="AVJ90" s="699">
        <f>CA90/P90</f>
        <v>770</v>
      </c>
      <c r="AVK90" s="699">
        <f>CB90/P90</f>
        <v>170</v>
      </c>
      <c r="AVL90" s="699">
        <f>CC90/P90</f>
        <v>200</v>
      </c>
      <c r="AVM90" s="699">
        <f>CD90/P90</f>
        <v>43787.519999999997</v>
      </c>
      <c r="AVN90" s="699">
        <f>AVM90/1.302</f>
        <v>33630.97</v>
      </c>
      <c r="AVO90" s="699">
        <f>AVM90-AVN90</f>
        <v>10156.549999999999</v>
      </c>
      <c r="AVP90" s="699">
        <f>CG90/P90</f>
        <v>0</v>
      </c>
      <c r="AVQ90" s="699">
        <f>CH90/P90</f>
        <v>352976.02</v>
      </c>
    </row>
    <row r="91" spans="1:1265" ht="30" customHeight="1" x14ac:dyDescent="0.25">
      <c r="A91" s="643">
        <v>1</v>
      </c>
      <c r="B91" s="643">
        <v>9</v>
      </c>
      <c r="C91" s="664" t="s">
        <v>247</v>
      </c>
      <c r="D91" s="2"/>
      <c r="E91" s="101" t="s">
        <v>346</v>
      </c>
      <c r="F91" s="643" t="s">
        <v>39</v>
      </c>
      <c r="G91" s="643">
        <v>3</v>
      </c>
      <c r="H91" s="658" t="s">
        <v>10</v>
      </c>
      <c r="I91" s="643">
        <v>0</v>
      </c>
      <c r="J91" s="101" t="s">
        <v>367</v>
      </c>
      <c r="K91" s="643">
        <v>3</v>
      </c>
      <c r="L91" s="683" t="s">
        <v>351</v>
      </c>
      <c r="M91" s="11" t="s">
        <v>309</v>
      </c>
      <c r="N91" s="101" t="s">
        <v>401</v>
      </c>
      <c r="O91" s="643">
        <v>2</v>
      </c>
      <c r="P91" s="632"/>
      <c r="Q91" s="632"/>
      <c r="R91" s="632"/>
      <c r="S91" s="675">
        <f>SUMIF('Территориальный кк'!$A:$A,'2020'!$B91,'Территориальный кк'!D:D)</f>
        <v>3.258</v>
      </c>
      <c r="T91" s="676">
        <f>SUMIF('Территориальный кк'!$A:$A,'2020'!$B91,'Территориальный кк'!E:E)</f>
        <v>2.8919999999999999</v>
      </c>
      <c r="U91" s="618">
        <f>SUMIFS(Нормативы!G:G,Нормативы!$B:$B,$G91,Нормативы!$D:$D,'2020'!$I91,Нормативы!$F:$F,'2020'!$K91)*O91</f>
        <v>156900</v>
      </c>
      <c r="V91" s="618">
        <f t="shared" si="329"/>
        <v>120506.9</v>
      </c>
      <c r="W91" s="618">
        <f t="shared" si="330"/>
        <v>36393.1</v>
      </c>
      <c r="X91" s="618">
        <f>SUMIFS(Нормативы!J:J,Нормативы!$B:$B,$G91,Нормативы!$D:$D,'2020'!$I91,Нормативы!$F:$F,'2020'!$K91)</f>
        <v>6840</v>
      </c>
      <c r="Y91" s="618">
        <f>SUMIFS(Нормативы!K:K,Нормативы!$B:$B,$G91,Нормативы!$D:$D,'2020'!$I91,Нормативы!$F:$F,'2020'!$K91)</f>
        <v>1368</v>
      </c>
      <c r="Z91" s="618">
        <f>SUMIFS(Нормативы!L:L,Нормативы!$B:$B,$G91,Нормативы!$D:$D,'2020'!$I91,Нормативы!$F:$F,'2020'!$K91)</f>
        <v>8110</v>
      </c>
      <c r="AA91" s="618">
        <f t="shared" si="331"/>
        <v>24680</v>
      </c>
      <c r="AB91" s="618">
        <f>SUMIFS(Нормативы!N:N,Нормативы!$B:$B,$G91,Нормативы!$D:$D,'2020'!$I91,Нормативы!$F:$F,'2020'!$K91)*O91</f>
        <v>1760</v>
      </c>
      <c r="AC91" s="618">
        <f>SUMIFS(Нормативы!O:O,Нормативы!$B:$B,$G91,Нормативы!$D:$D,'2020'!$I91,Нормативы!$F:$F,'2020'!$K91)</f>
        <v>20960</v>
      </c>
      <c r="AD91" s="618">
        <f>SUMIFS(Нормативы!P:P,Нормативы!$B:$B,$G91,Нормативы!$D:$D,'2020'!$I91,Нормативы!$F:$F,'2020'!$K91)*O91</f>
        <v>880</v>
      </c>
      <c r="AE91" s="618">
        <f>SUMIFS(Нормативы!Q:Q,Нормативы!$B:$B,$G91,Нормативы!$D:$D,'2020'!$I91,Нормативы!$F:$F,'2020'!$K91)</f>
        <v>1080</v>
      </c>
      <c r="AF91" s="618">
        <f>SUMIFS(Нормативы!R:R,Нормативы!$B:$B,$G91,Нормативы!$D:$D,'2020'!$I91,Нормативы!$F:$F,'2020'!$K91)</f>
        <v>2700</v>
      </c>
      <c r="AG91" s="618">
        <f>SUMIFS(Нормативы!S:S,Нормативы!$B:$B,$G91,Нормативы!$D:$D,'2020'!$I91,Нормативы!$F:$F,'2020'!$K91)</f>
        <v>5800</v>
      </c>
      <c r="AH91" s="618">
        <f>SUMIFS(Нормативы!T:T,Нормативы!$B:$B,$G91,Нормативы!$D:$D,'2020'!$I91,Нормативы!$F:$F,'2020'!$K91)</f>
        <v>540</v>
      </c>
      <c r="AI91" s="618">
        <f>SUMIFS(Нормативы!U:U,Нормативы!$B:$B,$G91,Нормативы!$D:$D,'2020'!$I91,Нормативы!$F:$F,'2020'!$K91)</f>
        <v>770</v>
      </c>
      <c r="AJ91" s="618">
        <f>SUMIFS(Нормативы!V:V,Нормативы!$B:$B,$G91,Нормативы!$D:$D,'2020'!$I91,Нормативы!$F:$F,'2020'!$K91)</f>
        <v>170</v>
      </c>
      <c r="AK91" s="618">
        <f>SUMIFS(Нормативы!W:W,Нормативы!$B:$B,$G91,Нормативы!$D:$D,'2020'!$I91,Нормативы!$F:$F,'2020'!$K91)</f>
        <v>200</v>
      </c>
      <c r="AL91" s="618">
        <f>SUMIFS(Нормативы!X:X,Нормативы!$B:$B,$G91,Нормативы!$D:$D,'2020'!$I91,Нормативы!$F:$F,'2020'!$K91)*O91</f>
        <v>26880</v>
      </c>
      <c r="AM91" s="618">
        <f t="shared" si="332"/>
        <v>20645.2</v>
      </c>
      <c r="AN91" s="618">
        <f t="shared" si="333"/>
        <v>6234.8</v>
      </c>
      <c r="AO91" s="618">
        <f>SUMIFS(Нормативы!AA:AA,Нормативы!$B:$B,$G91,Нормативы!$D:$D,'2020'!$I91,Нормативы!$F:$F,'2020'!$K91)</f>
        <v>0</v>
      </c>
      <c r="AP91" s="619">
        <f t="shared" si="334"/>
        <v>233590</v>
      </c>
      <c r="AQ91" s="413">
        <f t="shared" si="272"/>
        <v>0</v>
      </c>
      <c r="AR91" s="618">
        <f t="shared" si="335"/>
        <v>0</v>
      </c>
      <c r="AS91" s="618">
        <f t="shared" si="336"/>
        <v>0</v>
      </c>
      <c r="AT91" s="616">
        <f t="shared" si="273"/>
        <v>0</v>
      </c>
      <c r="AU91" s="616">
        <f t="shared" si="274"/>
        <v>0</v>
      </c>
      <c r="AV91" s="616">
        <f t="shared" si="275"/>
        <v>0</v>
      </c>
      <c r="AW91" s="616">
        <f t="shared" si="276"/>
        <v>0</v>
      </c>
      <c r="AX91" s="616">
        <f t="shared" si="277"/>
        <v>0</v>
      </c>
      <c r="AY91" s="616">
        <f t="shared" si="278"/>
        <v>0</v>
      </c>
      <c r="AZ91" s="616">
        <f t="shared" si="279"/>
        <v>0</v>
      </c>
      <c r="BA91" s="616">
        <f t="shared" si="280"/>
        <v>0</v>
      </c>
      <c r="BB91" s="616">
        <f t="shared" si="281"/>
        <v>0</v>
      </c>
      <c r="BC91" s="616">
        <f t="shared" si="282"/>
        <v>0</v>
      </c>
      <c r="BD91" s="616">
        <f t="shared" si="283"/>
        <v>0</v>
      </c>
      <c r="BE91" s="616">
        <f t="shared" si="284"/>
        <v>0</v>
      </c>
      <c r="BF91" s="616">
        <f t="shared" si="285"/>
        <v>0</v>
      </c>
      <c r="BG91" s="616">
        <f t="shared" si="286"/>
        <v>0</v>
      </c>
      <c r="BH91" s="616">
        <f t="shared" si="287"/>
        <v>0</v>
      </c>
      <c r="BI91" s="618">
        <f t="shared" si="337"/>
        <v>0</v>
      </c>
      <c r="BJ91" s="618">
        <f t="shared" si="338"/>
        <v>0</v>
      </c>
      <c r="BK91" s="616">
        <f t="shared" si="288"/>
        <v>0</v>
      </c>
      <c r="BL91" s="620">
        <f t="shared" si="289"/>
        <v>0</v>
      </c>
      <c r="BM91" s="616">
        <f t="shared" si="290"/>
        <v>0</v>
      </c>
      <c r="BN91" s="618">
        <f t="shared" si="291"/>
        <v>0</v>
      </c>
      <c r="BO91" s="618">
        <f t="shared" si="292"/>
        <v>0</v>
      </c>
      <c r="BP91" s="616">
        <f t="shared" si="339"/>
        <v>0</v>
      </c>
      <c r="BQ91" s="616">
        <f t="shared" si="340"/>
        <v>0</v>
      </c>
      <c r="BR91" s="616">
        <f t="shared" si="341"/>
        <v>0</v>
      </c>
      <c r="BS91" s="616">
        <f t="shared" si="293"/>
        <v>0</v>
      </c>
      <c r="BT91" s="616">
        <f t="shared" si="294"/>
        <v>0</v>
      </c>
      <c r="BU91" s="616">
        <f t="shared" si="295"/>
        <v>0</v>
      </c>
      <c r="BV91" s="616">
        <f t="shared" si="296"/>
        <v>0</v>
      </c>
      <c r="BW91" s="616">
        <f t="shared" si="297"/>
        <v>0</v>
      </c>
      <c r="BX91" s="616">
        <f t="shared" si="298"/>
        <v>0</v>
      </c>
      <c r="BY91" s="616">
        <f t="shared" si="299"/>
        <v>0</v>
      </c>
      <c r="BZ91" s="616">
        <f t="shared" si="300"/>
        <v>0</v>
      </c>
      <c r="CA91" s="616">
        <f t="shared" si="301"/>
        <v>0</v>
      </c>
      <c r="CB91" s="616">
        <f t="shared" si="302"/>
        <v>0</v>
      </c>
      <c r="CC91" s="616">
        <f t="shared" si="303"/>
        <v>0</v>
      </c>
      <c r="CD91" s="616">
        <f t="shared" si="304"/>
        <v>0</v>
      </c>
      <c r="CE91" s="618">
        <f t="shared" si="342"/>
        <v>0</v>
      </c>
      <c r="CF91" s="618">
        <f t="shared" si="343"/>
        <v>0</v>
      </c>
      <c r="CG91" s="616">
        <f t="shared" si="305"/>
        <v>0</v>
      </c>
      <c r="CH91" s="621">
        <f t="shared" si="306"/>
        <v>0</v>
      </c>
      <c r="CI91" s="88" t="e">
        <f t="shared" si="307"/>
        <v>#DIV/0!</v>
      </c>
      <c r="CJ91" s="90" t="e">
        <f t="shared" si="308"/>
        <v>#DIV/0!</v>
      </c>
      <c r="CK91" s="90" t="e">
        <f t="shared" si="309"/>
        <v>#DIV/0!</v>
      </c>
      <c r="CL91" s="88" t="e">
        <f t="shared" si="310"/>
        <v>#DIV/0!</v>
      </c>
      <c r="CM91" s="88" t="e">
        <f t="shared" si="311"/>
        <v>#DIV/0!</v>
      </c>
      <c r="CN91" s="88" t="e">
        <f t="shared" si="312"/>
        <v>#DIV/0!</v>
      </c>
      <c r="CO91" s="88" t="e">
        <f t="shared" si="313"/>
        <v>#DIV/0!</v>
      </c>
      <c r="CP91" s="88" t="e">
        <f t="shared" si="314"/>
        <v>#DIV/0!</v>
      </c>
      <c r="CQ91" s="88" t="e">
        <f t="shared" si="315"/>
        <v>#DIV/0!</v>
      </c>
      <c r="CR91" s="88" t="e">
        <f t="shared" si="316"/>
        <v>#DIV/0!</v>
      </c>
      <c r="CS91" s="88" t="e">
        <f t="shared" si="317"/>
        <v>#DIV/0!</v>
      </c>
      <c r="CT91" s="88" t="e">
        <f t="shared" si="318"/>
        <v>#DIV/0!</v>
      </c>
      <c r="CU91" s="88" t="e">
        <f t="shared" si="319"/>
        <v>#DIV/0!</v>
      </c>
      <c r="CV91" s="88" t="e">
        <f t="shared" si="320"/>
        <v>#DIV/0!</v>
      </c>
      <c r="CW91" s="88" t="e">
        <f t="shared" si="321"/>
        <v>#DIV/0!</v>
      </c>
      <c r="CX91" s="88" t="e">
        <f t="shared" si="322"/>
        <v>#DIV/0!</v>
      </c>
      <c r="CY91" s="88" t="e">
        <f t="shared" si="323"/>
        <v>#DIV/0!</v>
      </c>
      <c r="CZ91" s="88" t="e">
        <f t="shared" si="324"/>
        <v>#DIV/0!</v>
      </c>
      <c r="DA91" s="90" t="e">
        <f t="shared" si="325"/>
        <v>#DIV/0!</v>
      </c>
      <c r="DB91" s="90" t="e">
        <f t="shared" si="326"/>
        <v>#DIV/0!</v>
      </c>
      <c r="DC91" s="88" t="e">
        <f t="shared" si="327"/>
        <v>#DIV/0!</v>
      </c>
      <c r="DD91" s="88" t="e">
        <f t="shared" si="328"/>
        <v>#DIV/0!</v>
      </c>
      <c r="AUV91" s="699">
        <v>0</v>
      </c>
      <c r="AUW91" s="699">
        <f t="shared" si="236"/>
        <v>0</v>
      </c>
      <c r="AUX91" s="699">
        <f t="shared" si="237"/>
        <v>0</v>
      </c>
      <c r="AUY91" s="699">
        <f t="shared" si="344"/>
        <v>0</v>
      </c>
      <c r="AUZ91" s="699">
        <f t="shared" si="344"/>
        <v>0</v>
      </c>
      <c r="AVA91" s="699">
        <f t="shared" si="344"/>
        <v>0</v>
      </c>
      <c r="AVB91" s="699">
        <f t="shared" si="345"/>
        <v>0</v>
      </c>
      <c r="AVC91" s="697"/>
      <c r="AVD91" s="697"/>
      <c r="AVE91" s="697"/>
      <c r="AVF91" s="697"/>
      <c r="AVG91" s="697"/>
      <c r="AVH91" s="697"/>
      <c r="AVI91" s="697"/>
      <c r="AVJ91" s="697"/>
      <c r="AVK91" s="697"/>
      <c r="AVL91" s="697"/>
      <c r="AVM91" s="697"/>
      <c r="AVN91" s="697"/>
      <c r="AVO91" s="697"/>
      <c r="AVP91" s="697"/>
      <c r="AVQ91" s="697"/>
    </row>
    <row r="92" spans="1:1265" ht="30" customHeight="1" x14ac:dyDescent="0.25">
      <c r="A92" s="643">
        <v>1</v>
      </c>
      <c r="B92" s="643">
        <v>9</v>
      </c>
      <c r="C92" s="664" t="s">
        <v>247</v>
      </c>
      <c r="D92" s="2"/>
      <c r="E92" s="101" t="s">
        <v>346</v>
      </c>
      <c r="F92" s="643" t="s">
        <v>39</v>
      </c>
      <c r="G92" s="643">
        <v>3</v>
      </c>
      <c r="H92" s="658" t="s">
        <v>10</v>
      </c>
      <c r="I92" s="643">
        <v>0</v>
      </c>
      <c r="J92" s="101" t="s">
        <v>368</v>
      </c>
      <c r="K92" s="643">
        <v>2</v>
      </c>
      <c r="L92" s="683" t="s">
        <v>351</v>
      </c>
      <c r="M92" s="11" t="s">
        <v>274</v>
      </c>
      <c r="N92" s="101" t="s">
        <v>387</v>
      </c>
      <c r="O92" s="643">
        <v>1</v>
      </c>
      <c r="P92" s="632">
        <v>4</v>
      </c>
      <c r="Q92" s="632">
        <v>4</v>
      </c>
      <c r="R92" s="632">
        <v>4</v>
      </c>
      <c r="S92" s="675">
        <f>SUMIF('Территориальный кк'!$A:$A,'2020'!$B92,'Территориальный кк'!D:D)</f>
        <v>3.258</v>
      </c>
      <c r="T92" s="676">
        <f>SUMIF('Территориальный кк'!$A:$A,'2020'!$B92,'Территориальный кк'!E:E)</f>
        <v>2.8919999999999999</v>
      </c>
      <c r="U92" s="618">
        <f>SUMIFS(Нормативы!G:G,Нормативы!$B:$B,$G92,Нормативы!$D:$D,'2020'!$I92,Нормативы!$F:$F,'2020'!$K92)*O92</f>
        <v>78450</v>
      </c>
      <c r="V92" s="618">
        <f t="shared" si="329"/>
        <v>60253.5</v>
      </c>
      <c r="W92" s="618">
        <f t="shared" si="330"/>
        <v>18196.5</v>
      </c>
      <c r="X92" s="618">
        <f>SUMIFS(Нормативы!J:J,Нормативы!$B:$B,$G92,Нормативы!$D:$D,'2020'!$I92,Нормативы!$F:$F,'2020'!$K92)</f>
        <v>1610</v>
      </c>
      <c r="Y92" s="618">
        <f>SUMIFS(Нормативы!K:K,Нормативы!$B:$B,$G92,Нормативы!$D:$D,'2020'!$I92,Нормативы!$F:$F,'2020'!$K92)</f>
        <v>322</v>
      </c>
      <c r="Z92" s="618">
        <f>SUMIFS(Нормативы!L:L,Нормативы!$B:$B,$G92,Нормативы!$D:$D,'2020'!$I92,Нормативы!$F:$F,'2020'!$K92)</f>
        <v>3480</v>
      </c>
      <c r="AA92" s="618">
        <f t="shared" si="331"/>
        <v>8580</v>
      </c>
      <c r="AB92" s="618">
        <f>SUMIFS(Нормативы!N:N,Нормативы!$B:$B,$G92,Нормативы!$D:$D,'2020'!$I92,Нормативы!$F:$F,'2020'!$K92)*O92</f>
        <v>880</v>
      </c>
      <c r="AC92" s="618">
        <f>SUMIFS(Нормативы!O:O,Нормативы!$B:$B,$G92,Нормативы!$D:$D,'2020'!$I92,Нормативы!$F:$F,'2020'!$K92)</f>
        <v>6180</v>
      </c>
      <c r="AD92" s="618">
        <f>SUMIFS(Нормативы!P:P,Нормативы!$B:$B,$G92,Нормативы!$D:$D,'2020'!$I92,Нормативы!$F:$F,'2020'!$K92)*O92</f>
        <v>440</v>
      </c>
      <c r="AE92" s="618">
        <f>SUMIFS(Нормативы!Q:Q,Нормативы!$B:$B,$G92,Нормативы!$D:$D,'2020'!$I92,Нормативы!$F:$F,'2020'!$K92)</f>
        <v>1080</v>
      </c>
      <c r="AF92" s="618">
        <f>SUMIFS(Нормативы!R:R,Нормативы!$B:$B,$G92,Нормативы!$D:$D,'2020'!$I92,Нормативы!$F:$F,'2020'!$K92)</f>
        <v>2490</v>
      </c>
      <c r="AG92" s="618">
        <f>SUMIFS(Нормативы!S:S,Нормативы!$B:$B,$G92,Нормативы!$D:$D,'2020'!$I92,Нормативы!$F:$F,'2020'!$K92)</f>
        <v>5800</v>
      </c>
      <c r="AH92" s="618">
        <f>SUMIFS(Нормативы!T:T,Нормативы!$B:$B,$G92,Нормативы!$D:$D,'2020'!$I92,Нормативы!$F:$F,'2020'!$K92)</f>
        <v>540</v>
      </c>
      <c r="AI92" s="618">
        <f>SUMIFS(Нормативы!U:U,Нормативы!$B:$B,$G92,Нормативы!$D:$D,'2020'!$I92,Нормативы!$F:$F,'2020'!$K92)</f>
        <v>770</v>
      </c>
      <c r="AJ92" s="618">
        <f>SUMIFS(Нормативы!V:V,Нормативы!$B:$B,$G92,Нормативы!$D:$D,'2020'!$I92,Нормативы!$F:$F,'2020'!$K92)</f>
        <v>170</v>
      </c>
      <c r="AK92" s="618">
        <f>SUMIFS(Нормативы!W:W,Нормативы!$B:$B,$G92,Нормативы!$D:$D,'2020'!$I92,Нормативы!$F:$F,'2020'!$K92)</f>
        <v>200</v>
      </c>
      <c r="AL92" s="618">
        <f>SUMIFS(Нормативы!X:X,Нормативы!$B:$B,$G92,Нормативы!$D:$D,'2020'!$I92,Нормативы!$F:$F,'2020'!$K92)*O92</f>
        <v>13440</v>
      </c>
      <c r="AM92" s="618">
        <f t="shared" si="332"/>
        <v>10322.6</v>
      </c>
      <c r="AN92" s="618">
        <f t="shared" si="333"/>
        <v>3117.4</v>
      </c>
      <c r="AO92" s="618">
        <f>SUMIFS(Нормативы!AA:AA,Нормативы!$B:$B,$G92,Нормативы!$D:$D,'2020'!$I92,Нормативы!$F:$F,'2020'!$K92)</f>
        <v>0</v>
      </c>
      <c r="AP92" s="619">
        <f t="shared" si="334"/>
        <v>115530</v>
      </c>
      <c r="AQ92" s="413">
        <f t="shared" si="272"/>
        <v>313800</v>
      </c>
      <c r="AR92" s="618">
        <f t="shared" si="335"/>
        <v>241013.8</v>
      </c>
      <c r="AS92" s="618">
        <f t="shared" si="336"/>
        <v>72786.2</v>
      </c>
      <c r="AT92" s="616">
        <f t="shared" si="273"/>
        <v>6440</v>
      </c>
      <c r="AU92" s="616">
        <f t="shared" si="274"/>
        <v>1288</v>
      </c>
      <c r="AV92" s="616">
        <f t="shared" si="275"/>
        <v>13920</v>
      </c>
      <c r="AW92" s="616">
        <f t="shared" si="276"/>
        <v>34320</v>
      </c>
      <c r="AX92" s="616">
        <f t="shared" si="277"/>
        <v>3520</v>
      </c>
      <c r="AY92" s="616">
        <f t="shared" si="278"/>
        <v>24720</v>
      </c>
      <c r="AZ92" s="616">
        <f t="shared" si="279"/>
        <v>1760</v>
      </c>
      <c r="BA92" s="616">
        <f t="shared" si="280"/>
        <v>4320</v>
      </c>
      <c r="BB92" s="616">
        <f t="shared" si="281"/>
        <v>9960</v>
      </c>
      <c r="BC92" s="616">
        <f t="shared" si="282"/>
        <v>23200</v>
      </c>
      <c r="BD92" s="616">
        <f t="shared" si="283"/>
        <v>2160</v>
      </c>
      <c r="BE92" s="616">
        <f t="shared" si="284"/>
        <v>3080</v>
      </c>
      <c r="BF92" s="616">
        <f t="shared" si="285"/>
        <v>680</v>
      </c>
      <c r="BG92" s="616">
        <f t="shared" si="286"/>
        <v>800</v>
      </c>
      <c r="BH92" s="616">
        <f t="shared" si="287"/>
        <v>53760</v>
      </c>
      <c r="BI92" s="618">
        <f t="shared" si="337"/>
        <v>41290.300000000003</v>
      </c>
      <c r="BJ92" s="618">
        <f t="shared" si="338"/>
        <v>12469.7</v>
      </c>
      <c r="BK92" s="616">
        <f t="shared" si="288"/>
        <v>0</v>
      </c>
      <c r="BL92" s="620">
        <f t="shared" si="289"/>
        <v>462120</v>
      </c>
      <c r="BM92" s="616">
        <f t="shared" si="290"/>
        <v>1022360</v>
      </c>
      <c r="BN92" s="618">
        <f t="shared" si="291"/>
        <v>785222.7</v>
      </c>
      <c r="BO92" s="618">
        <f t="shared" si="292"/>
        <v>237137.3</v>
      </c>
      <c r="BP92" s="616">
        <f t="shared" si="339"/>
        <v>6440</v>
      </c>
      <c r="BQ92" s="616">
        <f t="shared" si="340"/>
        <v>1288</v>
      </c>
      <c r="BR92" s="616">
        <f t="shared" si="341"/>
        <v>13920</v>
      </c>
      <c r="BS92" s="616">
        <f t="shared" si="293"/>
        <v>34320</v>
      </c>
      <c r="BT92" s="616">
        <f t="shared" si="294"/>
        <v>3520</v>
      </c>
      <c r="BU92" s="616">
        <f t="shared" si="295"/>
        <v>24720</v>
      </c>
      <c r="BV92" s="616">
        <f t="shared" si="296"/>
        <v>1760</v>
      </c>
      <c r="BW92" s="616">
        <f t="shared" si="297"/>
        <v>4320</v>
      </c>
      <c r="BX92" s="616">
        <f t="shared" si="298"/>
        <v>28804</v>
      </c>
      <c r="BY92" s="616">
        <f t="shared" si="299"/>
        <v>23200</v>
      </c>
      <c r="BZ92" s="616">
        <f t="shared" si="300"/>
        <v>2160</v>
      </c>
      <c r="CA92" s="616">
        <f t="shared" si="301"/>
        <v>3080</v>
      </c>
      <c r="CB92" s="616">
        <f t="shared" si="302"/>
        <v>680</v>
      </c>
      <c r="CC92" s="616">
        <f t="shared" si="303"/>
        <v>800</v>
      </c>
      <c r="CD92" s="616">
        <f t="shared" si="304"/>
        <v>175150</v>
      </c>
      <c r="CE92" s="618">
        <f t="shared" si="342"/>
        <v>134523.79999999999</v>
      </c>
      <c r="CF92" s="618">
        <f t="shared" si="343"/>
        <v>40626.199999999997</v>
      </c>
      <c r="CG92" s="616">
        <f t="shared" si="305"/>
        <v>0</v>
      </c>
      <c r="CH92" s="621">
        <f t="shared" si="306"/>
        <v>1310914</v>
      </c>
      <c r="CI92" s="88">
        <f t="shared" si="307"/>
        <v>255590</v>
      </c>
      <c r="CJ92" s="90">
        <f t="shared" si="308"/>
        <v>196305.67499999999</v>
      </c>
      <c r="CK92" s="90">
        <f t="shared" si="309"/>
        <v>59284.324999999997</v>
      </c>
      <c r="CL92" s="88">
        <f t="shared" si="310"/>
        <v>1610</v>
      </c>
      <c r="CM92" s="88">
        <f t="shared" si="311"/>
        <v>322</v>
      </c>
      <c r="CN92" s="88">
        <f t="shared" si="312"/>
        <v>3480</v>
      </c>
      <c r="CO92" s="88">
        <f t="shared" si="313"/>
        <v>8580</v>
      </c>
      <c r="CP92" s="88">
        <f t="shared" si="314"/>
        <v>880</v>
      </c>
      <c r="CQ92" s="88">
        <f t="shared" si="315"/>
        <v>6180</v>
      </c>
      <c r="CR92" s="88">
        <f t="shared" si="316"/>
        <v>440</v>
      </c>
      <c r="CS92" s="88">
        <f t="shared" si="317"/>
        <v>1080</v>
      </c>
      <c r="CT92" s="88">
        <f t="shared" si="318"/>
        <v>7201</v>
      </c>
      <c r="CU92" s="88">
        <f t="shared" si="319"/>
        <v>5800</v>
      </c>
      <c r="CV92" s="88">
        <f t="shared" si="320"/>
        <v>540</v>
      </c>
      <c r="CW92" s="88">
        <f t="shared" si="321"/>
        <v>770</v>
      </c>
      <c r="CX92" s="88">
        <f t="shared" si="322"/>
        <v>170</v>
      </c>
      <c r="CY92" s="88">
        <f t="shared" si="323"/>
        <v>200</v>
      </c>
      <c r="CZ92" s="88">
        <f t="shared" si="324"/>
        <v>43787.5</v>
      </c>
      <c r="DA92" s="90">
        <f t="shared" si="325"/>
        <v>33630.949999999997</v>
      </c>
      <c r="DB92" s="90">
        <f t="shared" si="326"/>
        <v>10156.549999999999</v>
      </c>
      <c r="DC92" s="88">
        <f t="shared" si="327"/>
        <v>0</v>
      </c>
      <c r="DD92" s="88">
        <f t="shared" si="328"/>
        <v>327728.5</v>
      </c>
      <c r="AUV92" s="699">
        <f t="shared" si="235"/>
        <v>255590</v>
      </c>
      <c r="AUW92" s="699">
        <f t="shared" si="236"/>
        <v>196305.68</v>
      </c>
      <c r="AUX92" s="699">
        <f t="shared" si="237"/>
        <v>59284.32</v>
      </c>
      <c r="AUY92" s="699">
        <f>BP92/P92</f>
        <v>1610</v>
      </c>
      <c r="AUZ92" s="699">
        <f t="shared" si="344"/>
        <v>445.37</v>
      </c>
      <c r="AVA92" s="699">
        <f t="shared" si="344"/>
        <v>0.18</v>
      </c>
      <c r="AVB92" s="699">
        <f>AVC92+AVD92+AVE92+AVF92</f>
        <v>8580</v>
      </c>
      <c r="AVC92" s="699">
        <f>BT92/P92</f>
        <v>880</v>
      </c>
      <c r="AVD92" s="699">
        <f>BU92/P92</f>
        <v>6180</v>
      </c>
      <c r="AVE92" s="699">
        <f>BV92/P92</f>
        <v>440</v>
      </c>
      <c r="AVF92" s="699">
        <f>BW92/P92</f>
        <v>1080</v>
      </c>
      <c r="AVG92" s="699">
        <f>BX92/P92</f>
        <v>7201</v>
      </c>
      <c r="AVH92" s="699">
        <f>BY92/P92</f>
        <v>5800</v>
      </c>
      <c r="AVI92" s="699">
        <f>BZ92/P92</f>
        <v>540</v>
      </c>
      <c r="AVJ92" s="699">
        <f>CA92/P92</f>
        <v>770</v>
      </c>
      <c r="AVK92" s="699">
        <f>CB92/P92</f>
        <v>170</v>
      </c>
      <c r="AVL92" s="699">
        <f>CC92/P92</f>
        <v>200</v>
      </c>
      <c r="AVM92" s="699">
        <f>CD92/P92</f>
        <v>43787.5</v>
      </c>
      <c r="AVN92" s="699">
        <f>AVM92/1.302</f>
        <v>33630.949999999997</v>
      </c>
      <c r="AVO92" s="699">
        <f>AVM92-AVN92</f>
        <v>10156.549999999999</v>
      </c>
      <c r="AVP92" s="699">
        <f>CG92/P92</f>
        <v>0</v>
      </c>
      <c r="AVQ92" s="699">
        <f>CH92/P92</f>
        <v>327728.5</v>
      </c>
    </row>
    <row r="93" spans="1:1265" ht="30" customHeight="1" x14ac:dyDescent="0.25">
      <c r="A93" s="643">
        <v>1</v>
      </c>
      <c r="B93" s="643">
        <v>9</v>
      </c>
      <c r="C93" s="664" t="s">
        <v>247</v>
      </c>
      <c r="D93" s="2"/>
      <c r="E93" s="101" t="s">
        <v>347</v>
      </c>
      <c r="F93" s="643" t="s">
        <v>39</v>
      </c>
      <c r="G93" s="643">
        <v>3</v>
      </c>
      <c r="H93" s="658" t="s">
        <v>8</v>
      </c>
      <c r="I93" s="643">
        <v>3</v>
      </c>
      <c r="J93" s="599" t="s">
        <v>387</v>
      </c>
      <c r="K93" s="643">
        <v>1</v>
      </c>
      <c r="L93" s="683" t="s">
        <v>352</v>
      </c>
      <c r="M93" s="11" t="s">
        <v>310</v>
      </c>
      <c r="N93" s="101" t="s">
        <v>422</v>
      </c>
      <c r="O93" s="643">
        <v>1</v>
      </c>
      <c r="P93" s="632"/>
      <c r="Q93" s="632"/>
      <c r="R93" s="632"/>
      <c r="S93" s="675">
        <f>SUMIF('Территориальный кк'!$A:$A,'2020'!$B93,'Территориальный кк'!D:D)</f>
        <v>3.258</v>
      </c>
      <c r="T93" s="676">
        <f>SUMIF('Территориальный кк'!$A:$A,'2020'!$B93,'Территориальный кк'!E:E)</f>
        <v>2.8919999999999999</v>
      </c>
      <c r="U93" s="618">
        <f>SUMIFS(Нормативы!G:G,Нормативы!$B:$B,$G93,Нормативы!$D:$D,'2020'!$I93,Нормативы!$F:$F,'2020'!$K93)*O93</f>
        <v>7845</v>
      </c>
      <c r="V93" s="618">
        <f t="shared" si="329"/>
        <v>6025.3</v>
      </c>
      <c r="W93" s="618">
        <f t="shared" si="330"/>
        <v>1819.7</v>
      </c>
      <c r="X93" s="618">
        <f>SUMIFS(Нормативы!J:J,Нормативы!$B:$B,$G93,Нормативы!$D:$D,'2020'!$I93,Нормативы!$F:$F,'2020'!$K93)</f>
        <v>22</v>
      </c>
      <c r="Y93" s="618">
        <f>SUMIFS(Нормативы!K:K,Нормативы!$B:$B,$G93,Нормативы!$D:$D,'2020'!$I93,Нормативы!$F:$F,'2020'!$K93)</f>
        <v>4</v>
      </c>
      <c r="Z93" s="618">
        <f>SUMIFS(Нормативы!L:L,Нормативы!$B:$B,$G93,Нормативы!$D:$D,'2020'!$I93,Нормативы!$F:$F,'2020'!$K93)</f>
        <v>232</v>
      </c>
      <c r="AA93" s="618">
        <f t="shared" si="331"/>
        <v>451</v>
      </c>
      <c r="AB93" s="618">
        <f>SUMIFS(Нормативы!N:N,Нормативы!$B:$B,$G93,Нормативы!$D:$D,'2020'!$I93,Нормативы!$F:$F,'2020'!$K93)*O93</f>
        <v>88</v>
      </c>
      <c r="AC93" s="618">
        <f>SUMIFS(Нормативы!O:O,Нормативы!$B:$B,$G93,Нормативы!$D:$D,'2020'!$I93,Нормативы!$F:$F,'2020'!$K93)</f>
        <v>211</v>
      </c>
      <c r="AD93" s="618">
        <f>SUMIFS(Нормативы!P:P,Нормативы!$B:$B,$G93,Нормативы!$D:$D,'2020'!$I93,Нормативы!$F:$F,'2020'!$K93)*O93</f>
        <v>44</v>
      </c>
      <c r="AE93" s="618">
        <f>SUMIFS(Нормативы!Q:Q,Нормативы!$B:$B,$G93,Нормативы!$D:$D,'2020'!$I93,Нормативы!$F:$F,'2020'!$K93)</f>
        <v>108</v>
      </c>
      <c r="AF93" s="618">
        <f>SUMIFS(Нормативы!R:R,Нормативы!$B:$B,$G93,Нормативы!$D:$D,'2020'!$I93,Нормативы!$F:$F,'2020'!$K93)</f>
        <v>249</v>
      </c>
      <c r="AG93" s="618">
        <f>SUMIFS(Нормативы!S:S,Нормативы!$B:$B,$G93,Нормативы!$D:$D,'2020'!$I93,Нормативы!$F:$F,'2020'!$K93)</f>
        <v>508</v>
      </c>
      <c r="AH93" s="618">
        <f>SUMIFS(Нормативы!T:T,Нормативы!$B:$B,$G93,Нормативы!$D:$D,'2020'!$I93,Нормативы!$F:$F,'2020'!$K93)</f>
        <v>54</v>
      </c>
      <c r="AI93" s="618">
        <f>SUMIFS(Нормативы!U:U,Нормативы!$B:$B,$G93,Нормативы!$D:$D,'2020'!$I93,Нормативы!$F:$F,'2020'!$K93)</f>
        <v>77</v>
      </c>
      <c r="AJ93" s="618">
        <f>SUMIFS(Нормативы!V:V,Нормативы!$B:$B,$G93,Нормативы!$D:$D,'2020'!$I93,Нормативы!$F:$F,'2020'!$K93)</f>
        <v>17</v>
      </c>
      <c r="AK93" s="618">
        <f>SUMIFS(Нормативы!W:W,Нормативы!$B:$B,$G93,Нормативы!$D:$D,'2020'!$I93,Нормативы!$F:$F,'2020'!$K93)</f>
        <v>13</v>
      </c>
      <c r="AL93" s="618">
        <f>SUMIFS(Нормативы!X:X,Нормативы!$B:$B,$G93,Нормативы!$D:$D,'2020'!$I93,Нормативы!$F:$F,'2020'!$K93)*O93</f>
        <v>1344</v>
      </c>
      <c r="AM93" s="618">
        <f t="shared" si="332"/>
        <v>1032.3</v>
      </c>
      <c r="AN93" s="618">
        <f t="shared" si="333"/>
        <v>311.7</v>
      </c>
      <c r="AO93" s="618">
        <f>SUMIFS(Нормативы!AA:AA,Нормативы!$B:$B,$G93,Нормативы!$D:$D,'2020'!$I93,Нормативы!$F:$F,'2020'!$K93)</f>
        <v>0</v>
      </c>
      <c r="AP93" s="619">
        <f t="shared" si="334"/>
        <v>10812</v>
      </c>
      <c r="AQ93" s="413">
        <f t="shared" si="272"/>
        <v>0</v>
      </c>
      <c r="AR93" s="618">
        <f t="shared" si="335"/>
        <v>0</v>
      </c>
      <c r="AS93" s="618">
        <f t="shared" si="336"/>
        <v>0</v>
      </c>
      <c r="AT93" s="616">
        <f t="shared" si="273"/>
        <v>0</v>
      </c>
      <c r="AU93" s="616">
        <f t="shared" si="274"/>
        <v>0</v>
      </c>
      <c r="AV93" s="616">
        <f t="shared" si="275"/>
        <v>0</v>
      </c>
      <c r="AW93" s="616">
        <f t="shared" si="276"/>
        <v>0</v>
      </c>
      <c r="AX93" s="616">
        <f t="shared" si="277"/>
        <v>0</v>
      </c>
      <c r="AY93" s="616">
        <f t="shared" si="278"/>
        <v>0</v>
      </c>
      <c r="AZ93" s="616">
        <f t="shared" si="279"/>
        <v>0</v>
      </c>
      <c r="BA93" s="616">
        <f t="shared" si="280"/>
        <v>0</v>
      </c>
      <c r="BB93" s="616">
        <f t="shared" si="281"/>
        <v>0</v>
      </c>
      <c r="BC93" s="616">
        <f t="shared" si="282"/>
        <v>0</v>
      </c>
      <c r="BD93" s="616">
        <f t="shared" si="283"/>
        <v>0</v>
      </c>
      <c r="BE93" s="616">
        <f t="shared" si="284"/>
        <v>0</v>
      </c>
      <c r="BF93" s="616">
        <f t="shared" si="285"/>
        <v>0</v>
      </c>
      <c r="BG93" s="616">
        <f t="shared" si="286"/>
        <v>0</v>
      </c>
      <c r="BH93" s="616">
        <f t="shared" si="287"/>
        <v>0</v>
      </c>
      <c r="BI93" s="618">
        <f t="shared" si="337"/>
        <v>0</v>
      </c>
      <c r="BJ93" s="618">
        <f t="shared" si="338"/>
        <v>0</v>
      </c>
      <c r="BK93" s="616">
        <f t="shared" si="288"/>
        <v>0</v>
      </c>
      <c r="BL93" s="620">
        <f t="shared" si="289"/>
        <v>0</v>
      </c>
      <c r="BM93" s="616">
        <f t="shared" si="290"/>
        <v>0</v>
      </c>
      <c r="BN93" s="618">
        <f t="shared" si="291"/>
        <v>0</v>
      </c>
      <c r="BO93" s="618">
        <f t="shared" si="292"/>
        <v>0</v>
      </c>
      <c r="BP93" s="616">
        <f t="shared" si="339"/>
        <v>0</v>
      </c>
      <c r="BQ93" s="616">
        <f t="shared" si="340"/>
        <v>0</v>
      </c>
      <c r="BR93" s="616">
        <f t="shared" si="341"/>
        <v>0</v>
      </c>
      <c r="BS93" s="616">
        <f t="shared" si="293"/>
        <v>0</v>
      </c>
      <c r="BT93" s="616">
        <f t="shared" si="294"/>
        <v>0</v>
      </c>
      <c r="BU93" s="616">
        <f t="shared" si="295"/>
        <v>0</v>
      </c>
      <c r="BV93" s="616">
        <f t="shared" si="296"/>
        <v>0</v>
      </c>
      <c r="BW93" s="616">
        <f t="shared" si="297"/>
        <v>0</v>
      </c>
      <c r="BX93" s="616">
        <f t="shared" si="298"/>
        <v>0</v>
      </c>
      <c r="BY93" s="616">
        <f t="shared" si="299"/>
        <v>0</v>
      </c>
      <c r="BZ93" s="616">
        <f t="shared" si="300"/>
        <v>0</v>
      </c>
      <c r="CA93" s="616">
        <f t="shared" si="301"/>
        <v>0</v>
      </c>
      <c r="CB93" s="616">
        <f t="shared" si="302"/>
        <v>0</v>
      </c>
      <c r="CC93" s="616">
        <f t="shared" si="303"/>
        <v>0</v>
      </c>
      <c r="CD93" s="616">
        <f t="shared" si="304"/>
        <v>0</v>
      </c>
      <c r="CE93" s="618">
        <f t="shared" si="342"/>
        <v>0</v>
      </c>
      <c r="CF93" s="618">
        <f t="shared" si="343"/>
        <v>0</v>
      </c>
      <c r="CG93" s="616">
        <f t="shared" si="305"/>
        <v>0</v>
      </c>
      <c r="CH93" s="621">
        <f t="shared" si="306"/>
        <v>0</v>
      </c>
      <c r="CI93" s="88" t="e">
        <f t="shared" si="307"/>
        <v>#DIV/0!</v>
      </c>
      <c r="CJ93" s="90" t="e">
        <f t="shared" si="308"/>
        <v>#DIV/0!</v>
      </c>
      <c r="CK93" s="90" t="e">
        <f t="shared" si="309"/>
        <v>#DIV/0!</v>
      </c>
      <c r="CL93" s="88" t="e">
        <f t="shared" si="310"/>
        <v>#DIV/0!</v>
      </c>
      <c r="CM93" s="88" t="e">
        <f t="shared" si="311"/>
        <v>#DIV/0!</v>
      </c>
      <c r="CN93" s="88" t="e">
        <f t="shared" si="312"/>
        <v>#DIV/0!</v>
      </c>
      <c r="CO93" s="88" t="e">
        <f t="shared" si="313"/>
        <v>#DIV/0!</v>
      </c>
      <c r="CP93" s="88" t="e">
        <f t="shared" si="314"/>
        <v>#DIV/0!</v>
      </c>
      <c r="CQ93" s="88" t="e">
        <f t="shared" si="315"/>
        <v>#DIV/0!</v>
      </c>
      <c r="CR93" s="88" t="e">
        <f t="shared" si="316"/>
        <v>#DIV/0!</v>
      </c>
      <c r="CS93" s="88" t="e">
        <f t="shared" si="317"/>
        <v>#DIV/0!</v>
      </c>
      <c r="CT93" s="88" t="e">
        <f t="shared" si="318"/>
        <v>#DIV/0!</v>
      </c>
      <c r="CU93" s="88" t="e">
        <f t="shared" si="319"/>
        <v>#DIV/0!</v>
      </c>
      <c r="CV93" s="88" t="e">
        <f t="shared" si="320"/>
        <v>#DIV/0!</v>
      </c>
      <c r="CW93" s="88" t="e">
        <f t="shared" si="321"/>
        <v>#DIV/0!</v>
      </c>
      <c r="CX93" s="88" t="e">
        <f t="shared" si="322"/>
        <v>#DIV/0!</v>
      </c>
      <c r="CY93" s="88" t="e">
        <f t="shared" si="323"/>
        <v>#DIV/0!</v>
      </c>
      <c r="CZ93" s="88" t="e">
        <f t="shared" si="324"/>
        <v>#DIV/0!</v>
      </c>
      <c r="DA93" s="90" t="e">
        <f t="shared" si="325"/>
        <v>#DIV/0!</v>
      </c>
      <c r="DB93" s="90" t="e">
        <f t="shared" si="326"/>
        <v>#DIV/0!</v>
      </c>
      <c r="DC93" s="88" t="e">
        <f t="shared" si="327"/>
        <v>#DIV/0!</v>
      </c>
      <c r="DD93" s="88" t="e">
        <f t="shared" si="328"/>
        <v>#DIV/0!</v>
      </c>
      <c r="AUV93" s="699">
        <v>0</v>
      </c>
      <c r="AUW93" s="699">
        <f t="shared" si="236"/>
        <v>0</v>
      </c>
      <c r="AUX93" s="699">
        <f t="shared" si="237"/>
        <v>0</v>
      </c>
      <c r="AUY93" s="699">
        <f t="shared" si="344"/>
        <v>0</v>
      </c>
      <c r="AUZ93" s="699">
        <f t="shared" si="344"/>
        <v>0</v>
      </c>
      <c r="AVA93" s="699">
        <f t="shared" si="344"/>
        <v>0</v>
      </c>
      <c r="AVB93" s="699">
        <f t="shared" si="345"/>
        <v>0</v>
      </c>
      <c r="AVC93" s="697"/>
      <c r="AVD93" s="697"/>
      <c r="AVE93" s="697"/>
      <c r="AVF93" s="697"/>
      <c r="AVG93" s="697"/>
      <c r="AVH93" s="697"/>
      <c r="AVI93" s="697"/>
      <c r="AVJ93" s="697"/>
      <c r="AVK93" s="697"/>
      <c r="AVL93" s="697"/>
      <c r="AVM93" s="697"/>
      <c r="AVN93" s="697"/>
      <c r="AVO93" s="697"/>
      <c r="AVP93" s="697"/>
      <c r="AVQ93" s="697"/>
    </row>
    <row r="94" spans="1:1265" ht="30" customHeight="1" x14ac:dyDescent="0.25">
      <c r="A94" s="643">
        <v>1</v>
      </c>
      <c r="B94" s="643">
        <v>5</v>
      </c>
      <c r="C94" s="664" t="s">
        <v>248</v>
      </c>
      <c r="D94" s="2"/>
      <c r="E94" s="101" t="s">
        <v>344</v>
      </c>
      <c r="F94" s="643" t="s">
        <v>31</v>
      </c>
      <c r="G94" s="643">
        <v>1</v>
      </c>
      <c r="H94" s="658" t="s">
        <v>10</v>
      </c>
      <c r="I94" s="643">
        <v>0</v>
      </c>
      <c r="J94" s="101" t="s">
        <v>388</v>
      </c>
      <c r="K94" s="643">
        <v>1</v>
      </c>
      <c r="L94" s="683" t="s">
        <v>349</v>
      </c>
      <c r="M94" s="11" t="s">
        <v>311</v>
      </c>
      <c r="N94" s="101" t="s">
        <v>387</v>
      </c>
      <c r="O94" s="643">
        <v>1</v>
      </c>
      <c r="P94" s="632"/>
      <c r="Q94" s="632"/>
      <c r="R94" s="632"/>
      <c r="S94" s="675">
        <f>SUMIF('Территориальный кк'!$A:$A,'2020'!$B94,'Территориальный кк'!D:D)</f>
        <v>1.395</v>
      </c>
      <c r="T94" s="676">
        <f>SUMIF('Территориальный кк'!$A:$A,'2020'!$B94,'Территориальный кк'!E:E)</f>
        <v>1.9790000000000001</v>
      </c>
      <c r="U94" s="618">
        <f>SUMIFS(Нормативы!G:G,Нормативы!$B:$B,$G94,Нормативы!$D:$D,'2020'!$I94,Нормативы!$F:$F,'2020'!$K94)*O94</f>
        <v>54020</v>
      </c>
      <c r="V94" s="618">
        <f t="shared" si="329"/>
        <v>41490</v>
      </c>
      <c r="W94" s="618">
        <f t="shared" si="330"/>
        <v>12530</v>
      </c>
      <c r="X94" s="618">
        <f>SUMIFS(Нормативы!J:J,Нормативы!$B:$B,$G94,Нормативы!$D:$D,'2020'!$I94,Нормативы!$F:$F,'2020'!$K94)</f>
        <v>220</v>
      </c>
      <c r="Y94" s="618">
        <f>SUMIFS(Нормативы!K:K,Нормативы!$B:$B,$G94,Нормативы!$D:$D,'2020'!$I94,Нормативы!$F:$F,'2020'!$K94)</f>
        <v>44</v>
      </c>
      <c r="Z94" s="618">
        <f>SUMIFS(Нормативы!L:L,Нормативы!$B:$B,$G94,Нормативы!$D:$D,'2020'!$I94,Нормативы!$F:$F,'2020'!$K94)</f>
        <v>2320</v>
      </c>
      <c r="AA94" s="618">
        <f t="shared" si="331"/>
        <v>3710</v>
      </c>
      <c r="AB94" s="618">
        <f>SUMIFS(Нормативы!N:N,Нормативы!$B:$B,$G94,Нормативы!$D:$D,'2020'!$I94,Нормативы!$F:$F,'2020'!$K94)*O94</f>
        <v>520</v>
      </c>
      <c r="AC94" s="618">
        <f>SUMIFS(Нормативы!O:O,Нормативы!$B:$B,$G94,Нормативы!$D:$D,'2020'!$I94,Нормативы!$F:$F,'2020'!$K94)</f>
        <v>2140</v>
      </c>
      <c r="AD94" s="618">
        <f>SUMIFS(Нормативы!P:P,Нормативы!$B:$B,$G94,Нормативы!$D:$D,'2020'!$I94,Нормативы!$F:$F,'2020'!$K94)*O94</f>
        <v>310</v>
      </c>
      <c r="AE94" s="618">
        <f>SUMIFS(Нормативы!Q:Q,Нормативы!$B:$B,$G94,Нормативы!$D:$D,'2020'!$I94,Нормативы!$F:$F,'2020'!$K94)</f>
        <v>740</v>
      </c>
      <c r="AF94" s="618">
        <f>SUMIFS(Нормативы!R:R,Нормативы!$B:$B,$G94,Нормативы!$D:$D,'2020'!$I94,Нормативы!$F:$F,'2020'!$K94)</f>
        <v>2460</v>
      </c>
      <c r="AG94" s="618">
        <f>SUMIFS(Нормативы!S:S,Нормативы!$B:$B,$G94,Нормативы!$D:$D,'2020'!$I94,Нормативы!$F:$F,'2020'!$K94)</f>
        <v>5080</v>
      </c>
      <c r="AH94" s="618">
        <f>SUMIFS(Нормативы!T:T,Нормативы!$B:$B,$G94,Нормативы!$D:$D,'2020'!$I94,Нормативы!$F:$F,'2020'!$K94)</f>
        <v>540</v>
      </c>
      <c r="AI94" s="618">
        <f>SUMIFS(Нормативы!U:U,Нормативы!$B:$B,$G94,Нормативы!$D:$D,'2020'!$I94,Нормативы!$F:$F,'2020'!$K94)</f>
        <v>770</v>
      </c>
      <c r="AJ94" s="618">
        <f>SUMIFS(Нормативы!V:V,Нормативы!$B:$B,$G94,Нормативы!$D:$D,'2020'!$I94,Нормативы!$F:$F,'2020'!$K94)</f>
        <v>80</v>
      </c>
      <c r="AK94" s="618">
        <f>SUMIFS(Нормативы!W:W,Нормативы!$B:$B,$G94,Нормативы!$D:$D,'2020'!$I94,Нормативы!$F:$F,'2020'!$K94)</f>
        <v>300</v>
      </c>
      <c r="AL94" s="618">
        <f>SUMIFS(Нормативы!X:X,Нормативы!$B:$B,$G94,Нормативы!$D:$D,'2020'!$I94,Нормативы!$F:$F,'2020'!$K94)*O94</f>
        <v>13440</v>
      </c>
      <c r="AM94" s="618">
        <f t="shared" si="332"/>
        <v>10322.6</v>
      </c>
      <c r="AN94" s="618">
        <f t="shared" si="333"/>
        <v>3117.4</v>
      </c>
      <c r="AO94" s="618">
        <f>SUMIFS(Нормативы!AA:AA,Нормативы!$B:$B,$G94,Нормативы!$D:$D,'2020'!$I94,Нормативы!$F:$F,'2020'!$K94)</f>
        <v>3520</v>
      </c>
      <c r="AP94" s="619">
        <f t="shared" si="334"/>
        <v>86460</v>
      </c>
      <c r="AQ94" s="413">
        <f t="shared" si="272"/>
        <v>0</v>
      </c>
      <c r="AR94" s="618">
        <f t="shared" si="335"/>
        <v>0</v>
      </c>
      <c r="AS94" s="618">
        <f t="shared" si="336"/>
        <v>0</v>
      </c>
      <c r="AT94" s="616">
        <f t="shared" si="273"/>
        <v>0</v>
      </c>
      <c r="AU94" s="616">
        <f t="shared" si="274"/>
        <v>0</v>
      </c>
      <c r="AV94" s="616">
        <f t="shared" si="275"/>
        <v>0</v>
      </c>
      <c r="AW94" s="616">
        <f t="shared" si="276"/>
        <v>0</v>
      </c>
      <c r="AX94" s="616">
        <f t="shared" si="277"/>
        <v>0</v>
      </c>
      <c r="AY94" s="616">
        <f t="shared" si="278"/>
        <v>0</v>
      </c>
      <c r="AZ94" s="616">
        <f t="shared" si="279"/>
        <v>0</v>
      </c>
      <c r="BA94" s="616">
        <f t="shared" si="280"/>
        <v>0</v>
      </c>
      <c r="BB94" s="616">
        <f t="shared" si="281"/>
        <v>0</v>
      </c>
      <c r="BC94" s="616">
        <f t="shared" si="282"/>
        <v>0</v>
      </c>
      <c r="BD94" s="616">
        <f t="shared" si="283"/>
        <v>0</v>
      </c>
      <c r="BE94" s="616">
        <f t="shared" si="284"/>
        <v>0</v>
      </c>
      <c r="BF94" s="616">
        <f t="shared" si="285"/>
        <v>0</v>
      </c>
      <c r="BG94" s="616">
        <f t="shared" si="286"/>
        <v>0</v>
      </c>
      <c r="BH94" s="616">
        <f t="shared" si="287"/>
        <v>0</v>
      </c>
      <c r="BI94" s="618">
        <f t="shared" si="337"/>
        <v>0</v>
      </c>
      <c r="BJ94" s="618">
        <f t="shared" si="338"/>
        <v>0</v>
      </c>
      <c r="BK94" s="616">
        <f t="shared" si="288"/>
        <v>0</v>
      </c>
      <c r="BL94" s="620">
        <f t="shared" si="289"/>
        <v>0</v>
      </c>
      <c r="BM94" s="616">
        <f t="shared" si="290"/>
        <v>0</v>
      </c>
      <c r="BN94" s="618">
        <f t="shared" si="291"/>
        <v>0</v>
      </c>
      <c r="BO94" s="618">
        <f t="shared" si="292"/>
        <v>0</v>
      </c>
      <c r="BP94" s="616">
        <f t="shared" si="339"/>
        <v>0</v>
      </c>
      <c r="BQ94" s="616">
        <f t="shared" si="340"/>
        <v>0</v>
      </c>
      <c r="BR94" s="616">
        <f t="shared" si="341"/>
        <v>0</v>
      </c>
      <c r="BS94" s="616">
        <f t="shared" si="293"/>
        <v>0</v>
      </c>
      <c r="BT94" s="616">
        <f t="shared" si="294"/>
        <v>0</v>
      </c>
      <c r="BU94" s="616">
        <f t="shared" si="295"/>
        <v>0</v>
      </c>
      <c r="BV94" s="616">
        <f t="shared" si="296"/>
        <v>0</v>
      </c>
      <c r="BW94" s="616">
        <f t="shared" si="297"/>
        <v>0</v>
      </c>
      <c r="BX94" s="616">
        <f t="shared" si="298"/>
        <v>0</v>
      </c>
      <c r="BY94" s="616">
        <f t="shared" si="299"/>
        <v>0</v>
      </c>
      <c r="BZ94" s="616">
        <f t="shared" si="300"/>
        <v>0</v>
      </c>
      <c r="CA94" s="616">
        <f t="shared" si="301"/>
        <v>0</v>
      </c>
      <c r="CB94" s="616">
        <f t="shared" si="302"/>
        <v>0</v>
      </c>
      <c r="CC94" s="616">
        <f t="shared" si="303"/>
        <v>0</v>
      </c>
      <c r="CD94" s="616">
        <f t="shared" si="304"/>
        <v>0</v>
      </c>
      <c r="CE94" s="618">
        <f t="shared" si="342"/>
        <v>0</v>
      </c>
      <c r="CF94" s="618">
        <f t="shared" si="343"/>
        <v>0</v>
      </c>
      <c r="CG94" s="616">
        <f t="shared" si="305"/>
        <v>0</v>
      </c>
      <c r="CH94" s="621">
        <f t="shared" si="306"/>
        <v>0</v>
      </c>
      <c r="CI94" s="88" t="e">
        <f t="shared" si="307"/>
        <v>#DIV/0!</v>
      </c>
      <c r="CJ94" s="90" t="e">
        <f t="shared" si="308"/>
        <v>#DIV/0!</v>
      </c>
      <c r="CK94" s="90" t="e">
        <f t="shared" si="309"/>
        <v>#DIV/0!</v>
      </c>
      <c r="CL94" s="88" t="e">
        <f t="shared" si="310"/>
        <v>#DIV/0!</v>
      </c>
      <c r="CM94" s="88" t="e">
        <f t="shared" si="311"/>
        <v>#DIV/0!</v>
      </c>
      <c r="CN94" s="88" t="e">
        <f t="shared" si="312"/>
        <v>#DIV/0!</v>
      </c>
      <c r="CO94" s="88" t="e">
        <f t="shared" si="313"/>
        <v>#DIV/0!</v>
      </c>
      <c r="CP94" s="88" t="e">
        <f t="shared" si="314"/>
        <v>#DIV/0!</v>
      </c>
      <c r="CQ94" s="88" t="e">
        <f t="shared" si="315"/>
        <v>#DIV/0!</v>
      </c>
      <c r="CR94" s="88" t="e">
        <f t="shared" si="316"/>
        <v>#DIV/0!</v>
      </c>
      <c r="CS94" s="88" t="e">
        <f t="shared" si="317"/>
        <v>#DIV/0!</v>
      </c>
      <c r="CT94" s="88" t="e">
        <f t="shared" si="318"/>
        <v>#DIV/0!</v>
      </c>
      <c r="CU94" s="88" t="e">
        <f t="shared" si="319"/>
        <v>#DIV/0!</v>
      </c>
      <c r="CV94" s="88" t="e">
        <f t="shared" si="320"/>
        <v>#DIV/0!</v>
      </c>
      <c r="CW94" s="88" t="e">
        <f t="shared" si="321"/>
        <v>#DIV/0!</v>
      </c>
      <c r="CX94" s="88" t="e">
        <f t="shared" si="322"/>
        <v>#DIV/0!</v>
      </c>
      <c r="CY94" s="88" t="e">
        <f t="shared" si="323"/>
        <v>#DIV/0!</v>
      </c>
      <c r="CZ94" s="88" t="e">
        <f t="shared" si="324"/>
        <v>#DIV/0!</v>
      </c>
      <c r="DA94" s="90" t="e">
        <f t="shared" si="325"/>
        <v>#DIV/0!</v>
      </c>
      <c r="DB94" s="90" t="e">
        <f t="shared" si="326"/>
        <v>#DIV/0!</v>
      </c>
      <c r="DC94" s="88" t="e">
        <f t="shared" si="327"/>
        <v>#DIV/0!</v>
      </c>
      <c r="DD94" s="88" t="e">
        <f t="shared" si="328"/>
        <v>#DIV/0!</v>
      </c>
      <c r="AUV94" s="699">
        <v>0</v>
      </c>
      <c r="AUW94" s="699">
        <f t="shared" si="236"/>
        <v>0</v>
      </c>
      <c r="AUX94" s="699">
        <f t="shared" si="237"/>
        <v>0</v>
      </c>
      <c r="AUY94" s="699">
        <f t="shared" si="344"/>
        <v>0</v>
      </c>
      <c r="AUZ94" s="699">
        <f t="shared" si="344"/>
        <v>0</v>
      </c>
      <c r="AVA94" s="699">
        <f t="shared" si="344"/>
        <v>0</v>
      </c>
      <c r="AVB94" s="699">
        <f t="shared" si="345"/>
        <v>0</v>
      </c>
      <c r="AVC94" s="697"/>
      <c r="AVD94" s="697"/>
      <c r="AVE94" s="697"/>
      <c r="AVF94" s="697"/>
      <c r="AVG94" s="697"/>
      <c r="AVH94" s="697"/>
      <c r="AVI94" s="697"/>
      <c r="AVJ94" s="697"/>
      <c r="AVK94" s="697"/>
      <c r="AVL94" s="697"/>
      <c r="AVM94" s="697"/>
      <c r="AVN94" s="697"/>
      <c r="AVO94" s="697"/>
      <c r="AVP94" s="697"/>
      <c r="AVQ94" s="697"/>
    </row>
    <row r="95" spans="1:1265" ht="30" customHeight="1" x14ac:dyDescent="0.25">
      <c r="A95" s="643">
        <v>1</v>
      </c>
      <c r="B95" s="643">
        <v>5</v>
      </c>
      <c r="C95" s="664" t="s">
        <v>248</v>
      </c>
      <c r="D95" s="2"/>
      <c r="E95" s="101" t="s">
        <v>344</v>
      </c>
      <c r="F95" s="643" t="s">
        <v>31</v>
      </c>
      <c r="G95" s="643">
        <v>1</v>
      </c>
      <c r="H95" s="658" t="s">
        <v>10</v>
      </c>
      <c r="I95" s="643">
        <v>0</v>
      </c>
      <c r="J95" s="101" t="s">
        <v>371</v>
      </c>
      <c r="K95" s="643">
        <v>1</v>
      </c>
      <c r="L95" s="683" t="s">
        <v>349</v>
      </c>
      <c r="M95" s="11" t="s">
        <v>312</v>
      </c>
      <c r="N95" s="101" t="s">
        <v>387</v>
      </c>
      <c r="O95" s="643">
        <v>1</v>
      </c>
      <c r="P95" s="632">
        <v>53</v>
      </c>
      <c r="Q95" s="632">
        <v>53</v>
      </c>
      <c r="R95" s="632">
        <v>53</v>
      </c>
      <c r="S95" s="675">
        <f>SUMIF('Территориальный кк'!$A:$A,'2020'!$B95,'Территориальный кк'!D:D)</f>
        <v>1.395</v>
      </c>
      <c r="T95" s="676">
        <f>SUMIF('Территориальный кк'!$A:$A,'2020'!$B95,'Территориальный кк'!E:E)</f>
        <v>1.9790000000000001</v>
      </c>
      <c r="U95" s="618">
        <f>SUMIFS(Нормативы!G:G,Нормативы!$B:$B,$G95,Нормативы!$D:$D,'2020'!$I95,Нормативы!$F:$F,'2020'!$K95)*O95</f>
        <v>54020</v>
      </c>
      <c r="V95" s="618">
        <f t="shared" si="329"/>
        <v>41490</v>
      </c>
      <c r="W95" s="618">
        <f t="shared" si="330"/>
        <v>12530</v>
      </c>
      <c r="X95" s="618">
        <f>SUMIFS(Нормативы!J:J,Нормативы!$B:$B,$G95,Нормативы!$D:$D,'2020'!$I95,Нормативы!$F:$F,'2020'!$K95)</f>
        <v>220</v>
      </c>
      <c r="Y95" s="618">
        <f>SUMIFS(Нормативы!K:K,Нормативы!$B:$B,$G95,Нормативы!$D:$D,'2020'!$I95,Нормативы!$F:$F,'2020'!$K95)</f>
        <v>44</v>
      </c>
      <c r="Z95" s="618">
        <f>SUMIFS(Нормативы!L:L,Нормативы!$B:$B,$G95,Нормативы!$D:$D,'2020'!$I95,Нормативы!$F:$F,'2020'!$K95)</f>
        <v>2320</v>
      </c>
      <c r="AA95" s="618">
        <f t="shared" si="331"/>
        <v>3710</v>
      </c>
      <c r="AB95" s="618">
        <f>SUMIFS(Нормативы!N:N,Нормативы!$B:$B,$G95,Нормативы!$D:$D,'2020'!$I95,Нормативы!$F:$F,'2020'!$K95)*O95</f>
        <v>520</v>
      </c>
      <c r="AC95" s="618">
        <f>SUMIFS(Нормативы!O:O,Нормативы!$B:$B,$G95,Нормативы!$D:$D,'2020'!$I95,Нормативы!$F:$F,'2020'!$K95)</f>
        <v>2140</v>
      </c>
      <c r="AD95" s="618">
        <f>SUMIFS(Нормативы!P:P,Нормативы!$B:$B,$G95,Нормативы!$D:$D,'2020'!$I95,Нормативы!$F:$F,'2020'!$K95)*O95</f>
        <v>310</v>
      </c>
      <c r="AE95" s="618">
        <f>SUMIFS(Нормативы!Q:Q,Нормативы!$B:$B,$G95,Нормативы!$D:$D,'2020'!$I95,Нормативы!$F:$F,'2020'!$K95)</f>
        <v>740</v>
      </c>
      <c r="AF95" s="618">
        <f>SUMIFS(Нормативы!R:R,Нормативы!$B:$B,$G95,Нормативы!$D:$D,'2020'!$I95,Нормативы!$F:$F,'2020'!$K95)</f>
        <v>2460</v>
      </c>
      <c r="AG95" s="618">
        <f>SUMIFS(Нормативы!S:S,Нормативы!$B:$B,$G95,Нормативы!$D:$D,'2020'!$I95,Нормативы!$F:$F,'2020'!$K95)</f>
        <v>5080</v>
      </c>
      <c r="AH95" s="618">
        <f>SUMIFS(Нормативы!T:T,Нормативы!$B:$B,$G95,Нормативы!$D:$D,'2020'!$I95,Нормативы!$F:$F,'2020'!$K95)</f>
        <v>540</v>
      </c>
      <c r="AI95" s="618">
        <f>SUMIFS(Нормативы!U:U,Нормативы!$B:$B,$G95,Нормативы!$D:$D,'2020'!$I95,Нормативы!$F:$F,'2020'!$K95)</f>
        <v>770</v>
      </c>
      <c r="AJ95" s="618">
        <f>SUMIFS(Нормативы!V:V,Нормативы!$B:$B,$G95,Нормативы!$D:$D,'2020'!$I95,Нормативы!$F:$F,'2020'!$K95)</f>
        <v>80</v>
      </c>
      <c r="AK95" s="618">
        <f>SUMIFS(Нормативы!W:W,Нормативы!$B:$B,$G95,Нормативы!$D:$D,'2020'!$I95,Нормативы!$F:$F,'2020'!$K95)</f>
        <v>300</v>
      </c>
      <c r="AL95" s="618">
        <f>SUMIFS(Нормативы!X:X,Нормативы!$B:$B,$G95,Нормативы!$D:$D,'2020'!$I95,Нормативы!$F:$F,'2020'!$K95)*O95</f>
        <v>13440</v>
      </c>
      <c r="AM95" s="618">
        <f t="shared" si="332"/>
        <v>10322.6</v>
      </c>
      <c r="AN95" s="618">
        <f t="shared" si="333"/>
        <v>3117.4</v>
      </c>
      <c r="AO95" s="618">
        <f>SUMIFS(Нормативы!AA:AA,Нормативы!$B:$B,$G95,Нормативы!$D:$D,'2020'!$I95,Нормативы!$F:$F,'2020'!$K95)</f>
        <v>3520</v>
      </c>
      <c r="AP95" s="619">
        <f t="shared" si="334"/>
        <v>86460</v>
      </c>
      <c r="AQ95" s="413">
        <f t="shared" si="272"/>
        <v>2863060</v>
      </c>
      <c r="AR95" s="618">
        <f t="shared" si="335"/>
        <v>2198970.7999999998</v>
      </c>
      <c r="AS95" s="618">
        <f t="shared" si="336"/>
        <v>664089.19999999995</v>
      </c>
      <c r="AT95" s="616">
        <f t="shared" si="273"/>
        <v>11660</v>
      </c>
      <c r="AU95" s="616">
        <f t="shared" si="274"/>
        <v>2332</v>
      </c>
      <c r="AV95" s="616">
        <f t="shared" si="275"/>
        <v>122960</v>
      </c>
      <c r="AW95" s="616">
        <f t="shared" si="276"/>
        <v>196630</v>
      </c>
      <c r="AX95" s="616">
        <f t="shared" si="277"/>
        <v>27560</v>
      </c>
      <c r="AY95" s="616">
        <f t="shared" si="278"/>
        <v>113420</v>
      </c>
      <c r="AZ95" s="616">
        <f t="shared" si="279"/>
        <v>16430</v>
      </c>
      <c r="BA95" s="616">
        <f t="shared" si="280"/>
        <v>39220</v>
      </c>
      <c r="BB95" s="616">
        <f t="shared" si="281"/>
        <v>130380</v>
      </c>
      <c r="BC95" s="616">
        <f t="shared" si="282"/>
        <v>269240</v>
      </c>
      <c r="BD95" s="616">
        <f t="shared" si="283"/>
        <v>28620</v>
      </c>
      <c r="BE95" s="616">
        <f t="shared" si="284"/>
        <v>40810</v>
      </c>
      <c r="BF95" s="616">
        <f t="shared" si="285"/>
        <v>4240</v>
      </c>
      <c r="BG95" s="616">
        <f t="shared" si="286"/>
        <v>15900</v>
      </c>
      <c r="BH95" s="616">
        <f t="shared" si="287"/>
        <v>712320</v>
      </c>
      <c r="BI95" s="618">
        <f t="shared" si="337"/>
        <v>547096.80000000005</v>
      </c>
      <c r="BJ95" s="618">
        <f t="shared" si="338"/>
        <v>165223.20000000001</v>
      </c>
      <c r="BK95" s="616">
        <f t="shared" si="288"/>
        <v>186560</v>
      </c>
      <c r="BL95" s="620">
        <f t="shared" si="289"/>
        <v>4582380</v>
      </c>
      <c r="BM95" s="616">
        <f t="shared" si="290"/>
        <v>3993969</v>
      </c>
      <c r="BN95" s="618">
        <f t="shared" si="291"/>
        <v>3067564.5</v>
      </c>
      <c r="BO95" s="618">
        <f t="shared" si="292"/>
        <v>926404.5</v>
      </c>
      <c r="BP95" s="616">
        <f t="shared" si="339"/>
        <v>11660</v>
      </c>
      <c r="BQ95" s="616">
        <f t="shared" si="340"/>
        <v>2332</v>
      </c>
      <c r="BR95" s="616">
        <f t="shared" si="341"/>
        <v>122960</v>
      </c>
      <c r="BS95" s="616">
        <f t="shared" si="293"/>
        <v>196630</v>
      </c>
      <c r="BT95" s="616">
        <f t="shared" si="294"/>
        <v>27560</v>
      </c>
      <c r="BU95" s="616">
        <f t="shared" si="295"/>
        <v>113420</v>
      </c>
      <c r="BV95" s="616">
        <f t="shared" si="296"/>
        <v>16430</v>
      </c>
      <c r="BW95" s="616">
        <f t="shared" si="297"/>
        <v>39220</v>
      </c>
      <c r="BX95" s="616">
        <f t="shared" si="298"/>
        <v>258022</v>
      </c>
      <c r="BY95" s="616">
        <f t="shared" si="299"/>
        <v>269240</v>
      </c>
      <c r="BZ95" s="616">
        <f t="shared" si="300"/>
        <v>28620</v>
      </c>
      <c r="CA95" s="616">
        <f t="shared" si="301"/>
        <v>40810</v>
      </c>
      <c r="CB95" s="616">
        <f t="shared" si="302"/>
        <v>4240</v>
      </c>
      <c r="CC95" s="616">
        <f t="shared" si="303"/>
        <v>15900</v>
      </c>
      <c r="CD95" s="616">
        <f t="shared" si="304"/>
        <v>993686</v>
      </c>
      <c r="CE95" s="618">
        <f t="shared" si="342"/>
        <v>763199.7</v>
      </c>
      <c r="CF95" s="618">
        <f t="shared" si="343"/>
        <v>230486.3</v>
      </c>
      <c r="CG95" s="616">
        <f t="shared" si="305"/>
        <v>186560</v>
      </c>
      <c r="CH95" s="621">
        <f t="shared" si="306"/>
        <v>6122297</v>
      </c>
      <c r="CI95" s="88">
        <f t="shared" si="307"/>
        <v>75357.905700000003</v>
      </c>
      <c r="CJ95" s="90">
        <f t="shared" si="308"/>
        <v>57878.575499999999</v>
      </c>
      <c r="CK95" s="90">
        <f t="shared" si="309"/>
        <v>17479.3302</v>
      </c>
      <c r="CL95" s="88">
        <f t="shared" si="310"/>
        <v>220</v>
      </c>
      <c r="CM95" s="88">
        <f t="shared" si="311"/>
        <v>44</v>
      </c>
      <c r="CN95" s="88">
        <f t="shared" si="312"/>
        <v>2320</v>
      </c>
      <c r="CO95" s="88">
        <f t="shared" si="313"/>
        <v>3710</v>
      </c>
      <c r="CP95" s="88">
        <f t="shared" si="314"/>
        <v>520</v>
      </c>
      <c r="CQ95" s="88">
        <f t="shared" si="315"/>
        <v>2140</v>
      </c>
      <c r="CR95" s="88">
        <f t="shared" si="316"/>
        <v>310</v>
      </c>
      <c r="CS95" s="88">
        <f t="shared" si="317"/>
        <v>740</v>
      </c>
      <c r="CT95" s="88">
        <f t="shared" si="318"/>
        <v>4868.3396000000002</v>
      </c>
      <c r="CU95" s="88">
        <f t="shared" si="319"/>
        <v>5080</v>
      </c>
      <c r="CV95" s="88">
        <f t="shared" si="320"/>
        <v>540</v>
      </c>
      <c r="CW95" s="88">
        <f t="shared" si="321"/>
        <v>770</v>
      </c>
      <c r="CX95" s="88">
        <f t="shared" si="322"/>
        <v>80</v>
      </c>
      <c r="CY95" s="88">
        <f t="shared" si="323"/>
        <v>300</v>
      </c>
      <c r="CZ95" s="88">
        <f t="shared" si="324"/>
        <v>18748.7925</v>
      </c>
      <c r="DA95" s="90">
        <f t="shared" si="325"/>
        <v>14399.9943</v>
      </c>
      <c r="DB95" s="90">
        <f t="shared" si="326"/>
        <v>4348.7981</v>
      </c>
      <c r="DC95" s="88">
        <f t="shared" si="327"/>
        <v>3520</v>
      </c>
      <c r="DD95" s="211">
        <f t="shared" si="328"/>
        <v>115515.0377</v>
      </c>
      <c r="AUV95" s="699">
        <f t="shared" si="235"/>
        <v>75357.91</v>
      </c>
      <c r="AUW95" s="699">
        <f t="shared" si="236"/>
        <v>57878.58</v>
      </c>
      <c r="AUX95" s="699">
        <f t="shared" si="237"/>
        <v>17479.330000000002</v>
      </c>
      <c r="AUY95" s="699">
        <f t="shared" ref="AUY95:AUY117" si="346">BP95/P95</f>
        <v>220</v>
      </c>
      <c r="AUZ95" s="699">
        <f t="shared" si="344"/>
        <v>1178.3699999999999</v>
      </c>
      <c r="AVA95" s="699">
        <f t="shared" si="344"/>
        <v>2.2799999999999998</v>
      </c>
      <c r="AVB95" s="699">
        <f t="shared" ref="AVB95:AVB117" si="347">AVC95+AVD95+AVE95+AVF95</f>
        <v>3710</v>
      </c>
      <c r="AVC95" s="699">
        <f t="shared" ref="AVC95:AVC117" si="348">BT95/P95</f>
        <v>520</v>
      </c>
      <c r="AVD95" s="699">
        <f t="shared" ref="AVD95:AVD117" si="349">BU95/P95</f>
        <v>2140</v>
      </c>
      <c r="AVE95" s="699">
        <f t="shared" ref="AVE95:AVE117" si="350">BV95/P95</f>
        <v>310</v>
      </c>
      <c r="AVF95" s="699">
        <f t="shared" ref="AVF95:AVF117" si="351">BW95/P95</f>
        <v>740</v>
      </c>
      <c r="AVG95" s="699">
        <f t="shared" ref="AVG95:AVG117" si="352">BX95/P95</f>
        <v>4868.34</v>
      </c>
      <c r="AVH95" s="699">
        <f t="shared" ref="AVH95:AVH117" si="353">BY95/P95</f>
        <v>5080</v>
      </c>
      <c r="AVI95" s="699">
        <f t="shared" ref="AVI95:AVI117" si="354">BZ95/P95</f>
        <v>540</v>
      </c>
      <c r="AVJ95" s="699">
        <f t="shared" ref="AVJ95:AVJ117" si="355">CA95/P95</f>
        <v>770</v>
      </c>
      <c r="AVK95" s="699">
        <f t="shared" ref="AVK95:AVK117" si="356">CB95/P95</f>
        <v>80</v>
      </c>
      <c r="AVL95" s="699">
        <f t="shared" ref="AVL95:AVL117" si="357">CC95/P95</f>
        <v>300</v>
      </c>
      <c r="AVM95" s="699">
        <f t="shared" ref="AVM95:AVM117" si="358">CD95/P95</f>
        <v>18748.79</v>
      </c>
      <c r="AVN95" s="699">
        <f t="shared" ref="AVN95:AVN117" si="359">AVM95/1.302</f>
        <v>14399.99</v>
      </c>
      <c r="AVO95" s="699">
        <f t="shared" ref="AVO95:AVO117" si="360">AVM95-AVN95</f>
        <v>4348.8</v>
      </c>
      <c r="AVP95" s="699">
        <f t="shared" ref="AVP95:AVP117" si="361">CG95/P95</f>
        <v>3520</v>
      </c>
      <c r="AVQ95" s="699">
        <f t="shared" ref="AVQ95:AVQ117" si="362">CH95/P95</f>
        <v>115515.04</v>
      </c>
    </row>
    <row r="96" spans="1:1265" s="608" customFormat="1" ht="30" customHeight="1" x14ac:dyDescent="0.25">
      <c r="A96" s="634">
        <v>1</v>
      </c>
      <c r="B96" s="634">
        <v>5</v>
      </c>
      <c r="C96" s="633" t="s">
        <v>248</v>
      </c>
      <c r="D96" s="2"/>
      <c r="E96" s="602" t="s">
        <v>344</v>
      </c>
      <c r="F96" s="634" t="s">
        <v>31</v>
      </c>
      <c r="G96" s="634">
        <v>1</v>
      </c>
      <c r="H96" s="656" t="s">
        <v>8</v>
      </c>
      <c r="I96" s="634">
        <v>3</v>
      </c>
      <c r="J96" s="602" t="s">
        <v>371</v>
      </c>
      <c r="K96" s="634">
        <v>1</v>
      </c>
      <c r="L96" s="681" t="s">
        <v>349</v>
      </c>
      <c r="M96" s="601"/>
      <c r="N96" s="602" t="s">
        <v>401</v>
      </c>
      <c r="O96" s="634">
        <v>2</v>
      </c>
      <c r="P96" s="633">
        <v>1</v>
      </c>
      <c r="Q96" s="633">
        <v>1</v>
      </c>
      <c r="R96" s="633">
        <v>1</v>
      </c>
      <c r="S96" s="671">
        <f>SUMIF('Территориальный кк'!$A:$A,'2020'!$B96,'Территориальный кк'!D:D)</f>
        <v>1.395</v>
      </c>
      <c r="T96" s="672">
        <f>SUMIF('Территориальный кк'!$A:$A,'2020'!$B96,'Территориальный кк'!E:E)</f>
        <v>1.9790000000000001</v>
      </c>
      <c r="U96" s="618">
        <f>SUMIFS(Нормативы!G:G,Нормативы!$B:$B,$G96,Нормативы!$D:$D,'2020'!$I96,Нормативы!$F:$F,'2020'!$K96)*O96</f>
        <v>10804</v>
      </c>
      <c r="V96" s="622">
        <f t="shared" si="329"/>
        <v>8298</v>
      </c>
      <c r="W96" s="622">
        <f t="shared" si="330"/>
        <v>2506</v>
      </c>
      <c r="X96" s="622">
        <f>Нормативы!J6*0.1</f>
        <v>22</v>
      </c>
      <c r="Y96" s="622">
        <f>Нормативы!K6*0.1</f>
        <v>4.4000000000000004</v>
      </c>
      <c r="Z96" s="622">
        <f>Нормативы!L6*0.1</f>
        <v>232</v>
      </c>
      <c r="AA96" s="622">
        <f t="shared" si="331"/>
        <v>454</v>
      </c>
      <c r="AB96" s="622">
        <f>Нормативы!N6*'2020'!O96*0.1</f>
        <v>104</v>
      </c>
      <c r="AC96" s="622">
        <f>Нормативы!O6*0.1</f>
        <v>214</v>
      </c>
      <c r="AD96" s="622">
        <f>Нормативы!P6*'2020'!O96*0.1</f>
        <v>62</v>
      </c>
      <c r="AE96" s="622">
        <f>Нормативы!Q6*0.1</f>
        <v>74</v>
      </c>
      <c r="AF96" s="622">
        <f>Нормативы!R6*0.1</f>
        <v>246</v>
      </c>
      <c r="AG96" s="622">
        <f>Нормативы!S6*0.1</f>
        <v>508</v>
      </c>
      <c r="AH96" s="622">
        <f>Нормативы!T6*0.1</f>
        <v>54</v>
      </c>
      <c r="AI96" s="622">
        <f>Нормативы!U6*0.1</f>
        <v>77</v>
      </c>
      <c r="AJ96" s="622">
        <f>Нормативы!V6*0.1</f>
        <v>8</v>
      </c>
      <c r="AK96" s="622">
        <f>Нормативы!W6*0.1</f>
        <v>30</v>
      </c>
      <c r="AL96" s="622">
        <f>Нормативы!X6*'2020'!O96*0.1</f>
        <v>2688</v>
      </c>
      <c r="AM96" s="622">
        <f t="shared" si="332"/>
        <v>2064.5</v>
      </c>
      <c r="AN96" s="622">
        <f t="shared" si="333"/>
        <v>623.5</v>
      </c>
      <c r="AO96" s="622">
        <v>0</v>
      </c>
      <c r="AP96" s="623">
        <f t="shared" si="334"/>
        <v>15123</v>
      </c>
      <c r="AQ96" s="611">
        <f t="shared" si="272"/>
        <v>10804</v>
      </c>
      <c r="AR96" s="622">
        <f t="shared" si="335"/>
        <v>8298</v>
      </c>
      <c r="AS96" s="622">
        <f t="shared" si="336"/>
        <v>2506</v>
      </c>
      <c r="AT96" s="614">
        <f t="shared" si="273"/>
        <v>22</v>
      </c>
      <c r="AU96" s="614">
        <f t="shared" si="274"/>
        <v>4</v>
      </c>
      <c r="AV96" s="614">
        <f t="shared" si="275"/>
        <v>232</v>
      </c>
      <c r="AW96" s="614">
        <f t="shared" si="276"/>
        <v>454</v>
      </c>
      <c r="AX96" s="614">
        <f t="shared" si="277"/>
        <v>104</v>
      </c>
      <c r="AY96" s="614">
        <f t="shared" si="278"/>
        <v>214</v>
      </c>
      <c r="AZ96" s="614">
        <f t="shared" si="279"/>
        <v>62</v>
      </c>
      <c r="BA96" s="614">
        <f t="shared" si="280"/>
        <v>74</v>
      </c>
      <c r="BB96" s="614">
        <f t="shared" si="281"/>
        <v>246</v>
      </c>
      <c r="BC96" s="614">
        <f t="shared" si="282"/>
        <v>508</v>
      </c>
      <c r="BD96" s="614">
        <f t="shared" si="283"/>
        <v>54</v>
      </c>
      <c r="BE96" s="614">
        <f t="shared" si="284"/>
        <v>77</v>
      </c>
      <c r="BF96" s="614">
        <f t="shared" si="285"/>
        <v>8</v>
      </c>
      <c r="BG96" s="614">
        <f t="shared" si="286"/>
        <v>30</v>
      </c>
      <c r="BH96" s="614">
        <f t="shared" si="287"/>
        <v>2688</v>
      </c>
      <c r="BI96" s="622">
        <f t="shared" si="337"/>
        <v>2064.5</v>
      </c>
      <c r="BJ96" s="622">
        <f t="shared" si="338"/>
        <v>623.5</v>
      </c>
      <c r="BK96" s="614">
        <f t="shared" si="288"/>
        <v>0</v>
      </c>
      <c r="BL96" s="623">
        <f t="shared" si="289"/>
        <v>15123</v>
      </c>
      <c r="BM96" s="614">
        <f t="shared" si="290"/>
        <v>15072</v>
      </c>
      <c r="BN96" s="622">
        <f t="shared" si="291"/>
        <v>11576</v>
      </c>
      <c r="BO96" s="622">
        <f t="shared" si="292"/>
        <v>3496</v>
      </c>
      <c r="BP96" s="614">
        <f t="shared" si="339"/>
        <v>22</v>
      </c>
      <c r="BQ96" s="614">
        <f t="shared" si="340"/>
        <v>4</v>
      </c>
      <c r="BR96" s="614">
        <f t="shared" si="341"/>
        <v>232</v>
      </c>
      <c r="BS96" s="614">
        <f t="shared" si="293"/>
        <v>454</v>
      </c>
      <c r="BT96" s="614">
        <f t="shared" si="294"/>
        <v>104</v>
      </c>
      <c r="BU96" s="614">
        <f t="shared" si="295"/>
        <v>214</v>
      </c>
      <c r="BV96" s="614">
        <f t="shared" si="296"/>
        <v>62</v>
      </c>
      <c r="BW96" s="614">
        <f t="shared" si="297"/>
        <v>74</v>
      </c>
      <c r="BX96" s="614">
        <f t="shared" si="298"/>
        <v>487</v>
      </c>
      <c r="BY96" s="614">
        <f t="shared" si="299"/>
        <v>508</v>
      </c>
      <c r="BZ96" s="614">
        <f t="shared" si="300"/>
        <v>54</v>
      </c>
      <c r="CA96" s="614">
        <f t="shared" si="301"/>
        <v>77</v>
      </c>
      <c r="CB96" s="614">
        <f t="shared" si="302"/>
        <v>8</v>
      </c>
      <c r="CC96" s="614">
        <f t="shared" si="303"/>
        <v>30</v>
      </c>
      <c r="CD96" s="614">
        <f t="shared" si="304"/>
        <v>3750</v>
      </c>
      <c r="CE96" s="622">
        <f t="shared" si="342"/>
        <v>2880.2</v>
      </c>
      <c r="CF96" s="622">
        <f t="shared" si="343"/>
        <v>869.8</v>
      </c>
      <c r="CG96" s="614">
        <f t="shared" si="305"/>
        <v>0</v>
      </c>
      <c r="CH96" s="621">
        <f>U96+X96+Z96+AA96+AF96+AG96+AH96+AI96+AJ96+AK96+AL96+AO96</f>
        <v>15123</v>
      </c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  <c r="CT96" s="211"/>
      <c r="CU96" s="211"/>
      <c r="CV96" s="211"/>
      <c r="CW96" s="211"/>
      <c r="CX96" s="211"/>
      <c r="CY96" s="211"/>
      <c r="CZ96" s="211"/>
      <c r="DA96" s="211"/>
      <c r="DB96" s="211"/>
      <c r="DC96" s="211"/>
      <c r="DD96" s="211">
        <f t="shared" si="328"/>
        <v>15123</v>
      </c>
      <c r="DE96" s="585"/>
      <c r="DF96" s="585"/>
      <c r="DG96" s="585"/>
      <c r="DH96" s="585"/>
      <c r="DI96" s="585"/>
      <c r="DJ96" s="585"/>
      <c r="DK96" s="585"/>
      <c r="DL96" s="585"/>
      <c r="DM96" s="585"/>
      <c r="DN96" s="585"/>
      <c r="DO96" s="585"/>
      <c r="DP96" s="585"/>
      <c r="DQ96" s="585"/>
      <c r="DR96" s="585"/>
      <c r="DS96" s="585"/>
      <c r="DT96" s="585"/>
      <c r="DU96" s="585"/>
      <c r="DV96" s="585"/>
      <c r="DW96" s="585"/>
      <c r="DX96" s="585"/>
      <c r="DY96" s="585"/>
      <c r="DZ96" s="585"/>
      <c r="EA96" s="585"/>
      <c r="EB96" s="585"/>
      <c r="EC96" s="585"/>
      <c r="ED96" s="585"/>
      <c r="EE96" s="585"/>
      <c r="EF96" s="585"/>
      <c r="EG96" s="585"/>
      <c r="EH96" s="585"/>
      <c r="EI96" s="585"/>
      <c r="EJ96" s="585"/>
      <c r="EK96" s="585"/>
      <c r="EL96" s="585"/>
      <c r="EM96" s="585"/>
      <c r="EN96" s="585"/>
      <c r="EO96" s="585"/>
      <c r="EP96" s="585"/>
      <c r="EQ96" s="585"/>
      <c r="ER96" s="585"/>
      <c r="ES96" s="585"/>
      <c r="ET96" s="585"/>
      <c r="EU96" s="585"/>
      <c r="EV96" s="585"/>
      <c r="EW96" s="585"/>
      <c r="EX96" s="585"/>
      <c r="EY96" s="585"/>
      <c r="EZ96" s="585"/>
      <c r="FA96" s="585"/>
      <c r="FB96" s="585"/>
      <c r="FC96" s="585"/>
      <c r="FD96" s="585"/>
      <c r="FE96" s="585"/>
      <c r="FF96" s="585"/>
      <c r="FG96" s="585"/>
      <c r="FH96" s="585"/>
      <c r="FI96" s="585"/>
      <c r="FJ96" s="585"/>
      <c r="FK96" s="585"/>
      <c r="FL96" s="585"/>
      <c r="FM96" s="585"/>
      <c r="FN96" s="585"/>
      <c r="FO96" s="585"/>
      <c r="FP96" s="585"/>
      <c r="FQ96" s="585"/>
      <c r="FR96" s="585"/>
      <c r="FS96" s="585"/>
      <c r="FT96" s="585"/>
      <c r="FU96" s="585"/>
      <c r="FV96" s="585"/>
      <c r="FW96" s="585"/>
      <c r="FX96" s="585"/>
      <c r="FY96" s="585"/>
      <c r="FZ96" s="585"/>
      <c r="GA96" s="585"/>
      <c r="GB96" s="585"/>
      <c r="GC96" s="585"/>
      <c r="GD96" s="585"/>
      <c r="GE96" s="585"/>
      <c r="GF96" s="585"/>
      <c r="GG96" s="585"/>
      <c r="GH96" s="585"/>
      <c r="GI96" s="585"/>
      <c r="GJ96" s="585"/>
      <c r="GK96" s="585"/>
      <c r="GL96" s="585"/>
      <c r="GM96" s="585"/>
      <c r="GN96" s="585"/>
      <c r="GO96" s="585"/>
      <c r="GP96" s="585"/>
      <c r="GQ96" s="585"/>
      <c r="GR96" s="585"/>
      <c r="GS96" s="585"/>
      <c r="GT96" s="585"/>
      <c r="GU96" s="585"/>
      <c r="GV96" s="585"/>
      <c r="GW96" s="585"/>
      <c r="GX96" s="585"/>
      <c r="GY96" s="585"/>
      <c r="GZ96" s="585"/>
      <c r="HA96" s="585"/>
      <c r="HB96" s="585"/>
      <c r="HC96" s="585"/>
      <c r="HD96" s="585"/>
      <c r="HE96" s="585"/>
      <c r="HF96" s="585"/>
      <c r="HG96" s="585"/>
      <c r="HH96" s="585"/>
      <c r="HI96" s="585"/>
      <c r="HJ96" s="585"/>
      <c r="HK96" s="585"/>
      <c r="HL96" s="585"/>
      <c r="HM96" s="585"/>
      <c r="HN96" s="585"/>
      <c r="HO96" s="585"/>
      <c r="HP96" s="585"/>
      <c r="HQ96" s="585"/>
      <c r="HR96" s="585"/>
      <c r="HS96" s="585"/>
      <c r="HT96" s="585"/>
      <c r="HU96" s="585"/>
      <c r="HV96" s="585"/>
      <c r="HW96" s="585"/>
      <c r="HX96" s="585"/>
      <c r="HY96" s="585"/>
      <c r="HZ96" s="585"/>
      <c r="IA96" s="585"/>
      <c r="IB96" s="585"/>
      <c r="IC96" s="585"/>
      <c r="ID96" s="585"/>
      <c r="IE96" s="585"/>
      <c r="IF96" s="585"/>
      <c r="IG96" s="585"/>
      <c r="IH96" s="585"/>
      <c r="II96" s="585"/>
      <c r="IJ96" s="585"/>
      <c r="IK96" s="585"/>
      <c r="IL96" s="585"/>
      <c r="IM96" s="585"/>
      <c r="IN96" s="585"/>
      <c r="IO96" s="585"/>
      <c r="IP96" s="585"/>
      <c r="IQ96" s="585"/>
      <c r="IR96" s="585"/>
      <c r="IS96" s="585"/>
      <c r="IT96" s="585"/>
      <c r="IU96" s="585"/>
      <c r="IV96" s="585"/>
      <c r="IW96" s="585"/>
      <c r="IX96" s="585"/>
      <c r="IY96" s="585"/>
      <c r="IZ96" s="585"/>
      <c r="JA96" s="585"/>
      <c r="JB96" s="585"/>
      <c r="JC96" s="585"/>
      <c r="JD96" s="585"/>
      <c r="JE96" s="585"/>
      <c r="JF96" s="585"/>
      <c r="JG96" s="585"/>
      <c r="JH96" s="585"/>
      <c r="JI96" s="585"/>
      <c r="JJ96" s="585"/>
      <c r="JK96" s="585"/>
      <c r="JL96" s="585"/>
      <c r="JM96" s="585"/>
      <c r="JN96" s="585"/>
      <c r="JO96" s="585"/>
      <c r="JP96" s="585"/>
      <c r="JQ96" s="585"/>
      <c r="JR96" s="585"/>
      <c r="JS96" s="585"/>
      <c r="JT96" s="585"/>
      <c r="JU96" s="585"/>
      <c r="JV96" s="585"/>
      <c r="JW96" s="585"/>
      <c r="JX96" s="585"/>
      <c r="JY96" s="585"/>
      <c r="JZ96" s="585"/>
      <c r="KA96" s="585"/>
      <c r="KB96" s="585"/>
      <c r="KC96" s="585"/>
      <c r="KD96" s="585"/>
      <c r="KE96" s="585"/>
      <c r="KF96" s="585"/>
      <c r="KG96" s="585"/>
      <c r="KH96" s="585"/>
      <c r="KI96" s="585"/>
      <c r="KJ96" s="585"/>
      <c r="KK96" s="585"/>
      <c r="KL96" s="585"/>
      <c r="KM96" s="585"/>
      <c r="KN96" s="585"/>
      <c r="KO96" s="585"/>
      <c r="KP96" s="585"/>
      <c r="KQ96" s="585"/>
      <c r="KR96" s="585"/>
      <c r="KS96" s="585"/>
      <c r="KT96" s="585"/>
      <c r="KU96" s="585"/>
      <c r="KV96" s="585"/>
      <c r="KW96" s="585"/>
      <c r="KX96" s="585"/>
      <c r="KY96" s="585"/>
      <c r="KZ96" s="585"/>
      <c r="LA96" s="585"/>
      <c r="LB96" s="585"/>
      <c r="LC96" s="585"/>
      <c r="LD96" s="585"/>
      <c r="LE96" s="585"/>
      <c r="LF96" s="585"/>
      <c r="LG96" s="585"/>
      <c r="LH96" s="585"/>
      <c r="LI96" s="585"/>
      <c r="LJ96" s="585"/>
      <c r="LK96" s="585"/>
      <c r="LL96" s="585"/>
      <c r="LM96" s="585"/>
      <c r="LN96" s="585"/>
      <c r="LO96" s="585"/>
      <c r="LP96" s="585"/>
      <c r="LQ96" s="585"/>
      <c r="LR96" s="585"/>
      <c r="LS96" s="585"/>
      <c r="LT96" s="585"/>
      <c r="LU96" s="585"/>
      <c r="LV96" s="585"/>
      <c r="LW96" s="585"/>
      <c r="LX96" s="585"/>
      <c r="LY96" s="585"/>
      <c r="LZ96" s="585"/>
      <c r="MA96" s="585"/>
      <c r="MB96" s="585"/>
      <c r="MC96" s="585"/>
      <c r="MD96" s="585"/>
      <c r="ME96" s="585"/>
      <c r="MF96" s="585"/>
      <c r="MG96" s="585"/>
      <c r="MH96" s="585"/>
      <c r="MI96" s="585"/>
      <c r="MJ96" s="585"/>
      <c r="MK96" s="585"/>
      <c r="ML96" s="585"/>
      <c r="MM96" s="585"/>
      <c r="MN96" s="585"/>
      <c r="MO96" s="585"/>
      <c r="MP96" s="585"/>
      <c r="MQ96" s="585"/>
      <c r="MR96" s="585"/>
      <c r="MS96" s="585"/>
      <c r="MT96" s="585"/>
      <c r="MU96" s="585"/>
      <c r="MV96" s="585"/>
      <c r="MW96" s="585"/>
      <c r="MX96" s="585"/>
      <c r="MY96" s="585"/>
      <c r="MZ96" s="585"/>
      <c r="NA96" s="585"/>
      <c r="NB96" s="585"/>
      <c r="NC96" s="585"/>
      <c r="ND96" s="585"/>
      <c r="NE96" s="585"/>
      <c r="NF96" s="585"/>
      <c r="NG96" s="585"/>
      <c r="NH96" s="585"/>
      <c r="NI96" s="585"/>
      <c r="NJ96" s="585"/>
      <c r="NK96" s="585"/>
      <c r="NL96" s="585"/>
      <c r="NM96" s="585"/>
      <c r="NN96" s="585"/>
      <c r="NO96" s="585"/>
      <c r="NP96" s="585"/>
      <c r="NQ96" s="585"/>
      <c r="NR96" s="585"/>
      <c r="NS96" s="585"/>
      <c r="NT96" s="585"/>
      <c r="NU96" s="585"/>
      <c r="NV96" s="585"/>
      <c r="NW96" s="585"/>
      <c r="NX96" s="585"/>
      <c r="NY96" s="585"/>
      <c r="NZ96" s="585"/>
      <c r="OA96" s="585"/>
      <c r="OB96" s="585"/>
      <c r="OC96" s="585"/>
      <c r="OD96" s="585"/>
      <c r="OE96" s="585"/>
      <c r="OF96" s="585"/>
      <c r="OG96" s="585"/>
      <c r="OH96" s="585"/>
      <c r="OI96" s="585"/>
      <c r="OJ96" s="585"/>
      <c r="OK96" s="585"/>
      <c r="OL96" s="585"/>
      <c r="OM96" s="585"/>
      <c r="ON96" s="585"/>
      <c r="OO96" s="585"/>
      <c r="OP96" s="585"/>
      <c r="OQ96" s="585"/>
      <c r="OR96" s="585"/>
      <c r="OS96" s="585"/>
      <c r="OT96" s="585"/>
      <c r="OU96" s="585"/>
      <c r="OV96" s="585"/>
      <c r="OW96" s="585"/>
      <c r="OX96" s="585"/>
      <c r="OY96" s="585"/>
      <c r="OZ96" s="585"/>
      <c r="PA96" s="585"/>
      <c r="PB96" s="585"/>
      <c r="PC96" s="585"/>
      <c r="PD96" s="585"/>
      <c r="PE96" s="585"/>
      <c r="PF96" s="585"/>
      <c r="PG96" s="585"/>
      <c r="PH96" s="585"/>
      <c r="PI96" s="585"/>
      <c r="PJ96" s="585"/>
      <c r="PK96" s="585"/>
      <c r="PL96" s="585"/>
      <c r="PM96" s="585"/>
      <c r="PN96" s="585"/>
      <c r="PO96" s="585"/>
      <c r="PP96" s="585"/>
      <c r="PQ96" s="585"/>
      <c r="PR96" s="585"/>
      <c r="PS96" s="585"/>
      <c r="PT96" s="585"/>
      <c r="PU96" s="585"/>
      <c r="PV96" s="585"/>
      <c r="PW96" s="585"/>
      <c r="PX96" s="585"/>
      <c r="PY96" s="585"/>
      <c r="PZ96" s="585"/>
      <c r="QA96" s="585"/>
      <c r="QB96" s="585"/>
      <c r="QC96" s="585"/>
      <c r="QD96" s="585"/>
      <c r="QE96" s="585"/>
      <c r="QF96" s="585"/>
      <c r="QG96" s="585"/>
      <c r="QH96" s="585"/>
      <c r="QI96" s="585"/>
      <c r="QJ96" s="585"/>
      <c r="QK96" s="585"/>
      <c r="QL96" s="585"/>
      <c r="QM96" s="585"/>
      <c r="QN96" s="585"/>
      <c r="QO96" s="585"/>
      <c r="QP96" s="585"/>
      <c r="QQ96" s="585"/>
      <c r="QR96" s="585"/>
      <c r="QS96" s="585"/>
      <c r="QT96" s="585"/>
      <c r="QU96" s="585"/>
      <c r="QV96" s="585"/>
      <c r="QW96" s="585"/>
      <c r="QX96" s="585"/>
      <c r="QY96" s="585"/>
      <c r="QZ96" s="585"/>
      <c r="RA96" s="585"/>
      <c r="RB96" s="585"/>
      <c r="RC96" s="585"/>
      <c r="RD96" s="585"/>
      <c r="RE96" s="585"/>
      <c r="RF96" s="585"/>
      <c r="RG96" s="585"/>
      <c r="RH96" s="585"/>
      <c r="RI96" s="585"/>
      <c r="RJ96" s="585"/>
      <c r="RK96" s="585"/>
      <c r="RL96" s="585"/>
      <c r="RM96" s="585"/>
      <c r="RN96" s="585"/>
      <c r="RO96" s="585"/>
      <c r="RP96" s="585"/>
      <c r="RQ96" s="585"/>
      <c r="RR96" s="585"/>
      <c r="RS96" s="585"/>
      <c r="RT96" s="585"/>
      <c r="RU96" s="585"/>
      <c r="RV96" s="585"/>
      <c r="RW96" s="585"/>
      <c r="RX96" s="585"/>
      <c r="RY96" s="585"/>
      <c r="RZ96" s="585"/>
      <c r="SA96" s="585"/>
      <c r="SB96" s="585"/>
      <c r="SC96" s="585"/>
      <c r="SD96" s="585"/>
      <c r="SE96" s="585"/>
      <c r="SF96" s="585"/>
      <c r="SG96" s="585"/>
      <c r="SH96" s="585"/>
      <c r="SI96" s="585"/>
      <c r="SJ96" s="585"/>
      <c r="SK96" s="585"/>
      <c r="SL96" s="585"/>
      <c r="SM96" s="585"/>
      <c r="SN96" s="585"/>
      <c r="SO96" s="585"/>
      <c r="SP96" s="585"/>
      <c r="SQ96" s="585"/>
      <c r="SR96" s="585"/>
      <c r="SS96" s="585"/>
      <c r="ST96" s="585"/>
      <c r="SU96" s="585"/>
      <c r="SV96" s="585"/>
      <c r="SW96" s="585"/>
      <c r="SX96" s="585"/>
      <c r="SY96" s="585"/>
      <c r="SZ96" s="585"/>
      <c r="TA96" s="585"/>
      <c r="TB96" s="585"/>
      <c r="TC96" s="585"/>
      <c r="TD96" s="585"/>
      <c r="TE96" s="585"/>
      <c r="TF96" s="585"/>
      <c r="TG96" s="585"/>
      <c r="TH96" s="585"/>
      <c r="TI96" s="585"/>
      <c r="TJ96" s="585"/>
      <c r="TK96" s="585"/>
      <c r="TL96" s="585"/>
      <c r="TM96" s="585"/>
      <c r="TN96" s="585"/>
      <c r="TO96" s="585"/>
      <c r="TP96" s="585"/>
      <c r="TQ96" s="585"/>
      <c r="TR96" s="585"/>
      <c r="TS96" s="585"/>
      <c r="TT96" s="585"/>
      <c r="TU96" s="585"/>
      <c r="TV96" s="585"/>
      <c r="TW96" s="585"/>
      <c r="TX96" s="585"/>
      <c r="TY96" s="585"/>
      <c r="TZ96" s="585"/>
      <c r="UA96" s="585"/>
      <c r="UB96" s="585"/>
      <c r="UC96" s="585"/>
      <c r="UD96" s="585"/>
      <c r="UE96" s="585"/>
      <c r="UF96" s="585"/>
      <c r="UG96" s="585"/>
      <c r="UH96" s="585"/>
      <c r="UI96" s="585"/>
      <c r="UJ96" s="585"/>
      <c r="UK96" s="585"/>
      <c r="UL96" s="585"/>
      <c r="UM96" s="585"/>
      <c r="UN96" s="585"/>
      <c r="UO96" s="585"/>
      <c r="UP96" s="585"/>
      <c r="UQ96" s="585"/>
      <c r="UR96" s="585"/>
      <c r="US96" s="585"/>
      <c r="UT96" s="585"/>
      <c r="UU96" s="585"/>
      <c r="UV96" s="585"/>
      <c r="UW96" s="585"/>
      <c r="UX96" s="585"/>
      <c r="UY96" s="585"/>
      <c r="UZ96" s="585"/>
      <c r="VA96" s="585"/>
      <c r="VB96" s="585"/>
      <c r="VC96" s="585"/>
      <c r="VD96" s="585"/>
      <c r="VE96" s="585"/>
      <c r="VF96" s="585"/>
      <c r="VG96" s="585"/>
      <c r="VH96" s="585"/>
      <c r="VI96" s="585"/>
      <c r="VJ96" s="585"/>
      <c r="VK96" s="585"/>
      <c r="VL96" s="585"/>
      <c r="VM96" s="585"/>
      <c r="VN96" s="585"/>
      <c r="VO96" s="585"/>
      <c r="VP96" s="585"/>
      <c r="VQ96" s="585"/>
      <c r="VR96" s="585"/>
      <c r="VS96" s="585"/>
      <c r="VT96" s="585"/>
      <c r="VU96" s="585"/>
      <c r="VV96" s="585"/>
      <c r="VW96" s="585"/>
      <c r="VX96" s="585"/>
      <c r="VY96" s="585"/>
      <c r="VZ96" s="585"/>
      <c r="WA96" s="585"/>
      <c r="WB96" s="585"/>
      <c r="WC96" s="585"/>
      <c r="WD96" s="585"/>
      <c r="WE96" s="585"/>
      <c r="WF96" s="585"/>
      <c r="WG96" s="585"/>
      <c r="WH96" s="585"/>
      <c r="WI96" s="585"/>
      <c r="WJ96" s="585"/>
      <c r="WK96" s="585"/>
      <c r="WL96" s="585"/>
      <c r="WM96" s="585"/>
      <c r="WN96" s="585"/>
      <c r="WO96" s="585"/>
      <c r="WP96" s="585"/>
      <c r="WQ96" s="585"/>
      <c r="WR96" s="585"/>
      <c r="WS96" s="585"/>
      <c r="WT96" s="585"/>
      <c r="WU96" s="585"/>
      <c r="WV96" s="585"/>
      <c r="WW96" s="585"/>
      <c r="WX96" s="585"/>
      <c r="WY96" s="585"/>
      <c r="WZ96" s="585"/>
      <c r="XA96" s="585"/>
      <c r="XB96" s="585"/>
      <c r="XC96" s="585"/>
      <c r="XD96" s="585"/>
      <c r="XE96" s="585"/>
      <c r="XF96" s="585"/>
      <c r="XG96" s="585"/>
      <c r="XH96" s="585"/>
      <c r="XI96" s="585"/>
      <c r="XJ96" s="585"/>
      <c r="XK96" s="585"/>
      <c r="XL96" s="585"/>
      <c r="XM96" s="585"/>
      <c r="XN96" s="585"/>
      <c r="XO96" s="585"/>
      <c r="XP96" s="585"/>
      <c r="XQ96" s="585"/>
      <c r="XR96" s="585"/>
      <c r="XS96" s="585"/>
      <c r="XT96" s="585"/>
      <c r="XU96" s="585"/>
      <c r="XV96" s="585"/>
      <c r="XW96" s="585"/>
      <c r="XX96" s="585"/>
      <c r="XY96" s="585"/>
      <c r="XZ96" s="585"/>
      <c r="YA96" s="585"/>
      <c r="YB96" s="585"/>
      <c r="YC96" s="585"/>
      <c r="YD96" s="585"/>
      <c r="YE96" s="585"/>
      <c r="YF96" s="585"/>
      <c r="YG96" s="585"/>
      <c r="YH96" s="585"/>
      <c r="YI96" s="585"/>
      <c r="YJ96" s="585"/>
      <c r="YK96" s="585"/>
      <c r="YL96" s="585"/>
      <c r="YM96" s="585"/>
      <c r="YN96" s="585"/>
      <c r="YO96" s="585"/>
      <c r="YP96" s="585"/>
      <c r="YQ96" s="585"/>
      <c r="YR96" s="585"/>
      <c r="YS96" s="585"/>
      <c r="YT96" s="585"/>
      <c r="YU96" s="585"/>
      <c r="YV96" s="585"/>
      <c r="YW96" s="585"/>
      <c r="YX96" s="585"/>
      <c r="YY96" s="585"/>
      <c r="YZ96" s="585"/>
      <c r="ZA96" s="585"/>
      <c r="ZB96" s="585"/>
      <c r="ZC96" s="585"/>
      <c r="ZD96" s="585"/>
      <c r="ZE96" s="585"/>
      <c r="ZF96" s="585"/>
      <c r="ZG96" s="585"/>
      <c r="ZH96" s="585"/>
      <c r="ZI96" s="585"/>
      <c r="ZJ96" s="585"/>
      <c r="ZK96" s="585"/>
      <c r="ZL96" s="585"/>
      <c r="ZM96" s="585"/>
      <c r="ZN96" s="585"/>
      <c r="ZO96" s="585"/>
      <c r="ZP96" s="585"/>
      <c r="ZQ96" s="585"/>
      <c r="ZR96" s="585"/>
      <c r="ZS96" s="585"/>
      <c r="ZT96" s="585"/>
      <c r="ZU96" s="585"/>
      <c r="ZV96" s="585"/>
      <c r="ZW96" s="585"/>
      <c r="ZX96" s="585"/>
      <c r="ZY96" s="585"/>
      <c r="ZZ96" s="585"/>
      <c r="AAA96" s="585"/>
      <c r="AAB96" s="585"/>
      <c r="AAC96" s="585"/>
      <c r="AAD96" s="585"/>
      <c r="AAE96" s="585"/>
      <c r="AAF96" s="585"/>
      <c r="AAG96" s="585"/>
      <c r="AAH96" s="585"/>
      <c r="AAI96" s="585"/>
      <c r="AAJ96" s="585"/>
      <c r="AAK96" s="585"/>
      <c r="AAL96" s="585"/>
      <c r="AAM96" s="585"/>
      <c r="AAN96" s="585"/>
      <c r="AAO96" s="585"/>
      <c r="AAP96" s="585"/>
      <c r="AAQ96" s="585"/>
      <c r="AAR96" s="585"/>
      <c r="AAS96" s="585"/>
      <c r="AAT96" s="585"/>
      <c r="AAU96" s="585"/>
      <c r="AAV96" s="585"/>
      <c r="AAW96" s="585"/>
      <c r="AAX96" s="585"/>
      <c r="AAY96" s="585"/>
      <c r="AAZ96" s="585"/>
      <c r="ABA96" s="585"/>
      <c r="ABB96" s="585"/>
      <c r="ABC96" s="585"/>
      <c r="ABD96" s="585"/>
      <c r="ABE96" s="585"/>
      <c r="ABF96" s="585"/>
      <c r="ABG96" s="585"/>
      <c r="ABH96" s="585"/>
      <c r="ABI96" s="585"/>
      <c r="ABJ96" s="585"/>
      <c r="ABK96" s="585"/>
      <c r="ABL96" s="585"/>
      <c r="ABM96" s="585"/>
      <c r="ABN96" s="585"/>
      <c r="ABO96" s="585"/>
      <c r="ABP96" s="585"/>
      <c r="ABQ96" s="585"/>
      <c r="ABR96" s="585"/>
      <c r="ABS96" s="585"/>
      <c r="ABT96" s="585"/>
      <c r="ABU96" s="585"/>
      <c r="ABV96" s="585"/>
      <c r="ABW96" s="585"/>
      <c r="ABX96" s="585"/>
      <c r="ABY96" s="585"/>
      <c r="ABZ96" s="585"/>
      <c r="ACA96" s="585"/>
      <c r="ACB96" s="585"/>
      <c r="ACC96" s="585"/>
      <c r="ACD96" s="585"/>
      <c r="ACE96" s="585"/>
      <c r="ACF96" s="585"/>
      <c r="ACG96" s="585"/>
      <c r="ACH96" s="585"/>
      <c r="ACI96" s="585"/>
      <c r="ACJ96" s="585"/>
      <c r="ACK96" s="585"/>
      <c r="ACL96" s="585"/>
      <c r="ACM96" s="585"/>
      <c r="ACN96" s="585"/>
      <c r="ACO96" s="585"/>
      <c r="ACP96" s="585"/>
      <c r="ACQ96" s="585"/>
      <c r="ACR96" s="585"/>
      <c r="ACS96" s="585"/>
      <c r="ACT96" s="585"/>
      <c r="ACU96" s="585"/>
      <c r="ACV96" s="585"/>
      <c r="ACW96" s="585"/>
      <c r="ACX96" s="585"/>
      <c r="ACY96" s="585"/>
      <c r="ACZ96" s="585"/>
      <c r="ADA96" s="585"/>
      <c r="ADB96" s="585"/>
      <c r="ADC96" s="585"/>
      <c r="ADD96" s="585"/>
      <c r="ADE96" s="585"/>
      <c r="ADF96" s="585"/>
      <c r="ADG96" s="585"/>
      <c r="ADH96" s="585"/>
      <c r="ADI96" s="585"/>
      <c r="ADJ96" s="585"/>
      <c r="ADK96" s="585"/>
      <c r="ADL96" s="585"/>
      <c r="ADM96" s="585"/>
      <c r="ADN96" s="585"/>
      <c r="ADO96" s="585"/>
      <c r="ADP96" s="585"/>
      <c r="ADQ96" s="585"/>
      <c r="ADR96" s="585"/>
      <c r="ADS96" s="585"/>
      <c r="ADT96" s="585"/>
      <c r="ADU96" s="585"/>
      <c r="ADV96" s="585"/>
      <c r="ADW96" s="585"/>
      <c r="ADX96" s="585"/>
      <c r="ADY96" s="585"/>
      <c r="ADZ96" s="585"/>
      <c r="AEA96" s="585"/>
      <c r="AEB96" s="585"/>
      <c r="AEC96" s="585"/>
      <c r="AED96" s="585"/>
      <c r="AEE96" s="585"/>
      <c r="AEF96" s="585"/>
      <c r="AEG96" s="585"/>
      <c r="AEH96" s="585"/>
      <c r="AEI96" s="585"/>
      <c r="AEJ96" s="585"/>
      <c r="AEK96" s="585"/>
      <c r="AEL96" s="585"/>
      <c r="AEM96" s="585"/>
      <c r="AEN96" s="585"/>
      <c r="AEO96" s="585"/>
      <c r="AEP96" s="585"/>
      <c r="AEQ96" s="585"/>
      <c r="AER96" s="585"/>
      <c r="AES96" s="585"/>
      <c r="AET96" s="585"/>
      <c r="AEU96" s="585"/>
      <c r="AEV96" s="585"/>
      <c r="AEW96" s="585"/>
      <c r="AEX96" s="585"/>
      <c r="AEY96" s="585"/>
      <c r="AEZ96" s="585"/>
      <c r="AFA96" s="585"/>
      <c r="AFB96" s="585"/>
      <c r="AFC96" s="585"/>
      <c r="AFD96" s="585"/>
      <c r="AFE96" s="585"/>
      <c r="AFF96" s="585"/>
      <c r="AFG96" s="585"/>
      <c r="AFH96" s="585"/>
      <c r="AFI96" s="585"/>
      <c r="AFJ96" s="585"/>
      <c r="AFK96" s="585"/>
      <c r="AFL96" s="585"/>
      <c r="AFM96" s="585"/>
      <c r="AFN96" s="585"/>
      <c r="AFO96" s="585"/>
      <c r="AFP96" s="585"/>
      <c r="AFQ96" s="585"/>
      <c r="AFR96" s="585"/>
      <c r="AFS96" s="585"/>
      <c r="AFT96" s="585"/>
      <c r="AFU96" s="585"/>
      <c r="AFV96" s="585"/>
      <c r="AFW96" s="585"/>
      <c r="AFX96" s="585"/>
      <c r="AFY96" s="585"/>
      <c r="AFZ96" s="585"/>
      <c r="AGA96" s="585"/>
      <c r="AGB96" s="585"/>
      <c r="AGC96" s="585"/>
      <c r="AGD96" s="585"/>
      <c r="AGE96" s="585"/>
      <c r="AGF96" s="585"/>
      <c r="AGG96" s="585"/>
      <c r="AGH96" s="585"/>
      <c r="AGI96" s="585"/>
      <c r="AGJ96" s="585"/>
      <c r="AGK96" s="585"/>
      <c r="AGL96" s="585"/>
      <c r="AGM96" s="585"/>
      <c r="AGN96" s="585"/>
      <c r="AGO96" s="585"/>
      <c r="AGP96" s="585"/>
      <c r="AGQ96" s="585"/>
      <c r="AGR96" s="585"/>
      <c r="AGS96" s="585"/>
      <c r="AGT96" s="585"/>
      <c r="AGU96" s="585"/>
      <c r="AGV96" s="585"/>
      <c r="AGW96" s="585"/>
      <c r="AGX96" s="585"/>
      <c r="AGY96" s="585"/>
      <c r="AGZ96" s="585"/>
      <c r="AHA96" s="585"/>
      <c r="AHB96" s="585"/>
      <c r="AHC96" s="585"/>
      <c r="AHD96" s="585"/>
      <c r="AHE96" s="585"/>
      <c r="AHF96" s="585"/>
      <c r="AHG96" s="585"/>
      <c r="AHH96" s="585"/>
      <c r="AHI96" s="585"/>
      <c r="AHJ96" s="585"/>
      <c r="AHK96" s="585"/>
      <c r="AHL96" s="585"/>
      <c r="AHM96" s="585"/>
      <c r="AHN96" s="585"/>
      <c r="AHO96" s="585"/>
      <c r="AHP96" s="585"/>
      <c r="AHQ96" s="585"/>
      <c r="AHR96" s="585"/>
      <c r="AHS96" s="585"/>
      <c r="AHT96" s="585"/>
      <c r="AHU96" s="585"/>
      <c r="AHV96" s="585"/>
      <c r="AHW96" s="585"/>
      <c r="AHX96" s="585"/>
      <c r="AHY96" s="585"/>
      <c r="AHZ96" s="585"/>
      <c r="AIA96" s="585"/>
      <c r="AIB96" s="585"/>
      <c r="AIC96" s="585"/>
      <c r="AID96" s="585"/>
      <c r="AIE96" s="585"/>
      <c r="AIF96" s="585"/>
      <c r="AIG96" s="585"/>
      <c r="AIH96" s="585"/>
      <c r="AII96" s="585"/>
      <c r="AIJ96" s="585"/>
      <c r="AIK96" s="585"/>
      <c r="AIL96" s="585"/>
      <c r="AIM96" s="585"/>
      <c r="AIN96" s="585"/>
      <c r="AIO96" s="585"/>
      <c r="AIP96" s="585"/>
      <c r="AIQ96" s="585"/>
      <c r="AIR96" s="585"/>
      <c r="AIS96" s="585"/>
      <c r="AIT96" s="585"/>
      <c r="AIU96" s="585"/>
      <c r="AIV96" s="585"/>
      <c r="AIW96" s="585"/>
      <c r="AIX96" s="585"/>
      <c r="AIY96" s="585"/>
      <c r="AIZ96" s="585"/>
      <c r="AJA96" s="585"/>
      <c r="AJB96" s="585"/>
      <c r="AJC96" s="585"/>
      <c r="AJD96" s="585"/>
      <c r="AJE96" s="585"/>
      <c r="AJF96" s="585"/>
      <c r="AJG96" s="585"/>
      <c r="AJH96" s="585"/>
      <c r="AJI96" s="585"/>
      <c r="AJJ96" s="585"/>
      <c r="AJK96" s="585"/>
      <c r="AJL96" s="585"/>
      <c r="AJM96" s="585"/>
      <c r="AJN96" s="585"/>
      <c r="AJO96" s="585"/>
      <c r="AJP96" s="585"/>
      <c r="AJQ96" s="585"/>
      <c r="AJR96" s="585"/>
      <c r="AJS96" s="585"/>
      <c r="AJT96" s="585"/>
      <c r="AJU96" s="585"/>
      <c r="AJV96" s="585"/>
      <c r="AJW96" s="585"/>
      <c r="AJX96" s="585"/>
      <c r="AJY96" s="585"/>
      <c r="AJZ96" s="585"/>
      <c r="AKA96" s="585"/>
      <c r="AKB96" s="585"/>
      <c r="AKC96" s="585"/>
      <c r="AKD96" s="585"/>
      <c r="AKE96" s="585"/>
      <c r="AKF96" s="585"/>
      <c r="AKG96" s="585"/>
      <c r="AKH96" s="585"/>
      <c r="AKI96" s="585"/>
      <c r="AKJ96" s="585"/>
      <c r="AKK96" s="585"/>
      <c r="AKL96" s="585"/>
      <c r="AKM96" s="585"/>
      <c r="AKN96" s="585"/>
      <c r="AKO96" s="585"/>
      <c r="AKP96" s="585"/>
      <c r="AKQ96" s="585"/>
      <c r="AKR96" s="585"/>
      <c r="AKS96" s="585"/>
      <c r="AKT96" s="585"/>
      <c r="AKU96" s="585"/>
      <c r="AKV96" s="585"/>
      <c r="AKW96" s="585"/>
      <c r="AKX96" s="585"/>
      <c r="AKY96" s="585"/>
      <c r="AKZ96" s="585"/>
      <c r="ALA96" s="585"/>
      <c r="ALB96" s="585"/>
      <c r="ALC96" s="585"/>
      <c r="ALD96" s="585"/>
      <c r="ALE96" s="585"/>
      <c r="ALF96" s="585"/>
      <c r="ALG96" s="585"/>
      <c r="ALH96" s="585"/>
      <c r="ALI96" s="585"/>
      <c r="ALJ96" s="585"/>
      <c r="ALK96" s="585"/>
      <c r="ALL96" s="585"/>
      <c r="ALM96" s="585"/>
      <c r="ALN96" s="585"/>
      <c r="ALO96" s="585"/>
      <c r="ALP96" s="585"/>
      <c r="ALQ96" s="585"/>
      <c r="ALR96" s="585"/>
      <c r="ALS96" s="585"/>
      <c r="ALT96" s="585"/>
      <c r="ALU96" s="585"/>
      <c r="ALV96" s="585"/>
      <c r="ALW96" s="585"/>
      <c r="ALX96" s="585"/>
      <c r="ALY96" s="585"/>
      <c r="ALZ96" s="585"/>
      <c r="AMA96" s="585"/>
      <c r="AMB96" s="585"/>
      <c r="AMC96" s="585"/>
      <c r="AMD96" s="585"/>
      <c r="AME96" s="585"/>
      <c r="AMF96" s="585"/>
      <c r="AMG96" s="585"/>
      <c r="AMH96" s="585"/>
      <c r="AMI96" s="585"/>
      <c r="AMJ96" s="585"/>
      <c r="AMK96" s="585"/>
      <c r="AML96" s="585"/>
      <c r="AMM96" s="585"/>
      <c r="AMN96" s="585"/>
      <c r="AMO96" s="585"/>
      <c r="AMP96" s="585"/>
      <c r="AMQ96" s="585"/>
      <c r="AMR96" s="585"/>
      <c r="AMS96" s="585"/>
      <c r="AMT96" s="585"/>
      <c r="AMU96" s="585"/>
      <c r="AMV96" s="585"/>
      <c r="AMW96" s="585"/>
      <c r="AMX96" s="585"/>
      <c r="AMY96" s="585"/>
      <c r="AMZ96" s="585"/>
      <c r="ANA96" s="585"/>
      <c r="ANB96" s="585"/>
      <c r="ANC96" s="585"/>
      <c r="AND96" s="585"/>
      <c r="ANE96" s="585"/>
      <c r="ANF96" s="585"/>
      <c r="ANG96" s="585"/>
      <c r="ANH96" s="585"/>
      <c r="ANI96" s="585"/>
      <c r="ANJ96" s="585"/>
      <c r="ANK96" s="585"/>
      <c r="ANL96" s="585"/>
      <c r="ANM96" s="585"/>
      <c r="ANN96" s="585"/>
      <c r="ANO96" s="585"/>
      <c r="ANP96" s="585"/>
      <c r="ANQ96" s="585"/>
      <c r="ANR96" s="585"/>
      <c r="ANS96" s="585"/>
      <c r="ANT96" s="585"/>
      <c r="ANU96" s="585"/>
      <c r="ANV96" s="585"/>
      <c r="ANW96" s="585"/>
      <c r="ANX96" s="585"/>
      <c r="ANY96" s="585"/>
      <c r="ANZ96" s="585"/>
      <c r="AOA96" s="585"/>
      <c r="AOB96" s="585"/>
      <c r="AOC96" s="585"/>
      <c r="AOD96" s="585"/>
      <c r="AOE96" s="585"/>
      <c r="AOF96" s="585"/>
      <c r="AOG96" s="585"/>
      <c r="AOH96" s="585"/>
      <c r="AOI96" s="585"/>
      <c r="AOJ96" s="585"/>
      <c r="AOK96" s="585"/>
      <c r="AOL96" s="585"/>
      <c r="AOM96" s="585"/>
      <c r="AON96" s="585"/>
      <c r="AOO96" s="585"/>
      <c r="AOP96" s="585"/>
      <c r="AOQ96" s="585"/>
      <c r="AOR96" s="585"/>
      <c r="AOS96" s="585"/>
      <c r="AOT96" s="585"/>
      <c r="AOU96" s="585"/>
      <c r="AOV96" s="585"/>
      <c r="AOW96" s="585"/>
      <c r="AOX96" s="585"/>
      <c r="AOY96" s="585"/>
      <c r="AOZ96" s="585"/>
      <c r="APA96" s="585"/>
      <c r="APB96" s="585"/>
      <c r="APC96" s="585"/>
      <c r="APD96" s="585"/>
      <c r="APE96" s="585"/>
      <c r="APF96" s="585"/>
      <c r="APG96" s="585"/>
      <c r="APH96" s="585"/>
      <c r="API96" s="585"/>
      <c r="APJ96" s="585"/>
      <c r="APK96" s="585"/>
      <c r="APL96" s="585"/>
      <c r="APM96" s="585"/>
      <c r="APN96" s="585"/>
      <c r="APO96" s="585"/>
      <c r="APP96" s="585"/>
      <c r="APQ96" s="585"/>
      <c r="APR96" s="585"/>
      <c r="APS96" s="585"/>
      <c r="APT96" s="585"/>
      <c r="APU96" s="585"/>
      <c r="APV96" s="585"/>
      <c r="APW96" s="585"/>
      <c r="APX96" s="585"/>
      <c r="APY96" s="585"/>
      <c r="APZ96" s="585"/>
      <c r="AQA96" s="585"/>
      <c r="AQB96" s="585"/>
      <c r="AQC96" s="585"/>
      <c r="AQD96" s="585"/>
      <c r="AQE96" s="585"/>
      <c r="AQF96" s="585"/>
      <c r="AQG96" s="585"/>
      <c r="AQH96" s="585"/>
      <c r="AQI96" s="585"/>
      <c r="AQJ96" s="585"/>
      <c r="AQK96" s="585"/>
      <c r="AQL96" s="585"/>
      <c r="AQM96" s="585"/>
      <c r="AQN96" s="585"/>
      <c r="AQO96" s="585"/>
      <c r="AQP96" s="585"/>
      <c r="AQQ96" s="585"/>
      <c r="AQR96" s="585"/>
      <c r="AQS96" s="585"/>
      <c r="AQT96" s="585"/>
      <c r="AQU96" s="585"/>
      <c r="AQV96" s="585"/>
      <c r="AQW96" s="585"/>
      <c r="AQX96" s="585"/>
      <c r="AQY96" s="585"/>
      <c r="AQZ96" s="585"/>
      <c r="ARA96" s="585"/>
      <c r="ARB96" s="585"/>
      <c r="ARC96" s="585"/>
      <c r="ARD96" s="585"/>
      <c r="ARE96" s="585"/>
      <c r="ARF96" s="585"/>
      <c r="ARG96" s="585"/>
      <c r="ARH96" s="585"/>
      <c r="ARI96" s="585"/>
      <c r="ARJ96" s="585"/>
      <c r="ARK96" s="585"/>
      <c r="ARL96" s="585"/>
      <c r="ARM96" s="585"/>
      <c r="ARN96" s="585"/>
      <c r="ARO96" s="585"/>
      <c r="ARP96" s="585"/>
      <c r="ARQ96" s="585"/>
      <c r="ARR96" s="585"/>
      <c r="ARS96" s="585"/>
      <c r="ART96" s="585"/>
      <c r="ARU96" s="585"/>
      <c r="ARV96" s="585"/>
      <c r="ARW96" s="585"/>
      <c r="ARX96" s="585"/>
      <c r="ARY96" s="585"/>
      <c r="ARZ96" s="585"/>
      <c r="ASA96" s="585"/>
      <c r="ASB96" s="585"/>
      <c r="ASC96" s="585"/>
      <c r="ASD96" s="585"/>
      <c r="ASE96" s="585"/>
      <c r="ASF96" s="585"/>
      <c r="ASG96" s="585"/>
      <c r="ASH96" s="585"/>
      <c r="ASI96" s="585"/>
      <c r="ASJ96" s="585"/>
      <c r="ASK96" s="585"/>
      <c r="ASL96" s="585"/>
      <c r="ASM96" s="585"/>
      <c r="ASN96" s="585"/>
      <c r="ASO96" s="585"/>
      <c r="ASP96" s="585"/>
      <c r="ASQ96" s="585"/>
      <c r="ASR96" s="585"/>
      <c r="ASS96" s="585"/>
      <c r="AST96" s="585"/>
      <c r="ASU96" s="585"/>
      <c r="ASV96" s="585"/>
      <c r="ASW96" s="585"/>
      <c r="ASX96" s="585"/>
      <c r="ASY96" s="585"/>
      <c r="ASZ96" s="585"/>
      <c r="ATA96" s="585"/>
      <c r="ATB96" s="585"/>
      <c r="ATC96" s="585"/>
      <c r="ATD96" s="585"/>
      <c r="ATE96" s="585"/>
      <c r="ATF96" s="585"/>
      <c r="ATG96" s="585"/>
      <c r="ATH96" s="585"/>
      <c r="ATI96" s="585"/>
      <c r="ATJ96" s="585"/>
      <c r="ATK96" s="585"/>
      <c r="ATL96" s="585"/>
      <c r="ATM96" s="585"/>
      <c r="ATN96" s="585"/>
      <c r="ATO96" s="585"/>
      <c r="ATP96" s="585"/>
      <c r="ATQ96" s="585"/>
      <c r="ATR96" s="585"/>
      <c r="ATS96" s="585"/>
      <c r="ATT96" s="585"/>
      <c r="ATU96" s="585"/>
      <c r="ATV96" s="585"/>
      <c r="ATW96" s="585"/>
      <c r="ATX96" s="585"/>
      <c r="ATY96" s="585"/>
      <c r="ATZ96" s="585"/>
      <c r="AUA96" s="585"/>
      <c r="AUB96" s="585"/>
      <c r="AUC96" s="585"/>
      <c r="AUD96" s="585"/>
      <c r="AUE96" s="585"/>
      <c r="AUF96" s="585"/>
      <c r="AUG96" s="585"/>
      <c r="AUH96" s="585"/>
      <c r="AUI96" s="585"/>
      <c r="AUJ96" s="585"/>
      <c r="AUK96" s="585"/>
      <c r="AUL96" s="585"/>
      <c r="AUM96" s="585"/>
      <c r="AUN96" s="585"/>
      <c r="AUO96" s="585"/>
      <c r="AUP96" s="585"/>
      <c r="AUQ96" s="585"/>
      <c r="AUR96" s="585"/>
      <c r="AUS96" s="585"/>
      <c r="AUV96" s="699">
        <f t="shared" si="235"/>
        <v>15072</v>
      </c>
      <c r="AUW96" s="699">
        <f t="shared" si="236"/>
        <v>11576.04</v>
      </c>
      <c r="AUX96" s="699">
        <f t="shared" si="237"/>
        <v>3495.96</v>
      </c>
      <c r="AUY96" s="699">
        <f t="shared" si="346"/>
        <v>22</v>
      </c>
      <c r="AUZ96" s="699">
        <f t="shared" si="344"/>
        <v>2.02</v>
      </c>
      <c r="AVA96" s="699">
        <f t="shared" si="344"/>
        <v>0.02</v>
      </c>
      <c r="AVB96" s="699">
        <f t="shared" si="347"/>
        <v>454</v>
      </c>
      <c r="AVC96" s="699">
        <f t="shared" si="348"/>
        <v>104</v>
      </c>
      <c r="AVD96" s="699">
        <f t="shared" si="349"/>
        <v>214</v>
      </c>
      <c r="AVE96" s="699">
        <f t="shared" si="350"/>
        <v>62</v>
      </c>
      <c r="AVF96" s="699">
        <f t="shared" si="351"/>
        <v>74</v>
      </c>
      <c r="AVG96" s="699">
        <f t="shared" si="352"/>
        <v>487</v>
      </c>
      <c r="AVH96" s="699">
        <f t="shared" si="353"/>
        <v>508</v>
      </c>
      <c r="AVI96" s="699">
        <f t="shared" si="354"/>
        <v>54</v>
      </c>
      <c r="AVJ96" s="699">
        <f t="shared" si="355"/>
        <v>77</v>
      </c>
      <c r="AVK96" s="699">
        <f t="shared" si="356"/>
        <v>8</v>
      </c>
      <c r="AVL96" s="699">
        <f t="shared" si="357"/>
        <v>30</v>
      </c>
      <c r="AVM96" s="699">
        <f t="shared" si="358"/>
        <v>3750</v>
      </c>
      <c r="AVN96" s="699">
        <f t="shared" si="359"/>
        <v>2880.18</v>
      </c>
      <c r="AVO96" s="699">
        <f t="shared" si="360"/>
        <v>869.82</v>
      </c>
      <c r="AVP96" s="699">
        <f t="shared" si="361"/>
        <v>0</v>
      </c>
      <c r="AVQ96" s="699">
        <f t="shared" si="362"/>
        <v>15123</v>
      </c>
    </row>
    <row r="97" spans="1:108 1244:1265" ht="30" customHeight="1" x14ac:dyDescent="0.25">
      <c r="A97" s="643">
        <v>1</v>
      </c>
      <c r="B97" s="643">
        <v>5</v>
      </c>
      <c r="C97" s="664" t="s">
        <v>248</v>
      </c>
      <c r="D97" s="2"/>
      <c r="E97" s="101" t="s">
        <v>344</v>
      </c>
      <c r="F97" s="643" t="s">
        <v>31</v>
      </c>
      <c r="G97" s="643">
        <v>1</v>
      </c>
      <c r="H97" s="658" t="s">
        <v>10</v>
      </c>
      <c r="I97" s="643">
        <v>0</v>
      </c>
      <c r="J97" s="101" t="s">
        <v>371</v>
      </c>
      <c r="K97" s="643">
        <v>1</v>
      </c>
      <c r="L97" s="683" t="s">
        <v>349</v>
      </c>
      <c r="M97" s="11" t="s">
        <v>313</v>
      </c>
      <c r="N97" s="101" t="s">
        <v>401</v>
      </c>
      <c r="O97" s="643">
        <v>2</v>
      </c>
      <c r="P97" s="632">
        <v>3</v>
      </c>
      <c r="Q97" s="632">
        <v>3</v>
      </c>
      <c r="R97" s="632">
        <v>3</v>
      </c>
      <c r="S97" s="675">
        <f>SUMIF('Территориальный кк'!$A:$A,'2020'!$B97,'Территориальный кк'!D:D)</f>
        <v>1.395</v>
      </c>
      <c r="T97" s="676">
        <f>SUMIF('Территориальный кк'!$A:$A,'2020'!$B97,'Территориальный кк'!E:E)</f>
        <v>1.9790000000000001</v>
      </c>
      <c r="U97" s="618">
        <f>SUMIFS(Нормативы!G:G,Нормативы!$B:$B,$G97,Нормативы!$D:$D,'2020'!$I97,Нормативы!$F:$F,'2020'!$K97)*O97</f>
        <v>108040</v>
      </c>
      <c r="V97" s="618">
        <f t="shared" si="329"/>
        <v>82980</v>
      </c>
      <c r="W97" s="618">
        <f t="shared" si="330"/>
        <v>25060</v>
      </c>
      <c r="X97" s="618">
        <f>SUMIFS(Нормативы!J:J,Нормативы!$B:$B,$G97,Нормативы!$D:$D,'2020'!$I97,Нормативы!$F:$F,'2020'!$K97)</f>
        <v>220</v>
      </c>
      <c r="Y97" s="618">
        <f>SUMIFS(Нормативы!K:K,Нормативы!$B:$B,$G97,Нормативы!$D:$D,'2020'!$I97,Нормативы!$F:$F,'2020'!$K97)</f>
        <v>44</v>
      </c>
      <c r="Z97" s="618">
        <f>SUMIFS(Нормативы!L:L,Нормативы!$B:$B,$G97,Нормативы!$D:$D,'2020'!$I97,Нормативы!$F:$F,'2020'!$K97)</f>
        <v>2320</v>
      </c>
      <c r="AA97" s="618">
        <f t="shared" si="331"/>
        <v>4540</v>
      </c>
      <c r="AB97" s="618">
        <f>SUMIFS(Нормативы!N:N,Нормативы!$B:$B,$G97,Нормативы!$D:$D,'2020'!$I97,Нормативы!$F:$F,'2020'!$K97)*O97</f>
        <v>1040</v>
      </c>
      <c r="AC97" s="618">
        <f>SUMIFS(Нормативы!O:O,Нормативы!$B:$B,$G97,Нормативы!$D:$D,'2020'!$I97,Нормативы!$F:$F,'2020'!$K97)</f>
        <v>2140</v>
      </c>
      <c r="AD97" s="618">
        <f>SUMIFS(Нормативы!P:P,Нормативы!$B:$B,$G97,Нормативы!$D:$D,'2020'!$I97,Нормативы!$F:$F,'2020'!$K97)*O97</f>
        <v>620</v>
      </c>
      <c r="AE97" s="618">
        <f>SUMIFS(Нормативы!Q:Q,Нормативы!$B:$B,$G97,Нормативы!$D:$D,'2020'!$I97,Нормативы!$F:$F,'2020'!$K97)</f>
        <v>740</v>
      </c>
      <c r="AF97" s="618">
        <f>SUMIFS(Нормативы!R:R,Нормативы!$B:$B,$G97,Нормативы!$D:$D,'2020'!$I97,Нормативы!$F:$F,'2020'!$K97)</f>
        <v>2460</v>
      </c>
      <c r="AG97" s="618">
        <f>SUMIFS(Нормативы!S:S,Нормативы!$B:$B,$G97,Нормативы!$D:$D,'2020'!$I97,Нормативы!$F:$F,'2020'!$K97)</f>
        <v>5080</v>
      </c>
      <c r="AH97" s="618">
        <f>SUMIFS(Нормативы!T:T,Нормативы!$B:$B,$G97,Нормативы!$D:$D,'2020'!$I97,Нормативы!$F:$F,'2020'!$K97)</f>
        <v>540</v>
      </c>
      <c r="AI97" s="618">
        <f>SUMIFS(Нормативы!U:U,Нормативы!$B:$B,$G97,Нормативы!$D:$D,'2020'!$I97,Нормативы!$F:$F,'2020'!$K97)</f>
        <v>770</v>
      </c>
      <c r="AJ97" s="618">
        <f>SUMIFS(Нормативы!V:V,Нормативы!$B:$B,$G97,Нормативы!$D:$D,'2020'!$I97,Нормативы!$F:$F,'2020'!$K97)</f>
        <v>80</v>
      </c>
      <c r="AK97" s="618">
        <f>SUMIFS(Нормативы!W:W,Нормативы!$B:$B,$G97,Нормативы!$D:$D,'2020'!$I97,Нормативы!$F:$F,'2020'!$K97)</f>
        <v>300</v>
      </c>
      <c r="AL97" s="618">
        <f>SUMIFS(Нормативы!X:X,Нормативы!$B:$B,$G97,Нормативы!$D:$D,'2020'!$I97,Нормативы!$F:$F,'2020'!$K97)*O97</f>
        <v>26880</v>
      </c>
      <c r="AM97" s="618">
        <f t="shared" si="332"/>
        <v>20645.2</v>
      </c>
      <c r="AN97" s="618">
        <f t="shared" si="333"/>
        <v>6234.8</v>
      </c>
      <c r="AO97" s="618">
        <f>SUMIFS(Нормативы!AA:AA,Нормативы!$B:$B,$G97,Нормативы!$D:$D,'2020'!$I97,Нормативы!$F:$F,'2020'!$K97)</f>
        <v>3520</v>
      </c>
      <c r="AP97" s="619">
        <f t="shared" si="334"/>
        <v>154750</v>
      </c>
      <c r="AQ97" s="413">
        <f t="shared" si="272"/>
        <v>324120</v>
      </c>
      <c r="AR97" s="618">
        <f t="shared" si="335"/>
        <v>248940.1</v>
      </c>
      <c r="AS97" s="618">
        <f t="shared" si="336"/>
        <v>75179.899999999994</v>
      </c>
      <c r="AT97" s="616">
        <f t="shared" si="273"/>
        <v>660</v>
      </c>
      <c r="AU97" s="616">
        <f t="shared" si="274"/>
        <v>132</v>
      </c>
      <c r="AV97" s="616">
        <f t="shared" si="275"/>
        <v>6960</v>
      </c>
      <c r="AW97" s="616">
        <f t="shared" si="276"/>
        <v>13620</v>
      </c>
      <c r="AX97" s="616">
        <f t="shared" si="277"/>
        <v>3120</v>
      </c>
      <c r="AY97" s="616">
        <f t="shared" si="278"/>
        <v>6420</v>
      </c>
      <c r="AZ97" s="616">
        <f t="shared" si="279"/>
        <v>1860</v>
      </c>
      <c r="BA97" s="616">
        <f t="shared" si="280"/>
        <v>2220</v>
      </c>
      <c r="BB97" s="616">
        <f t="shared" si="281"/>
        <v>7380</v>
      </c>
      <c r="BC97" s="616">
        <f t="shared" si="282"/>
        <v>15240</v>
      </c>
      <c r="BD97" s="616">
        <f t="shared" si="283"/>
        <v>1620</v>
      </c>
      <c r="BE97" s="616">
        <f t="shared" si="284"/>
        <v>2310</v>
      </c>
      <c r="BF97" s="616">
        <f t="shared" si="285"/>
        <v>240</v>
      </c>
      <c r="BG97" s="616">
        <f t="shared" si="286"/>
        <v>900</v>
      </c>
      <c r="BH97" s="616">
        <f t="shared" si="287"/>
        <v>80640</v>
      </c>
      <c r="BI97" s="618">
        <f t="shared" si="337"/>
        <v>61935.5</v>
      </c>
      <c r="BJ97" s="618">
        <f t="shared" si="338"/>
        <v>18704.5</v>
      </c>
      <c r="BK97" s="616">
        <f t="shared" si="288"/>
        <v>10560</v>
      </c>
      <c r="BL97" s="620">
        <f t="shared" si="289"/>
        <v>464250</v>
      </c>
      <c r="BM97" s="616">
        <f t="shared" si="290"/>
        <v>452147</v>
      </c>
      <c r="BN97" s="618">
        <f t="shared" si="291"/>
        <v>347271.1</v>
      </c>
      <c r="BO97" s="618">
        <f t="shared" si="292"/>
        <v>104875.9</v>
      </c>
      <c r="BP97" s="616">
        <f t="shared" si="339"/>
        <v>660</v>
      </c>
      <c r="BQ97" s="616">
        <f t="shared" si="340"/>
        <v>132</v>
      </c>
      <c r="BR97" s="616">
        <f t="shared" si="341"/>
        <v>6960</v>
      </c>
      <c r="BS97" s="616">
        <f t="shared" si="293"/>
        <v>13620</v>
      </c>
      <c r="BT97" s="616">
        <f t="shared" si="294"/>
        <v>3120</v>
      </c>
      <c r="BU97" s="616">
        <f t="shared" si="295"/>
        <v>6420</v>
      </c>
      <c r="BV97" s="616">
        <f t="shared" si="296"/>
        <v>1860</v>
      </c>
      <c r="BW97" s="616">
        <f t="shared" si="297"/>
        <v>2220</v>
      </c>
      <c r="BX97" s="616">
        <f t="shared" si="298"/>
        <v>14605</v>
      </c>
      <c r="BY97" s="616">
        <f t="shared" si="299"/>
        <v>15240</v>
      </c>
      <c r="BZ97" s="616">
        <f t="shared" si="300"/>
        <v>1620</v>
      </c>
      <c r="CA97" s="616">
        <f t="shared" si="301"/>
        <v>2310</v>
      </c>
      <c r="CB97" s="616">
        <f t="shared" si="302"/>
        <v>240</v>
      </c>
      <c r="CC97" s="616">
        <f t="shared" si="303"/>
        <v>900</v>
      </c>
      <c r="CD97" s="616">
        <f t="shared" si="304"/>
        <v>112493</v>
      </c>
      <c r="CE97" s="618">
        <f t="shared" si="342"/>
        <v>86400.2</v>
      </c>
      <c r="CF97" s="618">
        <f t="shared" si="343"/>
        <v>26092.799999999999</v>
      </c>
      <c r="CG97" s="616">
        <f t="shared" si="305"/>
        <v>10560</v>
      </c>
      <c r="CH97" s="621">
        <f t="shared" si="306"/>
        <v>631355</v>
      </c>
      <c r="CI97" s="88">
        <f t="shared" si="307"/>
        <v>150715.6667</v>
      </c>
      <c r="CJ97" s="90">
        <f t="shared" si="308"/>
        <v>115757.0333</v>
      </c>
      <c r="CK97" s="90">
        <f t="shared" si="309"/>
        <v>34958.633300000001</v>
      </c>
      <c r="CL97" s="88">
        <f t="shared" si="310"/>
        <v>220</v>
      </c>
      <c r="CM97" s="88">
        <f t="shared" si="311"/>
        <v>44</v>
      </c>
      <c r="CN97" s="88">
        <f t="shared" si="312"/>
        <v>2320</v>
      </c>
      <c r="CO97" s="88">
        <f t="shared" si="313"/>
        <v>4540</v>
      </c>
      <c r="CP97" s="88">
        <f t="shared" si="314"/>
        <v>1040</v>
      </c>
      <c r="CQ97" s="88">
        <f t="shared" si="315"/>
        <v>2140</v>
      </c>
      <c r="CR97" s="88">
        <f t="shared" si="316"/>
        <v>620</v>
      </c>
      <c r="CS97" s="88">
        <f t="shared" si="317"/>
        <v>740</v>
      </c>
      <c r="CT97" s="88">
        <f t="shared" si="318"/>
        <v>4868.3333000000002</v>
      </c>
      <c r="CU97" s="88">
        <f t="shared" si="319"/>
        <v>5080</v>
      </c>
      <c r="CV97" s="88">
        <f t="shared" si="320"/>
        <v>540</v>
      </c>
      <c r="CW97" s="88">
        <f t="shared" si="321"/>
        <v>770</v>
      </c>
      <c r="CX97" s="88">
        <f t="shared" si="322"/>
        <v>80</v>
      </c>
      <c r="CY97" s="88">
        <f t="shared" si="323"/>
        <v>300</v>
      </c>
      <c r="CZ97" s="88">
        <f t="shared" si="324"/>
        <v>37497.666700000002</v>
      </c>
      <c r="DA97" s="90">
        <f t="shared" si="325"/>
        <v>28800.066699999999</v>
      </c>
      <c r="DB97" s="90">
        <f t="shared" si="326"/>
        <v>8697.6</v>
      </c>
      <c r="DC97" s="88">
        <f t="shared" si="327"/>
        <v>3520</v>
      </c>
      <c r="DD97" s="211">
        <f t="shared" si="328"/>
        <v>210451.6667</v>
      </c>
      <c r="AUV97" s="699">
        <f t="shared" si="235"/>
        <v>150715.67000000001</v>
      </c>
      <c r="AUW97" s="699">
        <f t="shared" si="236"/>
        <v>115757.04</v>
      </c>
      <c r="AUX97" s="699">
        <f t="shared" si="237"/>
        <v>34958.629999999997</v>
      </c>
      <c r="AUY97" s="699">
        <f t="shared" si="346"/>
        <v>220</v>
      </c>
      <c r="AUZ97" s="699">
        <f t="shared" si="344"/>
        <v>66.7</v>
      </c>
      <c r="AVA97" s="699">
        <f t="shared" si="344"/>
        <v>0.06</v>
      </c>
      <c r="AVB97" s="699">
        <f t="shared" si="347"/>
        <v>4540</v>
      </c>
      <c r="AVC97" s="699">
        <f t="shared" si="348"/>
        <v>1040</v>
      </c>
      <c r="AVD97" s="699">
        <f t="shared" si="349"/>
        <v>2140</v>
      </c>
      <c r="AVE97" s="699">
        <f t="shared" si="350"/>
        <v>620</v>
      </c>
      <c r="AVF97" s="699">
        <f t="shared" si="351"/>
        <v>740</v>
      </c>
      <c r="AVG97" s="699">
        <f t="shared" si="352"/>
        <v>4868.33</v>
      </c>
      <c r="AVH97" s="699">
        <f t="shared" si="353"/>
        <v>5080</v>
      </c>
      <c r="AVI97" s="699">
        <f t="shared" si="354"/>
        <v>540</v>
      </c>
      <c r="AVJ97" s="699">
        <f t="shared" si="355"/>
        <v>770</v>
      </c>
      <c r="AVK97" s="699">
        <f t="shared" si="356"/>
        <v>80</v>
      </c>
      <c r="AVL97" s="699">
        <f t="shared" si="357"/>
        <v>300</v>
      </c>
      <c r="AVM97" s="699">
        <f t="shared" si="358"/>
        <v>37497.67</v>
      </c>
      <c r="AVN97" s="699">
        <f t="shared" si="359"/>
        <v>28800.05</v>
      </c>
      <c r="AVO97" s="699">
        <f t="shared" si="360"/>
        <v>8697.6200000000008</v>
      </c>
      <c r="AVP97" s="699">
        <f t="shared" si="361"/>
        <v>3520</v>
      </c>
      <c r="AVQ97" s="699">
        <f t="shared" si="362"/>
        <v>210451.67</v>
      </c>
    </row>
    <row r="98" spans="1:108 1244:1265" ht="30" customHeight="1" x14ac:dyDescent="0.25">
      <c r="A98" s="643">
        <v>1</v>
      </c>
      <c r="B98" s="643">
        <v>5</v>
      </c>
      <c r="C98" s="664" t="s">
        <v>248</v>
      </c>
      <c r="D98" s="2"/>
      <c r="E98" s="101" t="s">
        <v>344</v>
      </c>
      <c r="F98" s="643" t="s">
        <v>31</v>
      </c>
      <c r="G98" s="643">
        <v>1</v>
      </c>
      <c r="H98" s="658" t="s">
        <v>8</v>
      </c>
      <c r="I98" s="643">
        <v>3</v>
      </c>
      <c r="J98" s="101" t="s">
        <v>371</v>
      </c>
      <c r="K98" s="643">
        <v>1</v>
      </c>
      <c r="L98" s="683" t="s">
        <v>349</v>
      </c>
      <c r="M98" s="11" t="s">
        <v>277</v>
      </c>
      <c r="N98" s="101" t="s">
        <v>387</v>
      </c>
      <c r="O98" s="643">
        <v>1</v>
      </c>
      <c r="P98" s="632">
        <v>84</v>
      </c>
      <c r="Q98" s="632">
        <v>84</v>
      </c>
      <c r="R98" s="632">
        <v>84</v>
      </c>
      <c r="S98" s="675">
        <f>SUMIF('Территориальный кк'!$A:$A,'2020'!$B98,'Территориальный кк'!D:D)</f>
        <v>1.395</v>
      </c>
      <c r="T98" s="676">
        <f>SUMIF('Территориальный кк'!$A:$A,'2020'!$B98,'Территориальный кк'!E:E)</f>
        <v>1.9790000000000001</v>
      </c>
      <c r="U98" s="618">
        <f>SUMIFS(Нормативы!G:G,Нормативы!$B:$B,$G98,Нормативы!$D:$D,'2020'!$I98,Нормативы!$F:$F,'2020'!$K98)*O98</f>
        <v>5402</v>
      </c>
      <c r="V98" s="618">
        <f t="shared" si="329"/>
        <v>4149</v>
      </c>
      <c r="W98" s="618">
        <f t="shared" si="330"/>
        <v>1253</v>
      </c>
      <c r="X98" s="618">
        <f>SUMIFS(Нормативы!J:J,Нормативы!$B:$B,$G98,Нормативы!$D:$D,'2020'!$I98,Нормативы!$F:$F,'2020'!$K98)</f>
        <v>22</v>
      </c>
      <c r="Y98" s="618">
        <f>SUMIFS(Нормативы!K:K,Нормативы!$B:$B,$G98,Нормативы!$D:$D,'2020'!$I98,Нормативы!$F:$F,'2020'!$K98)</f>
        <v>4</v>
      </c>
      <c r="Z98" s="618">
        <f>SUMIFS(Нормативы!L:L,Нормативы!$B:$B,$G98,Нормативы!$D:$D,'2020'!$I98,Нормативы!$F:$F,'2020'!$K98)</f>
        <v>232</v>
      </c>
      <c r="AA98" s="618">
        <f t="shared" si="331"/>
        <v>371</v>
      </c>
      <c r="AB98" s="618">
        <f>SUMIFS(Нормативы!N:N,Нормативы!$B:$B,$G98,Нормативы!$D:$D,'2020'!$I98,Нормативы!$F:$F,'2020'!$K98)*O98</f>
        <v>52</v>
      </c>
      <c r="AC98" s="618">
        <f>SUMIFS(Нормативы!O:O,Нормативы!$B:$B,$G98,Нормативы!$D:$D,'2020'!$I98,Нормативы!$F:$F,'2020'!$K98)</f>
        <v>214</v>
      </c>
      <c r="AD98" s="618">
        <f>SUMIFS(Нормативы!P:P,Нормативы!$B:$B,$G98,Нормативы!$D:$D,'2020'!$I98,Нормативы!$F:$F,'2020'!$K98)*O98</f>
        <v>31</v>
      </c>
      <c r="AE98" s="618">
        <f>SUMIFS(Нормативы!Q:Q,Нормативы!$B:$B,$G98,Нормативы!$D:$D,'2020'!$I98,Нормативы!$F:$F,'2020'!$K98)</f>
        <v>74</v>
      </c>
      <c r="AF98" s="618">
        <f>SUMIFS(Нормативы!R:R,Нормативы!$B:$B,$G98,Нормативы!$D:$D,'2020'!$I98,Нормативы!$F:$F,'2020'!$K98)</f>
        <v>246</v>
      </c>
      <c r="AG98" s="618">
        <f>SUMIFS(Нормативы!S:S,Нормативы!$B:$B,$G98,Нормативы!$D:$D,'2020'!$I98,Нормативы!$F:$F,'2020'!$K98)</f>
        <v>508</v>
      </c>
      <c r="AH98" s="618">
        <f>SUMIFS(Нормативы!T:T,Нормативы!$B:$B,$G98,Нормативы!$D:$D,'2020'!$I98,Нормативы!$F:$F,'2020'!$K98)</f>
        <v>54</v>
      </c>
      <c r="AI98" s="618">
        <f>SUMIFS(Нормативы!U:U,Нормативы!$B:$B,$G98,Нормативы!$D:$D,'2020'!$I98,Нормативы!$F:$F,'2020'!$K98)</f>
        <v>77</v>
      </c>
      <c r="AJ98" s="618">
        <f>SUMIFS(Нормативы!V:V,Нормативы!$B:$B,$G98,Нормативы!$D:$D,'2020'!$I98,Нормативы!$F:$F,'2020'!$K98)</f>
        <v>8</v>
      </c>
      <c r="AK98" s="618">
        <f>SUMIFS(Нормативы!W:W,Нормативы!$B:$B,$G98,Нормативы!$D:$D,'2020'!$I98,Нормативы!$F:$F,'2020'!$K98)</f>
        <v>30</v>
      </c>
      <c r="AL98" s="618">
        <f>SUMIFS(Нормативы!X:X,Нормативы!$B:$B,$G98,Нормативы!$D:$D,'2020'!$I98,Нормативы!$F:$F,'2020'!$K98)*O98</f>
        <v>1344</v>
      </c>
      <c r="AM98" s="618">
        <f t="shared" si="332"/>
        <v>1032.3</v>
      </c>
      <c r="AN98" s="618">
        <f t="shared" si="333"/>
        <v>311.7</v>
      </c>
      <c r="AO98" s="618">
        <f>SUMIFS(Нормативы!AA:AA,Нормативы!$B:$B,$G98,Нормативы!$D:$D,'2020'!$I98,Нормативы!$F:$F,'2020'!$K98)</f>
        <v>0</v>
      </c>
      <c r="AP98" s="619">
        <f t="shared" si="334"/>
        <v>8294</v>
      </c>
      <c r="AQ98" s="413">
        <f t="shared" si="272"/>
        <v>453768</v>
      </c>
      <c r="AR98" s="618">
        <f t="shared" si="335"/>
        <v>348516.1</v>
      </c>
      <c r="AS98" s="618">
        <f t="shared" si="336"/>
        <v>105251.9</v>
      </c>
      <c r="AT98" s="616">
        <f t="shared" si="273"/>
        <v>1848</v>
      </c>
      <c r="AU98" s="616">
        <f t="shared" si="274"/>
        <v>336</v>
      </c>
      <c r="AV98" s="616">
        <f t="shared" si="275"/>
        <v>19488</v>
      </c>
      <c r="AW98" s="616">
        <f t="shared" si="276"/>
        <v>31164</v>
      </c>
      <c r="AX98" s="616">
        <f t="shared" si="277"/>
        <v>4368</v>
      </c>
      <c r="AY98" s="616">
        <f t="shared" si="278"/>
        <v>17976</v>
      </c>
      <c r="AZ98" s="616">
        <f t="shared" si="279"/>
        <v>2604</v>
      </c>
      <c r="BA98" s="616">
        <f t="shared" si="280"/>
        <v>6216</v>
      </c>
      <c r="BB98" s="616">
        <f t="shared" si="281"/>
        <v>20664</v>
      </c>
      <c r="BC98" s="616">
        <f t="shared" si="282"/>
        <v>42672</v>
      </c>
      <c r="BD98" s="616">
        <f t="shared" si="283"/>
        <v>4536</v>
      </c>
      <c r="BE98" s="616">
        <f t="shared" si="284"/>
        <v>6468</v>
      </c>
      <c r="BF98" s="616">
        <f t="shared" si="285"/>
        <v>672</v>
      </c>
      <c r="BG98" s="616">
        <f t="shared" si="286"/>
        <v>2520</v>
      </c>
      <c r="BH98" s="616">
        <f t="shared" si="287"/>
        <v>112896</v>
      </c>
      <c r="BI98" s="618">
        <f t="shared" si="337"/>
        <v>86709.7</v>
      </c>
      <c r="BJ98" s="618">
        <f t="shared" si="338"/>
        <v>26186.3</v>
      </c>
      <c r="BK98" s="616">
        <f t="shared" si="288"/>
        <v>0</v>
      </c>
      <c r="BL98" s="620">
        <f t="shared" si="289"/>
        <v>696696</v>
      </c>
      <c r="BM98" s="616">
        <f t="shared" si="290"/>
        <v>633006</v>
      </c>
      <c r="BN98" s="618">
        <f t="shared" si="291"/>
        <v>486179.7</v>
      </c>
      <c r="BO98" s="618">
        <f t="shared" si="292"/>
        <v>146826.29999999999</v>
      </c>
      <c r="BP98" s="616">
        <f t="shared" si="339"/>
        <v>1848</v>
      </c>
      <c r="BQ98" s="616">
        <f t="shared" si="340"/>
        <v>336</v>
      </c>
      <c r="BR98" s="616">
        <f t="shared" si="341"/>
        <v>19488</v>
      </c>
      <c r="BS98" s="616">
        <f t="shared" si="293"/>
        <v>31164</v>
      </c>
      <c r="BT98" s="616">
        <f t="shared" si="294"/>
        <v>4368</v>
      </c>
      <c r="BU98" s="616">
        <f t="shared" si="295"/>
        <v>17976</v>
      </c>
      <c r="BV98" s="616">
        <f t="shared" si="296"/>
        <v>2604</v>
      </c>
      <c r="BW98" s="616">
        <f t="shared" si="297"/>
        <v>6216</v>
      </c>
      <c r="BX98" s="616">
        <f t="shared" si="298"/>
        <v>40894</v>
      </c>
      <c r="BY98" s="616">
        <f t="shared" si="299"/>
        <v>42672</v>
      </c>
      <c r="BZ98" s="616">
        <f t="shared" si="300"/>
        <v>4536</v>
      </c>
      <c r="CA98" s="616">
        <f t="shared" si="301"/>
        <v>6468</v>
      </c>
      <c r="CB98" s="616">
        <f t="shared" si="302"/>
        <v>672</v>
      </c>
      <c r="CC98" s="616">
        <f t="shared" si="303"/>
        <v>2520</v>
      </c>
      <c r="CD98" s="616">
        <f t="shared" si="304"/>
        <v>157490</v>
      </c>
      <c r="CE98" s="618">
        <f t="shared" si="342"/>
        <v>120960.1</v>
      </c>
      <c r="CF98" s="618">
        <f t="shared" si="343"/>
        <v>36529.9</v>
      </c>
      <c r="CG98" s="616">
        <f t="shared" si="305"/>
        <v>0</v>
      </c>
      <c r="CH98" s="621">
        <f t="shared" si="306"/>
        <v>940758</v>
      </c>
      <c r="CI98" s="88">
        <f t="shared" si="307"/>
        <v>7535.7857000000004</v>
      </c>
      <c r="CJ98" s="90">
        <f t="shared" si="308"/>
        <v>5787.8536000000004</v>
      </c>
      <c r="CK98" s="90">
        <f t="shared" si="309"/>
        <v>1747.9321</v>
      </c>
      <c r="CL98" s="88">
        <f t="shared" si="310"/>
        <v>22</v>
      </c>
      <c r="CM98" s="88">
        <f t="shared" si="311"/>
        <v>4</v>
      </c>
      <c r="CN98" s="88">
        <f t="shared" si="312"/>
        <v>232</v>
      </c>
      <c r="CO98" s="88">
        <f t="shared" si="313"/>
        <v>371</v>
      </c>
      <c r="CP98" s="88">
        <f t="shared" si="314"/>
        <v>52</v>
      </c>
      <c r="CQ98" s="88">
        <f t="shared" si="315"/>
        <v>214</v>
      </c>
      <c r="CR98" s="88">
        <f t="shared" si="316"/>
        <v>31</v>
      </c>
      <c r="CS98" s="88">
        <f t="shared" si="317"/>
        <v>74</v>
      </c>
      <c r="CT98" s="88">
        <f t="shared" si="318"/>
        <v>486.83330000000001</v>
      </c>
      <c r="CU98" s="88">
        <f t="shared" si="319"/>
        <v>508</v>
      </c>
      <c r="CV98" s="88">
        <f t="shared" si="320"/>
        <v>54</v>
      </c>
      <c r="CW98" s="88">
        <f t="shared" si="321"/>
        <v>77</v>
      </c>
      <c r="CX98" s="88">
        <f t="shared" si="322"/>
        <v>8</v>
      </c>
      <c r="CY98" s="88">
        <f t="shared" si="323"/>
        <v>30</v>
      </c>
      <c r="CZ98" s="88">
        <f t="shared" si="324"/>
        <v>1874.8810000000001</v>
      </c>
      <c r="DA98" s="90">
        <f t="shared" si="325"/>
        <v>1440.0011999999999</v>
      </c>
      <c r="DB98" s="90">
        <f t="shared" si="326"/>
        <v>434.87979999999999</v>
      </c>
      <c r="DC98" s="88">
        <f t="shared" si="327"/>
        <v>0</v>
      </c>
      <c r="DD98" s="88">
        <f t="shared" si="328"/>
        <v>11199.5</v>
      </c>
      <c r="AUV98" s="699">
        <f t="shared" si="235"/>
        <v>7535.79</v>
      </c>
      <c r="AUW98" s="699">
        <f t="shared" si="236"/>
        <v>5787.86</v>
      </c>
      <c r="AUX98" s="699">
        <f t="shared" si="237"/>
        <v>1747.93</v>
      </c>
      <c r="AUY98" s="699">
        <f t="shared" si="346"/>
        <v>22</v>
      </c>
      <c r="AUZ98" s="699">
        <f t="shared" si="344"/>
        <v>169.78</v>
      </c>
      <c r="AVA98" s="699">
        <f t="shared" si="344"/>
        <v>3.61</v>
      </c>
      <c r="AVB98" s="699">
        <f t="shared" si="347"/>
        <v>371</v>
      </c>
      <c r="AVC98" s="699">
        <f t="shared" si="348"/>
        <v>52</v>
      </c>
      <c r="AVD98" s="699">
        <f t="shared" si="349"/>
        <v>214</v>
      </c>
      <c r="AVE98" s="699">
        <f t="shared" si="350"/>
        <v>31</v>
      </c>
      <c r="AVF98" s="699">
        <f t="shared" si="351"/>
        <v>74</v>
      </c>
      <c r="AVG98" s="699">
        <f t="shared" si="352"/>
        <v>486.83</v>
      </c>
      <c r="AVH98" s="699">
        <f t="shared" si="353"/>
        <v>508</v>
      </c>
      <c r="AVI98" s="699">
        <f t="shared" si="354"/>
        <v>54</v>
      </c>
      <c r="AVJ98" s="699">
        <f t="shared" si="355"/>
        <v>77</v>
      </c>
      <c r="AVK98" s="699">
        <f t="shared" si="356"/>
        <v>8</v>
      </c>
      <c r="AVL98" s="699">
        <f t="shared" si="357"/>
        <v>30</v>
      </c>
      <c r="AVM98" s="699">
        <f t="shared" si="358"/>
        <v>1874.88</v>
      </c>
      <c r="AVN98" s="699">
        <f t="shared" si="359"/>
        <v>1440</v>
      </c>
      <c r="AVO98" s="699">
        <f t="shared" si="360"/>
        <v>434.88</v>
      </c>
      <c r="AVP98" s="699">
        <f t="shared" si="361"/>
        <v>0</v>
      </c>
      <c r="AVQ98" s="699">
        <f t="shared" si="362"/>
        <v>11199.5</v>
      </c>
    </row>
    <row r="99" spans="1:108 1244:1265" s="608" customFormat="1" ht="30" customHeight="1" x14ac:dyDescent="0.25">
      <c r="A99" s="634">
        <v>1</v>
      </c>
      <c r="B99" s="634">
        <v>5</v>
      </c>
      <c r="C99" s="633" t="s">
        <v>248</v>
      </c>
      <c r="D99" s="2"/>
      <c r="E99" s="602" t="s">
        <v>344</v>
      </c>
      <c r="F99" s="634" t="s">
        <v>31</v>
      </c>
      <c r="G99" s="634">
        <v>1</v>
      </c>
      <c r="H99" s="656" t="s">
        <v>10</v>
      </c>
      <c r="I99" s="634"/>
      <c r="J99" s="602" t="s">
        <v>464</v>
      </c>
      <c r="K99" s="634">
        <v>1</v>
      </c>
      <c r="L99" s="681" t="s">
        <v>349</v>
      </c>
      <c r="M99" s="601"/>
      <c r="N99" s="602" t="s">
        <v>387</v>
      </c>
      <c r="O99" s="634">
        <v>1</v>
      </c>
      <c r="P99" s="633">
        <v>8</v>
      </c>
      <c r="Q99" s="633">
        <v>8</v>
      </c>
      <c r="R99" s="633">
        <v>8</v>
      </c>
      <c r="S99" s="671">
        <f>SUMIF('Территориальный кк'!$A:$A,'2020'!$B99,'Территориальный кк'!D:D)</f>
        <v>1.395</v>
      </c>
      <c r="T99" s="672">
        <f>SUMIF('Территориальный кк'!$A:$A,'2020'!$B99,'Территориальный кк'!E:E)</f>
        <v>1.9790000000000001</v>
      </c>
      <c r="U99" s="622">
        <f>SUMIFS(Нормативы!G:G,Нормативы!$B:$B,$G99,Нормативы!$D:$D,'2020'!$I99,Нормативы!$F:$F,'2020'!$K99)*O99</f>
        <v>54020</v>
      </c>
      <c r="V99" s="622">
        <f t="shared" ref="V99" si="363">ROUND(U99/1.302,1)</f>
        <v>41490</v>
      </c>
      <c r="W99" s="622">
        <f t="shared" ref="W99" si="364">U99-V99</f>
        <v>12530</v>
      </c>
      <c r="X99" s="622">
        <f>SUMIFS(Нормативы!J:J,Нормативы!$B:$B,$G99,Нормативы!$D:$D,'2020'!$I99,Нормативы!$F:$F,'2020'!$K99)</f>
        <v>220</v>
      </c>
      <c r="Y99" s="622">
        <f>SUMIFS(Нормативы!K:K,Нормативы!$B:$B,$G99,Нормативы!$D:$D,'2020'!$I99,Нормативы!$F:$F,'2020'!$K99)</f>
        <v>44</v>
      </c>
      <c r="Z99" s="622">
        <f>SUMIFS(Нормативы!L:L,Нормативы!$B:$B,$G99,Нормативы!$D:$D,'2020'!$I99,Нормативы!$F:$F,'2020'!$K99)</f>
        <v>2320</v>
      </c>
      <c r="AA99" s="622">
        <f t="shared" ref="AA99" si="365">AB99+AC99+AD99+AE99</f>
        <v>3710</v>
      </c>
      <c r="AB99" s="622">
        <f>SUMIFS(Нормативы!N:N,Нормативы!$B:$B,$G99,Нормативы!$D:$D,'2020'!$I99,Нормативы!$F:$F,'2020'!$K99)*O99</f>
        <v>520</v>
      </c>
      <c r="AC99" s="622">
        <f>SUMIFS(Нормативы!O:O,Нормативы!$B:$B,$G99,Нормативы!$D:$D,'2020'!$I99,Нормативы!$F:$F,'2020'!$K99)</f>
        <v>2140</v>
      </c>
      <c r="AD99" s="622">
        <f>SUMIFS(Нормативы!P:P,Нормативы!$B:$B,$G99,Нормативы!$D:$D,'2020'!$I99,Нормативы!$F:$F,'2020'!$K99)*O99</f>
        <v>310</v>
      </c>
      <c r="AE99" s="622">
        <f>SUMIFS(Нормативы!Q:Q,Нормативы!$B:$B,$G99,Нормативы!$D:$D,'2020'!$I99,Нормативы!$F:$F,'2020'!$K99)</f>
        <v>740</v>
      </c>
      <c r="AF99" s="622">
        <f>SUMIFS(Нормативы!R:R,Нормативы!$B:$B,$G99,Нормативы!$D:$D,'2020'!$I99,Нормативы!$F:$F,'2020'!$K99)</f>
        <v>2460</v>
      </c>
      <c r="AG99" s="622">
        <f>SUMIFS(Нормативы!S:S,Нормативы!$B:$B,$G99,Нормативы!$D:$D,'2020'!$I99,Нормативы!$F:$F,'2020'!$K99)</f>
        <v>5080</v>
      </c>
      <c r="AH99" s="622">
        <f>SUMIFS(Нормативы!T:T,Нормативы!$B:$B,$G99,Нормативы!$D:$D,'2020'!$I99,Нормативы!$F:$F,'2020'!$K99)</f>
        <v>540</v>
      </c>
      <c r="AI99" s="622">
        <f>SUMIFS(Нормативы!U:U,Нормативы!$B:$B,$G99,Нормативы!$D:$D,'2020'!$I99,Нормативы!$F:$F,'2020'!$K99)</f>
        <v>770</v>
      </c>
      <c r="AJ99" s="622">
        <f>SUMIFS(Нормативы!V:V,Нормативы!$B:$B,$G99,Нормативы!$D:$D,'2020'!$I99,Нормативы!$F:$F,'2020'!$K99)</f>
        <v>80</v>
      </c>
      <c r="AK99" s="622">
        <f>SUMIFS(Нормативы!W:W,Нормативы!$B:$B,$G99,Нормативы!$D:$D,'2020'!$I99,Нормативы!$F:$F,'2020'!$K99)</f>
        <v>300</v>
      </c>
      <c r="AL99" s="622">
        <f>SUMIFS(Нормативы!X:X,Нормативы!$B:$B,$G99,Нормативы!$D:$D,'2020'!$I99,Нормативы!$F:$F,'2020'!$K99)*O99</f>
        <v>13440</v>
      </c>
      <c r="AM99" s="622">
        <f t="shared" ref="AM99" si="366">ROUND(AL99/1.302,1)</f>
        <v>10322.6</v>
      </c>
      <c r="AN99" s="622">
        <f t="shared" ref="AN99" si="367">AL99-AM99</f>
        <v>3117.4</v>
      </c>
      <c r="AO99" s="622">
        <f>SUMIFS(Нормативы!AA:AA,Нормативы!$B:$B,$G99,Нормативы!$D:$D,'2020'!$I99,Нормативы!$F:$F,'2020'!$K99)</f>
        <v>3520</v>
      </c>
      <c r="AP99" s="623">
        <f t="shared" ref="AP99" si="368">U99+X99+Z99+AA99++AF99+AG99+AH99+AI99+AJ99+AK99+AL99+AO99</f>
        <v>86460</v>
      </c>
      <c r="AQ99" s="611">
        <f t="shared" si="272"/>
        <v>432160</v>
      </c>
      <c r="AR99" s="622">
        <f t="shared" si="335"/>
        <v>331920.09999999998</v>
      </c>
      <c r="AS99" s="622">
        <f t="shared" si="336"/>
        <v>100239.9</v>
      </c>
      <c r="AT99" s="614">
        <f t="shared" si="273"/>
        <v>1760</v>
      </c>
      <c r="AU99" s="614">
        <f t="shared" si="274"/>
        <v>352</v>
      </c>
      <c r="AV99" s="614">
        <f t="shared" si="275"/>
        <v>18560</v>
      </c>
      <c r="AW99" s="614">
        <f t="shared" si="276"/>
        <v>29680</v>
      </c>
      <c r="AX99" s="614">
        <f t="shared" si="277"/>
        <v>4160</v>
      </c>
      <c r="AY99" s="614">
        <f t="shared" si="278"/>
        <v>17120</v>
      </c>
      <c r="AZ99" s="614">
        <f t="shared" si="279"/>
        <v>2480</v>
      </c>
      <c r="BA99" s="614">
        <f t="shared" si="280"/>
        <v>5920</v>
      </c>
      <c r="BB99" s="614">
        <f t="shared" si="281"/>
        <v>19680</v>
      </c>
      <c r="BC99" s="614">
        <f t="shared" si="282"/>
        <v>40640</v>
      </c>
      <c r="BD99" s="614">
        <f t="shared" si="283"/>
        <v>4320</v>
      </c>
      <c r="BE99" s="614">
        <f t="shared" si="284"/>
        <v>6160</v>
      </c>
      <c r="BF99" s="614">
        <f t="shared" si="285"/>
        <v>640</v>
      </c>
      <c r="BG99" s="614">
        <f t="shared" si="286"/>
        <v>2400</v>
      </c>
      <c r="BH99" s="614">
        <f t="shared" si="287"/>
        <v>107520</v>
      </c>
      <c r="BI99" s="622">
        <f t="shared" si="337"/>
        <v>82580.600000000006</v>
      </c>
      <c r="BJ99" s="622">
        <f t="shared" si="338"/>
        <v>24939.4</v>
      </c>
      <c r="BK99" s="614">
        <f t="shared" si="288"/>
        <v>28160</v>
      </c>
      <c r="BL99" s="623">
        <f t="shared" si="289"/>
        <v>691680</v>
      </c>
      <c r="BM99" s="614">
        <f t="shared" si="290"/>
        <v>602863</v>
      </c>
      <c r="BN99" s="622">
        <f t="shared" si="291"/>
        <v>463028.4</v>
      </c>
      <c r="BO99" s="622">
        <f t="shared" si="292"/>
        <v>139834.6</v>
      </c>
      <c r="BP99" s="614">
        <f t="shared" si="339"/>
        <v>1760</v>
      </c>
      <c r="BQ99" s="614">
        <f t="shared" si="340"/>
        <v>352</v>
      </c>
      <c r="BR99" s="614">
        <f t="shared" si="341"/>
        <v>18560</v>
      </c>
      <c r="BS99" s="614">
        <f t="shared" si="293"/>
        <v>29680</v>
      </c>
      <c r="BT99" s="614">
        <f t="shared" si="294"/>
        <v>4160</v>
      </c>
      <c r="BU99" s="614">
        <f t="shared" si="295"/>
        <v>17120</v>
      </c>
      <c r="BV99" s="614">
        <f t="shared" si="296"/>
        <v>2480</v>
      </c>
      <c r="BW99" s="614">
        <f t="shared" si="297"/>
        <v>5920</v>
      </c>
      <c r="BX99" s="614">
        <f t="shared" si="298"/>
        <v>38947</v>
      </c>
      <c r="BY99" s="614">
        <f t="shared" si="299"/>
        <v>40640</v>
      </c>
      <c r="BZ99" s="614">
        <f t="shared" si="300"/>
        <v>4320</v>
      </c>
      <c r="CA99" s="614">
        <f t="shared" si="301"/>
        <v>6160</v>
      </c>
      <c r="CB99" s="614">
        <f t="shared" si="302"/>
        <v>640</v>
      </c>
      <c r="CC99" s="614">
        <f t="shared" si="303"/>
        <v>2400</v>
      </c>
      <c r="CD99" s="614">
        <f t="shared" si="304"/>
        <v>149990</v>
      </c>
      <c r="CE99" s="622">
        <f t="shared" si="342"/>
        <v>115199.7</v>
      </c>
      <c r="CF99" s="622">
        <f t="shared" si="343"/>
        <v>34790.300000000003</v>
      </c>
      <c r="CG99" s="614">
        <f t="shared" si="305"/>
        <v>28160</v>
      </c>
      <c r="CH99" s="621">
        <f t="shared" si="306"/>
        <v>924120</v>
      </c>
      <c r="CI99" s="607"/>
      <c r="CJ99" s="607"/>
      <c r="CK99" s="607"/>
      <c r="CL99" s="607"/>
      <c r="CM99" s="607"/>
      <c r="CN99" s="607"/>
      <c r="CO99" s="607"/>
      <c r="CP99" s="607"/>
      <c r="CQ99" s="607"/>
      <c r="CR99" s="607"/>
      <c r="CS99" s="607"/>
      <c r="CT99" s="607"/>
      <c r="CU99" s="607"/>
      <c r="CV99" s="607"/>
      <c r="CW99" s="607"/>
      <c r="CX99" s="607"/>
      <c r="CY99" s="607"/>
      <c r="CZ99" s="607"/>
      <c r="DA99" s="607"/>
      <c r="DB99" s="607"/>
      <c r="DC99" s="607"/>
      <c r="DD99" s="607"/>
      <c r="AUV99" s="699">
        <f t="shared" si="235"/>
        <v>75357.88</v>
      </c>
      <c r="AUW99" s="699">
        <f t="shared" si="236"/>
        <v>57878.559999999998</v>
      </c>
      <c r="AUX99" s="699">
        <f t="shared" si="237"/>
        <v>17479.32</v>
      </c>
      <c r="AUY99" s="699">
        <f t="shared" si="346"/>
        <v>220</v>
      </c>
      <c r="AUZ99" s="699">
        <f t="shared" si="344"/>
        <v>177.87</v>
      </c>
      <c r="AVA99" s="699">
        <f t="shared" si="344"/>
        <v>0.34</v>
      </c>
      <c r="AVB99" s="699">
        <f t="shared" si="347"/>
        <v>3710</v>
      </c>
      <c r="AVC99" s="699">
        <f t="shared" si="348"/>
        <v>520</v>
      </c>
      <c r="AVD99" s="699">
        <f t="shared" si="349"/>
        <v>2140</v>
      </c>
      <c r="AVE99" s="699">
        <f t="shared" si="350"/>
        <v>310</v>
      </c>
      <c r="AVF99" s="699">
        <f t="shared" si="351"/>
        <v>740</v>
      </c>
      <c r="AVG99" s="699">
        <f t="shared" si="352"/>
        <v>4868.38</v>
      </c>
      <c r="AVH99" s="699">
        <f t="shared" si="353"/>
        <v>5080</v>
      </c>
      <c r="AVI99" s="699">
        <f t="shared" si="354"/>
        <v>540</v>
      </c>
      <c r="AVJ99" s="699">
        <f t="shared" si="355"/>
        <v>770</v>
      </c>
      <c r="AVK99" s="699">
        <f t="shared" si="356"/>
        <v>80</v>
      </c>
      <c r="AVL99" s="699">
        <f t="shared" si="357"/>
        <v>300</v>
      </c>
      <c r="AVM99" s="699">
        <f t="shared" si="358"/>
        <v>18748.75</v>
      </c>
      <c r="AVN99" s="699">
        <f t="shared" si="359"/>
        <v>14399.96</v>
      </c>
      <c r="AVO99" s="699">
        <f t="shared" si="360"/>
        <v>4348.79</v>
      </c>
      <c r="AVP99" s="699">
        <f t="shared" si="361"/>
        <v>3520</v>
      </c>
      <c r="AVQ99" s="699">
        <f t="shared" si="362"/>
        <v>115515</v>
      </c>
    </row>
    <row r="100" spans="1:108 1244:1265" s="608" customFormat="1" ht="30" customHeight="1" x14ac:dyDescent="0.25">
      <c r="A100" s="634">
        <v>1</v>
      </c>
      <c r="B100" s="634">
        <v>5</v>
      </c>
      <c r="C100" s="633" t="s">
        <v>248</v>
      </c>
      <c r="D100" s="2"/>
      <c r="E100" s="602" t="s">
        <v>344</v>
      </c>
      <c r="F100" s="634" t="s">
        <v>31</v>
      </c>
      <c r="G100" s="634">
        <v>1</v>
      </c>
      <c r="H100" s="656" t="s">
        <v>10</v>
      </c>
      <c r="I100" s="634"/>
      <c r="J100" s="602" t="s">
        <v>389</v>
      </c>
      <c r="K100" s="634">
        <v>1</v>
      </c>
      <c r="L100" s="681" t="s">
        <v>349</v>
      </c>
      <c r="M100" s="601"/>
      <c r="N100" s="602" t="s">
        <v>401</v>
      </c>
      <c r="O100" s="634">
        <v>2</v>
      </c>
      <c r="P100" s="633">
        <v>1</v>
      </c>
      <c r="Q100" s="633">
        <v>1</v>
      </c>
      <c r="R100" s="633">
        <v>1</v>
      </c>
      <c r="S100" s="671">
        <f>SUMIF('Территориальный кк'!$A:$A,'2020'!$B100,'Территориальный кк'!D:D)</f>
        <v>1.395</v>
      </c>
      <c r="T100" s="672">
        <f>SUMIF('Территориальный кк'!$A:$A,'2020'!$B100,'Территориальный кк'!E:E)</f>
        <v>1.9790000000000001</v>
      </c>
      <c r="U100" s="622">
        <f>SUMIFS(Нормативы!G:G,Нормативы!$B:$B,$G100,Нормативы!$D:$D,'2020'!$I100,Нормативы!$F:$F,'2020'!$K100)*O100</f>
        <v>108040</v>
      </c>
      <c r="V100" s="622">
        <f t="shared" ref="V100" si="369">ROUND(U100/1.302,1)</f>
        <v>82980</v>
      </c>
      <c r="W100" s="622">
        <f t="shared" ref="W100" si="370">U100-V100</f>
        <v>25060</v>
      </c>
      <c r="X100" s="622">
        <f>SUMIFS(Нормативы!J:J,Нормативы!$B:$B,$G100,Нормативы!$D:$D,'2020'!$I100,Нормативы!$F:$F,'2020'!$K100)</f>
        <v>220</v>
      </c>
      <c r="Y100" s="622">
        <f>SUMIFS(Нормативы!K:K,Нормативы!$B:$B,$G100,Нормативы!$D:$D,'2020'!$I100,Нормативы!$F:$F,'2020'!$K100)</f>
        <v>44</v>
      </c>
      <c r="Z100" s="622">
        <f>SUMIFS(Нормативы!L:L,Нормативы!$B:$B,$G100,Нормативы!$D:$D,'2020'!$I100,Нормативы!$F:$F,'2020'!$K100)</f>
        <v>2320</v>
      </c>
      <c r="AA100" s="622">
        <f t="shared" ref="AA100" si="371">AB100+AC100+AD100+AE100</f>
        <v>4540</v>
      </c>
      <c r="AB100" s="622">
        <f>SUMIFS(Нормативы!N:N,Нормативы!$B:$B,$G100,Нормативы!$D:$D,'2020'!$I100,Нормативы!$F:$F,'2020'!$K100)*O100</f>
        <v>1040</v>
      </c>
      <c r="AC100" s="622">
        <f>SUMIFS(Нормативы!O:O,Нормативы!$B:$B,$G100,Нормативы!$D:$D,'2020'!$I100,Нормативы!$F:$F,'2020'!$K100)</f>
        <v>2140</v>
      </c>
      <c r="AD100" s="622">
        <f>SUMIFS(Нормативы!P:P,Нормативы!$B:$B,$G100,Нормативы!$D:$D,'2020'!$I100,Нормативы!$F:$F,'2020'!$K100)*O100</f>
        <v>620</v>
      </c>
      <c r="AE100" s="622">
        <f>SUMIFS(Нормативы!Q:Q,Нормативы!$B:$B,$G100,Нормативы!$D:$D,'2020'!$I100,Нормативы!$F:$F,'2020'!$K100)</f>
        <v>740</v>
      </c>
      <c r="AF100" s="622">
        <f>SUMIFS(Нормативы!R:R,Нормативы!$B:$B,$G100,Нормативы!$D:$D,'2020'!$I100,Нормативы!$F:$F,'2020'!$K100)</f>
        <v>2460</v>
      </c>
      <c r="AG100" s="622">
        <f>SUMIFS(Нормативы!S:S,Нормативы!$B:$B,$G100,Нормативы!$D:$D,'2020'!$I100,Нормативы!$F:$F,'2020'!$K100)</f>
        <v>5080</v>
      </c>
      <c r="AH100" s="622">
        <f>SUMIFS(Нормативы!T:T,Нормативы!$B:$B,$G100,Нормативы!$D:$D,'2020'!$I100,Нормативы!$F:$F,'2020'!$K100)</f>
        <v>540</v>
      </c>
      <c r="AI100" s="622">
        <f>SUMIFS(Нормативы!U:U,Нормативы!$B:$B,$G100,Нормативы!$D:$D,'2020'!$I100,Нормативы!$F:$F,'2020'!$K100)</f>
        <v>770</v>
      </c>
      <c r="AJ100" s="622">
        <f>SUMIFS(Нормативы!V:V,Нормативы!$B:$B,$G100,Нормативы!$D:$D,'2020'!$I100,Нормативы!$F:$F,'2020'!$K100)</f>
        <v>80</v>
      </c>
      <c r="AK100" s="622">
        <f>SUMIFS(Нормативы!W:W,Нормативы!$B:$B,$G100,Нормативы!$D:$D,'2020'!$I100,Нормативы!$F:$F,'2020'!$K100)</f>
        <v>300</v>
      </c>
      <c r="AL100" s="622">
        <f>SUMIFS(Нормативы!X:X,Нормативы!$B:$B,$G100,Нормативы!$D:$D,'2020'!$I100,Нормативы!$F:$F,'2020'!$K100)*O100</f>
        <v>26880</v>
      </c>
      <c r="AM100" s="622">
        <f t="shared" ref="AM100" si="372">ROUND(AL100/1.302,1)</f>
        <v>20645.2</v>
      </c>
      <c r="AN100" s="622">
        <f t="shared" ref="AN100" si="373">AL100-AM100</f>
        <v>6234.8</v>
      </c>
      <c r="AO100" s="622">
        <f>SUMIFS(Нормативы!AA:AA,Нормативы!$B:$B,$G100,Нормативы!$D:$D,'2020'!$I100,Нормативы!$F:$F,'2020'!$K100)</f>
        <v>3520</v>
      </c>
      <c r="AP100" s="623">
        <f t="shared" ref="AP100" si="374">U100+X100+Z100+AA100++AF100+AG100+AH100+AI100+AJ100+AK100+AL100+AO100</f>
        <v>154750</v>
      </c>
      <c r="AQ100" s="611">
        <f t="shared" si="272"/>
        <v>108040</v>
      </c>
      <c r="AR100" s="622">
        <f t="shared" si="335"/>
        <v>82980</v>
      </c>
      <c r="AS100" s="622">
        <f t="shared" si="336"/>
        <v>25060</v>
      </c>
      <c r="AT100" s="614">
        <f t="shared" si="273"/>
        <v>220</v>
      </c>
      <c r="AU100" s="614">
        <f t="shared" si="274"/>
        <v>44</v>
      </c>
      <c r="AV100" s="614">
        <f t="shared" si="275"/>
        <v>2320</v>
      </c>
      <c r="AW100" s="614">
        <f t="shared" si="276"/>
        <v>4540</v>
      </c>
      <c r="AX100" s="614">
        <f t="shared" si="277"/>
        <v>1040</v>
      </c>
      <c r="AY100" s="614">
        <f t="shared" si="278"/>
        <v>2140</v>
      </c>
      <c r="AZ100" s="614">
        <f t="shared" si="279"/>
        <v>620</v>
      </c>
      <c r="BA100" s="614">
        <f t="shared" si="280"/>
        <v>740</v>
      </c>
      <c r="BB100" s="614">
        <f t="shared" si="281"/>
        <v>2460</v>
      </c>
      <c r="BC100" s="614">
        <f t="shared" si="282"/>
        <v>5080</v>
      </c>
      <c r="BD100" s="614">
        <f t="shared" si="283"/>
        <v>540</v>
      </c>
      <c r="BE100" s="614">
        <f t="shared" si="284"/>
        <v>770</v>
      </c>
      <c r="BF100" s="614">
        <f t="shared" si="285"/>
        <v>80</v>
      </c>
      <c r="BG100" s="614">
        <f t="shared" si="286"/>
        <v>300</v>
      </c>
      <c r="BH100" s="614">
        <f t="shared" si="287"/>
        <v>26880</v>
      </c>
      <c r="BI100" s="622">
        <f t="shared" si="337"/>
        <v>20645.2</v>
      </c>
      <c r="BJ100" s="622">
        <f t="shared" si="338"/>
        <v>6234.8</v>
      </c>
      <c r="BK100" s="614">
        <f t="shared" si="288"/>
        <v>3520</v>
      </c>
      <c r="BL100" s="623">
        <f t="shared" si="289"/>
        <v>154750</v>
      </c>
      <c r="BM100" s="614">
        <f t="shared" si="290"/>
        <v>150716</v>
      </c>
      <c r="BN100" s="622">
        <f t="shared" si="291"/>
        <v>115757.3</v>
      </c>
      <c r="BO100" s="622">
        <f t="shared" si="292"/>
        <v>34958.699999999997</v>
      </c>
      <c r="BP100" s="614">
        <f t="shared" si="339"/>
        <v>220</v>
      </c>
      <c r="BQ100" s="614">
        <f t="shared" si="340"/>
        <v>44</v>
      </c>
      <c r="BR100" s="614">
        <f t="shared" si="341"/>
        <v>2320</v>
      </c>
      <c r="BS100" s="614">
        <f t="shared" si="293"/>
        <v>4540</v>
      </c>
      <c r="BT100" s="614">
        <f t="shared" si="294"/>
        <v>1040</v>
      </c>
      <c r="BU100" s="614">
        <f t="shared" si="295"/>
        <v>2140</v>
      </c>
      <c r="BV100" s="614">
        <f t="shared" si="296"/>
        <v>620</v>
      </c>
      <c r="BW100" s="614">
        <f t="shared" si="297"/>
        <v>740</v>
      </c>
      <c r="BX100" s="614">
        <f t="shared" si="298"/>
        <v>4868</v>
      </c>
      <c r="BY100" s="614">
        <f t="shared" si="299"/>
        <v>5080</v>
      </c>
      <c r="BZ100" s="614">
        <f t="shared" si="300"/>
        <v>540</v>
      </c>
      <c r="CA100" s="614">
        <f t="shared" si="301"/>
        <v>770</v>
      </c>
      <c r="CB100" s="614">
        <f t="shared" si="302"/>
        <v>80</v>
      </c>
      <c r="CC100" s="614">
        <f t="shared" si="303"/>
        <v>300</v>
      </c>
      <c r="CD100" s="614">
        <f t="shared" si="304"/>
        <v>37498</v>
      </c>
      <c r="CE100" s="622">
        <f t="shared" si="342"/>
        <v>28800.3</v>
      </c>
      <c r="CF100" s="622">
        <f t="shared" si="343"/>
        <v>8697.7000000000007</v>
      </c>
      <c r="CG100" s="614">
        <f t="shared" si="305"/>
        <v>3520</v>
      </c>
      <c r="CH100" s="621">
        <f t="shared" si="306"/>
        <v>210452</v>
      </c>
      <c r="CI100" s="607"/>
      <c r="CJ100" s="607"/>
      <c r="CK100" s="607"/>
      <c r="CL100" s="607"/>
      <c r="CM100" s="607"/>
      <c r="CN100" s="607"/>
      <c r="CO100" s="607"/>
      <c r="CP100" s="607"/>
      <c r="CQ100" s="607"/>
      <c r="CR100" s="607"/>
      <c r="CS100" s="607"/>
      <c r="CT100" s="607"/>
      <c r="CU100" s="607"/>
      <c r="CV100" s="607"/>
      <c r="CW100" s="607"/>
      <c r="CX100" s="607"/>
      <c r="CY100" s="607"/>
      <c r="CZ100" s="607"/>
      <c r="DA100" s="607"/>
      <c r="DB100" s="607"/>
      <c r="DC100" s="607"/>
      <c r="DD100" s="607"/>
      <c r="AUV100" s="699">
        <f t="shared" si="235"/>
        <v>150716</v>
      </c>
      <c r="AUW100" s="699">
        <f t="shared" si="236"/>
        <v>115757.3</v>
      </c>
      <c r="AUX100" s="699">
        <f t="shared" si="237"/>
        <v>34958.699999999997</v>
      </c>
      <c r="AUY100" s="699">
        <f t="shared" si="346"/>
        <v>220</v>
      </c>
      <c r="AUZ100" s="699">
        <f t="shared" si="344"/>
        <v>22.23</v>
      </c>
      <c r="AVA100" s="699">
        <f t="shared" si="344"/>
        <v>0.02</v>
      </c>
      <c r="AVB100" s="699">
        <f t="shared" si="347"/>
        <v>4540</v>
      </c>
      <c r="AVC100" s="699">
        <f t="shared" si="348"/>
        <v>1040</v>
      </c>
      <c r="AVD100" s="699">
        <f t="shared" si="349"/>
        <v>2140</v>
      </c>
      <c r="AVE100" s="699">
        <f t="shared" si="350"/>
        <v>620</v>
      </c>
      <c r="AVF100" s="699">
        <f t="shared" si="351"/>
        <v>740</v>
      </c>
      <c r="AVG100" s="699">
        <f t="shared" si="352"/>
        <v>4868</v>
      </c>
      <c r="AVH100" s="699">
        <f t="shared" si="353"/>
        <v>5080</v>
      </c>
      <c r="AVI100" s="699">
        <f t="shared" si="354"/>
        <v>540</v>
      </c>
      <c r="AVJ100" s="699">
        <f t="shared" si="355"/>
        <v>770</v>
      </c>
      <c r="AVK100" s="699">
        <f t="shared" si="356"/>
        <v>80</v>
      </c>
      <c r="AVL100" s="699">
        <f t="shared" si="357"/>
        <v>300</v>
      </c>
      <c r="AVM100" s="699">
        <f t="shared" si="358"/>
        <v>37498</v>
      </c>
      <c r="AVN100" s="699">
        <f t="shared" si="359"/>
        <v>28800.31</v>
      </c>
      <c r="AVO100" s="699">
        <f t="shared" si="360"/>
        <v>8697.69</v>
      </c>
      <c r="AVP100" s="699">
        <f t="shared" si="361"/>
        <v>3520</v>
      </c>
      <c r="AVQ100" s="699">
        <f t="shared" si="362"/>
        <v>210452</v>
      </c>
    </row>
    <row r="101" spans="1:108 1244:1265" ht="30" customHeight="1" x14ac:dyDescent="0.25">
      <c r="A101" s="643">
        <v>1</v>
      </c>
      <c r="B101" s="643">
        <v>5</v>
      </c>
      <c r="C101" s="664" t="s">
        <v>248</v>
      </c>
      <c r="D101" s="2"/>
      <c r="E101" s="101" t="s">
        <v>344</v>
      </c>
      <c r="F101" s="643" t="s">
        <v>31</v>
      </c>
      <c r="G101" s="643">
        <v>1</v>
      </c>
      <c r="H101" s="658" t="s">
        <v>10</v>
      </c>
      <c r="I101" s="643">
        <v>0</v>
      </c>
      <c r="J101" s="101" t="s">
        <v>389</v>
      </c>
      <c r="K101" s="643">
        <v>1</v>
      </c>
      <c r="L101" s="683" t="s">
        <v>349</v>
      </c>
      <c r="M101" s="11" t="s">
        <v>314</v>
      </c>
      <c r="N101" s="101" t="s">
        <v>387</v>
      </c>
      <c r="O101" s="643">
        <v>1</v>
      </c>
      <c r="P101" s="632">
        <v>9</v>
      </c>
      <c r="Q101" s="632">
        <v>9</v>
      </c>
      <c r="R101" s="632">
        <v>9</v>
      </c>
      <c r="S101" s="675">
        <f>SUMIF('Территориальный кк'!$A:$A,'2020'!$B101,'Территориальный кк'!D:D)</f>
        <v>1.395</v>
      </c>
      <c r="T101" s="676">
        <f>SUMIF('Территориальный кк'!$A:$A,'2020'!$B101,'Территориальный кк'!E:E)</f>
        <v>1.9790000000000001</v>
      </c>
      <c r="U101" s="618">
        <f>SUMIFS(Нормативы!G:G,Нормативы!$B:$B,$G101,Нормативы!$D:$D,'2020'!$I101,Нормативы!$F:$F,'2020'!$K101)*O101</f>
        <v>54020</v>
      </c>
      <c r="V101" s="618">
        <f t="shared" si="329"/>
        <v>41490</v>
      </c>
      <c r="W101" s="618">
        <f t="shared" si="330"/>
        <v>12530</v>
      </c>
      <c r="X101" s="618">
        <f>SUMIFS(Нормативы!J:J,Нормативы!$B:$B,$G101,Нормативы!$D:$D,'2020'!$I101,Нормативы!$F:$F,'2020'!$K101)</f>
        <v>220</v>
      </c>
      <c r="Y101" s="618">
        <f>SUMIFS(Нормативы!K:K,Нормативы!$B:$B,$G101,Нормативы!$D:$D,'2020'!$I101,Нормативы!$F:$F,'2020'!$K101)</f>
        <v>44</v>
      </c>
      <c r="Z101" s="618">
        <f>SUMIFS(Нормативы!L:L,Нормативы!$B:$B,$G101,Нормативы!$D:$D,'2020'!$I101,Нормативы!$F:$F,'2020'!$K101)</f>
        <v>2320</v>
      </c>
      <c r="AA101" s="618">
        <f t="shared" si="331"/>
        <v>3710</v>
      </c>
      <c r="AB101" s="618">
        <f>SUMIFS(Нормативы!N:N,Нормативы!$B:$B,$G101,Нормативы!$D:$D,'2020'!$I101,Нормативы!$F:$F,'2020'!$K101)*O101</f>
        <v>520</v>
      </c>
      <c r="AC101" s="618">
        <f>SUMIFS(Нормативы!O:O,Нормативы!$B:$B,$G101,Нормативы!$D:$D,'2020'!$I101,Нормативы!$F:$F,'2020'!$K101)</f>
        <v>2140</v>
      </c>
      <c r="AD101" s="618">
        <f>SUMIFS(Нормативы!P:P,Нормативы!$B:$B,$G101,Нормативы!$D:$D,'2020'!$I101,Нормативы!$F:$F,'2020'!$K101)*O101</f>
        <v>310</v>
      </c>
      <c r="AE101" s="618">
        <f>SUMIFS(Нормативы!Q:Q,Нормативы!$B:$B,$G101,Нормативы!$D:$D,'2020'!$I101,Нормативы!$F:$F,'2020'!$K101)</f>
        <v>740</v>
      </c>
      <c r="AF101" s="618">
        <f>SUMIFS(Нормативы!R:R,Нормативы!$B:$B,$G101,Нормативы!$D:$D,'2020'!$I101,Нормативы!$F:$F,'2020'!$K101)</f>
        <v>2460</v>
      </c>
      <c r="AG101" s="618">
        <f>SUMIFS(Нормативы!S:S,Нормативы!$B:$B,$G101,Нормативы!$D:$D,'2020'!$I101,Нормативы!$F:$F,'2020'!$K101)</f>
        <v>5080</v>
      </c>
      <c r="AH101" s="618">
        <f>SUMIFS(Нормативы!T:T,Нормативы!$B:$B,$G101,Нормативы!$D:$D,'2020'!$I101,Нормативы!$F:$F,'2020'!$K101)</f>
        <v>540</v>
      </c>
      <c r="AI101" s="618">
        <f>SUMIFS(Нормативы!U:U,Нормативы!$B:$B,$G101,Нормативы!$D:$D,'2020'!$I101,Нормативы!$F:$F,'2020'!$K101)</f>
        <v>770</v>
      </c>
      <c r="AJ101" s="618">
        <f>SUMIFS(Нормативы!V:V,Нормативы!$B:$B,$G101,Нормативы!$D:$D,'2020'!$I101,Нормативы!$F:$F,'2020'!$K101)</f>
        <v>80</v>
      </c>
      <c r="AK101" s="618">
        <f>SUMIFS(Нормативы!W:W,Нормативы!$B:$B,$G101,Нормативы!$D:$D,'2020'!$I101,Нормативы!$F:$F,'2020'!$K101)</f>
        <v>300</v>
      </c>
      <c r="AL101" s="618">
        <f>SUMIFS(Нормативы!X:X,Нормативы!$B:$B,$G101,Нормативы!$D:$D,'2020'!$I101,Нормативы!$F:$F,'2020'!$K101)*O101</f>
        <v>13440</v>
      </c>
      <c r="AM101" s="618">
        <f t="shared" si="332"/>
        <v>10322.6</v>
      </c>
      <c r="AN101" s="618">
        <f t="shared" si="333"/>
        <v>3117.4</v>
      </c>
      <c r="AO101" s="618">
        <f>SUMIFS(Нормативы!AA:AA,Нормативы!$B:$B,$G101,Нормативы!$D:$D,'2020'!$I101,Нормативы!$F:$F,'2020'!$K101)</f>
        <v>3520</v>
      </c>
      <c r="AP101" s="619">
        <f t="shared" si="334"/>
        <v>86460</v>
      </c>
      <c r="AQ101" s="413">
        <f t="shared" si="272"/>
        <v>486180</v>
      </c>
      <c r="AR101" s="618">
        <f t="shared" si="335"/>
        <v>373410.1</v>
      </c>
      <c r="AS101" s="618">
        <f t="shared" si="336"/>
        <v>112769.9</v>
      </c>
      <c r="AT101" s="616">
        <f t="shared" si="273"/>
        <v>1980</v>
      </c>
      <c r="AU101" s="616">
        <f t="shared" si="274"/>
        <v>396</v>
      </c>
      <c r="AV101" s="616">
        <f t="shared" si="275"/>
        <v>20880</v>
      </c>
      <c r="AW101" s="616">
        <f t="shared" si="276"/>
        <v>33390</v>
      </c>
      <c r="AX101" s="616">
        <f t="shared" si="277"/>
        <v>4680</v>
      </c>
      <c r="AY101" s="616">
        <f t="shared" si="278"/>
        <v>19260</v>
      </c>
      <c r="AZ101" s="616">
        <f t="shared" si="279"/>
        <v>2790</v>
      </c>
      <c r="BA101" s="616">
        <f t="shared" si="280"/>
        <v>6660</v>
      </c>
      <c r="BB101" s="616">
        <f t="shared" si="281"/>
        <v>22140</v>
      </c>
      <c r="BC101" s="616">
        <f t="shared" si="282"/>
        <v>45720</v>
      </c>
      <c r="BD101" s="616">
        <f t="shared" si="283"/>
        <v>4860</v>
      </c>
      <c r="BE101" s="616">
        <f t="shared" si="284"/>
        <v>6930</v>
      </c>
      <c r="BF101" s="616">
        <f t="shared" si="285"/>
        <v>720</v>
      </c>
      <c r="BG101" s="616">
        <f t="shared" si="286"/>
        <v>2700</v>
      </c>
      <c r="BH101" s="616">
        <f t="shared" si="287"/>
        <v>120960</v>
      </c>
      <c r="BI101" s="618">
        <f t="shared" si="337"/>
        <v>92903.2</v>
      </c>
      <c r="BJ101" s="618">
        <f t="shared" si="338"/>
        <v>28056.799999999999</v>
      </c>
      <c r="BK101" s="616">
        <f t="shared" si="288"/>
        <v>31680</v>
      </c>
      <c r="BL101" s="620">
        <f t="shared" si="289"/>
        <v>778140</v>
      </c>
      <c r="BM101" s="616">
        <f t="shared" si="290"/>
        <v>678221</v>
      </c>
      <c r="BN101" s="618">
        <f t="shared" si="291"/>
        <v>520907.1</v>
      </c>
      <c r="BO101" s="618">
        <f t="shared" si="292"/>
        <v>157313.9</v>
      </c>
      <c r="BP101" s="616">
        <f t="shared" si="339"/>
        <v>1980</v>
      </c>
      <c r="BQ101" s="616">
        <f t="shared" si="340"/>
        <v>396</v>
      </c>
      <c r="BR101" s="616">
        <f t="shared" si="341"/>
        <v>20880</v>
      </c>
      <c r="BS101" s="616">
        <f t="shared" si="293"/>
        <v>33390</v>
      </c>
      <c r="BT101" s="616">
        <f t="shared" si="294"/>
        <v>4680</v>
      </c>
      <c r="BU101" s="616">
        <f t="shared" si="295"/>
        <v>19260</v>
      </c>
      <c r="BV101" s="616">
        <f t="shared" si="296"/>
        <v>2790</v>
      </c>
      <c r="BW101" s="616">
        <f t="shared" si="297"/>
        <v>6660</v>
      </c>
      <c r="BX101" s="616">
        <f t="shared" si="298"/>
        <v>43815</v>
      </c>
      <c r="BY101" s="616">
        <f t="shared" si="299"/>
        <v>45720</v>
      </c>
      <c r="BZ101" s="616">
        <f t="shared" si="300"/>
        <v>4860</v>
      </c>
      <c r="CA101" s="616">
        <f t="shared" si="301"/>
        <v>6930</v>
      </c>
      <c r="CB101" s="616">
        <f t="shared" si="302"/>
        <v>720</v>
      </c>
      <c r="CC101" s="616">
        <f t="shared" si="303"/>
        <v>2700</v>
      </c>
      <c r="CD101" s="616">
        <f t="shared" si="304"/>
        <v>168739</v>
      </c>
      <c r="CE101" s="618">
        <f t="shared" si="342"/>
        <v>129599.8</v>
      </c>
      <c r="CF101" s="618">
        <f t="shared" si="343"/>
        <v>39139.199999999997</v>
      </c>
      <c r="CG101" s="616">
        <f t="shared" si="305"/>
        <v>31680</v>
      </c>
      <c r="CH101" s="621">
        <f t="shared" si="306"/>
        <v>1039635</v>
      </c>
      <c r="CI101" s="88">
        <f t="shared" si="307"/>
        <v>75357.888900000005</v>
      </c>
      <c r="CJ101" s="90">
        <f t="shared" si="308"/>
        <v>57878.566700000003</v>
      </c>
      <c r="CK101" s="90">
        <f t="shared" si="309"/>
        <v>17479.322199999999</v>
      </c>
      <c r="CL101" s="88">
        <f t="shared" si="310"/>
        <v>220</v>
      </c>
      <c r="CM101" s="88">
        <f t="shared" si="311"/>
        <v>44</v>
      </c>
      <c r="CN101" s="88">
        <f t="shared" si="312"/>
        <v>2320</v>
      </c>
      <c r="CO101" s="88">
        <f t="shared" si="313"/>
        <v>3710</v>
      </c>
      <c r="CP101" s="88">
        <f t="shared" si="314"/>
        <v>520</v>
      </c>
      <c r="CQ101" s="88">
        <f t="shared" si="315"/>
        <v>2140</v>
      </c>
      <c r="CR101" s="88">
        <f t="shared" si="316"/>
        <v>310</v>
      </c>
      <c r="CS101" s="88">
        <f t="shared" si="317"/>
        <v>740</v>
      </c>
      <c r="CT101" s="88">
        <f t="shared" si="318"/>
        <v>4868.3333000000002</v>
      </c>
      <c r="CU101" s="88">
        <f t="shared" si="319"/>
        <v>5080</v>
      </c>
      <c r="CV101" s="88">
        <f t="shared" si="320"/>
        <v>540</v>
      </c>
      <c r="CW101" s="88">
        <f t="shared" si="321"/>
        <v>770</v>
      </c>
      <c r="CX101" s="88">
        <f t="shared" si="322"/>
        <v>80</v>
      </c>
      <c r="CY101" s="88">
        <f t="shared" si="323"/>
        <v>300</v>
      </c>
      <c r="CZ101" s="88">
        <f t="shared" si="324"/>
        <v>18748.7778</v>
      </c>
      <c r="DA101" s="90">
        <f t="shared" si="325"/>
        <v>14399.977800000001</v>
      </c>
      <c r="DB101" s="90">
        <f t="shared" si="326"/>
        <v>4348.8</v>
      </c>
      <c r="DC101" s="88">
        <f t="shared" si="327"/>
        <v>3520</v>
      </c>
      <c r="DD101" s="88">
        <f t="shared" si="328"/>
        <v>115515</v>
      </c>
      <c r="AUV101" s="699">
        <f t="shared" si="235"/>
        <v>75357.89</v>
      </c>
      <c r="AUW101" s="699">
        <f t="shared" si="236"/>
        <v>57878.559999999998</v>
      </c>
      <c r="AUX101" s="699">
        <f t="shared" si="237"/>
        <v>17479.330000000002</v>
      </c>
      <c r="AUY101" s="699">
        <f t="shared" si="346"/>
        <v>220</v>
      </c>
      <c r="AUZ101" s="699">
        <f t="shared" si="344"/>
        <v>200.1</v>
      </c>
      <c r="AVA101" s="699">
        <f t="shared" si="344"/>
        <v>0.39</v>
      </c>
      <c r="AVB101" s="699">
        <f t="shared" si="347"/>
        <v>3710</v>
      </c>
      <c r="AVC101" s="699">
        <f t="shared" si="348"/>
        <v>520</v>
      </c>
      <c r="AVD101" s="699">
        <f t="shared" si="349"/>
        <v>2140</v>
      </c>
      <c r="AVE101" s="699">
        <f t="shared" si="350"/>
        <v>310</v>
      </c>
      <c r="AVF101" s="699">
        <f t="shared" si="351"/>
        <v>740</v>
      </c>
      <c r="AVG101" s="699">
        <f t="shared" si="352"/>
        <v>4868.33</v>
      </c>
      <c r="AVH101" s="699">
        <f t="shared" si="353"/>
        <v>5080</v>
      </c>
      <c r="AVI101" s="699">
        <f t="shared" si="354"/>
        <v>540</v>
      </c>
      <c r="AVJ101" s="699">
        <f t="shared" si="355"/>
        <v>770</v>
      </c>
      <c r="AVK101" s="699">
        <f t="shared" si="356"/>
        <v>80</v>
      </c>
      <c r="AVL101" s="699">
        <f t="shared" si="357"/>
        <v>300</v>
      </c>
      <c r="AVM101" s="699">
        <f t="shared" si="358"/>
        <v>18748.78</v>
      </c>
      <c r="AVN101" s="699">
        <f t="shared" si="359"/>
        <v>14399.98</v>
      </c>
      <c r="AVO101" s="699">
        <f t="shared" si="360"/>
        <v>4348.8</v>
      </c>
      <c r="AVP101" s="699">
        <f t="shared" si="361"/>
        <v>3520</v>
      </c>
      <c r="AVQ101" s="699">
        <f t="shared" si="362"/>
        <v>115515</v>
      </c>
    </row>
    <row r="102" spans="1:108 1244:1265" ht="30" customHeight="1" x14ac:dyDescent="0.25">
      <c r="A102" s="643">
        <v>1</v>
      </c>
      <c r="B102" s="643">
        <v>5</v>
      </c>
      <c r="C102" s="664" t="s">
        <v>248</v>
      </c>
      <c r="D102" s="2"/>
      <c r="E102" s="101" t="s">
        <v>344</v>
      </c>
      <c r="F102" s="643" t="s">
        <v>31</v>
      </c>
      <c r="G102" s="643">
        <v>1</v>
      </c>
      <c r="H102" s="658" t="s">
        <v>10</v>
      </c>
      <c r="I102" s="643">
        <v>0</v>
      </c>
      <c r="J102" s="101" t="s">
        <v>356</v>
      </c>
      <c r="K102" s="643">
        <v>3</v>
      </c>
      <c r="L102" s="683" t="s">
        <v>349</v>
      </c>
      <c r="M102" s="11" t="s">
        <v>255</v>
      </c>
      <c r="N102" s="101" t="s">
        <v>387</v>
      </c>
      <c r="O102" s="643">
        <v>1</v>
      </c>
      <c r="P102" s="632">
        <v>884</v>
      </c>
      <c r="Q102" s="632">
        <v>884</v>
      </c>
      <c r="R102" s="632">
        <v>884</v>
      </c>
      <c r="S102" s="675">
        <f>SUMIF('Территориальный кк'!$A:$A,'2020'!$B102,'Территориальный кк'!D:D)</f>
        <v>1.395</v>
      </c>
      <c r="T102" s="676">
        <f>SUMIF('Территориальный кк'!$A:$A,'2020'!$B102,'Территориальный кк'!E:E)</f>
        <v>1.9790000000000001</v>
      </c>
      <c r="U102" s="618">
        <f>SUMIFS(Нормативы!G:G,Нормативы!$B:$B,$G102,Нормативы!$D:$D,'2020'!$I102,Нормативы!$F:$F,'2020'!$K102)*O102</f>
        <v>64190</v>
      </c>
      <c r="V102" s="618">
        <f t="shared" si="329"/>
        <v>49301.1</v>
      </c>
      <c r="W102" s="618">
        <f t="shared" si="330"/>
        <v>14888.9</v>
      </c>
      <c r="X102" s="618">
        <f>SUMIFS(Нормативы!J:J,Нормативы!$B:$B,$G102,Нормативы!$D:$D,'2020'!$I102,Нормативы!$F:$F,'2020'!$K102)</f>
        <v>8830</v>
      </c>
      <c r="Y102" s="618">
        <f>SUMIFS(Нормативы!K:K,Нормативы!$B:$B,$G102,Нормативы!$D:$D,'2020'!$I102,Нормативы!$F:$F,'2020'!$K102)</f>
        <v>1766</v>
      </c>
      <c r="Z102" s="618">
        <f>SUMIFS(Нормативы!L:L,Нормативы!$B:$B,$G102,Нормативы!$D:$D,'2020'!$I102,Нормативы!$F:$F,'2020'!$K102)</f>
        <v>8110</v>
      </c>
      <c r="AA102" s="618">
        <f t="shared" si="331"/>
        <v>19050</v>
      </c>
      <c r="AB102" s="618">
        <f>SUMIFS(Нормативы!N:N,Нормативы!$B:$B,$G102,Нормативы!$D:$D,'2020'!$I102,Нормативы!$F:$F,'2020'!$K102)*O102</f>
        <v>520</v>
      </c>
      <c r="AC102" s="618">
        <f>SUMIFS(Нормативы!O:O,Нормативы!$B:$B,$G102,Нормативы!$D:$D,'2020'!$I102,Нормативы!$F:$F,'2020'!$K102)</f>
        <v>17290</v>
      </c>
      <c r="AD102" s="618">
        <f>SUMIFS(Нормативы!P:P,Нормативы!$B:$B,$G102,Нормативы!$D:$D,'2020'!$I102,Нормативы!$F:$F,'2020'!$K102)*O102</f>
        <v>360</v>
      </c>
      <c r="AE102" s="618">
        <f>SUMIFS(Нормативы!Q:Q,Нормативы!$B:$B,$G102,Нормативы!$D:$D,'2020'!$I102,Нормативы!$F:$F,'2020'!$K102)</f>
        <v>880</v>
      </c>
      <c r="AF102" s="618">
        <f>SUMIFS(Нормативы!R:R,Нормативы!$B:$B,$G102,Нормативы!$D:$D,'2020'!$I102,Нормативы!$F:$F,'2020'!$K102)</f>
        <v>2680</v>
      </c>
      <c r="AG102" s="618">
        <f>SUMIFS(Нормативы!S:S,Нормативы!$B:$B,$G102,Нормативы!$D:$D,'2020'!$I102,Нормативы!$F:$F,'2020'!$K102)</f>
        <v>5800</v>
      </c>
      <c r="AH102" s="618">
        <f>SUMIFS(Нормативы!T:T,Нормативы!$B:$B,$G102,Нормативы!$D:$D,'2020'!$I102,Нормативы!$F:$F,'2020'!$K102)</f>
        <v>540</v>
      </c>
      <c r="AI102" s="618">
        <f>SUMIFS(Нормативы!U:U,Нормативы!$B:$B,$G102,Нормативы!$D:$D,'2020'!$I102,Нормативы!$F:$F,'2020'!$K102)</f>
        <v>770</v>
      </c>
      <c r="AJ102" s="618">
        <f>SUMIFS(Нормативы!V:V,Нормативы!$B:$B,$G102,Нормативы!$D:$D,'2020'!$I102,Нормативы!$F:$F,'2020'!$K102)</f>
        <v>80</v>
      </c>
      <c r="AK102" s="618">
        <f>SUMIFS(Нормативы!W:W,Нормативы!$B:$B,$G102,Нормативы!$D:$D,'2020'!$I102,Нормативы!$F:$F,'2020'!$K102)</f>
        <v>1050</v>
      </c>
      <c r="AL102" s="618">
        <f>SUMIFS(Нормативы!X:X,Нормативы!$B:$B,$G102,Нормативы!$D:$D,'2020'!$I102,Нормативы!$F:$F,'2020'!$K102)*O102</f>
        <v>16120</v>
      </c>
      <c r="AM102" s="618">
        <f t="shared" si="332"/>
        <v>12381</v>
      </c>
      <c r="AN102" s="618">
        <f t="shared" si="333"/>
        <v>3739</v>
      </c>
      <c r="AO102" s="618">
        <f>SUMIFS(Нормативы!AA:AA,Нормативы!$B:$B,$G102,Нормативы!$D:$D,'2020'!$I102,Нормативы!$F:$F,'2020'!$K102)</f>
        <v>3520</v>
      </c>
      <c r="AP102" s="619">
        <f t="shared" si="334"/>
        <v>130740</v>
      </c>
      <c r="AQ102" s="413">
        <f t="shared" si="272"/>
        <v>56743960</v>
      </c>
      <c r="AR102" s="618">
        <f t="shared" si="335"/>
        <v>43582150.5</v>
      </c>
      <c r="AS102" s="618">
        <f t="shared" si="336"/>
        <v>13161809.5</v>
      </c>
      <c r="AT102" s="616">
        <f t="shared" si="273"/>
        <v>7805720</v>
      </c>
      <c r="AU102" s="616">
        <f t="shared" si="274"/>
        <v>1561144</v>
      </c>
      <c r="AV102" s="616">
        <f t="shared" si="275"/>
        <v>7169240</v>
      </c>
      <c r="AW102" s="616">
        <f t="shared" si="276"/>
        <v>16840200</v>
      </c>
      <c r="AX102" s="616">
        <f t="shared" si="277"/>
        <v>459680</v>
      </c>
      <c r="AY102" s="616">
        <f t="shared" si="278"/>
        <v>15284360</v>
      </c>
      <c r="AZ102" s="616">
        <f t="shared" si="279"/>
        <v>318240</v>
      </c>
      <c r="BA102" s="616">
        <f t="shared" si="280"/>
        <v>777920</v>
      </c>
      <c r="BB102" s="616">
        <f t="shared" si="281"/>
        <v>2369120</v>
      </c>
      <c r="BC102" s="616">
        <f t="shared" si="282"/>
        <v>5127200</v>
      </c>
      <c r="BD102" s="616">
        <f t="shared" si="283"/>
        <v>477360</v>
      </c>
      <c r="BE102" s="616">
        <f t="shared" si="284"/>
        <v>680680</v>
      </c>
      <c r="BF102" s="616">
        <f t="shared" si="285"/>
        <v>70720</v>
      </c>
      <c r="BG102" s="616">
        <f t="shared" si="286"/>
        <v>928200</v>
      </c>
      <c r="BH102" s="616">
        <f t="shared" si="287"/>
        <v>14250080</v>
      </c>
      <c r="BI102" s="618">
        <f t="shared" si="337"/>
        <v>10944761.9</v>
      </c>
      <c r="BJ102" s="618">
        <f t="shared" si="338"/>
        <v>3305318.1</v>
      </c>
      <c r="BK102" s="616">
        <f t="shared" si="288"/>
        <v>3111680</v>
      </c>
      <c r="BL102" s="620">
        <f t="shared" si="289"/>
        <v>115574160</v>
      </c>
      <c r="BM102" s="616">
        <f t="shared" si="290"/>
        <v>79157824</v>
      </c>
      <c r="BN102" s="618">
        <f t="shared" si="291"/>
        <v>60797099.799999997</v>
      </c>
      <c r="BO102" s="618">
        <f t="shared" si="292"/>
        <v>18360724.199999999</v>
      </c>
      <c r="BP102" s="616">
        <f t="shared" si="339"/>
        <v>7805720</v>
      </c>
      <c r="BQ102" s="616">
        <f t="shared" si="340"/>
        <v>1561144</v>
      </c>
      <c r="BR102" s="616">
        <f t="shared" si="341"/>
        <v>7169240</v>
      </c>
      <c r="BS102" s="616">
        <f t="shared" si="293"/>
        <v>16840200</v>
      </c>
      <c r="BT102" s="616">
        <f t="shared" si="294"/>
        <v>459680</v>
      </c>
      <c r="BU102" s="616">
        <f t="shared" si="295"/>
        <v>15284360</v>
      </c>
      <c r="BV102" s="616">
        <f t="shared" si="296"/>
        <v>318240</v>
      </c>
      <c r="BW102" s="616">
        <f t="shared" si="297"/>
        <v>777920</v>
      </c>
      <c r="BX102" s="616">
        <f t="shared" si="298"/>
        <v>4688488</v>
      </c>
      <c r="BY102" s="616">
        <f t="shared" si="299"/>
        <v>5127200</v>
      </c>
      <c r="BZ102" s="616">
        <f t="shared" si="300"/>
        <v>477360</v>
      </c>
      <c r="CA102" s="616">
        <f t="shared" si="301"/>
        <v>680680</v>
      </c>
      <c r="CB102" s="616">
        <f t="shared" si="302"/>
        <v>70720</v>
      </c>
      <c r="CC102" s="616">
        <f t="shared" si="303"/>
        <v>928200</v>
      </c>
      <c r="CD102" s="616">
        <f t="shared" si="304"/>
        <v>19878862</v>
      </c>
      <c r="CE102" s="618">
        <f t="shared" si="342"/>
        <v>15267943.199999999</v>
      </c>
      <c r="CF102" s="618">
        <f t="shared" si="343"/>
        <v>4610918.8</v>
      </c>
      <c r="CG102" s="616">
        <f t="shared" si="305"/>
        <v>3111680</v>
      </c>
      <c r="CH102" s="621">
        <f t="shared" si="306"/>
        <v>145936174</v>
      </c>
      <c r="CI102" s="88">
        <f t="shared" si="307"/>
        <v>89545.049799999993</v>
      </c>
      <c r="CJ102" s="90">
        <f t="shared" si="308"/>
        <v>68774.999800000005</v>
      </c>
      <c r="CK102" s="90">
        <f t="shared" si="309"/>
        <v>20770.05</v>
      </c>
      <c r="CL102" s="88">
        <f t="shared" si="310"/>
        <v>8830</v>
      </c>
      <c r="CM102" s="88">
        <f t="shared" si="311"/>
        <v>1766</v>
      </c>
      <c r="CN102" s="88">
        <f t="shared" si="312"/>
        <v>8110</v>
      </c>
      <c r="CO102" s="88">
        <f t="shared" si="313"/>
        <v>19050</v>
      </c>
      <c r="CP102" s="88">
        <f t="shared" si="314"/>
        <v>520</v>
      </c>
      <c r="CQ102" s="88">
        <f t="shared" si="315"/>
        <v>17290</v>
      </c>
      <c r="CR102" s="88">
        <f t="shared" si="316"/>
        <v>360</v>
      </c>
      <c r="CS102" s="88">
        <f t="shared" si="317"/>
        <v>880</v>
      </c>
      <c r="CT102" s="88">
        <f t="shared" si="318"/>
        <v>5303.7195000000002</v>
      </c>
      <c r="CU102" s="88">
        <f t="shared" si="319"/>
        <v>5800</v>
      </c>
      <c r="CV102" s="88">
        <f t="shared" si="320"/>
        <v>540</v>
      </c>
      <c r="CW102" s="88">
        <f t="shared" si="321"/>
        <v>770</v>
      </c>
      <c r="CX102" s="88">
        <f t="shared" si="322"/>
        <v>80</v>
      </c>
      <c r="CY102" s="88">
        <f t="shared" si="323"/>
        <v>1050</v>
      </c>
      <c r="CZ102" s="88">
        <f t="shared" si="324"/>
        <v>22487.4005</v>
      </c>
      <c r="DA102" s="90">
        <f t="shared" si="325"/>
        <v>17271.429</v>
      </c>
      <c r="DB102" s="90">
        <f t="shared" si="326"/>
        <v>5215.9714999999997</v>
      </c>
      <c r="DC102" s="88">
        <f t="shared" si="327"/>
        <v>3520</v>
      </c>
      <c r="DD102" s="211">
        <f t="shared" si="328"/>
        <v>165086.1697</v>
      </c>
      <c r="AUV102" s="699">
        <f t="shared" si="235"/>
        <v>89545.05</v>
      </c>
      <c r="AUW102" s="699">
        <f t="shared" si="236"/>
        <v>68775</v>
      </c>
      <c r="AUX102" s="699">
        <f t="shared" si="237"/>
        <v>20770.05</v>
      </c>
      <c r="AUY102" s="699">
        <f t="shared" si="346"/>
        <v>8830</v>
      </c>
      <c r="AUZ102" s="699">
        <f t="shared" si="344"/>
        <v>788854.98</v>
      </c>
      <c r="AVA102" s="699">
        <f t="shared" si="344"/>
        <v>111.69</v>
      </c>
      <c r="AVB102" s="699">
        <f t="shared" si="347"/>
        <v>19050</v>
      </c>
      <c r="AVC102" s="699">
        <f t="shared" si="348"/>
        <v>520</v>
      </c>
      <c r="AVD102" s="699">
        <f t="shared" si="349"/>
        <v>17290</v>
      </c>
      <c r="AVE102" s="699">
        <f t="shared" si="350"/>
        <v>360</v>
      </c>
      <c r="AVF102" s="699">
        <f t="shared" si="351"/>
        <v>880</v>
      </c>
      <c r="AVG102" s="699">
        <f t="shared" si="352"/>
        <v>5303.72</v>
      </c>
      <c r="AVH102" s="699">
        <f t="shared" si="353"/>
        <v>5800</v>
      </c>
      <c r="AVI102" s="699">
        <f t="shared" si="354"/>
        <v>540</v>
      </c>
      <c r="AVJ102" s="699">
        <f t="shared" si="355"/>
        <v>770</v>
      </c>
      <c r="AVK102" s="699">
        <f t="shared" si="356"/>
        <v>80</v>
      </c>
      <c r="AVL102" s="699">
        <f t="shared" si="357"/>
        <v>1050</v>
      </c>
      <c r="AVM102" s="699">
        <f t="shared" si="358"/>
        <v>22487.4</v>
      </c>
      <c r="AVN102" s="699">
        <f t="shared" si="359"/>
        <v>17271.43</v>
      </c>
      <c r="AVO102" s="699">
        <f t="shared" si="360"/>
        <v>5215.97</v>
      </c>
      <c r="AVP102" s="699">
        <f t="shared" si="361"/>
        <v>3520</v>
      </c>
      <c r="AVQ102" s="699">
        <f t="shared" si="362"/>
        <v>165086.17000000001</v>
      </c>
    </row>
    <row r="103" spans="1:108 1244:1265" ht="30" customHeight="1" x14ac:dyDescent="0.25">
      <c r="A103" s="643">
        <v>1</v>
      </c>
      <c r="B103" s="643">
        <v>5</v>
      </c>
      <c r="C103" s="664" t="s">
        <v>248</v>
      </c>
      <c r="D103" s="2"/>
      <c r="E103" s="101" t="s">
        <v>344</v>
      </c>
      <c r="F103" s="643" t="s">
        <v>31</v>
      </c>
      <c r="G103" s="643">
        <v>1</v>
      </c>
      <c r="H103" s="658" t="s">
        <v>10</v>
      </c>
      <c r="I103" s="643">
        <v>0</v>
      </c>
      <c r="J103" s="101" t="s">
        <v>356</v>
      </c>
      <c r="K103" s="643">
        <v>3</v>
      </c>
      <c r="L103" s="683" t="s">
        <v>349</v>
      </c>
      <c r="M103" s="11" t="s">
        <v>256</v>
      </c>
      <c r="N103" s="101" t="s">
        <v>401</v>
      </c>
      <c r="O103" s="643">
        <v>2</v>
      </c>
      <c r="P103" s="632">
        <v>6</v>
      </c>
      <c r="Q103" s="632">
        <v>6</v>
      </c>
      <c r="R103" s="632">
        <v>6</v>
      </c>
      <c r="S103" s="675">
        <f>SUMIF('Территориальный кк'!$A:$A,'2020'!$B103,'Территориальный кк'!D:D)</f>
        <v>1.395</v>
      </c>
      <c r="T103" s="676">
        <f>SUMIF('Территориальный кк'!$A:$A,'2020'!$B103,'Территориальный кк'!E:E)</f>
        <v>1.9790000000000001</v>
      </c>
      <c r="U103" s="618">
        <f>SUMIFS(Нормативы!G:G,Нормативы!$B:$B,$G103,Нормативы!$D:$D,'2020'!$I103,Нормативы!$F:$F,'2020'!$K103)*O103</f>
        <v>128380</v>
      </c>
      <c r="V103" s="618">
        <f t="shared" si="329"/>
        <v>98602.2</v>
      </c>
      <c r="W103" s="618">
        <f t="shared" si="330"/>
        <v>29777.8</v>
      </c>
      <c r="X103" s="618">
        <f>SUMIFS(Нормативы!J:J,Нормативы!$B:$B,$G103,Нормативы!$D:$D,'2020'!$I103,Нормативы!$F:$F,'2020'!$K103)</f>
        <v>8830</v>
      </c>
      <c r="Y103" s="618">
        <f>SUMIFS(Нормативы!K:K,Нормативы!$B:$B,$G103,Нормативы!$D:$D,'2020'!$I103,Нормативы!$F:$F,'2020'!$K103)</f>
        <v>1766</v>
      </c>
      <c r="Z103" s="618">
        <f>SUMIFS(Нормативы!L:L,Нормативы!$B:$B,$G103,Нормативы!$D:$D,'2020'!$I103,Нормативы!$F:$F,'2020'!$K103)</f>
        <v>8110</v>
      </c>
      <c r="AA103" s="618">
        <f t="shared" si="331"/>
        <v>19930</v>
      </c>
      <c r="AB103" s="618">
        <f>SUMIFS(Нормативы!N:N,Нормативы!$B:$B,$G103,Нормативы!$D:$D,'2020'!$I103,Нормативы!$F:$F,'2020'!$K103)*O103</f>
        <v>1040</v>
      </c>
      <c r="AC103" s="618">
        <f>SUMIFS(Нормативы!O:O,Нормативы!$B:$B,$G103,Нормативы!$D:$D,'2020'!$I103,Нормативы!$F:$F,'2020'!$K103)</f>
        <v>17290</v>
      </c>
      <c r="AD103" s="618">
        <f>SUMIFS(Нормативы!P:P,Нормативы!$B:$B,$G103,Нормативы!$D:$D,'2020'!$I103,Нормативы!$F:$F,'2020'!$K103)*O103</f>
        <v>720</v>
      </c>
      <c r="AE103" s="618">
        <f>SUMIFS(Нормативы!Q:Q,Нормативы!$B:$B,$G103,Нормативы!$D:$D,'2020'!$I103,Нормативы!$F:$F,'2020'!$K103)</f>
        <v>880</v>
      </c>
      <c r="AF103" s="618">
        <f>SUMIFS(Нормативы!R:R,Нормативы!$B:$B,$G103,Нормативы!$D:$D,'2020'!$I103,Нормативы!$F:$F,'2020'!$K103)</f>
        <v>2680</v>
      </c>
      <c r="AG103" s="618">
        <f>SUMIFS(Нормативы!S:S,Нормативы!$B:$B,$G103,Нормативы!$D:$D,'2020'!$I103,Нормативы!$F:$F,'2020'!$K103)</f>
        <v>5800</v>
      </c>
      <c r="AH103" s="618">
        <f>SUMIFS(Нормативы!T:T,Нормативы!$B:$B,$G103,Нормативы!$D:$D,'2020'!$I103,Нормативы!$F:$F,'2020'!$K103)</f>
        <v>540</v>
      </c>
      <c r="AI103" s="618">
        <f>SUMIFS(Нормативы!U:U,Нормативы!$B:$B,$G103,Нормативы!$D:$D,'2020'!$I103,Нормативы!$F:$F,'2020'!$K103)</f>
        <v>770</v>
      </c>
      <c r="AJ103" s="618">
        <f>SUMIFS(Нормативы!V:V,Нормативы!$B:$B,$G103,Нормативы!$D:$D,'2020'!$I103,Нормативы!$F:$F,'2020'!$K103)</f>
        <v>80</v>
      </c>
      <c r="AK103" s="618">
        <f>SUMIFS(Нормативы!W:W,Нормативы!$B:$B,$G103,Нормативы!$D:$D,'2020'!$I103,Нормативы!$F:$F,'2020'!$K103)</f>
        <v>1050</v>
      </c>
      <c r="AL103" s="618">
        <f>SUMIFS(Нормативы!X:X,Нормативы!$B:$B,$G103,Нормативы!$D:$D,'2020'!$I103,Нормативы!$F:$F,'2020'!$K103)*O103</f>
        <v>32240</v>
      </c>
      <c r="AM103" s="618">
        <f t="shared" si="332"/>
        <v>24761.9</v>
      </c>
      <c r="AN103" s="618">
        <f t="shared" si="333"/>
        <v>7478.1</v>
      </c>
      <c r="AO103" s="618">
        <f>SUMIFS(Нормативы!AA:AA,Нормативы!$B:$B,$G103,Нормативы!$D:$D,'2020'!$I103,Нормативы!$F:$F,'2020'!$K103)</f>
        <v>3520</v>
      </c>
      <c r="AP103" s="619">
        <f t="shared" si="334"/>
        <v>211930</v>
      </c>
      <c r="AQ103" s="413">
        <f t="shared" si="272"/>
        <v>770280</v>
      </c>
      <c r="AR103" s="618">
        <f t="shared" si="335"/>
        <v>591612.9</v>
      </c>
      <c r="AS103" s="618">
        <f t="shared" si="336"/>
        <v>178667.1</v>
      </c>
      <c r="AT103" s="616">
        <f t="shared" si="273"/>
        <v>52980</v>
      </c>
      <c r="AU103" s="616">
        <f t="shared" si="274"/>
        <v>10596</v>
      </c>
      <c r="AV103" s="616">
        <f t="shared" si="275"/>
        <v>48660</v>
      </c>
      <c r="AW103" s="616">
        <f t="shared" si="276"/>
        <v>119580</v>
      </c>
      <c r="AX103" s="616">
        <f t="shared" si="277"/>
        <v>6240</v>
      </c>
      <c r="AY103" s="616">
        <f t="shared" si="278"/>
        <v>103740</v>
      </c>
      <c r="AZ103" s="616">
        <f t="shared" si="279"/>
        <v>4320</v>
      </c>
      <c r="BA103" s="616">
        <f t="shared" si="280"/>
        <v>5280</v>
      </c>
      <c r="BB103" s="616">
        <f t="shared" si="281"/>
        <v>16080</v>
      </c>
      <c r="BC103" s="616">
        <f t="shared" si="282"/>
        <v>34800</v>
      </c>
      <c r="BD103" s="616">
        <f t="shared" si="283"/>
        <v>3240</v>
      </c>
      <c r="BE103" s="616">
        <f t="shared" si="284"/>
        <v>4620</v>
      </c>
      <c r="BF103" s="616">
        <f t="shared" si="285"/>
        <v>480</v>
      </c>
      <c r="BG103" s="616">
        <f t="shared" si="286"/>
        <v>6300</v>
      </c>
      <c r="BH103" s="616">
        <f t="shared" si="287"/>
        <v>193440</v>
      </c>
      <c r="BI103" s="618">
        <f t="shared" si="337"/>
        <v>148571.4</v>
      </c>
      <c r="BJ103" s="618">
        <f t="shared" si="338"/>
        <v>44868.6</v>
      </c>
      <c r="BK103" s="616">
        <f t="shared" si="288"/>
        <v>21120</v>
      </c>
      <c r="BL103" s="620">
        <f t="shared" si="289"/>
        <v>1271580</v>
      </c>
      <c r="BM103" s="616">
        <f t="shared" si="290"/>
        <v>1074541</v>
      </c>
      <c r="BN103" s="618">
        <f t="shared" si="291"/>
        <v>825300.3</v>
      </c>
      <c r="BO103" s="618">
        <f t="shared" si="292"/>
        <v>249240.7</v>
      </c>
      <c r="BP103" s="616">
        <f t="shared" si="339"/>
        <v>52980</v>
      </c>
      <c r="BQ103" s="616">
        <f t="shared" si="340"/>
        <v>10596</v>
      </c>
      <c r="BR103" s="616">
        <f t="shared" si="341"/>
        <v>48660</v>
      </c>
      <c r="BS103" s="616">
        <f t="shared" si="293"/>
        <v>119580</v>
      </c>
      <c r="BT103" s="616">
        <f t="shared" si="294"/>
        <v>6240</v>
      </c>
      <c r="BU103" s="616">
        <f t="shared" si="295"/>
        <v>103740</v>
      </c>
      <c r="BV103" s="616">
        <f t="shared" si="296"/>
        <v>4320</v>
      </c>
      <c r="BW103" s="616">
        <f t="shared" si="297"/>
        <v>5280</v>
      </c>
      <c r="BX103" s="616">
        <f t="shared" si="298"/>
        <v>31822</v>
      </c>
      <c r="BY103" s="616">
        <f t="shared" si="299"/>
        <v>34800</v>
      </c>
      <c r="BZ103" s="616">
        <f t="shared" si="300"/>
        <v>3240</v>
      </c>
      <c r="CA103" s="616">
        <f t="shared" si="301"/>
        <v>4620</v>
      </c>
      <c r="CB103" s="616">
        <f t="shared" si="302"/>
        <v>480</v>
      </c>
      <c r="CC103" s="616">
        <f t="shared" si="303"/>
        <v>6300</v>
      </c>
      <c r="CD103" s="616">
        <f t="shared" si="304"/>
        <v>269849</v>
      </c>
      <c r="CE103" s="618">
        <f t="shared" si="342"/>
        <v>207257.3</v>
      </c>
      <c r="CF103" s="618">
        <f t="shared" si="343"/>
        <v>62591.7</v>
      </c>
      <c r="CG103" s="616">
        <f t="shared" si="305"/>
        <v>21120</v>
      </c>
      <c r="CH103" s="621">
        <f t="shared" si="306"/>
        <v>1667992</v>
      </c>
      <c r="CI103" s="88">
        <f t="shared" si="307"/>
        <v>179090.1667</v>
      </c>
      <c r="CJ103" s="90">
        <f t="shared" si="308"/>
        <v>137550.04999999999</v>
      </c>
      <c r="CK103" s="90">
        <f t="shared" si="309"/>
        <v>41540.116699999999</v>
      </c>
      <c r="CL103" s="88">
        <f t="shared" si="310"/>
        <v>8830</v>
      </c>
      <c r="CM103" s="88">
        <f t="shared" si="311"/>
        <v>1766</v>
      </c>
      <c r="CN103" s="88">
        <f t="shared" si="312"/>
        <v>8110</v>
      </c>
      <c r="CO103" s="88">
        <f t="shared" si="313"/>
        <v>19930</v>
      </c>
      <c r="CP103" s="88">
        <f t="shared" si="314"/>
        <v>1040</v>
      </c>
      <c r="CQ103" s="88">
        <f t="shared" si="315"/>
        <v>17290</v>
      </c>
      <c r="CR103" s="88">
        <f t="shared" si="316"/>
        <v>720</v>
      </c>
      <c r="CS103" s="88">
        <f t="shared" si="317"/>
        <v>880</v>
      </c>
      <c r="CT103" s="88">
        <f t="shared" si="318"/>
        <v>5303.6666999999998</v>
      </c>
      <c r="CU103" s="88">
        <f t="shared" si="319"/>
        <v>5800</v>
      </c>
      <c r="CV103" s="88">
        <f t="shared" si="320"/>
        <v>540</v>
      </c>
      <c r="CW103" s="88">
        <f t="shared" si="321"/>
        <v>770</v>
      </c>
      <c r="CX103" s="88">
        <f t="shared" si="322"/>
        <v>80</v>
      </c>
      <c r="CY103" s="88">
        <f t="shared" si="323"/>
        <v>1050</v>
      </c>
      <c r="CZ103" s="88">
        <f t="shared" si="324"/>
        <v>44974.833299999998</v>
      </c>
      <c r="DA103" s="90">
        <f t="shared" si="325"/>
        <v>34542.883300000001</v>
      </c>
      <c r="DB103" s="90">
        <f t="shared" si="326"/>
        <v>10431.950000000001</v>
      </c>
      <c r="DC103" s="88">
        <f t="shared" si="327"/>
        <v>3520</v>
      </c>
      <c r="DD103" s="211">
        <f t="shared" si="328"/>
        <v>277998.6667</v>
      </c>
      <c r="AUV103" s="699">
        <f t="shared" si="235"/>
        <v>179090.17</v>
      </c>
      <c r="AUW103" s="699">
        <f t="shared" si="236"/>
        <v>137550.04999999999</v>
      </c>
      <c r="AUX103" s="699">
        <f t="shared" si="237"/>
        <v>41540.120000000003</v>
      </c>
      <c r="AUY103" s="699">
        <f t="shared" si="346"/>
        <v>8830</v>
      </c>
      <c r="AUZ103" s="699">
        <f t="shared" si="344"/>
        <v>5354.22</v>
      </c>
      <c r="AVA103" s="699">
        <f t="shared" si="344"/>
        <v>0.38</v>
      </c>
      <c r="AVB103" s="699">
        <f t="shared" si="347"/>
        <v>19930</v>
      </c>
      <c r="AVC103" s="699">
        <f t="shared" si="348"/>
        <v>1040</v>
      </c>
      <c r="AVD103" s="699">
        <f t="shared" si="349"/>
        <v>17290</v>
      </c>
      <c r="AVE103" s="699">
        <f t="shared" si="350"/>
        <v>720</v>
      </c>
      <c r="AVF103" s="699">
        <f t="shared" si="351"/>
        <v>880</v>
      </c>
      <c r="AVG103" s="699">
        <f t="shared" si="352"/>
        <v>5303.67</v>
      </c>
      <c r="AVH103" s="699">
        <f t="shared" si="353"/>
        <v>5800</v>
      </c>
      <c r="AVI103" s="699">
        <f t="shared" si="354"/>
        <v>540</v>
      </c>
      <c r="AVJ103" s="699">
        <f t="shared" si="355"/>
        <v>770</v>
      </c>
      <c r="AVK103" s="699">
        <f t="shared" si="356"/>
        <v>80</v>
      </c>
      <c r="AVL103" s="699">
        <f t="shared" si="357"/>
        <v>1050</v>
      </c>
      <c r="AVM103" s="699">
        <f t="shared" si="358"/>
        <v>44974.83</v>
      </c>
      <c r="AVN103" s="699">
        <f t="shared" si="359"/>
        <v>34542.879999999997</v>
      </c>
      <c r="AVO103" s="699">
        <f t="shared" si="360"/>
        <v>10431.950000000001</v>
      </c>
      <c r="AVP103" s="699">
        <f t="shared" si="361"/>
        <v>3520</v>
      </c>
      <c r="AVQ103" s="699">
        <f t="shared" si="362"/>
        <v>277998.67</v>
      </c>
    </row>
    <row r="104" spans="1:108 1244:1265" ht="30" customHeight="1" x14ac:dyDescent="0.25">
      <c r="A104" s="643">
        <v>1</v>
      </c>
      <c r="B104" s="643">
        <v>5</v>
      </c>
      <c r="C104" s="664" t="s">
        <v>248</v>
      </c>
      <c r="D104" s="2"/>
      <c r="E104" s="101" t="s">
        <v>344</v>
      </c>
      <c r="F104" s="643" t="s">
        <v>31</v>
      </c>
      <c r="G104" s="643">
        <v>1</v>
      </c>
      <c r="H104" s="658" t="s">
        <v>8</v>
      </c>
      <c r="I104" s="643">
        <v>3</v>
      </c>
      <c r="J104" s="101" t="s">
        <v>356</v>
      </c>
      <c r="K104" s="643">
        <v>3</v>
      </c>
      <c r="L104" s="683" t="s">
        <v>349</v>
      </c>
      <c r="M104" s="11" t="s">
        <v>257</v>
      </c>
      <c r="N104" s="101" t="s">
        <v>387</v>
      </c>
      <c r="O104" s="643">
        <v>1</v>
      </c>
      <c r="P104" s="632">
        <v>425</v>
      </c>
      <c r="Q104" s="632">
        <v>425</v>
      </c>
      <c r="R104" s="632">
        <v>425</v>
      </c>
      <c r="S104" s="675">
        <f>SUMIF('Территориальный кк'!$A:$A,'2020'!$B104,'Территориальный кк'!D:D)</f>
        <v>1.395</v>
      </c>
      <c r="T104" s="676">
        <f>SUMIF('Территориальный кк'!$A:$A,'2020'!$B104,'Территориальный кк'!E:E)</f>
        <v>1.9790000000000001</v>
      </c>
      <c r="U104" s="618">
        <f>SUMIFS(Нормативы!G:G,Нормативы!$B:$B,$G104,Нормативы!$D:$D,'2020'!$I104,Нормативы!$F:$F,'2020'!$K104)*O104</f>
        <v>6419</v>
      </c>
      <c r="V104" s="618">
        <f t="shared" si="329"/>
        <v>4930.1000000000004</v>
      </c>
      <c r="W104" s="618">
        <f t="shared" si="330"/>
        <v>1488.9</v>
      </c>
      <c r="X104" s="618">
        <f>SUMIFS(Нормативы!J:J,Нормативы!$B:$B,$G104,Нормативы!$D:$D,'2020'!$I104,Нормативы!$F:$F,'2020'!$K104)</f>
        <v>883</v>
      </c>
      <c r="Y104" s="618">
        <f>SUMIFS(Нормативы!K:K,Нормативы!$B:$B,$G104,Нормативы!$D:$D,'2020'!$I104,Нормативы!$F:$F,'2020'!$K104)</f>
        <v>177</v>
      </c>
      <c r="Z104" s="618">
        <f>SUMIFS(Нормативы!L:L,Нормативы!$B:$B,$G104,Нормативы!$D:$D,'2020'!$I104,Нормативы!$F:$F,'2020'!$K104)</f>
        <v>811</v>
      </c>
      <c r="AA104" s="618">
        <f t="shared" si="331"/>
        <v>1905</v>
      </c>
      <c r="AB104" s="618">
        <f>SUMIFS(Нормативы!N:N,Нормативы!$B:$B,$G104,Нормативы!$D:$D,'2020'!$I104,Нормативы!$F:$F,'2020'!$K104)*O104</f>
        <v>52</v>
      </c>
      <c r="AC104" s="618">
        <f>SUMIFS(Нормативы!O:O,Нормативы!$B:$B,$G104,Нормативы!$D:$D,'2020'!$I104,Нормативы!$F:$F,'2020'!$K104)</f>
        <v>1729</v>
      </c>
      <c r="AD104" s="618">
        <f>SUMIFS(Нормативы!P:P,Нормативы!$B:$B,$G104,Нормативы!$D:$D,'2020'!$I104,Нормативы!$F:$F,'2020'!$K104)*O104</f>
        <v>36</v>
      </c>
      <c r="AE104" s="618">
        <f>SUMIFS(Нормативы!Q:Q,Нормативы!$B:$B,$G104,Нормативы!$D:$D,'2020'!$I104,Нормативы!$F:$F,'2020'!$K104)</f>
        <v>88</v>
      </c>
      <c r="AF104" s="618">
        <f>SUMIFS(Нормативы!R:R,Нормативы!$B:$B,$G104,Нормативы!$D:$D,'2020'!$I104,Нормативы!$F:$F,'2020'!$K104)</f>
        <v>268</v>
      </c>
      <c r="AG104" s="618">
        <f>SUMIFS(Нормативы!S:S,Нормативы!$B:$B,$G104,Нормативы!$D:$D,'2020'!$I104,Нормативы!$F:$F,'2020'!$K104)</f>
        <v>580</v>
      </c>
      <c r="AH104" s="618">
        <f>SUMIFS(Нормативы!T:T,Нормативы!$B:$B,$G104,Нормативы!$D:$D,'2020'!$I104,Нормативы!$F:$F,'2020'!$K104)</f>
        <v>54</v>
      </c>
      <c r="AI104" s="618">
        <f>SUMIFS(Нормативы!U:U,Нормативы!$B:$B,$G104,Нормативы!$D:$D,'2020'!$I104,Нормативы!$F:$F,'2020'!$K104)</f>
        <v>77</v>
      </c>
      <c r="AJ104" s="618">
        <f>SUMIFS(Нормативы!V:V,Нормативы!$B:$B,$G104,Нормативы!$D:$D,'2020'!$I104,Нормативы!$F:$F,'2020'!$K104)</f>
        <v>8</v>
      </c>
      <c r="AK104" s="618">
        <f>SUMIFS(Нормативы!W:W,Нормативы!$B:$B,$G104,Нормативы!$D:$D,'2020'!$I104,Нормативы!$F:$F,'2020'!$K104)</f>
        <v>105</v>
      </c>
      <c r="AL104" s="618">
        <f>SUMIFS(Нормативы!X:X,Нормативы!$B:$B,$G104,Нормативы!$D:$D,'2020'!$I104,Нормативы!$F:$F,'2020'!$K104)*O104</f>
        <v>1612</v>
      </c>
      <c r="AM104" s="618">
        <f t="shared" si="332"/>
        <v>1238.0999999999999</v>
      </c>
      <c r="AN104" s="618">
        <f t="shared" si="333"/>
        <v>373.9</v>
      </c>
      <c r="AO104" s="618">
        <f>SUMIFS(Нормативы!AA:AA,Нормативы!$B:$B,$G104,Нормативы!$D:$D,'2020'!$I104,Нормативы!$F:$F,'2020'!$K104)</f>
        <v>0</v>
      </c>
      <c r="AP104" s="619">
        <f t="shared" si="334"/>
        <v>12722</v>
      </c>
      <c r="AQ104" s="413">
        <f t="shared" si="272"/>
        <v>2728075</v>
      </c>
      <c r="AR104" s="618">
        <f t="shared" si="335"/>
        <v>2095295.7</v>
      </c>
      <c r="AS104" s="618">
        <f t="shared" si="336"/>
        <v>632779.30000000005</v>
      </c>
      <c r="AT104" s="616">
        <f t="shared" si="273"/>
        <v>375275</v>
      </c>
      <c r="AU104" s="616">
        <f t="shared" si="274"/>
        <v>75225</v>
      </c>
      <c r="AV104" s="616">
        <f t="shared" si="275"/>
        <v>344675</v>
      </c>
      <c r="AW104" s="616">
        <f t="shared" si="276"/>
        <v>809625</v>
      </c>
      <c r="AX104" s="616">
        <f t="shared" si="277"/>
        <v>22100</v>
      </c>
      <c r="AY104" s="616">
        <f t="shared" si="278"/>
        <v>734825</v>
      </c>
      <c r="AZ104" s="616">
        <f t="shared" si="279"/>
        <v>15300</v>
      </c>
      <c r="BA104" s="616">
        <f t="shared" si="280"/>
        <v>37400</v>
      </c>
      <c r="BB104" s="616">
        <f t="shared" si="281"/>
        <v>113900</v>
      </c>
      <c r="BC104" s="616">
        <f t="shared" si="282"/>
        <v>246500</v>
      </c>
      <c r="BD104" s="616">
        <f t="shared" si="283"/>
        <v>22950</v>
      </c>
      <c r="BE104" s="616">
        <f t="shared" si="284"/>
        <v>32725</v>
      </c>
      <c r="BF104" s="616">
        <f t="shared" si="285"/>
        <v>3400</v>
      </c>
      <c r="BG104" s="616">
        <f t="shared" si="286"/>
        <v>44625</v>
      </c>
      <c r="BH104" s="616">
        <f t="shared" si="287"/>
        <v>685100</v>
      </c>
      <c r="BI104" s="618">
        <f t="shared" si="337"/>
        <v>526190.5</v>
      </c>
      <c r="BJ104" s="618">
        <f t="shared" si="338"/>
        <v>158909.5</v>
      </c>
      <c r="BK104" s="616">
        <f t="shared" si="288"/>
        <v>0</v>
      </c>
      <c r="BL104" s="620">
        <f t="shared" si="289"/>
        <v>5406850</v>
      </c>
      <c r="BM104" s="616">
        <f t="shared" si="290"/>
        <v>3805665</v>
      </c>
      <c r="BN104" s="618">
        <f t="shared" si="291"/>
        <v>2922937.8</v>
      </c>
      <c r="BO104" s="618">
        <f t="shared" si="292"/>
        <v>882727.2</v>
      </c>
      <c r="BP104" s="616">
        <f t="shared" si="339"/>
        <v>375275</v>
      </c>
      <c r="BQ104" s="616">
        <f t="shared" si="340"/>
        <v>75225</v>
      </c>
      <c r="BR104" s="616">
        <f t="shared" si="341"/>
        <v>344675</v>
      </c>
      <c r="BS104" s="616">
        <f t="shared" si="293"/>
        <v>809625</v>
      </c>
      <c r="BT104" s="616">
        <f t="shared" si="294"/>
        <v>22100</v>
      </c>
      <c r="BU104" s="616">
        <f t="shared" si="295"/>
        <v>734825</v>
      </c>
      <c r="BV104" s="616">
        <f t="shared" si="296"/>
        <v>15300</v>
      </c>
      <c r="BW104" s="616">
        <f t="shared" si="297"/>
        <v>37400</v>
      </c>
      <c r="BX104" s="616">
        <f t="shared" si="298"/>
        <v>225408</v>
      </c>
      <c r="BY104" s="616">
        <f t="shared" si="299"/>
        <v>246500</v>
      </c>
      <c r="BZ104" s="616">
        <f t="shared" si="300"/>
        <v>22950</v>
      </c>
      <c r="CA104" s="616">
        <f t="shared" si="301"/>
        <v>32725</v>
      </c>
      <c r="CB104" s="616">
        <f t="shared" si="302"/>
        <v>3400</v>
      </c>
      <c r="CC104" s="616">
        <f t="shared" si="303"/>
        <v>44625</v>
      </c>
      <c r="CD104" s="616">
        <f t="shared" si="304"/>
        <v>955715</v>
      </c>
      <c r="CE104" s="618">
        <f t="shared" si="342"/>
        <v>734036.1</v>
      </c>
      <c r="CF104" s="618">
        <f t="shared" si="343"/>
        <v>221678.9</v>
      </c>
      <c r="CG104" s="616">
        <f t="shared" si="305"/>
        <v>0</v>
      </c>
      <c r="CH104" s="621">
        <f t="shared" si="306"/>
        <v>6866563</v>
      </c>
      <c r="CI104" s="88">
        <f t="shared" si="307"/>
        <v>8954.5059000000001</v>
      </c>
      <c r="CJ104" s="90">
        <f t="shared" si="308"/>
        <v>6877.5006999999996</v>
      </c>
      <c r="CK104" s="90">
        <f t="shared" si="309"/>
        <v>2077.0052000000001</v>
      </c>
      <c r="CL104" s="88">
        <f t="shared" si="310"/>
        <v>883</v>
      </c>
      <c r="CM104" s="88">
        <f t="shared" si="311"/>
        <v>177</v>
      </c>
      <c r="CN104" s="88">
        <f t="shared" si="312"/>
        <v>811</v>
      </c>
      <c r="CO104" s="88">
        <f t="shared" si="313"/>
        <v>1905</v>
      </c>
      <c r="CP104" s="88">
        <f t="shared" si="314"/>
        <v>52</v>
      </c>
      <c r="CQ104" s="88">
        <f t="shared" si="315"/>
        <v>1729</v>
      </c>
      <c r="CR104" s="88">
        <f t="shared" si="316"/>
        <v>36</v>
      </c>
      <c r="CS104" s="88">
        <f t="shared" si="317"/>
        <v>88</v>
      </c>
      <c r="CT104" s="88">
        <f t="shared" si="318"/>
        <v>530.37180000000001</v>
      </c>
      <c r="CU104" s="88">
        <f t="shared" si="319"/>
        <v>580</v>
      </c>
      <c r="CV104" s="88">
        <f t="shared" si="320"/>
        <v>54</v>
      </c>
      <c r="CW104" s="88">
        <f t="shared" si="321"/>
        <v>77</v>
      </c>
      <c r="CX104" s="88">
        <f t="shared" si="322"/>
        <v>8</v>
      </c>
      <c r="CY104" s="88">
        <f t="shared" si="323"/>
        <v>105</v>
      </c>
      <c r="CZ104" s="88">
        <f t="shared" si="324"/>
        <v>2248.7411999999999</v>
      </c>
      <c r="DA104" s="90">
        <f t="shared" si="325"/>
        <v>1727.1438000000001</v>
      </c>
      <c r="DB104" s="90">
        <f t="shared" si="326"/>
        <v>521.59739999999999</v>
      </c>
      <c r="DC104" s="88">
        <f t="shared" si="327"/>
        <v>0</v>
      </c>
      <c r="DD104" s="88">
        <f t="shared" si="328"/>
        <v>16156.6188</v>
      </c>
      <c r="AUV104" s="699">
        <f t="shared" si="235"/>
        <v>8954.51</v>
      </c>
      <c r="AUW104" s="699">
        <f t="shared" si="236"/>
        <v>6877.5</v>
      </c>
      <c r="AUX104" s="699">
        <f t="shared" si="237"/>
        <v>2077.0100000000002</v>
      </c>
      <c r="AUY104" s="699">
        <f t="shared" si="346"/>
        <v>883</v>
      </c>
      <c r="AUZ104" s="699">
        <f t="shared" si="344"/>
        <v>38011.620000000003</v>
      </c>
      <c r="AVA104" s="699">
        <f t="shared" si="344"/>
        <v>53.7</v>
      </c>
      <c r="AVB104" s="699">
        <f t="shared" si="347"/>
        <v>1905</v>
      </c>
      <c r="AVC104" s="699">
        <f t="shared" si="348"/>
        <v>52</v>
      </c>
      <c r="AVD104" s="699">
        <f t="shared" si="349"/>
        <v>1729</v>
      </c>
      <c r="AVE104" s="699">
        <f t="shared" si="350"/>
        <v>36</v>
      </c>
      <c r="AVF104" s="699">
        <f t="shared" si="351"/>
        <v>88</v>
      </c>
      <c r="AVG104" s="699">
        <f t="shared" si="352"/>
        <v>530.37</v>
      </c>
      <c r="AVH104" s="699">
        <f t="shared" si="353"/>
        <v>580</v>
      </c>
      <c r="AVI104" s="699">
        <f t="shared" si="354"/>
        <v>54</v>
      </c>
      <c r="AVJ104" s="699">
        <f t="shared" si="355"/>
        <v>77</v>
      </c>
      <c r="AVK104" s="699">
        <f t="shared" si="356"/>
        <v>8</v>
      </c>
      <c r="AVL104" s="699">
        <f t="shared" si="357"/>
        <v>105</v>
      </c>
      <c r="AVM104" s="699">
        <f t="shared" si="358"/>
        <v>2248.7399999999998</v>
      </c>
      <c r="AVN104" s="699">
        <f t="shared" si="359"/>
        <v>1727.14</v>
      </c>
      <c r="AVO104" s="699">
        <f t="shared" si="360"/>
        <v>521.6</v>
      </c>
      <c r="AVP104" s="699">
        <f t="shared" si="361"/>
        <v>0</v>
      </c>
      <c r="AVQ104" s="699">
        <f t="shared" si="362"/>
        <v>16156.62</v>
      </c>
    </row>
    <row r="105" spans="1:108 1244:1265" ht="30" customHeight="1" x14ac:dyDescent="0.25">
      <c r="A105" s="643">
        <v>1</v>
      </c>
      <c r="B105" s="643">
        <v>5</v>
      </c>
      <c r="C105" s="664" t="s">
        <v>248</v>
      </c>
      <c r="D105" s="2"/>
      <c r="E105" s="101" t="s">
        <v>344</v>
      </c>
      <c r="F105" s="643" t="s">
        <v>31</v>
      </c>
      <c r="G105" s="643">
        <v>1</v>
      </c>
      <c r="H105" s="658" t="s">
        <v>8</v>
      </c>
      <c r="I105" s="643">
        <v>3</v>
      </c>
      <c r="J105" s="101" t="s">
        <v>356</v>
      </c>
      <c r="K105" s="643">
        <v>3</v>
      </c>
      <c r="L105" s="683" t="s">
        <v>349</v>
      </c>
      <c r="M105" s="11" t="s">
        <v>280</v>
      </c>
      <c r="N105" s="101" t="s">
        <v>401</v>
      </c>
      <c r="O105" s="643">
        <v>2</v>
      </c>
      <c r="P105" s="632">
        <v>6</v>
      </c>
      <c r="Q105" s="632">
        <v>6</v>
      </c>
      <c r="R105" s="632">
        <v>6</v>
      </c>
      <c r="S105" s="675">
        <f>SUMIF('Территориальный кк'!$A:$A,'2020'!$B105,'Территориальный кк'!D:D)</f>
        <v>1.395</v>
      </c>
      <c r="T105" s="676">
        <f>SUMIF('Территориальный кк'!$A:$A,'2020'!$B105,'Территориальный кк'!E:E)</f>
        <v>1.9790000000000001</v>
      </c>
      <c r="U105" s="618">
        <f>SUMIFS(Нормативы!G:G,Нормативы!$B:$B,$G105,Нормативы!$D:$D,'2020'!$I105,Нормативы!$F:$F,'2020'!$K105)*O105</f>
        <v>12838</v>
      </c>
      <c r="V105" s="618">
        <f t="shared" si="329"/>
        <v>9860.2000000000007</v>
      </c>
      <c r="W105" s="618">
        <f t="shared" si="330"/>
        <v>2977.8</v>
      </c>
      <c r="X105" s="618">
        <f>SUMIFS(Нормативы!J:J,Нормативы!$B:$B,$G105,Нормативы!$D:$D,'2020'!$I105,Нормативы!$F:$F,'2020'!$K105)</f>
        <v>883</v>
      </c>
      <c r="Y105" s="618">
        <f>SUMIFS(Нормативы!K:K,Нормативы!$B:$B,$G105,Нормативы!$D:$D,'2020'!$I105,Нормативы!$F:$F,'2020'!$K105)</f>
        <v>177</v>
      </c>
      <c r="Z105" s="618">
        <f>SUMIFS(Нормативы!L:L,Нормативы!$B:$B,$G105,Нормативы!$D:$D,'2020'!$I105,Нормативы!$F:$F,'2020'!$K105)</f>
        <v>811</v>
      </c>
      <c r="AA105" s="618">
        <f t="shared" si="331"/>
        <v>1993</v>
      </c>
      <c r="AB105" s="618">
        <f>SUMIFS(Нормативы!N:N,Нормативы!$B:$B,$G105,Нормативы!$D:$D,'2020'!$I105,Нормативы!$F:$F,'2020'!$K105)*O105</f>
        <v>104</v>
      </c>
      <c r="AC105" s="618">
        <f>SUMIFS(Нормативы!O:O,Нормативы!$B:$B,$G105,Нормативы!$D:$D,'2020'!$I105,Нормативы!$F:$F,'2020'!$K105)</f>
        <v>1729</v>
      </c>
      <c r="AD105" s="618">
        <f>SUMIFS(Нормативы!P:P,Нормативы!$B:$B,$G105,Нормативы!$D:$D,'2020'!$I105,Нормативы!$F:$F,'2020'!$K105)*O105</f>
        <v>72</v>
      </c>
      <c r="AE105" s="618">
        <f>SUMIFS(Нормативы!Q:Q,Нормативы!$B:$B,$G105,Нормативы!$D:$D,'2020'!$I105,Нормативы!$F:$F,'2020'!$K105)</f>
        <v>88</v>
      </c>
      <c r="AF105" s="618">
        <f>SUMIFS(Нормативы!R:R,Нормативы!$B:$B,$G105,Нормативы!$D:$D,'2020'!$I105,Нормативы!$F:$F,'2020'!$K105)</f>
        <v>268</v>
      </c>
      <c r="AG105" s="618">
        <f>SUMIFS(Нормативы!S:S,Нормативы!$B:$B,$G105,Нормативы!$D:$D,'2020'!$I105,Нормативы!$F:$F,'2020'!$K105)</f>
        <v>580</v>
      </c>
      <c r="AH105" s="618">
        <f>SUMIFS(Нормативы!T:T,Нормативы!$B:$B,$G105,Нормативы!$D:$D,'2020'!$I105,Нормативы!$F:$F,'2020'!$K105)</f>
        <v>54</v>
      </c>
      <c r="AI105" s="618">
        <f>SUMIFS(Нормативы!U:U,Нормативы!$B:$B,$G105,Нормативы!$D:$D,'2020'!$I105,Нормативы!$F:$F,'2020'!$K105)</f>
        <v>77</v>
      </c>
      <c r="AJ105" s="618">
        <f>SUMIFS(Нормативы!V:V,Нормативы!$B:$B,$G105,Нормативы!$D:$D,'2020'!$I105,Нормативы!$F:$F,'2020'!$K105)</f>
        <v>8</v>
      </c>
      <c r="AK105" s="618">
        <f>SUMIFS(Нормативы!W:W,Нормативы!$B:$B,$G105,Нормативы!$D:$D,'2020'!$I105,Нормативы!$F:$F,'2020'!$K105)</f>
        <v>105</v>
      </c>
      <c r="AL105" s="618">
        <f>SUMIFS(Нормативы!X:X,Нормативы!$B:$B,$G105,Нормативы!$D:$D,'2020'!$I105,Нормативы!$F:$F,'2020'!$K105)*O105</f>
        <v>3224</v>
      </c>
      <c r="AM105" s="618">
        <f t="shared" si="332"/>
        <v>2476.1999999999998</v>
      </c>
      <c r="AN105" s="618">
        <f t="shared" si="333"/>
        <v>747.8</v>
      </c>
      <c r="AO105" s="618">
        <f>SUMIFS(Нормативы!AA:AA,Нормативы!$B:$B,$G105,Нормативы!$D:$D,'2020'!$I105,Нормативы!$F:$F,'2020'!$K105)</f>
        <v>0</v>
      </c>
      <c r="AP105" s="619">
        <f t="shared" si="334"/>
        <v>20841</v>
      </c>
      <c r="AQ105" s="413">
        <f t="shared" si="272"/>
        <v>77028</v>
      </c>
      <c r="AR105" s="618">
        <f t="shared" si="335"/>
        <v>59161.3</v>
      </c>
      <c r="AS105" s="618">
        <f t="shared" si="336"/>
        <v>17866.7</v>
      </c>
      <c r="AT105" s="616">
        <f t="shared" si="273"/>
        <v>5298</v>
      </c>
      <c r="AU105" s="616">
        <f t="shared" si="274"/>
        <v>1062</v>
      </c>
      <c r="AV105" s="616">
        <f t="shared" si="275"/>
        <v>4866</v>
      </c>
      <c r="AW105" s="616">
        <f t="shared" si="276"/>
        <v>11958</v>
      </c>
      <c r="AX105" s="616">
        <f t="shared" si="277"/>
        <v>624</v>
      </c>
      <c r="AY105" s="616">
        <f t="shared" si="278"/>
        <v>10374</v>
      </c>
      <c r="AZ105" s="616">
        <f t="shared" si="279"/>
        <v>432</v>
      </c>
      <c r="BA105" s="616">
        <f t="shared" si="280"/>
        <v>528</v>
      </c>
      <c r="BB105" s="616">
        <f t="shared" si="281"/>
        <v>1608</v>
      </c>
      <c r="BC105" s="616">
        <f t="shared" si="282"/>
        <v>3480</v>
      </c>
      <c r="BD105" s="616">
        <f t="shared" si="283"/>
        <v>324</v>
      </c>
      <c r="BE105" s="616">
        <f t="shared" si="284"/>
        <v>462</v>
      </c>
      <c r="BF105" s="616">
        <f t="shared" si="285"/>
        <v>48</v>
      </c>
      <c r="BG105" s="616">
        <f t="shared" si="286"/>
        <v>630</v>
      </c>
      <c r="BH105" s="616">
        <f t="shared" si="287"/>
        <v>19344</v>
      </c>
      <c r="BI105" s="618">
        <f t="shared" si="337"/>
        <v>14857.1</v>
      </c>
      <c r="BJ105" s="618">
        <f t="shared" si="338"/>
        <v>4486.8999999999996</v>
      </c>
      <c r="BK105" s="616">
        <f t="shared" si="288"/>
        <v>0</v>
      </c>
      <c r="BL105" s="620">
        <f t="shared" si="289"/>
        <v>125046</v>
      </c>
      <c r="BM105" s="616">
        <f t="shared" si="290"/>
        <v>107454</v>
      </c>
      <c r="BN105" s="618">
        <f t="shared" si="291"/>
        <v>82530</v>
      </c>
      <c r="BO105" s="618">
        <f t="shared" si="292"/>
        <v>24924</v>
      </c>
      <c r="BP105" s="616">
        <f t="shared" si="339"/>
        <v>5298</v>
      </c>
      <c r="BQ105" s="616">
        <f t="shared" si="340"/>
        <v>1062</v>
      </c>
      <c r="BR105" s="616">
        <f t="shared" si="341"/>
        <v>4866</v>
      </c>
      <c r="BS105" s="616">
        <f t="shared" si="293"/>
        <v>11958</v>
      </c>
      <c r="BT105" s="616">
        <f t="shared" si="294"/>
        <v>624</v>
      </c>
      <c r="BU105" s="616">
        <f t="shared" si="295"/>
        <v>10374</v>
      </c>
      <c r="BV105" s="616">
        <f t="shared" si="296"/>
        <v>432</v>
      </c>
      <c r="BW105" s="616">
        <f t="shared" si="297"/>
        <v>528</v>
      </c>
      <c r="BX105" s="616">
        <f t="shared" si="298"/>
        <v>3182</v>
      </c>
      <c r="BY105" s="616">
        <f t="shared" si="299"/>
        <v>3480</v>
      </c>
      <c r="BZ105" s="616">
        <f t="shared" si="300"/>
        <v>324</v>
      </c>
      <c r="CA105" s="616">
        <f t="shared" si="301"/>
        <v>462</v>
      </c>
      <c r="CB105" s="616">
        <f t="shared" si="302"/>
        <v>48</v>
      </c>
      <c r="CC105" s="616">
        <f t="shared" si="303"/>
        <v>630</v>
      </c>
      <c r="CD105" s="616">
        <f t="shared" si="304"/>
        <v>26985</v>
      </c>
      <c r="CE105" s="618">
        <f t="shared" si="342"/>
        <v>20725.8</v>
      </c>
      <c r="CF105" s="618">
        <f t="shared" si="343"/>
        <v>6259.2</v>
      </c>
      <c r="CG105" s="616">
        <f t="shared" si="305"/>
        <v>0</v>
      </c>
      <c r="CH105" s="621">
        <f t="shared" si="306"/>
        <v>164687</v>
      </c>
      <c r="CI105" s="88">
        <f t="shared" si="307"/>
        <v>17909</v>
      </c>
      <c r="CJ105" s="90">
        <f t="shared" si="308"/>
        <v>13755</v>
      </c>
      <c r="CK105" s="90">
        <f t="shared" si="309"/>
        <v>4154</v>
      </c>
      <c r="CL105" s="88">
        <f t="shared" si="310"/>
        <v>883</v>
      </c>
      <c r="CM105" s="88">
        <f t="shared" si="311"/>
        <v>177</v>
      </c>
      <c r="CN105" s="88">
        <f t="shared" si="312"/>
        <v>811</v>
      </c>
      <c r="CO105" s="88">
        <f t="shared" si="313"/>
        <v>1993</v>
      </c>
      <c r="CP105" s="88">
        <f t="shared" si="314"/>
        <v>104</v>
      </c>
      <c r="CQ105" s="88">
        <f t="shared" si="315"/>
        <v>1729</v>
      </c>
      <c r="CR105" s="88">
        <f t="shared" si="316"/>
        <v>72</v>
      </c>
      <c r="CS105" s="88">
        <f t="shared" si="317"/>
        <v>88</v>
      </c>
      <c r="CT105" s="88">
        <f t="shared" si="318"/>
        <v>530.33330000000001</v>
      </c>
      <c r="CU105" s="88">
        <f t="shared" si="319"/>
        <v>580</v>
      </c>
      <c r="CV105" s="88">
        <f t="shared" si="320"/>
        <v>54</v>
      </c>
      <c r="CW105" s="88">
        <f t="shared" si="321"/>
        <v>77</v>
      </c>
      <c r="CX105" s="88">
        <f t="shared" si="322"/>
        <v>8</v>
      </c>
      <c r="CY105" s="88">
        <f t="shared" si="323"/>
        <v>105</v>
      </c>
      <c r="CZ105" s="88">
        <f t="shared" si="324"/>
        <v>4497.5</v>
      </c>
      <c r="DA105" s="90">
        <f t="shared" si="325"/>
        <v>3454.3</v>
      </c>
      <c r="DB105" s="90">
        <f t="shared" si="326"/>
        <v>1043.2</v>
      </c>
      <c r="DC105" s="88">
        <f t="shared" si="327"/>
        <v>0</v>
      </c>
      <c r="DD105" s="88">
        <f t="shared" si="328"/>
        <v>27447.833299999998</v>
      </c>
      <c r="AUV105" s="699">
        <f t="shared" si="235"/>
        <v>17909</v>
      </c>
      <c r="AUW105" s="699">
        <f t="shared" si="236"/>
        <v>13754.99</v>
      </c>
      <c r="AUX105" s="699">
        <f t="shared" si="237"/>
        <v>4154.01</v>
      </c>
      <c r="AUY105" s="699">
        <f t="shared" si="346"/>
        <v>883</v>
      </c>
      <c r="AUZ105" s="699">
        <f t="shared" si="344"/>
        <v>536.63</v>
      </c>
      <c r="AVA105" s="699">
        <f t="shared" si="344"/>
        <v>0.38</v>
      </c>
      <c r="AVB105" s="699">
        <f t="shared" si="347"/>
        <v>1993</v>
      </c>
      <c r="AVC105" s="699">
        <f t="shared" si="348"/>
        <v>104</v>
      </c>
      <c r="AVD105" s="699">
        <f t="shared" si="349"/>
        <v>1729</v>
      </c>
      <c r="AVE105" s="699">
        <f t="shared" si="350"/>
        <v>72</v>
      </c>
      <c r="AVF105" s="699">
        <f t="shared" si="351"/>
        <v>88</v>
      </c>
      <c r="AVG105" s="699">
        <f t="shared" si="352"/>
        <v>530.33000000000004</v>
      </c>
      <c r="AVH105" s="699">
        <f t="shared" si="353"/>
        <v>580</v>
      </c>
      <c r="AVI105" s="699">
        <f t="shared" si="354"/>
        <v>54</v>
      </c>
      <c r="AVJ105" s="699">
        <f t="shared" si="355"/>
        <v>77</v>
      </c>
      <c r="AVK105" s="699">
        <f t="shared" si="356"/>
        <v>8</v>
      </c>
      <c r="AVL105" s="699">
        <f t="shared" si="357"/>
        <v>105</v>
      </c>
      <c r="AVM105" s="699">
        <f t="shared" si="358"/>
        <v>4497.5</v>
      </c>
      <c r="AVN105" s="699">
        <f t="shared" si="359"/>
        <v>3454.3</v>
      </c>
      <c r="AVO105" s="699">
        <f t="shared" si="360"/>
        <v>1043.2</v>
      </c>
      <c r="AVP105" s="699">
        <f t="shared" si="361"/>
        <v>0</v>
      </c>
      <c r="AVQ105" s="699">
        <f t="shared" si="362"/>
        <v>27447.83</v>
      </c>
    </row>
    <row r="106" spans="1:108 1244:1265" ht="30" customHeight="1" x14ac:dyDescent="0.25">
      <c r="A106" s="643">
        <v>1</v>
      </c>
      <c r="B106" s="643">
        <v>5</v>
      </c>
      <c r="C106" s="664" t="s">
        <v>248</v>
      </c>
      <c r="D106" s="2"/>
      <c r="E106" s="101" t="s">
        <v>344</v>
      </c>
      <c r="F106" s="643" t="s">
        <v>31</v>
      </c>
      <c r="G106" s="643">
        <v>1</v>
      </c>
      <c r="H106" s="658" t="s">
        <v>10</v>
      </c>
      <c r="I106" s="643">
        <v>0</v>
      </c>
      <c r="J106" s="101" t="s">
        <v>357</v>
      </c>
      <c r="K106" s="643">
        <v>3</v>
      </c>
      <c r="L106" s="683" t="s">
        <v>349</v>
      </c>
      <c r="M106" s="11" t="s">
        <v>258</v>
      </c>
      <c r="N106" s="101" t="s">
        <v>387</v>
      </c>
      <c r="O106" s="643">
        <v>1</v>
      </c>
      <c r="P106" s="632">
        <v>54</v>
      </c>
      <c r="Q106" s="632">
        <v>54</v>
      </c>
      <c r="R106" s="632">
        <v>54</v>
      </c>
      <c r="S106" s="675">
        <f>SUMIF('Территориальный кк'!$A:$A,'2020'!$B106,'Территориальный кк'!D:D)</f>
        <v>1.395</v>
      </c>
      <c r="T106" s="676">
        <f>SUMIF('Территориальный кк'!$A:$A,'2020'!$B106,'Территориальный кк'!E:E)</f>
        <v>1.9790000000000001</v>
      </c>
      <c r="U106" s="618">
        <f>SUMIFS(Нормативы!G:G,Нормативы!$B:$B,$G106,Нормативы!$D:$D,'2020'!$I106,Нормативы!$F:$F,'2020'!$K106)*O106</f>
        <v>64190</v>
      </c>
      <c r="V106" s="618">
        <f t="shared" si="329"/>
        <v>49301.1</v>
      </c>
      <c r="W106" s="618">
        <f t="shared" si="330"/>
        <v>14888.9</v>
      </c>
      <c r="X106" s="618">
        <f>SUMIFS(Нормативы!J:J,Нормативы!$B:$B,$G106,Нормативы!$D:$D,'2020'!$I106,Нормативы!$F:$F,'2020'!$K106)</f>
        <v>8830</v>
      </c>
      <c r="Y106" s="618">
        <f>SUMIFS(Нормативы!K:K,Нормативы!$B:$B,$G106,Нормативы!$D:$D,'2020'!$I106,Нормативы!$F:$F,'2020'!$K106)</f>
        <v>1766</v>
      </c>
      <c r="Z106" s="618">
        <f>SUMIFS(Нормативы!L:L,Нормативы!$B:$B,$G106,Нормативы!$D:$D,'2020'!$I106,Нормативы!$F:$F,'2020'!$K106)</f>
        <v>8110</v>
      </c>
      <c r="AA106" s="618">
        <f t="shared" si="331"/>
        <v>19050</v>
      </c>
      <c r="AB106" s="618">
        <f>SUMIFS(Нормативы!N:N,Нормативы!$B:$B,$G106,Нормативы!$D:$D,'2020'!$I106,Нормативы!$F:$F,'2020'!$K106)*O106</f>
        <v>520</v>
      </c>
      <c r="AC106" s="618">
        <f>SUMIFS(Нормативы!O:O,Нормативы!$B:$B,$G106,Нормативы!$D:$D,'2020'!$I106,Нормативы!$F:$F,'2020'!$K106)</f>
        <v>17290</v>
      </c>
      <c r="AD106" s="618">
        <f>SUMIFS(Нормативы!P:P,Нормативы!$B:$B,$G106,Нормативы!$D:$D,'2020'!$I106,Нормативы!$F:$F,'2020'!$K106)*O106</f>
        <v>360</v>
      </c>
      <c r="AE106" s="618">
        <f>SUMIFS(Нормативы!Q:Q,Нормативы!$B:$B,$G106,Нормативы!$D:$D,'2020'!$I106,Нормативы!$F:$F,'2020'!$K106)</f>
        <v>880</v>
      </c>
      <c r="AF106" s="618">
        <f>SUMIFS(Нормативы!R:R,Нормативы!$B:$B,$G106,Нормативы!$D:$D,'2020'!$I106,Нормативы!$F:$F,'2020'!$K106)</f>
        <v>2680</v>
      </c>
      <c r="AG106" s="618">
        <f>SUMIFS(Нормативы!S:S,Нормативы!$B:$B,$G106,Нормативы!$D:$D,'2020'!$I106,Нормативы!$F:$F,'2020'!$K106)</f>
        <v>5800</v>
      </c>
      <c r="AH106" s="618">
        <f>SUMIFS(Нормативы!T:T,Нормативы!$B:$B,$G106,Нормативы!$D:$D,'2020'!$I106,Нормативы!$F:$F,'2020'!$K106)</f>
        <v>540</v>
      </c>
      <c r="AI106" s="618">
        <f>SUMIFS(Нормативы!U:U,Нормативы!$B:$B,$G106,Нормативы!$D:$D,'2020'!$I106,Нормативы!$F:$F,'2020'!$K106)</f>
        <v>770</v>
      </c>
      <c r="AJ106" s="618">
        <f>SUMIFS(Нормативы!V:V,Нормативы!$B:$B,$G106,Нормативы!$D:$D,'2020'!$I106,Нормативы!$F:$F,'2020'!$K106)</f>
        <v>80</v>
      </c>
      <c r="AK106" s="618">
        <f>SUMIFS(Нормативы!W:W,Нормативы!$B:$B,$G106,Нормативы!$D:$D,'2020'!$I106,Нормативы!$F:$F,'2020'!$K106)</f>
        <v>1050</v>
      </c>
      <c r="AL106" s="618">
        <f>SUMIFS(Нормативы!X:X,Нормативы!$B:$B,$G106,Нормативы!$D:$D,'2020'!$I106,Нормативы!$F:$F,'2020'!$K106)*O106</f>
        <v>16120</v>
      </c>
      <c r="AM106" s="618">
        <f t="shared" si="332"/>
        <v>12381</v>
      </c>
      <c r="AN106" s="618">
        <f t="shared" si="333"/>
        <v>3739</v>
      </c>
      <c r="AO106" s="618">
        <f>SUMIFS(Нормативы!AA:AA,Нормативы!$B:$B,$G106,Нормативы!$D:$D,'2020'!$I106,Нормативы!$F:$F,'2020'!$K106)</f>
        <v>3520</v>
      </c>
      <c r="AP106" s="619">
        <f t="shared" si="334"/>
        <v>130740</v>
      </c>
      <c r="AQ106" s="413">
        <f t="shared" si="272"/>
        <v>3466260</v>
      </c>
      <c r="AR106" s="618">
        <f t="shared" si="335"/>
        <v>2662258.1</v>
      </c>
      <c r="AS106" s="618">
        <f t="shared" si="336"/>
        <v>804001.9</v>
      </c>
      <c r="AT106" s="616">
        <f t="shared" si="273"/>
        <v>476820</v>
      </c>
      <c r="AU106" s="616">
        <f t="shared" si="274"/>
        <v>95364</v>
      </c>
      <c r="AV106" s="616">
        <f t="shared" si="275"/>
        <v>437940</v>
      </c>
      <c r="AW106" s="616">
        <f t="shared" si="276"/>
        <v>1028700</v>
      </c>
      <c r="AX106" s="616">
        <f t="shared" si="277"/>
        <v>28080</v>
      </c>
      <c r="AY106" s="616">
        <f t="shared" si="278"/>
        <v>933660</v>
      </c>
      <c r="AZ106" s="616">
        <f t="shared" si="279"/>
        <v>19440</v>
      </c>
      <c r="BA106" s="616">
        <f t="shared" si="280"/>
        <v>47520</v>
      </c>
      <c r="BB106" s="616">
        <f t="shared" si="281"/>
        <v>144720</v>
      </c>
      <c r="BC106" s="616">
        <f t="shared" si="282"/>
        <v>313200</v>
      </c>
      <c r="BD106" s="616">
        <f t="shared" si="283"/>
        <v>29160</v>
      </c>
      <c r="BE106" s="616">
        <f t="shared" si="284"/>
        <v>41580</v>
      </c>
      <c r="BF106" s="616">
        <f t="shared" si="285"/>
        <v>4320</v>
      </c>
      <c r="BG106" s="616">
        <f t="shared" si="286"/>
        <v>56700</v>
      </c>
      <c r="BH106" s="616">
        <f t="shared" si="287"/>
        <v>870480</v>
      </c>
      <c r="BI106" s="618">
        <f t="shared" si="337"/>
        <v>668571.4</v>
      </c>
      <c r="BJ106" s="618">
        <f t="shared" si="338"/>
        <v>201908.6</v>
      </c>
      <c r="BK106" s="616">
        <f t="shared" si="288"/>
        <v>190080</v>
      </c>
      <c r="BL106" s="620">
        <f t="shared" si="289"/>
        <v>7059960</v>
      </c>
      <c r="BM106" s="616">
        <f t="shared" si="290"/>
        <v>4835433</v>
      </c>
      <c r="BN106" s="618">
        <f t="shared" si="291"/>
        <v>3713850.2</v>
      </c>
      <c r="BO106" s="618">
        <f t="shared" si="292"/>
        <v>1121582.8</v>
      </c>
      <c r="BP106" s="616">
        <f t="shared" si="339"/>
        <v>476820</v>
      </c>
      <c r="BQ106" s="616">
        <f t="shared" si="340"/>
        <v>95364</v>
      </c>
      <c r="BR106" s="616">
        <f t="shared" si="341"/>
        <v>437940</v>
      </c>
      <c r="BS106" s="616">
        <f t="shared" si="293"/>
        <v>1028700</v>
      </c>
      <c r="BT106" s="616">
        <f t="shared" si="294"/>
        <v>28080</v>
      </c>
      <c r="BU106" s="616">
        <f t="shared" si="295"/>
        <v>933660</v>
      </c>
      <c r="BV106" s="616">
        <f t="shared" si="296"/>
        <v>19440</v>
      </c>
      <c r="BW106" s="616">
        <f t="shared" si="297"/>
        <v>47520</v>
      </c>
      <c r="BX106" s="616">
        <f t="shared" si="298"/>
        <v>286401</v>
      </c>
      <c r="BY106" s="616">
        <f t="shared" si="299"/>
        <v>313200</v>
      </c>
      <c r="BZ106" s="616">
        <f t="shared" si="300"/>
        <v>29160</v>
      </c>
      <c r="CA106" s="616">
        <f t="shared" si="301"/>
        <v>41580</v>
      </c>
      <c r="CB106" s="616">
        <f t="shared" si="302"/>
        <v>4320</v>
      </c>
      <c r="CC106" s="616">
        <f t="shared" si="303"/>
        <v>56700</v>
      </c>
      <c r="CD106" s="616">
        <f t="shared" si="304"/>
        <v>1214320</v>
      </c>
      <c r="CE106" s="618">
        <f t="shared" si="342"/>
        <v>932657.5</v>
      </c>
      <c r="CF106" s="618">
        <f t="shared" si="343"/>
        <v>281662.5</v>
      </c>
      <c r="CG106" s="616">
        <f t="shared" si="305"/>
        <v>190080</v>
      </c>
      <c r="CH106" s="621">
        <f t="shared" si="306"/>
        <v>8914654</v>
      </c>
      <c r="CI106" s="88">
        <f t="shared" si="307"/>
        <v>89545.055600000007</v>
      </c>
      <c r="CJ106" s="90">
        <f t="shared" si="308"/>
        <v>68775.003700000001</v>
      </c>
      <c r="CK106" s="90">
        <f t="shared" si="309"/>
        <v>20770.051899999999</v>
      </c>
      <c r="CL106" s="88">
        <f t="shared" si="310"/>
        <v>8830</v>
      </c>
      <c r="CM106" s="88">
        <f t="shared" si="311"/>
        <v>1766</v>
      </c>
      <c r="CN106" s="88">
        <f t="shared" si="312"/>
        <v>8110</v>
      </c>
      <c r="CO106" s="88">
        <f t="shared" si="313"/>
        <v>19050</v>
      </c>
      <c r="CP106" s="88">
        <f t="shared" si="314"/>
        <v>520</v>
      </c>
      <c r="CQ106" s="88">
        <f t="shared" si="315"/>
        <v>17290</v>
      </c>
      <c r="CR106" s="88">
        <f t="shared" si="316"/>
        <v>360</v>
      </c>
      <c r="CS106" s="88">
        <f t="shared" si="317"/>
        <v>880</v>
      </c>
      <c r="CT106" s="88">
        <f t="shared" si="318"/>
        <v>5303.7222000000002</v>
      </c>
      <c r="CU106" s="88">
        <f t="shared" si="319"/>
        <v>5800</v>
      </c>
      <c r="CV106" s="88">
        <f t="shared" si="320"/>
        <v>540</v>
      </c>
      <c r="CW106" s="88">
        <f t="shared" si="321"/>
        <v>770</v>
      </c>
      <c r="CX106" s="88">
        <f t="shared" si="322"/>
        <v>80</v>
      </c>
      <c r="CY106" s="88">
        <f t="shared" si="323"/>
        <v>1050</v>
      </c>
      <c r="CZ106" s="88">
        <f t="shared" si="324"/>
        <v>22487.4074</v>
      </c>
      <c r="DA106" s="90">
        <f t="shared" si="325"/>
        <v>17271.4352</v>
      </c>
      <c r="DB106" s="90">
        <f t="shared" si="326"/>
        <v>5215.9722000000002</v>
      </c>
      <c r="DC106" s="88">
        <f t="shared" si="327"/>
        <v>3520</v>
      </c>
      <c r="DD106" s="88">
        <f t="shared" si="328"/>
        <v>165086.18520000001</v>
      </c>
      <c r="AUV106" s="699">
        <f t="shared" si="235"/>
        <v>89545.06</v>
      </c>
      <c r="AUW106" s="699">
        <f t="shared" si="236"/>
        <v>68775.009999999995</v>
      </c>
      <c r="AUX106" s="699">
        <f t="shared" si="237"/>
        <v>20770.05</v>
      </c>
      <c r="AUY106" s="699">
        <f t="shared" si="346"/>
        <v>8830</v>
      </c>
      <c r="AUZ106" s="699">
        <f t="shared" si="344"/>
        <v>48187.97</v>
      </c>
      <c r="AVA106" s="699">
        <f t="shared" si="344"/>
        <v>6.82</v>
      </c>
      <c r="AVB106" s="699">
        <f t="shared" si="347"/>
        <v>19050</v>
      </c>
      <c r="AVC106" s="699">
        <f t="shared" si="348"/>
        <v>520</v>
      </c>
      <c r="AVD106" s="699">
        <f t="shared" si="349"/>
        <v>17290</v>
      </c>
      <c r="AVE106" s="699">
        <f t="shared" si="350"/>
        <v>360</v>
      </c>
      <c r="AVF106" s="699">
        <f t="shared" si="351"/>
        <v>880</v>
      </c>
      <c r="AVG106" s="699">
        <f t="shared" si="352"/>
        <v>5303.72</v>
      </c>
      <c r="AVH106" s="699">
        <f t="shared" si="353"/>
        <v>5800</v>
      </c>
      <c r="AVI106" s="699">
        <f t="shared" si="354"/>
        <v>540</v>
      </c>
      <c r="AVJ106" s="699">
        <f t="shared" si="355"/>
        <v>770</v>
      </c>
      <c r="AVK106" s="699">
        <f t="shared" si="356"/>
        <v>80</v>
      </c>
      <c r="AVL106" s="699">
        <f t="shared" si="357"/>
        <v>1050</v>
      </c>
      <c r="AVM106" s="699">
        <f t="shared" si="358"/>
        <v>22487.41</v>
      </c>
      <c r="AVN106" s="699">
        <f t="shared" si="359"/>
        <v>17271.439999999999</v>
      </c>
      <c r="AVO106" s="699">
        <f t="shared" si="360"/>
        <v>5215.97</v>
      </c>
      <c r="AVP106" s="699">
        <f t="shared" si="361"/>
        <v>3520</v>
      </c>
      <c r="AVQ106" s="699">
        <f t="shared" si="362"/>
        <v>165086.19</v>
      </c>
    </row>
    <row r="107" spans="1:108 1244:1265" ht="30" customHeight="1" x14ac:dyDescent="0.25">
      <c r="A107" s="643">
        <v>1</v>
      </c>
      <c r="B107" s="643">
        <v>5</v>
      </c>
      <c r="C107" s="664" t="s">
        <v>248</v>
      </c>
      <c r="D107" s="2"/>
      <c r="E107" s="101" t="s">
        <v>344</v>
      </c>
      <c r="F107" s="643" t="s">
        <v>31</v>
      </c>
      <c r="G107" s="643">
        <v>1</v>
      </c>
      <c r="H107" s="658" t="s">
        <v>10</v>
      </c>
      <c r="I107" s="643">
        <v>0</v>
      </c>
      <c r="J107" s="101" t="s">
        <v>357</v>
      </c>
      <c r="K107" s="643">
        <v>3</v>
      </c>
      <c r="L107" s="683" t="s">
        <v>349</v>
      </c>
      <c r="M107" s="11" t="s">
        <v>259</v>
      </c>
      <c r="N107" s="101" t="s">
        <v>401</v>
      </c>
      <c r="O107" s="643">
        <v>2</v>
      </c>
      <c r="P107" s="632">
        <v>8</v>
      </c>
      <c r="Q107" s="632">
        <v>8</v>
      </c>
      <c r="R107" s="632">
        <v>8</v>
      </c>
      <c r="S107" s="675">
        <f>SUMIF('Территориальный кк'!$A:$A,'2020'!$B107,'Территориальный кк'!D:D)</f>
        <v>1.395</v>
      </c>
      <c r="T107" s="676">
        <f>SUMIF('Территориальный кк'!$A:$A,'2020'!$B107,'Территориальный кк'!E:E)</f>
        <v>1.9790000000000001</v>
      </c>
      <c r="U107" s="618">
        <f>SUMIFS(Нормативы!G:G,Нормативы!$B:$B,$G107,Нормативы!$D:$D,'2020'!$I107,Нормативы!$F:$F,'2020'!$K107)*O107</f>
        <v>128380</v>
      </c>
      <c r="V107" s="618">
        <f t="shared" si="329"/>
        <v>98602.2</v>
      </c>
      <c r="W107" s="618">
        <f t="shared" si="330"/>
        <v>29777.8</v>
      </c>
      <c r="X107" s="618">
        <f>SUMIFS(Нормативы!J:J,Нормативы!$B:$B,$G107,Нормативы!$D:$D,'2020'!$I107,Нормативы!$F:$F,'2020'!$K107)</f>
        <v>8830</v>
      </c>
      <c r="Y107" s="618">
        <f>SUMIFS(Нормативы!K:K,Нормативы!$B:$B,$G107,Нормативы!$D:$D,'2020'!$I107,Нормативы!$F:$F,'2020'!$K107)</f>
        <v>1766</v>
      </c>
      <c r="Z107" s="618">
        <f>SUMIFS(Нормативы!L:L,Нормативы!$B:$B,$G107,Нормативы!$D:$D,'2020'!$I107,Нормативы!$F:$F,'2020'!$K107)</f>
        <v>8110</v>
      </c>
      <c r="AA107" s="618">
        <f t="shared" si="331"/>
        <v>19930</v>
      </c>
      <c r="AB107" s="618">
        <f>SUMIFS(Нормативы!N:N,Нормативы!$B:$B,$G107,Нормативы!$D:$D,'2020'!$I107,Нормативы!$F:$F,'2020'!$K107)*O107</f>
        <v>1040</v>
      </c>
      <c r="AC107" s="618">
        <f>SUMIFS(Нормативы!O:O,Нормативы!$B:$B,$G107,Нормативы!$D:$D,'2020'!$I107,Нормативы!$F:$F,'2020'!$K107)</f>
        <v>17290</v>
      </c>
      <c r="AD107" s="618">
        <f>SUMIFS(Нормативы!P:P,Нормативы!$B:$B,$G107,Нормативы!$D:$D,'2020'!$I107,Нормативы!$F:$F,'2020'!$K107)*O107</f>
        <v>720</v>
      </c>
      <c r="AE107" s="618">
        <f>SUMIFS(Нормативы!Q:Q,Нормативы!$B:$B,$G107,Нормативы!$D:$D,'2020'!$I107,Нормативы!$F:$F,'2020'!$K107)</f>
        <v>880</v>
      </c>
      <c r="AF107" s="618">
        <f>SUMIFS(Нормативы!R:R,Нормативы!$B:$B,$G107,Нормативы!$D:$D,'2020'!$I107,Нормативы!$F:$F,'2020'!$K107)</f>
        <v>2680</v>
      </c>
      <c r="AG107" s="618">
        <f>SUMIFS(Нормативы!S:S,Нормативы!$B:$B,$G107,Нормативы!$D:$D,'2020'!$I107,Нормативы!$F:$F,'2020'!$K107)</f>
        <v>5800</v>
      </c>
      <c r="AH107" s="618">
        <f>SUMIFS(Нормативы!T:T,Нормативы!$B:$B,$G107,Нормативы!$D:$D,'2020'!$I107,Нормативы!$F:$F,'2020'!$K107)</f>
        <v>540</v>
      </c>
      <c r="AI107" s="618">
        <f>SUMIFS(Нормативы!U:U,Нормативы!$B:$B,$G107,Нормативы!$D:$D,'2020'!$I107,Нормативы!$F:$F,'2020'!$K107)</f>
        <v>770</v>
      </c>
      <c r="AJ107" s="618">
        <f>SUMIFS(Нормативы!V:V,Нормативы!$B:$B,$G107,Нормативы!$D:$D,'2020'!$I107,Нормативы!$F:$F,'2020'!$K107)</f>
        <v>80</v>
      </c>
      <c r="AK107" s="618">
        <f>SUMIFS(Нормативы!W:W,Нормативы!$B:$B,$G107,Нормативы!$D:$D,'2020'!$I107,Нормативы!$F:$F,'2020'!$K107)</f>
        <v>1050</v>
      </c>
      <c r="AL107" s="618">
        <f>SUMIFS(Нормативы!X:X,Нормативы!$B:$B,$G107,Нормативы!$D:$D,'2020'!$I107,Нормативы!$F:$F,'2020'!$K107)*O107</f>
        <v>32240</v>
      </c>
      <c r="AM107" s="618">
        <f t="shared" si="332"/>
        <v>24761.9</v>
      </c>
      <c r="AN107" s="618">
        <f t="shared" si="333"/>
        <v>7478.1</v>
      </c>
      <c r="AO107" s="618">
        <f>SUMIFS(Нормативы!AA:AA,Нормативы!$B:$B,$G107,Нормативы!$D:$D,'2020'!$I107,Нормативы!$F:$F,'2020'!$K107)</f>
        <v>3520</v>
      </c>
      <c r="AP107" s="619">
        <f t="shared" si="334"/>
        <v>211930</v>
      </c>
      <c r="AQ107" s="413">
        <f t="shared" si="272"/>
        <v>1027040</v>
      </c>
      <c r="AR107" s="618">
        <f t="shared" si="335"/>
        <v>788817.2</v>
      </c>
      <c r="AS107" s="618">
        <f t="shared" si="336"/>
        <v>238222.8</v>
      </c>
      <c r="AT107" s="616">
        <f t="shared" si="273"/>
        <v>70640</v>
      </c>
      <c r="AU107" s="616">
        <f t="shared" si="274"/>
        <v>14128</v>
      </c>
      <c r="AV107" s="616">
        <f t="shared" si="275"/>
        <v>64880</v>
      </c>
      <c r="AW107" s="616">
        <f t="shared" si="276"/>
        <v>159440</v>
      </c>
      <c r="AX107" s="616">
        <f t="shared" si="277"/>
        <v>8320</v>
      </c>
      <c r="AY107" s="616">
        <f t="shared" si="278"/>
        <v>138320</v>
      </c>
      <c r="AZ107" s="616">
        <f t="shared" si="279"/>
        <v>5760</v>
      </c>
      <c r="BA107" s="616">
        <f t="shared" si="280"/>
        <v>7040</v>
      </c>
      <c r="BB107" s="616">
        <f t="shared" si="281"/>
        <v>21440</v>
      </c>
      <c r="BC107" s="616">
        <f t="shared" si="282"/>
        <v>46400</v>
      </c>
      <c r="BD107" s="616">
        <f t="shared" si="283"/>
        <v>4320</v>
      </c>
      <c r="BE107" s="616">
        <f t="shared" si="284"/>
        <v>6160</v>
      </c>
      <c r="BF107" s="616">
        <f t="shared" si="285"/>
        <v>640</v>
      </c>
      <c r="BG107" s="616">
        <f t="shared" si="286"/>
        <v>8400</v>
      </c>
      <c r="BH107" s="616">
        <f t="shared" si="287"/>
        <v>257920</v>
      </c>
      <c r="BI107" s="618">
        <f t="shared" si="337"/>
        <v>198095.2</v>
      </c>
      <c r="BJ107" s="618">
        <f t="shared" si="338"/>
        <v>59824.800000000003</v>
      </c>
      <c r="BK107" s="616">
        <f t="shared" si="288"/>
        <v>28160</v>
      </c>
      <c r="BL107" s="620">
        <f t="shared" si="289"/>
        <v>1695440</v>
      </c>
      <c r="BM107" s="616">
        <f t="shared" si="290"/>
        <v>1432721</v>
      </c>
      <c r="BN107" s="618">
        <f t="shared" si="291"/>
        <v>1100400.2</v>
      </c>
      <c r="BO107" s="618">
        <f t="shared" si="292"/>
        <v>332320.8</v>
      </c>
      <c r="BP107" s="616">
        <f t="shared" si="339"/>
        <v>70640</v>
      </c>
      <c r="BQ107" s="616">
        <f t="shared" si="340"/>
        <v>14128</v>
      </c>
      <c r="BR107" s="616">
        <f t="shared" si="341"/>
        <v>64880</v>
      </c>
      <c r="BS107" s="616">
        <f t="shared" si="293"/>
        <v>159440</v>
      </c>
      <c r="BT107" s="616">
        <f t="shared" si="294"/>
        <v>8320</v>
      </c>
      <c r="BU107" s="616">
        <f t="shared" si="295"/>
        <v>138320</v>
      </c>
      <c r="BV107" s="616">
        <f t="shared" si="296"/>
        <v>5760</v>
      </c>
      <c r="BW107" s="616">
        <f t="shared" si="297"/>
        <v>7040</v>
      </c>
      <c r="BX107" s="616">
        <f t="shared" si="298"/>
        <v>42430</v>
      </c>
      <c r="BY107" s="616">
        <f t="shared" si="299"/>
        <v>46400</v>
      </c>
      <c r="BZ107" s="616">
        <f t="shared" si="300"/>
        <v>4320</v>
      </c>
      <c r="CA107" s="616">
        <f t="shared" si="301"/>
        <v>6160</v>
      </c>
      <c r="CB107" s="616">
        <f t="shared" si="302"/>
        <v>640</v>
      </c>
      <c r="CC107" s="616">
        <f t="shared" si="303"/>
        <v>8400</v>
      </c>
      <c r="CD107" s="616">
        <f t="shared" si="304"/>
        <v>359798</v>
      </c>
      <c r="CE107" s="618">
        <f t="shared" si="342"/>
        <v>276342.5</v>
      </c>
      <c r="CF107" s="618">
        <f t="shared" si="343"/>
        <v>83455.5</v>
      </c>
      <c r="CG107" s="616">
        <f t="shared" si="305"/>
        <v>28160</v>
      </c>
      <c r="CH107" s="621">
        <f t="shared" si="306"/>
        <v>2223989</v>
      </c>
      <c r="CI107" s="88">
        <f t="shared" si="307"/>
        <v>179090.125</v>
      </c>
      <c r="CJ107" s="90">
        <f t="shared" si="308"/>
        <v>137550.02499999999</v>
      </c>
      <c r="CK107" s="90">
        <f t="shared" si="309"/>
        <v>41540.1</v>
      </c>
      <c r="CL107" s="88">
        <f t="shared" si="310"/>
        <v>8830</v>
      </c>
      <c r="CM107" s="88">
        <f t="shared" si="311"/>
        <v>1766</v>
      </c>
      <c r="CN107" s="88">
        <f t="shared" si="312"/>
        <v>8110</v>
      </c>
      <c r="CO107" s="88">
        <f t="shared" si="313"/>
        <v>19930</v>
      </c>
      <c r="CP107" s="88">
        <f t="shared" si="314"/>
        <v>1040</v>
      </c>
      <c r="CQ107" s="88">
        <f t="shared" si="315"/>
        <v>17290</v>
      </c>
      <c r="CR107" s="88">
        <f t="shared" si="316"/>
        <v>720</v>
      </c>
      <c r="CS107" s="88">
        <f t="shared" si="317"/>
        <v>880</v>
      </c>
      <c r="CT107" s="88">
        <f t="shared" si="318"/>
        <v>5303.75</v>
      </c>
      <c r="CU107" s="88">
        <f t="shared" si="319"/>
        <v>5800</v>
      </c>
      <c r="CV107" s="88">
        <f t="shared" si="320"/>
        <v>540</v>
      </c>
      <c r="CW107" s="88">
        <f t="shared" si="321"/>
        <v>770</v>
      </c>
      <c r="CX107" s="88">
        <f t="shared" si="322"/>
        <v>80</v>
      </c>
      <c r="CY107" s="88">
        <f t="shared" si="323"/>
        <v>1050</v>
      </c>
      <c r="CZ107" s="88">
        <f t="shared" si="324"/>
        <v>44974.75</v>
      </c>
      <c r="DA107" s="90">
        <f t="shared" si="325"/>
        <v>34542.8125</v>
      </c>
      <c r="DB107" s="90">
        <f t="shared" si="326"/>
        <v>10431.9375</v>
      </c>
      <c r="DC107" s="88">
        <f t="shared" si="327"/>
        <v>3520</v>
      </c>
      <c r="DD107" s="88">
        <f t="shared" si="328"/>
        <v>277998.625</v>
      </c>
      <c r="AUV107" s="699">
        <f t="shared" si="235"/>
        <v>179090.13</v>
      </c>
      <c r="AUW107" s="699">
        <f t="shared" si="236"/>
        <v>137550.01999999999</v>
      </c>
      <c r="AUX107" s="699">
        <f t="shared" si="237"/>
        <v>41540.11</v>
      </c>
      <c r="AUY107" s="699">
        <f t="shared" si="346"/>
        <v>8830</v>
      </c>
      <c r="AUZ107" s="699">
        <f t="shared" si="344"/>
        <v>7138.96</v>
      </c>
      <c r="AVA107" s="699">
        <f t="shared" si="344"/>
        <v>0.51</v>
      </c>
      <c r="AVB107" s="699">
        <f t="shared" si="347"/>
        <v>19930</v>
      </c>
      <c r="AVC107" s="699">
        <f t="shared" si="348"/>
        <v>1040</v>
      </c>
      <c r="AVD107" s="699">
        <f t="shared" si="349"/>
        <v>17290</v>
      </c>
      <c r="AVE107" s="699">
        <f t="shared" si="350"/>
        <v>720</v>
      </c>
      <c r="AVF107" s="699">
        <f t="shared" si="351"/>
        <v>880</v>
      </c>
      <c r="AVG107" s="699">
        <f t="shared" si="352"/>
        <v>5303.75</v>
      </c>
      <c r="AVH107" s="699">
        <f t="shared" si="353"/>
        <v>5800</v>
      </c>
      <c r="AVI107" s="699">
        <f t="shared" si="354"/>
        <v>540</v>
      </c>
      <c r="AVJ107" s="699">
        <f t="shared" si="355"/>
        <v>770</v>
      </c>
      <c r="AVK107" s="699">
        <f t="shared" si="356"/>
        <v>80</v>
      </c>
      <c r="AVL107" s="699">
        <f t="shared" si="357"/>
        <v>1050</v>
      </c>
      <c r="AVM107" s="699">
        <f t="shared" si="358"/>
        <v>44974.75</v>
      </c>
      <c r="AVN107" s="699">
        <f t="shared" si="359"/>
        <v>34542.82</v>
      </c>
      <c r="AVO107" s="699">
        <f t="shared" si="360"/>
        <v>10431.93</v>
      </c>
      <c r="AVP107" s="699">
        <f t="shared" si="361"/>
        <v>3520</v>
      </c>
      <c r="AVQ107" s="699">
        <f t="shared" si="362"/>
        <v>277998.63</v>
      </c>
    </row>
    <row r="108" spans="1:108 1244:1265" ht="30" customHeight="1" x14ac:dyDescent="0.25">
      <c r="A108" s="643">
        <v>1</v>
      </c>
      <c r="B108" s="643">
        <v>5</v>
      </c>
      <c r="C108" s="664" t="s">
        <v>248</v>
      </c>
      <c r="D108" s="2"/>
      <c r="E108" s="101" t="s">
        <v>344</v>
      </c>
      <c r="F108" s="643" t="s">
        <v>31</v>
      </c>
      <c r="G108" s="643">
        <v>1</v>
      </c>
      <c r="H108" s="658" t="s">
        <v>8</v>
      </c>
      <c r="I108" s="643">
        <v>3</v>
      </c>
      <c r="J108" s="101" t="s">
        <v>357</v>
      </c>
      <c r="K108" s="643">
        <v>3</v>
      </c>
      <c r="L108" s="683" t="s">
        <v>349</v>
      </c>
      <c r="M108" s="11" t="s">
        <v>260</v>
      </c>
      <c r="N108" s="101" t="s">
        <v>387</v>
      </c>
      <c r="O108" s="643">
        <v>1</v>
      </c>
      <c r="P108" s="632">
        <v>46</v>
      </c>
      <c r="Q108" s="632">
        <v>46</v>
      </c>
      <c r="R108" s="632">
        <v>46</v>
      </c>
      <c r="S108" s="675">
        <f>SUMIF('Территориальный кк'!$A:$A,'2020'!$B108,'Территориальный кк'!D:D)</f>
        <v>1.395</v>
      </c>
      <c r="T108" s="676">
        <f>SUMIF('Территориальный кк'!$A:$A,'2020'!$B108,'Территориальный кк'!E:E)</f>
        <v>1.9790000000000001</v>
      </c>
      <c r="U108" s="618">
        <f>SUMIFS(Нормативы!G:G,Нормативы!$B:$B,$G108,Нормативы!$D:$D,'2020'!$I108,Нормативы!$F:$F,'2020'!$K108)*O108</f>
        <v>6419</v>
      </c>
      <c r="V108" s="618">
        <f t="shared" si="329"/>
        <v>4930.1000000000004</v>
      </c>
      <c r="W108" s="618">
        <f t="shared" si="330"/>
        <v>1488.9</v>
      </c>
      <c r="X108" s="618">
        <f>SUMIFS(Нормативы!J:J,Нормативы!$B:$B,$G108,Нормативы!$D:$D,'2020'!$I108,Нормативы!$F:$F,'2020'!$K108)</f>
        <v>883</v>
      </c>
      <c r="Y108" s="618">
        <f>SUMIFS(Нормативы!K:K,Нормативы!$B:$B,$G108,Нормативы!$D:$D,'2020'!$I108,Нормативы!$F:$F,'2020'!$K108)</f>
        <v>177</v>
      </c>
      <c r="Z108" s="618">
        <f>SUMIFS(Нормативы!L:L,Нормативы!$B:$B,$G108,Нормативы!$D:$D,'2020'!$I108,Нормативы!$F:$F,'2020'!$K108)</f>
        <v>811</v>
      </c>
      <c r="AA108" s="618">
        <f t="shared" si="331"/>
        <v>1905</v>
      </c>
      <c r="AB108" s="618">
        <f>SUMIFS(Нормативы!N:N,Нормативы!$B:$B,$G108,Нормативы!$D:$D,'2020'!$I108,Нормативы!$F:$F,'2020'!$K108)*O108</f>
        <v>52</v>
      </c>
      <c r="AC108" s="618">
        <f>SUMIFS(Нормативы!O:O,Нормативы!$B:$B,$G108,Нормативы!$D:$D,'2020'!$I108,Нормативы!$F:$F,'2020'!$K108)</f>
        <v>1729</v>
      </c>
      <c r="AD108" s="618">
        <f>SUMIFS(Нормативы!P:P,Нормативы!$B:$B,$G108,Нормативы!$D:$D,'2020'!$I108,Нормативы!$F:$F,'2020'!$K108)*O108</f>
        <v>36</v>
      </c>
      <c r="AE108" s="618">
        <f>SUMIFS(Нормативы!Q:Q,Нормативы!$B:$B,$G108,Нормативы!$D:$D,'2020'!$I108,Нормативы!$F:$F,'2020'!$K108)</f>
        <v>88</v>
      </c>
      <c r="AF108" s="618">
        <f>SUMIFS(Нормативы!R:R,Нормативы!$B:$B,$G108,Нормативы!$D:$D,'2020'!$I108,Нормативы!$F:$F,'2020'!$K108)</f>
        <v>268</v>
      </c>
      <c r="AG108" s="618">
        <f>SUMIFS(Нормативы!S:S,Нормативы!$B:$B,$G108,Нормативы!$D:$D,'2020'!$I108,Нормативы!$F:$F,'2020'!$K108)</f>
        <v>580</v>
      </c>
      <c r="AH108" s="618">
        <f>SUMIFS(Нормативы!T:T,Нормативы!$B:$B,$G108,Нормативы!$D:$D,'2020'!$I108,Нормативы!$F:$F,'2020'!$K108)</f>
        <v>54</v>
      </c>
      <c r="AI108" s="618">
        <f>SUMIFS(Нормативы!U:U,Нормативы!$B:$B,$G108,Нормативы!$D:$D,'2020'!$I108,Нормативы!$F:$F,'2020'!$K108)</f>
        <v>77</v>
      </c>
      <c r="AJ108" s="618">
        <f>SUMIFS(Нормативы!V:V,Нормативы!$B:$B,$G108,Нормативы!$D:$D,'2020'!$I108,Нормативы!$F:$F,'2020'!$K108)</f>
        <v>8</v>
      </c>
      <c r="AK108" s="618">
        <f>SUMIFS(Нормативы!W:W,Нормативы!$B:$B,$G108,Нормативы!$D:$D,'2020'!$I108,Нормативы!$F:$F,'2020'!$K108)</f>
        <v>105</v>
      </c>
      <c r="AL108" s="618">
        <f>SUMIFS(Нормативы!X:X,Нормативы!$B:$B,$G108,Нормативы!$D:$D,'2020'!$I108,Нормативы!$F:$F,'2020'!$K108)*O108</f>
        <v>1612</v>
      </c>
      <c r="AM108" s="618">
        <f t="shared" si="332"/>
        <v>1238.0999999999999</v>
      </c>
      <c r="AN108" s="618">
        <f t="shared" si="333"/>
        <v>373.9</v>
      </c>
      <c r="AO108" s="618">
        <f>SUMIFS(Нормативы!AA:AA,Нормативы!$B:$B,$G108,Нормативы!$D:$D,'2020'!$I108,Нормативы!$F:$F,'2020'!$K108)</f>
        <v>0</v>
      </c>
      <c r="AP108" s="619">
        <f t="shared" si="334"/>
        <v>12722</v>
      </c>
      <c r="AQ108" s="413">
        <f t="shared" si="272"/>
        <v>295274</v>
      </c>
      <c r="AR108" s="618">
        <f t="shared" si="335"/>
        <v>226784.9</v>
      </c>
      <c r="AS108" s="618">
        <f t="shared" si="336"/>
        <v>68489.100000000006</v>
      </c>
      <c r="AT108" s="616">
        <f t="shared" si="273"/>
        <v>40618</v>
      </c>
      <c r="AU108" s="616">
        <f t="shared" si="274"/>
        <v>8142</v>
      </c>
      <c r="AV108" s="616">
        <f t="shared" si="275"/>
        <v>37306</v>
      </c>
      <c r="AW108" s="616">
        <f t="shared" si="276"/>
        <v>87630</v>
      </c>
      <c r="AX108" s="616">
        <f t="shared" si="277"/>
        <v>2392</v>
      </c>
      <c r="AY108" s="616">
        <f t="shared" si="278"/>
        <v>79534</v>
      </c>
      <c r="AZ108" s="616">
        <f t="shared" si="279"/>
        <v>1656</v>
      </c>
      <c r="BA108" s="616">
        <f t="shared" si="280"/>
        <v>4048</v>
      </c>
      <c r="BB108" s="616">
        <f t="shared" si="281"/>
        <v>12328</v>
      </c>
      <c r="BC108" s="616">
        <f t="shared" si="282"/>
        <v>26680</v>
      </c>
      <c r="BD108" s="616">
        <f t="shared" si="283"/>
        <v>2484</v>
      </c>
      <c r="BE108" s="616">
        <f t="shared" si="284"/>
        <v>3542</v>
      </c>
      <c r="BF108" s="616">
        <f t="shared" si="285"/>
        <v>368</v>
      </c>
      <c r="BG108" s="616">
        <f t="shared" si="286"/>
        <v>4830</v>
      </c>
      <c r="BH108" s="616">
        <f t="shared" si="287"/>
        <v>74152</v>
      </c>
      <c r="BI108" s="618">
        <f t="shared" si="337"/>
        <v>56952.4</v>
      </c>
      <c r="BJ108" s="618">
        <f t="shared" si="338"/>
        <v>17199.599999999999</v>
      </c>
      <c r="BK108" s="616">
        <f t="shared" si="288"/>
        <v>0</v>
      </c>
      <c r="BL108" s="620">
        <f t="shared" si="289"/>
        <v>585212</v>
      </c>
      <c r="BM108" s="616">
        <f t="shared" si="290"/>
        <v>411907</v>
      </c>
      <c r="BN108" s="618">
        <f t="shared" si="291"/>
        <v>316364.79999999999</v>
      </c>
      <c r="BO108" s="618">
        <f t="shared" si="292"/>
        <v>95542.2</v>
      </c>
      <c r="BP108" s="616">
        <f t="shared" si="339"/>
        <v>40618</v>
      </c>
      <c r="BQ108" s="616">
        <f t="shared" si="340"/>
        <v>8142</v>
      </c>
      <c r="BR108" s="616">
        <f t="shared" si="341"/>
        <v>37306</v>
      </c>
      <c r="BS108" s="616">
        <f t="shared" si="293"/>
        <v>87630</v>
      </c>
      <c r="BT108" s="616">
        <f t="shared" si="294"/>
        <v>2392</v>
      </c>
      <c r="BU108" s="616">
        <f t="shared" si="295"/>
        <v>79534</v>
      </c>
      <c r="BV108" s="616">
        <f t="shared" si="296"/>
        <v>1656</v>
      </c>
      <c r="BW108" s="616">
        <f t="shared" si="297"/>
        <v>4048</v>
      </c>
      <c r="BX108" s="616">
        <f t="shared" si="298"/>
        <v>24397</v>
      </c>
      <c r="BY108" s="616">
        <f t="shared" si="299"/>
        <v>26680</v>
      </c>
      <c r="BZ108" s="616">
        <f t="shared" si="300"/>
        <v>2484</v>
      </c>
      <c r="CA108" s="616">
        <f t="shared" si="301"/>
        <v>3542</v>
      </c>
      <c r="CB108" s="616">
        <f t="shared" si="302"/>
        <v>368</v>
      </c>
      <c r="CC108" s="616">
        <f t="shared" si="303"/>
        <v>4830</v>
      </c>
      <c r="CD108" s="616">
        <f t="shared" si="304"/>
        <v>103442</v>
      </c>
      <c r="CE108" s="618">
        <f t="shared" si="342"/>
        <v>79448.5</v>
      </c>
      <c r="CF108" s="618">
        <f t="shared" si="343"/>
        <v>23993.5</v>
      </c>
      <c r="CG108" s="616">
        <f t="shared" si="305"/>
        <v>0</v>
      </c>
      <c r="CH108" s="621">
        <f t="shared" si="306"/>
        <v>743204</v>
      </c>
      <c r="CI108" s="88">
        <f t="shared" si="307"/>
        <v>8954.5</v>
      </c>
      <c r="CJ108" s="90">
        <f t="shared" si="308"/>
        <v>6877.4957000000004</v>
      </c>
      <c r="CK108" s="90">
        <f t="shared" si="309"/>
        <v>2077.0043000000001</v>
      </c>
      <c r="CL108" s="88">
        <f t="shared" si="310"/>
        <v>883</v>
      </c>
      <c r="CM108" s="88">
        <f t="shared" si="311"/>
        <v>177</v>
      </c>
      <c r="CN108" s="88">
        <f t="shared" si="312"/>
        <v>811</v>
      </c>
      <c r="CO108" s="88">
        <f t="shared" si="313"/>
        <v>1905</v>
      </c>
      <c r="CP108" s="88">
        <f t="shared" si="314"/>
        <v>52</v>
      </c>
      <c r="CQ108" s="88">
        <f t="shared" si="315"/>
        <v>1729</v>
      </c>
      <c r="CR108" s="88">
        <f t="shared" si="316"/>
        <v>36</v>
      </c>
      <c r="CS108" s="88">
        <f t="shared" si="317"/>
        <v>88</v>
      </c>
      <c r="CT108" s="88">
        <f t="shared" si="318"/>
        <v>530.36959999999999</v>
      </c>
      <c r="CU108" s="88">
        <f t="shared" si="319"/>
        <v>580</v>
      </c>
      <c r="CV108" s="88">
        <f t="shared" si="320"/>
        <v>54</v>
      </c>
      <c r="CW108" s="88">
        <f t="shared" si="321"/>
        <v>77</v>
      </c>
      <c r="CX108" s="88">
        <f t="shared" si="322"/>
        <v>8</v>
      </c>
      <c r="CY108" s="88">
        <f t="shared" si="323"/>
        <v>105</v>
      </c>
      <c r="CZ108" s="88">
        <f t="shared" si="324"/>
        <v>2248.7390999999998</v>
      </c>
      <c r="DA108" s="90">
        <f t="shared" si="325"/>
        <v>1727.1413</v>
      </c>
      <c r="DB108" s="211">
        <f t="shared" si="326"/>
        <v>521.59780000000001</v>
      </c>
      <c r="DC108" s="88">
        <f t="shared" si="327"/>
        <v>0</v>
      </c>
      <c r="DD108" s="211">
        <f t="shared" si="328"/>
        <v>16156.608700000001</v>
      </c>
      <c r="AUV108" s="699">
        <f t="shared" si="235"/>
        <v>8954.5</v>
      </c>
      <c r="AUW108" s="699">
        <f t="shared" si="236"/>
        <v>6877.5</v>
      </c>
      <c r="AUX108" s="699">
        <f t="shared" si="237"/>
        <v>2077</v>
      </c>
      <c r="AUY108" s="699">
        <f t="shared" si="346"/>
        <v>883</v>
      </c>
      <c r="AUZ108" s="699">
        <f t="shared" si="344"/>
        <v>4114.2</v>
      </c>
      <c r="AVA108" s="699">
        <f t="shared" si="344"/>
        <v>5.81</v>
      </c>
      <c r="AVB108" s="699">
        <f t="shared" si="347"/>
        <v>1905</v>
      </c>
      <c r="AVC108" s="699">
        <f t="shared" si="348"/>
        <v>52</v>
      </c>
      <c r="AVD108" s="699">
        <f t="shared" si="349"/>
        <v>1729</v>
      </c>
      <c r="AVE108" s="699">
        <f t="shared" si="350"/>
        <v>36</v>
      </c>
      <c r="AVF108" s="699">
        <f t="shared" si="351"/>
        <v>88</v>
      </c>
      <c r="AVG108" s="699">
        <f t="shared" si="352"/>
        <v>530.37</v>
      </c>
      <c r="AVH108" s="699">
        <f t="shared" si="353"/>
        <v>580</v>
      </c>
      <c r="AVI108" s="699">
        <f t="shared" si="354"/>
        <v>54</v>
      </c>
      <c r="AVJ108" s="699">
        <f t="shared" si="355"/>
        <v>77</v>
      </c>
      <c r="AVK108" s="699">
        <f t="shared" si="356"/>
        <v>8</v>
      </c>
      <c r="AVL108" s="699">
        <f t="shared" si="357"/>
        <v>105</v>
      </c>
      <c r="AVM108" s="699">
        <f t="shared" si="358"/>
        <v>2248.7399999999998</v>
      </c>
      <c r="AVN108" s="699">
        <f t="shared" si="359"/>
        <v>1727.14</v>
      </c>
      <c r="AVO108" s="699">
        <f t="shared" si="360"/>
        <v>521.6</v>
      </c>
      <c r="AVP108" s="699">
        <f t="shared" si="361"/>
        <v>0</v>
      </c>
      <c r="AVQ108" s="699">
        <f t="shared" si="362"/>
        <v>16156.61</v>
      </c>
    </row>
    <row r="109" spans="1:108 1244:1265" ht="30" customHeight="1" x14ac:dyDescent="0.25">
      <c r="A109" s="643">
        <v>1</v>
      </c>
      <c r="B109" s="643">
        <v>5</v>
      </c>
      <c r="C109" s="664" t="s">
        <v>248</v>
      </c>
      <c r="D109" s="2"/>
      <c r="E109" s="101" t="s">
        <v>344</v>
      </c>
      <c r="F109" s="643" t="s">
        <v>31</v>
      </c>
      <c r="G109" s="643">
        <v>1</v>
      </c>
      <c r="H109" s="658" t="s">
        <v>8</v>
      </c>
      <c r="I109" s="643">
        <v>3</v>
      </c>
      <c r="J109" s="101" t="s">
        <v>357</v>
      </c>
      <c r="K109" s="643">
        <v>3</v>
      </c>
      <c r="L109" s="683" t="s">
        <v>349</v>
      </c>
      <c r="M109" s="11" t="s">
        <v>261</v>
      </c>
      <c r="N109" s="101" t="s">
        <v>401</v>
      </c>
      <c r="O109" s="643">
        <v>2</v>
      </c>
      <c r="P109" s="632">
        <v>13</v>
      </c>
      <c r="Q109" s="632">
        <v>13</v>
      </c>
      <c r="R109" s="632">
        <v>13</v>
      </c>
      <c r="S109" s="675">
        <f>SUMIF('Территориальный кк'!$A:$A,'2020'!$B109,'Территориальный кк'!D:D)</f>
        <v>1.395</v>
      </c>
      <c r="T109" s="676">
        <f>SUMIF('Территориальный кк'!$A:$A,'2020'!$B109,'Территориальный кк'!E:E)</f>
        <v>1.9790000000000001</v>
      </c>
      <c r="U109" s="618">
        <f>SUMIFS(Нормативы!G:G,Нормативы!$B:$B,$G109,Нормативы!$D:$D,'2020'!$I109,Нормативы!$F:$F,'2020'!$K109)*O109</f>
        <v>12838</v>
      </c>
      <c r="V109" s="618">
        <f t="shared" si="329"/>
        <v>9860.2000000000007</v>
      </c>
      <c r="W109" s="618">
        <f t="shared" si="330"/>
        <v>2977.8</v>
      </c>
      <c r="X109" s="618">
        <f>SUMIFS(Нормативы!J:J,Нормативы!$B:$B,$G109,Нормативы!$D:$D,'2020'!$I109,Нормативы!$F:$F,'2020'!$K109)</f>
        <v>883</v>
      </c>
      <c r="Y109" s="618">
        <f>SUMIFS(Нормативы!K:K,Нормативы!$B:$B,$G109,Нормативы!$D:$D,'2020'!$I109,Нормативы!$F:$F,'2020'!$K109)</f>
        <v>177</v>
      </c>
      <c r="Z109" s="618">
        <f>SUMIFS(Нормативы!L:L,Нормативы!$B:$B,$G109,Нормативы!$D:$D,'2020'!$I109,Нормативы!$F:$F,'2020'!$K109)</f>
        <v>811</v>
      </c>
      <c r="AA109" s="618">
        <f t="shared" si="331"/>
        <v>1993</v>
      </c>
      <c r="AB109" s="618">
        <f>SUMIFS(Нормативы!N:N,Нормативы!$B:$B,$G109,Нормативы!$D:$D,'2020'!$I109,Нормативы!$F:$F,'2020'!$K109)*O109</f>
        <v>104</v>
      </c>
      <c r="AC109" s="618">
        <f>SUMIFS(Нормативы!O:O,Нормативы!$B:$B,$G109,Нормативы!$D:$D,'2020'!$I109,Нормативы!$F:$F,'2020'!$K109)</f>
        <v>1729</v>
      </c>
      <c r="AD109" s="618">
        <f>SUMIFS(Нормативы!P:P,Нормативы!$B:$B,$G109,Нормативы!$D:$D,'2020'!$I109,Нормативы!$F:$F,'2020'!$K109)*O109</f>
        <v>72</v>
      </c>
      <c r="AE109" s="618">
        <f>SUMIFS(Нормативы!Q:Q,Нормативы!$B:$B,$G109,Нормативы!$D:$D,'2020'!$I109,Нормативы!$F:$F,'2020'!$K109)</f>
        <v>88</v>
      </c>
      <c r="AF109" s="618">
        <f>SUMIFS(Нормативы!R:R,Нормативы!$B:$B,$G109,Нормативы!$D:$D,'2020'!$I109,Нормативы!$F:$F,'2020'!$K109)</f>
        <v>268</v>
      </c>
      <c r="AG109" s="618">
        <f>SUMIFS(Нормативы!S:S,Нормативы!$B:$B,$G109,Нормативы!$D:$D,'2020'!$I109,Нормативы!$F:$F,'2020'!$K109)</f>
        <v>580</v>
      </c>
      <c r="AH109" s="618">
        <f>SUMIFS(Нормативы!T:T,Нормативы!$B:$B,$G109,Нормативы!$D:$D,'2020'!$I109,Нормативы!$F:$F,'2020'!$K109)</f>
        <v>54</v>
      </c>
      <c r="AI109" s="618">
        <f>SUMIFS(Нормативы!U:U,Нормативы!$B:$B,$G109,Нормативы!$D:$D,'2020'!$I109,Нормативы!$F:$F,'2020'!$K109)</f>
        <v>77</v>
      </c>
      <c r="AJ109" s="618">
        <f>SUMIFS(Нормативы!V:V,Нормативы!$B:$B,$G109,Нормативы!$D:$D,'2020'!$I109,Нормативы!$F:$F,'2020'!$K109)</f>
        <v>8</v>
      </c>
      <c r="AK109" s="618">
        <f>SUMIFS(Нормативы!W:W,Нормативы!$B:$B,$G109,Нормативы!$D:$D,'2020'!$I109,Нормативы!$F:$F,'2020'!$K109)</f>
        <v>105</v>
      </c>
      <c r="AL109" s="618">
        <f>SUMIFS(Нормативы!X:X,Нормативы!$B:$B,$G109,Нормативы!$D:$D,'2020'!$I109,Нормативы!$F:$F,'2020'!$K109)*O109</f>
        <v>3224</v>
      </c>
      <c r="AM109" s="618">
        <f t="shared" si="332"/>
        <v>2476.1999999999998</v>
      </c>
      <c r="AN109" s="618">
        <f t="shared" si="333"/>
        <v>747.8</v>
      </c>
      <c r="AO109" s="618">
        <f>SUMIFS(Нормативы!AA:AA,Нормативы!$B:$B,$G109,Нормативы!$D:$D,'2020'!$I109,Нормативы!$F:$F,'2020'!$K109)</f>
        <v>0</v>
      </c>
      <c r="AP109" s="619">
        <f t="shared" si="334"/>
        <v>20841</v>
      </c>
      <c r="AQ109" s="413">
        <f t="shared" si="272"/>
        <v>166894</v>
      </c>
      <c r="AR109" s="618">
        <f t="shared" si="335"/>
        <v>128182.8</v>
      </c>
      <c r="AS109" s="618">
        <f t="shared" si="336"/>
        <v>38711.199999999997</v>
      </c>
      <c r="AT109" s="616">
        <f t="shared" si="273"/>
        <v>11479</v>
      </c>
      <c r="AU109" s="616">
        <f t="shared" si="274"/>
        <v>2301</v>
      </c>
      <c r="AV109" s="616">
        <f t="shared" si="275"/>
        <v>10543</v>
      </c>
      <c r="AW109" s="616">
        <f t="shared" si="276"/>
        <v>25909</v>
      </c>
      <c r="AX109" s="616">
        <f t="shared" si="277"/>
        <v>1352</v>
      </c>
      <c r="AY109" s="616">
        <f t="shared" si="278"/>
        <v>22477</v>
      </c>
      <c r="AZ109" s="616">
        <f t="shared" si="279"/>
        <v>936</v>
      </c>
      <c r="BA109" s="616">
        <f t="shared" si="280"/>
        <v>1144</v>
      </c>
      <c r="BB109" s="616">
        <f t="shared" si="281"/>
        <v>3484</v>
      </c>
      <c r="BC109" s="616">
        <f t="shared" si="282"/>
        <v>7540</v>
      </c>
      <c r="BD109" s="616">
        <f t="shared" si="283"/>
        <v>702</v>
      </c>
      <c r="BE109" s="616">
        <f t="shared" si="284"/>
        <v>1001</v>
      </c>
      <c r="BF109" s="616">
        <f t="shared" si="285"/>
        <v>104</v>
      </c>
      <c r="BG109" s="616">
        <f t="shared" si="286"/>
        <v>1365</v>
      </c>
      <c r="BH109" s="616">
        <f t="shared" si="287"/>
        <v>41912</v>
      </c>
      <c r="BI109" s="618">
        <f t="shared" si="337"/>
        <v>32190.5</v>
      </c>
      <c r="BJ109" s="618">
        <f t="shared" si="338"/>
        <v>9721.5</v>
      </c>
      <c r="BK109" s="616">
        <f t="shared" si="288"/>
        <v>0</v>
      </c>
      <c r="BL109" s="620">
        <f t="shared" si="289"/>
        <v>270933</v>
      </c>
      <c r="BM109" s="616">
        <f t="shared" si="290"/>
        <v>232817</v>
      </c>
      <c r="BN109" s="618">
        <f t="shared" si="291"/>
        <v>178814.9</v>
      </c>
      <c r="BO109" s="618">
        <f t="shared" si="292"/>
        <v>54002.1</v>
      </c>
      <c r="BP109" s="616">
        <f t="shared" si="339"/>
        <v>11479</v>
      </c>
      <c r="BQ109" s="616">
        <f t="shared" si="340"/>
        <v>2301</v>
      </c>
      <c r="BR109" s="616">
        <f t="shared" si="341"/>
        <v>10543</v>
      </c>
      <c r="BS109" s="616">
        <f t="shared" si="293"/>
        <v>25909</v>
      </c>
      <c r="BT109" s="616">
        <f t="shared" si="294"/>
        <v>1352</v>
      </c>
      <c r="BU109" s="616">
        <f t="shared" si="295"/>
        <v>22477</v>
      </c>
      <c r="BV109" s="616">
        <f t="shared" si="296"/>
        <v>936</v>
      </c>
      <c r="BW109" s="616">
        <f t="shared" si="297"/>
        <v>1144</v>
      </c>
      <c r="BX109" s="616">
        <f t="shared" si="298"/>
        <v>6895</v>
      </c>
      <c r="BY109" s="616">
        <f t="shared" si="299"/>
        <v>7540</v>
      </c>
      <c r="BZ109" s="616">
        <f t="shared" si="300"/>
        <v>702</v>
      </c>
      <c r="CA109" s="616">
        <f t="shared" si="301"/>
        <v>1001</v>
      </c>
      <c r="CB109" s="616">
        <f t="shared" si="302"/>
        <v>104</v>
      </c>
      <c r="CC109" s="616">
        <f t="shared" si="303"/>
        <v>1365</v>
      </c>
      <c r="CD109" s="616">
        <f t="shared" si="304"/>
        <v>58467</v>
      </c>
      <c r="CE109" s="618">
        <f t="shared" si="342"/>
        <v>44905.5</v>
      </c>
      <c r="CF109" s="618">
        <f t="shared" si="343"/>
        <v>13561.5</v>
      </c>
      <c r="CG109" s="616">
        <f t="shared" si="305"/>
        <v>0</v>
      </c>
      <c r="CH109" s="621">
        <f t="shared" si="306"/>
        <v>356822</v>
      </c>
      <c r="CI109" s="88">
        <f t="shared" si="307"/>
        <v>17909</v>
      </c>
      <c r="CJ109" s="90">
        <f t="shared" si="308"/>
        <v>13754.9923</v>
      </c>
      <c r="CK109" s="90">
        <f t="shared" si="309"/>
        <v>4154.0077000000001</v>
      </c>
      <c r="CL109" s="88">
        <f t="shared" si="310"/>
        <v>883</v>
      </c>
      <c r="CM109" s="88">
        <f t="shared" si="311"/>
        <v>177</v>
      </c>
      <c r="CN109" s="88">
        <f t="shared" si="312"/>
        <v>811</v>
      </c>
      <c r="CO109" s="88">
        <f t="shared" si="313"/>
        <v>1993</v>
      </c>
      <c r="CP109" s="88">
        <f t="shared" si="314"/>
        <v>104</v>
      </c>
      <c r="CQ109" s="88">
        <f t="shared" si="315"/>
        <v>1729</v>
      </c>
      <c r="CR109" s="88">
        <f t="shared" si="316"/>
        <v>72</v>
      </c>
      <c r="CS109" s="88">
        <f t="shared" si="317"/>
        <v>88</v>
      </c>
      <c r="CT109" s="88">
        <f t="shared" si="318"/>
        <v>530.38459999999998</v>
      </c>
      <c r="CU109" s="88">
        <f t="shared" si="319"/>
        <v>580</v>
      </c>
      <c r="CV109" s="88">
        <f t="shared" si="320"/>
        <v>54</v>
      </c>
      <c r="CW109" s="88">
        <f t="shared" si="321"/>
        <v>77</v>
      </c>
      <c r="CX109" s="88">
        <f t="shared" si="322"/>
        <v>8</v>
      </c>
      <c r="CY109" s="88">
        <f t="shared" si="323"/>
        <v>105</v>
      </c>
      <c r="CZ109" s="88">
        <f t="shared" si="324"/>
        <v>4497.4615000000003</v>
      </c>
      <c r="DA109" s="90">
        <f t="shared" si="325"/>
        <v>3454.2692000000002</v>
      </c>
      <c r="DB109" s="90">
        <f t="shared" si="326"/>
        <v>1043.1922999999999</v>
      </c>
      <c r="DC109" s="88">
        <f t="shared" si="327"/>
        <v>0</v>
      </c>
      <c r="DD109" s="88">
        <f t="shared" si="328"/>
        <v>27447.8462</v>
      </c>
      <c r="AUV109" s="699">
        <f t="shared" si="235"/>
        <v>17909</v>
      </c>
      <c r="AUW109" s="699">
        <f t="shared" si="236"/>
        <v>13754.99</v>
      </c>
      <c r="AUX109" s="699">
        <f t="shared" si="237"/>
        <v>4154.01</v>
      </c>
      <c r="AUY109" s="699">
        <f t="shared" si="346"/>
        <v>883</v>
      </c>
      <c r="AUZ109" s="699">
        <f t="shared" si="344"/>
        <v>1162.71</v>
      </c>
      <c r="AVA109" s="699">
        <f t="shared" si="344"/>
        <v>0.82</v>
      </c>
      <c r="AVB109" s="699">
        <f t="shared" si="347"/>
        <v>1993</v>
      </c>
      <c r="AVC109" s="699">
        <f t="shared" si="348"/>
        <v>104</v>
      </c>
      <c r="AVD109" s="699">
        <f t="shared" si="349"/>
        <v>1729</v>
      </c>
      <c r="AVE109" s="699">
        <f t="shared" si="350"/>
        <v>72</v>
      </c>
      <c r="AVF109" s="699">
        <f t="shared" si="351"/>
        <v>88</v>
      </c>
      <c r="AVG109" s="699">
        <f t="shared" si="352"/>
        <v>530.38</v>
      </c>
      <c r="AVH109" s="699">
        <f t="shared" si="353"/>
        <v>580</v>
      </c>
      <c r="AVI109" s="699">
        <f t="shared" si="354"/>
        <v>54</v>
      </c>
      <c r="AVJ109" s="699">
        <f t="shared" si="355"/>
        <v>77</v>
      </c>
      <c r="AVK109" s="699">
        <f t="shared" si="356"/>
        <v>8</v>
      </c>
      <c r="AVL109" s="699">
        <f t="shared" si="357"/>
        <v>105</v>
      </c>
      <c r="AVM109" s="699">
        <f t="shared" si="358"/>
        <v>4497.46</v>
      </c>
      <c r="AVN109" s="699">
        <f t="shared" si="359"/>
        <v>3454.27</v>
      </c>
      <c r="AVO109" s="699">
        <f t="shared" si="360"/>
        <v>1043.19</v>
      </c>
      <c r="AVP109" s="699">
        <f t="shared" si="361"/>
        <v>0</v>
      </c>
      <c r="AVQ109" s="699">
        <f t="shared" si="362"/>
        <v>27447.85</v>
      </c>
    </row>
    <row r="110" spans="1:108 1244:1265" ht="30" customHeight="1" x14ac:dyDescent="0.25">
      <c r="A110" s="643">
        <v>1</v>
      </c>
      <c r="B110" s="643">
        <v>5</v>
      </c>
      <c r="C110" s="664" t="s">
        <v>248</v>
      </c>
      <c r="D110" s="2"/>
      <c r="E110" s="101" t="s">
        <v>344</v>
      </c>
      <c r="F110" s="643" t="s">
        <v>31</v>
      </c>
      <c r="G110" s="643">
        <v>1</v>
      </c>
      <c r="H110" s="658" t="s">
        <v>10</v>
      </c>
      <c r="I110" s="643">
        <v>0</v>
      </c>
      <c r="J110" s="101" t="s">
        <v>374</v>
      </c>
      <c r="K110" s="643">
        <v>1</v>
      </c>
      <c r="L110" s="683" t="s">
        <v>349</v>
      </c>
      <c r="M110" s="11" t="s">
        <v>283</v>
      </c>
      <c r="N110" s="101" t="s">
        <v>387</v>
      </c>
      <c r="O110" s="643">
        <v>1</v>
      </c>
      <c r="P110" s="632">
        <v>40</v>
      </c>
      <c r="Q110" s="632">
        <v>40</v>
      </c>
      <c r="R110" s="632">
        <v>40</v>
      </c>
      <c r="S110" s="675">
        <f>SUMIF('Территориальный кк'!$A:$A,'2020'!$B110,'Территориальный кк'!D:D)</f>
        <v>1.395</v>
      </c>
      <c r="T110" s="676">
        <f>SUMIF('Территориальный кк'!$A:$A,'2020'!$B110,'Территориальный кк'!E:E)</f>
        <v>1.9790000000000001</v>
      </c>
      <c r="U110" s="618">
        <f>SUMIFS(Нормативы!G:G,Нормативы!$B:$B,$G110,Нормативы!$D:$D,'2020'!$I110,Нормативы!$F:$F,'2020'!$K110)*O110</f>
        <v>54020</v>
      </c>
      <c r="V110" s="618">
        <f t="shared" si="329"/>
        <v>41490</v>
      </c>
      <c r="W110" s="618">
        <f t="shared" si="330"/>
        <v>12530</v>
      </c>
      <c r="X110" s="618">
        <f>SUMIFS(Нормативы!J:J,Нормативы!$B:$B,$G110,Нормативы!$D:$D,'2020'!$I110,Нормативы!$F:$F,'2020'!$K110)</f>
        <v>220</v>
      </c>
      <c r="Y110" s="618">
        <f>SUMIFS(Нормативы!K:K,Нормативы!$B:$B,$G110,Нормативы!$D:$D,'2020'!$I110,Нормативы!$F:$F,'2020'!$K110)</f>
        <v>44</v>
      </c>
      <c r="Z110" s="618">
        <f>SUMIFS(Нормативы!L:L,Нормативы!$B:$B,$G110,Нормативы!$D:$D,'2020'!$I110,Нормативы!$F:$F,'2020'!$K110)</f>
        <v>2320</v>
      </c>
      <c r="AA110" s="618">
        <f t="shared" si="331"/>
        <v>3710</v>
      </c>
      <c r="AB110" s="618">
        <f>SUMIFS(Нормативы!N:N,Нормативы!$B:$B,$G110,Нормативы!$D:$D,'2020'!$I110,Нормативы!$F:$F,'2020'!$K110)*O110</f>
        <v>520</v>
      </c>
      <c r="AC110" s="618">
        <f>SUMIFS(Нормативы!O:O,Нормативы!$B:$B,$G110,Нормативы!$D:$D,'2020'!$I110,Нормативы!$F:$F,'2020'!$K110)</f>
        <v>2140</v>
      </c>
      <c r="AD110" s="618">
        <f>SUMIFS(Нормативы!P:P,Нормативы!$B:$B,$G110,Нормативы!$D:$D,'2020'!$I110,Нормативы!$F:$F,'2020'!$K110)*O110</f>
        <v>310</v>
      </c>
      <c r="AE110" s="618">
        <f>SUMIFS(Нормативы!Q:Q,Нормативы!$B:$B,$G110,Нормативы!$D:$D,'2020'!$I110,Нормативы!$F:$F,'2020'!$K110)</f>
        <v>740</v>
      </c>
      <c r="AF110" s="618">
        <f>SUMIFS(Нормативы!R:R,Нормативы!$B:$B,$G110,Нормативы!$D:$D,'2020'!$I110,Нормативы!$F:$F,'2020'!$K110)</f>
        <v>2460</v>
      </c>
      <c r="AG110" s="618">
        <f>SUMIFS(Нормативы!S:S,Нормативы!$B:$B,$G110,Нормативы!$D:$D,'2020'!$I110,Нормативы!$F:$F,'2020'!$K110)</f>
        <v>5080</v>
      </c>
      <c r="AH110" s="618">
        <f>SUMIFS(Нормативы!T:T,Нормативы!$B:$B,$G110,Нормативы!$D:$D,'2020'!$I110,Нормативы!$F:$F,'2020'!$K110)</f>
        <v>540</v>
      </c>
      <c r="AI110" s="618">
        <f>SUMIFS(Нормативы!U:U,Нормативы!$B:$B,$G110,Нормативы!$D:$D,'2020'!$I110,Нормативы!$F:$F,'2020'!$K110)</f>
        <v>770</v>
      </c>
      <c r="AJ110" s="618">
        <f>SUMIFS(Нормативы!V:V,Нормативы!$B:$B,$G110,Нормативы!$D:$D,'2020'!$I110,Нормативы!$F:$F,'2020'!$K110)</f>
        <v>80</v>
      </c>
      <c r="AK110" s="618">
        <f>SUMIFS(Нормативы!W:W,Нормативы!$B:$B,$G110,Нормативы!$D:$D,'2020'!$I110,Нормативы!$F:$F,'2020'!$K110)</f>
        <v>300</v>
      </c>
      <c r="AL110" s="618">
        <f>SUMIFS(Нормативы!X:X,Нормативы!$B:$B,$G110,Нормативы!$D:$D,'2020'!$I110,Нормативы!$F:$F,'2020'!$K110)*O110</f>
        <v>13440</v>
      </c>
      <c r="AM110" s="618">
        <f t="shared" si="332"/>
        <v>10322.6</v>
      </c>
      <c r="AN110" s="618">
        <f t="shared" si="333"/>
        <v>3117.4</v>
      </c>
      <c r="AO110" s="618">
        <f>SUMIFS(Нормативы!AA:AA,Нормативы!$B:$B,$G110,Нормативы!$D:$D,'2020'!$I110,Нормативы!$F:$F,'2020'!$K110)</f>
        <v>3520</v>
      </c>
      <c r="AP110" s="619">
        <f t="shared" si="334"/>
        <v>86460</v>
      </c>
      <c r="AQ110" s="413">
        <f t="shared" si="272"/>
        <v>2160800</v>
      </c>
      <c r="AR110" s="618">
        <f t="shared" si="335"/>
        <v>1659600.6</v>
      </c>
      <c r="AS110" s="618">
        <f t="shared" si="336"/>
        <v>501199.4</v>
      </c>
      <c r="AT110" s="616">
        <f t="shared" si="273"/>
        <v>8800</v>
      </c>
      <c r="AU110" s="616">
        <f t="shared" si="274"/>
        <v>1760</v>
      </c>
      <c r="AV110" s="616">
        <f t="shared" si="275"/>
        <v>92800</v>
      </c>
      <c r="AW110" s="616">
        <f t="shared" si="276"/>
        <v>148400</v>
      </c>
      <c r="AX110" s="616">
        <f t="shared" si="277"/>
        <v>20800</v>
      </c>
      <c r="AY110" s="616">
        <f t="shared" si="278"/>
        <v>85600</v>
      </c>
      <c r="AZ110" s="616">
        <f t="shared" si="279"/>
        <v>12400</v>
      </c>
      <c r="BA110" s="616">
        <f t="shared" si="280"/>
        <v>29600</v>
      </c>
      <c r="BB110" s="616">
        <f t="shared" si="281"/>
        <v>98400</v>
      </c>
      <c r="BC110" s="616">
        <f t="shared" si="282"/>
        <v>203200</v>
      </c>
      <c r="BD110" s="616">
        <f t="shared" si="283"/>
        <v>21600</v>
      </c>
      <c r="BE110" s="616">
        <f t="shared" si="284"/>
        <v>30800</v>
      </c>
      <c r="BF110" s="616">
        <f t="shared" si="285"/>
        <v>3200</v>
      </c>
      <c r="BG110" s="616">
        <f t="shared" si="286"/>
        <v>12000</v>
      </c>
      <c r="BH110" s="616">
        <f t="shared" si="287"/>
        <v>537600</v>
      </c>
      <c r="BI110" s="618">
        <f t="shared" si="337"/>
        <v>412903.2</v>
      </c>
      <c r="BJ110" s="618">
        <f t="shared" si="338"/>
        <v>124696.8</v>
      </c>
      <c r="BK110" s="616">
        <f t="shared" si="288"/>
        <v>140800</v>
      </c>
      <c r="BL110" s="620">
        <f t="shared" si="289"/>
        <v>3458400</v>
      </c>
      <c r="BM110" s="616">
        <f t="shared" si="290"/>
        <v>3014316</v>
      </c>
      <c r="BN110" s="618">
        <f t="shared" si="291"/>
        <v>2315142.9</v>
      </c>
      <c r="BO110" s="618">
        <f t="shared" si="292"/>
        <v>699173.1</v>
      </c>
      <c r="BP110" s="616">
        <f t="shared" si="339"/>
        <v>8800</v>
      </c>
      <c r="BQ110" s="616">
        <f t="shared" si="340"/>
        <v>1760</v>
      </c>
      <c r="BR110" s="616">
        <f t="shared" si="341"/>
        <v>92800</v>
      </c>
      <c r="BS110" s="616">
        <f t="shared" si="293"/>
        <v>148400</v>
      </c>
      <c r="BT110" s="616">
        <f t="shared" si="294"/>
        <v>20800</v>
      </c>
      <c r="BU110" s="616">
        <f t="shared" si="295"/>
        <v>85600</v>
      </c>
      <c r="BV110" s="616">
        <f t="shared" si="296"/>
        <v>12400</v>
      </c>
      <c r="BW110" s="616">
        <f t="shared" si="297"/>
        <v>29600</v>
      </c>
      <c r="BX110" s="616">
        <f t="shared" si="298"/>
        <v>194734</v>
      </c>
      <c r="BY110" s="616">
        <f t="shared" si="299"/>
        <v>203200</v>
      </c>
      <c r="BZ110" s="616">
        <f t="shared" si="300"/>
        <v>21600</v>
      </c>
      <c r="CA110" s="616">
        <f t="shared" si="301"/>
        <v>30800</v>
      </c>
      <c r="CB110" s="616">
        <f t="shared" si="302"/>
        <v>3200</v>
      </c>
      <c r="CC110" s="616">
        <f t="shared" si="303"/>
        <v>12000</v>
      </c>
      <c r="CD110" s="616">
        <f t="shared" si="304"/>
        <v>749952</v>
      </c>
      <c r="CE110" s="618">
        <f t="shared" si="342"/>
        <v>576000</v>
      </c>
      <c r="CF110" s="618">
        <f t="shared" si="343"/>
        <v>173952</v>
      </c>
      <c r="CG110" s="616">
        <f t="shared" si="305"/>
        <v>140800</v>
      </c>
      <c r="CH110" s="621">
        <f t="shared" si="306"/>
        <v>4620602</v>
      </c>
      <c r="CI110" s="88">
        <f t="shared" si="307"/>
        <v>75357.899999999994</v>
      </c>
      <c r="CJ110" s="90">
        <f t="shared" si="308"/>
        <v>57878.572500000002</v>
      </c>
      <c r="CK110" s="90">
        <f t="shared" si="309"/>
        <v>17479.327499999999</v>
      </c>
      <c r="CL110" s="88">
        <f t="shared" si="310"/>
        <v>220</v>
      </c>
      <c r="CM110" s="88">
        <f t="shared" si="311"/>
        <v>44</v>
      </c>
      <c r="CN110" s="88">
        <f t="shared" si="312"/>
        <v>2320</v>
      </c>
      <c r="CO110" s="88">
        <f t="shared" si="313"/>
        <v>3710</v>
      </c>
      <c r="CP110" s="88">
        <f t="shared" si="314"/>
        <v>520</v>
      </c>
      <c r="CQ110" s="88">
        <f t="shared" si="315"/>
        <v>2140</v>
      </c>
      <c r="CR110" s="88">
        <f t="shared" si="316"/>
        <v>310</v>
      </c>
      <c r="CS110" s="88">
        <f t="shared" si="317"/>
        <v>740</v>
      </c>
      <c r="CT110" s="88">
        <f t="shared" si="318"/>
        <v>4868.3500000000004</v>
      </c>
      <c r="CU110" s="88">
        <f t="shared" si="319"/>
        <v>5080</v>
      </c>
      <c r="CV110" s="88">
        <f t="shared" si="320"/>
        <v>540</v>
      </c>
      <c r="CW110" s="88">
        <f t="shared" si="321"/>
        <v>770</v>
      </c>
      <c r="CX110" s="88">
        <f t="shared" si="322"/>
        <v>80</v>
      </c>
      <c r="CY110" s="88">
        <f t="shared" si="323"/>
        <v>300</v>
      </c>
      <c r="CZ110" s="88">
        <f t="shared" si="324"/>
        <v>18748.8</v>
      </c>
      <c r="DA110" s="90">
        <f t="shared" si="325"/>
        <v>14400</v>
      </c>
      <c r="DB110" s="90">
        <f t="shared" si="326"/>
        <v>4348.8</v>
      </c>
      <c r="DC110" s="88">
        <f t="shared" si="327"/>
        <v>3520</v>
      </c>
      <c r="DD110" s="211">
        <f t="shared" si="328"/>
        <v>115515.05</v>
      </c>
      <c r="AUV110" s="699">
        <f t="shared" si="235"/>
        <v>75357.899999999994</v>
      </c>
      <c r="AUW110" s="699">
        <f t="shared" si="236"/>
        <v>57878.57</v>
      </c>
      <c r="AUX110" s="699">
        <f t="shared" si="237"/>
        <v>17479.330000000002</v>
      </c>
      <c r="AUY110" s="699">
        <f t="shared" si="346"/>
        <v>220</v>
      </c>
      <c r="AUZ110" s="699">
        <f t="shared" si="344"/>
        <v>889.34</v>
      </c>
      <c r="AVA110" s="699">
        <f t="shared" si="344"/>
        <v>1.72</v>
      </c>
      <c r="AVB110" s="699">
        <f t="shared" si="347"/>
        <v>3710</v>
      </c>
      <c r="AVC110" s="699">
        <f t="shared" si="348"/>
        <v>520</v>
      </c>
      <c r="AVD110" s="699">
        <f t="shared" si="349"/>
        <v>2140</v>
      </c>
      <c r="AVE110" s="699">
        <f t="shared" si="350"/>
        <v>310</v>
      </c>
      <c r="AVF110" s="699">
        <f t="shared" si="351"/>
        <v>740</v>
      </c>
      <c r="AVG110" s="699">
        <f t="shared" si="352"/>
        <v>4868.3500000000004</v>
      </c>
      <c r="AVH110" s="699">
        <f t="shared" si="353"/>
        <v>5080</v>
      </c>
      <c r="AVI110" s="699">
        <f t="shared" si="354"/>
        <v>540</v>
      </c>
      <c r="AVJ110" s="699">
        <f t="shared" si="355"/>
        <v>770</v>
      </c>
      <c r="AVK110" s="699">
        <f t="shared" si="356"/>
        <v>80</v>
      </c>
      <c r="AVL110" s="699">
        <f t="shared" si="357"/>
        <v>300</v>
      </c>
      <c r="AVM110" s="699">
        <f t="shared" si="358"/>
        <v>18748.8</v>
      </c>
      <c r="AVN110" s="699">
        <f t="shared" si="359"/>
        <v>14400</v>
      </c>
      <c r="AVO110" s="699">
        <f t="shared" si="360"/>
        <v>4348.8</v>
      </c>
      <c r="AVP110" s="699">
        <f t="shared" si="361"/>
        <v>3520</v>
      </c>
      <c r="AVQ110" s="699">
        <f t="shared" si="362"/>
        <v>115515.05</v>
      </c>
    </row>
    <row r="111" spans="1:108 1244:1265" ht="30" customHeight="1" x14ac:dyDescent="0.25">
      <c r="A111" s="643">
        <v>1</v>
      </c>
      <c r="B111" s="643">
        <v>5</v>
      </c>
      <c r="C111" s="664" t="s">
        <v>248</v>
      </c>
      <c r="D111" s="2"/>
      <c r="E111" s="101" t="s">
        <v>344</v>
      </c>
      <c r="F111" s="643" t="s">
        <v>31</v>
      </c>
      <c r="G111" s="643">
        <v>1</v>
      </c>
      <c r="H111" s="658" t="s">
        <v>8</v>
      </c>
      <c r="I111" s="643">
        <v>3</v>
      </c>
      <c r="J111" s="101" t="s">
        <v>374</v>
      </c>
      <c r="K111" s="643">
        <v>1</v>
      </c>
      <c r="L111" s="683" t="s">
        <v>349</v>
      </c>
      <c r="M111" s="11" t="s">
        <v>284</v>
      </c>
      <c r="N111" s="101" t="s">
        <v>387</v>
      </c>
      <c r="O111" s="643">
        <v>1</v>
      </c>
      <c r="P111" s="632">
        <v>33</v>
      </c>
      <c r="Q111" s="632">
        <v>33</v>
      </c>
      <c r="R111" s="632">
        <v>33</v>
      </c>
      <c r="S111" s="675">
        <f>SUMIF('Территориальный кк'!$A:$A,'2020'!$B111,'Территориальный кк'!D:D)</f>
        <v>1.395</v>
      </c>
      <c r="T111" s="676">
        <f>SUMIF('Территориальный кк'!$A:$A,'2020'!$B111,'Территориальный кк'!E:E)</f>
        <v>1.9790000000000001</v>
      </c>
      <c r="U111" s="618">
        <f>SUMIFS(Нормативы!G:G,Нормативы!$B:$B,$G111,Нормативы!$D:$D,'2020'!$I111,Нормативы!$F:$F,'2020'!$K111)*O111</f>
        <v>5402</v>
      </c>
      <c r="V111" s="618">
        <f t="shared" si="329"/>
        <v>4149</v>
      </c>
      <c r="W111" s="618">
        <f t="shared" si="330"/>
        <v>1253</v>
      </c>
      <c r="X111" s="618">
        <f>SUMIFS(Нормативы!J:J,Нормативы!$B:$B,$G111,Нормативы!$D:$D,'2020'!$I111,Нормативы!$F:$F,'2020'!$K111)</f>
        <v>22</v>
      </c>
      <c r="Y111" s="618">
        <f>SUMIFS(Нормативы!K:K,Нормативы!$B:$B,$G111,Нормативы!$D:$D,'2020'!$I111,Нормативы!$F:$F,'2020'!$K111)</f>
        <v>4</v>
      </c>
      <c r="Z111" s="618">
        <f>SUMIFS(Нормативы!L:L,Нормативы!$B:$B,$G111,Нормативы!$D:$D,'2020'!$I111,Нормативы!$F:$F,'2020'!$K111)</f>
        <v>232</v>
      </c>
      <c r="AA111" s="618">
        <f t="shared" si="331"/>
        <v>371</v>
      </c>
      <c r="AB111" s="618">
        <f>SUMIFS(Нормативы!N:N,Нормативы!$B:$B,$G111,Нормативы!$D:$D,'2020'!$I111,Нормативы!$F:$F,'2020'!$K111)*O111</f>
        <v>52</v>
      </c>
      <c r="AC111" s="618">
        <f>SUMIFS(Нормативы!O:O,Нормативы!$B:$B,$G111,Нормативы!$D:$D,'2020'!$I111,Нормативы!$F:$F,'2020'!$K111)</f>
        <v>214</v>
      </c>
      <c r="AD111" s="618">
        <f>SUMIFS(Нормативы!P:P,Нормативы!$B:$B,$G111,Нормативы!$D:$D,'2020'!$I111,Нормативы!$F:$F,'2020'!$K111)*O111</f>
        <v>31</v>
      </c>
      <c r="AE111" s="618">
        <f>SUMIFS(Нормативы!Q:Q,Нормативы!$B:$B,$G111,Нормативы!$D:$D,'2020'!$I111,Нормативы!$F:$F,'2020'!$K111)</f>
        <v>74</v>
      </c>
      <c r="AF111" s="618">
        <f>SUMIFS(Нормативы!R:R,Нормативы!$B:$B,$G111,Нормативы!$D:$D,'2020'!$I111,Нормативы!$F:$F,'2020'!$K111)</f>
        <v>246</v>
      </c>
      <c r="AG111" s="618">
        <f>SUMIFS(Нормативы!S:S,Нормативы!$B:$B,$G111,Нормативы!$D:$D,'2020'!$I111,Нормативы!$F:$F,'2020'!$K111)</f>
        <v>508</v>
      </c>
      <c r="AH111" s="618">
        <f>SUMIFS(Нормативы!T:T,Нормативы!$B:$B,$G111,Нормативы!$D:$D,'2020'!$I111,Нормативы!$F:$F,'2020'!$K111)</f>
        <v>54</v>
      </c>
      <c r="AI111" s="618">
        <f>SUMIFS(Нормативы!U:U,Нормативы!$B:$B,$G111,Нормативы!$D:$D,'2020'!$I111,Нормативы!$F:$F,'2020'!$K111)</f>
        <v>77</v>
      </c>
      <c r="AJ111" s="618">
        <f>SUMIFS(Нормативы!V:V,Нормативы!$B:$B,$G111,Нормативы!$D:$D,'2020'!$I111,Нормативы!$F:$F,'2020'!$K111)</f>
        <v>8</v>
      </c>
      <c r="AK111" s="618">
        <f>SUMIFS(Нормативы!W:W,Нормативы!$B:$B,$G111,Нормативы!$D:$D,'2020'!$I111,Нормативы!$F:$F,'2020'!$K111)</f>
        <v>30</v>
      </c>
      <c r="AL111" s="618">
        <f>SUMIFS(Нормативы!X:X,Нормативы!$B:$B,$G111,Нормативы!$D:$D,'2020'!$I111,Нормативы!$F:$F,'2020'!$K111)*O111</f>
        <v>1344</v>
      </c>
      <c r="AM111" s="618">
        <f t="shared" si="332"/>
        <v>1032.3</v>
      </c>
      <c r="AN111" s="618">
        <f t="shared" si="333"/>
        <v>311.7</v>
      </c>
      <c r="AO111" s="618">
        <f>SUMIFS(Нормативы!AA:AA,Нормативы!$B:$B,$G111,Нормативы!$D:$D,'2020'!$I111,Нормативы!$F:$F,'2020'!$K111)</f>
        <v>0</v>
      </c>
      <c r="AP111" s="619">
        <f t="shared" si="334"/>
        <v>8294</v>
      </c>
      <c r="AQ111" s="413">
        <f t="shared" si="272"/>
        <v>178266</v>
      </c>
      <c r="AR111" s="618">
        <f t="shared" si="335"/>
        <v>136917.1</v>
      </c>
      <c r="AS111" s="618">
        <f t="shared" si="336"/>
        <v>41348.9</v>
      </c>
      <c r="AT111" s="616">
        <f t="shared" si="273"/>
        <v>726</v>
      </c>
      <c r="AU111" s="616">
        <f t="shared" si="274"/>
        <v>132</v>
      </c>
      <c r="AV111" s="616">
        <f t="shared" si="275"/>
        <v>7656</v>
      </c>
      <c r="AW111" s="616">
        <f t="shared" si="276"/>
        <v>12243</v>
      </c>
      <c r="AX111" s="616">
        <f t="shared" si="277"/>
        <v>1716</v>
      </c>
      <c r="AY111" s="616">
        <f t="shared" si="278"/>
        <v>7062</v>
      </c>
      <c r="AZ111" s="616">
        <f t="shared" si="279"/>
        <v>1023</v>
      </c>
      <c r="BA111" s="616">
        <f t="shared" si="280"/>
        <v>2442</v>
      </c>
      <c r="BB111" s="616">
        <f t="shared" si="281"/>
        <v>8118</v>
      </c>
      <c r="BC111" s="616">
        <f t="shared" si="282"/>
        <v>16764</v>
      </c>
      <c r="BD111" s="616">
        <f t="shared" si="283"/>
        <v>1782</v>
      </c>
      <c r="BE111" s="616">
        <f t="shared" si="284"/>
        <v>2541</v>
      </c>
      <c r="BF111" s="616">
        <f t="shared" si="285"/>
        <v>264</v>
      </c>
      <c r="BG111" s="616">
        <f t="shared" si="286"/>
        <v>990</v>
      </c>
      <c r="BH111" s="616">
        <f t="shared" si="287"/>
        <v>44352</v>
      </c>
      <c r="BI111" s="618">
        <f t="shared" si="337"/>
        <v>34064.5</v>
      </c>
      <c r="BJ111" s="618">
        <f t="shared" si="338"/>
        <v>10287.5</v>
      </c>
      <c r="BK111" s="616">
        <f t="shared" si="288"/>
        <v>0</v>
      </c>
      <c r="BL111" s="620">
        <f t="shared" si="289"/>
        <v>273702</v>
      </c>
      <c r="BM111" s="616">
        <f t="shared" si="290"/>
        <v>248681</v>
      </c>
      <c r="BN111" s="618">
        <f t="shared" si="291"/>
        <v>190999.2</v>
      </c>
      <c r="BO111" s="618">
        <f t="shared" si="292"/>
        <v>57681.8</v>
      </c>
      <c r="BP111" s="616">
        <f t="shared" si="339"/>
        <v>726</v>
      </c>
      <c r="BQ111" s="616">
        <f t="shared" si="340"/>
        <v>132</v>
      </c>
      <c r="BR111" s="616">
        <f t="shared" si="341"/>
        <v>7656</v>
      </c>
      <c r="BS111" s="616">
        <f t="shared" si="293"/>
        <v>12243</v>
      </c>
      <c r="BT111" s="616">
        <f t="shared" si="294"/>
        <v>1716</v>
      </c>
      <c r="BU111" s="616">
        <f t="shared" si="295"/>
        <v>7062</v>
      </c>
      <c r="BV111" s="616">
        <f t="shared" si="296"/>
        <v>1023</v>
      </c>
      <c r="BW111" s="616">
        <f t="shared" si="297"/>
        <v>2442</v>
      </c>
      <c r="BX111" s="616">
        <f t="shared" si="298"/>
        <v>16066</v>
      </c>
      <c r="BY111" s="616">
        <f t="shared" si="299"/>
        <v>16764</v>
      </c>
      <c r="BZ111" s="616">
        <f t="shared" si="300"/>
        <v>1782</v>
      </c>
      <c r="CA111" s="616">
        <f t="shared" si="301"/>
        <v>2541</v>
      </c>
      <c r="CB111" s="616">
        <f t="shared" si="302"/>
        <v>264</v>
      </c>
      <c r="CC111" s="616">
        <f t="shared" si="303"/>
        <v>990</v>
      </c>
      <c r="CD111" s="616">
        <f t="shared" si="304"/>
        <v>61871</v>
      </c>
      <c r="CE111" s="618">
        <f t="shared" si="342"/>
        <v>47520</v>
      </c>
      <c r="CF111" s="618">
        <f t="shared" si="343"/>
        <v>14351</v>
      </c>
      <c r="CG111" s="616">
        <f t="shared" si="305"/>
        <v>0</v>
      </c>
      <c r="CH111" s="621">
        <f t="shared" si="306"/>
        <v>369584</v>
      </c>
      <c r="CI111" s="88">
        <f t="shared" si="307"/>
        <v>7535.7879000000003</v>
      </c>
      <c r="CJ111" s="90">
        <f t="shared" si="308"/>
        <v>5787.8545000000004</v>
      </c>
      <c r="CK111" s="90">
        <f t="shared" si="309"/>
        <v>1747.9332999999999</v>
      </c>
      <c r="CL111" s="88">
        <f t="shared" si="310"/>
        <v>22</v>
      </c>
      <c r="CM111" s="88">
        <f t="shared" si="311"/>
        <v>4</v>
      </c>
      <c r="CN111" s="88">
        <f t="shared" si="312"/>
        <v>232</v>
      </c>
      <c r="CO111" s="88">
        <f t="shared" si="313"/>
        <v>371</v>
      </c>
      <c r="CP111" s="88">
        <f t="shared" si="314"/>
        <v>52</v>
      </c>
      <c r="CQ111" s="88">
        <f t="shared" si="315"/>
        <v>214</v>
      </c>
      <c r="CR111" s="88">
        <f t="shared" si="316"/>
        <v>31</v>
      </c>
      <c r="CS111" s="88">
        <f t="shared" si="317"/>
        <v>74</v>
      </c>
      <c r="CT111" s="88">
        <f t="shared" si="318"/>
        <v>486.8485</v>
      </c>
      <c r="CU111" s="88">
        <f t="shared" si="319"/>
        <v>508</v>
      </c>
      <c r="CV111" s="88">
        <f t="shared" si="320"/>
        <v>54</v>
      </c>
      <c r="CW111" s="88">
        <f t="shared" si="321"/>
        <v>77</v>
      </c>
      <c r="CX111" s="88">
        <f t="shared" si="322"/>
        <v>8</v>
      </c>
      <c r="CY111" s="88">
        <f t="shared" si="323"/>
        <v>30</v>
      </c>
      <c r="CZ111" s="88">
        <f t="shared" si="324"/>
        <v>1874.8788</v>
      </c>
      <c r="DA111" s="90">
        <f t="shared" si="325"/>
        <v>1440</v>
      </c>
      <c r="DB111" s="90">
        <f t="shared" si="326"/>
        <v>434.87880000000001</v>
      </c>
      <c r="DC111" s="88">
        <f t="shared" si="327"/>
        <v>0</v>
      </c>
      <c r="DD111" s="211">
        <f t="shared" si="328"/>
        <v>11199.5152</v>
      </c>
      <c r="AUV111" s="699">
        <f t="shared" si="235"/>
        <v>7535.79</v>
      </c>
      <c r="AUW111" s="699">
        <f t="shared" si="236"/>
        <v>5787.86</v>
      </c>
      <c r="AUX111" s="699">
        <f t="shared" si="237"/>
        <v>1747.93</v>
      </c>
      <c r="AUY111" s="699">
        <f t="shared" si="346"/>
        <v>22</v>
      </c>
      <c r="AUZ111" s="699">
        <f t="shared" si="344"/>
        <v>66.7</v>
      </c>
      <c r="AVA111" s="699">
        <f t="shared" si="344"/>
        <v>1.42</v>
      </c>
      <c r="AVB111" s="699">
        <f t="shared" si="347"/>
        <v>371</v>
      </c>
      <c r="AVC111" s="699">
        <f t="shared" si="348"/>
        <v>52</v>
      </c>
      <c r="AVD111" s="699">
        <f t="shared" si="349"/>
        <v>214</v>
      </c>
      <c r="AVE111" s="699">
        <f t="shared" si="350"/>
        <v>31</v>
      </c>
      <c r="AVF111" s="699">
        <f t="shared" si="351"/>
        <v>74</v>
      </c>
      <c r="AVG111" s="699">
        <f t="shared" si="352"/>
        <v>486.85</v>
      </c>
      <c r="AVH111" s="699">
        <f t="shared" si="353"/>
        <v>508</v>
      </c>
      <c r="AVI111" s="699">
        <f t="shared" si="354"/>
        <v>54</v>
      </c>
      <c r="AVJ111" s="699">
        <f t="shared" si="355"/>
        <v>77</v>
      </c>
      <c r="AVK111" s="699">
        <f t="shared" si="356"/>
        <v>8</v>
      </c>
      <c r="AVL111" s="699">
        <f t="shared" si="357"/>
        <v>30</v>
      </c>
      <c r="AVM111" s="699">
        <f t="shared" si="358"/>
        <v>1874.88</v>
      </c>
      <c r="AVN111" s="699">
        <f t="shared" si="359"/>
        <v>1440</v>
      </c>
      <c r="AVO111" s="699">
        <f t="shared" si="360"/>
        <v>434.88</v>
      </c>
      <c r="AVP111" s="699">
        <f t="shared" si="361"/>
        <v>0</v>
      </c>
      <c r="AVQ111" s="699">
        <f t="shared" si="362"/>
        <v>11199.52</v>
      </c>
    </row>
    <row r="112" spans="1:108 1244:1265" ht="30" customHeight="1" x14ac:dyDescent="0.25">
      <c r="A112" s="643">
        <v>1</v>
      </c>
      <c r="B112" s="643">
        <v>5</v>
      </c>
      <c r="C112" s="664" t="s">
        <v>248</v>
      </c>
      <c r="D112" s="2"/>
      <c r="E112" s="101" t="s">
        <v>344</v>
      </c>
      <c r="F112" s="643" t="s">
        <v>31</v>
      </c>
      <c r="G112" s="643">
        <v>1</v>
      </c>
      <c r="H112" s="658" t="s">
        <v>10</v>
      </c>
      <c r="I112" s="643">
        <v>0</v>
      </c>
      <c r="J112" s="101" t="s">
        <v>358</v>
      </c>
      <c r="K112" s="643">
        <v>1</v>
      </c>
      <c r="L112" s="683" t="s">
        <v>349</v>
      </c>
      <c r="M112" s="11" t="s">
        <v>262</v>
      </c>
      <c r="N112" s="101" t="s">
        <v>387</v>
      </c>
      <c r="O112" s="643">
        <v>1</v>
      </c>
      <c r="P112" s="632">
        <v>17</v>
      </c>
      <c r="Q112" s="632">
        <v>17</v>
      </c>
      <c r="R112" s="632">
        <v>17</v>
      </c>
      <c r="S112" s="675">
        <f>SUMIF('Территориальный кк'!$A:$A,'2020'!$B112,'Территориальный кк'!D:D)</f>
        <v>1.395</v>
      </c>
      <c r="T112" s="676">
        <f>SUMIF('Территориальный кк'!$A:$A,'2020'!$B112,'Территориальный кк'!E:E)</f>
        <v>1.9790000000000001</v>
      </c>
      <c r="U112" s="618">
        <f>SUMIFS(Нормативы!G:G,Нормативы!$B:$B,$G112,Нормативы!$D:$D,'2020'!$I112,Нормативы!$F:$F,'2020'!$K112)*O112</f>
        <v>54020</v>
      </c>
      <c r="V112" s="618">
        <f t="shared" si="329"/>
        <v>41490</v>
      </c>
      <c r="W112" s="618">
        <f t="shared" si="330"/>
        <v>12530</v>
      </c>
      <c r="X112" s="618">
        <f>SUMIFS(Нормативы!J:J,Нормативы!$B:$B,$G112,Нормативы!$D:$D,'2020'!$I112,Нормативы!$F:$F,'2020'!$K112)</f>
        <v>220</v>
      </c>
      <c r="Y112" s="618">
        <f>SUMIFS(Нормативы!K:K,Нормативы!$B:$B,$G112,Нормативы!$D:$D,'2020'!$I112,Нормативы!$F:$F,'2020'!$K112)</f>
        <v>44</v>
      </c>
      <c r="Z112" s="618">
        <f>SUMIFS(Нормативы!L:L,Нормативы!$B:$B,$G112,Нормативы!$D:$D,'2020'!$I112,Нормативы!$F:$F,'2020'!$K112)</f>
        <v>2320</v>
      </c>
      <c r="AA112" s="618">
        <f t="shared" si="331"/>
        <v>3710</v>
      </c>
      <c r="AB112" s="618">
        <f>SUMIFS(Нормативы!N:N,Нормативы!$B:$B,$G112,Нормативы!$D:$D,'2020'!$I112,Нормативы!$F:$F,'2020'!$K112)*O112</f>
        <v>520</v>
      </c>
      <c r="AC112" s="618">
        <f>SUMIFS(Нормативы!O:O,Нормативы!$B:$B,$G112,Нормативы!$D:$D,'2020'!$I112,Нормативы!$F:$F,'2020'!$K112)</f>
        <v>2140</v>
      </c>
      <c r="AD112" s="618">
        <f>SUMIFS(Нормативы!P:P,Нормативы!$B:$B,$G112,Нормативы!$D:$D,'2020'!$I112,Нормативы!$F:$F,'2020'!$K112)*O112</f>
        <v>310</v>
      </c>
      <c r="AE112" s="618">
        <f>SUMIFS(Нормативы!Q:Q,Нормативы!$B:$B,$G112,Нормативы!$D:$D,'2020'!$I112,Нормативы!$F:$F,'2020'!$K112)</f>
        <v>740</v>
      </c>
      <c r="AF112" s="618">
        <f>SUMIFS(Нормативы!R:R,Нормативы!$B:$B,$G112,Нормативы!$D:$D,'2020'!$I112,Нормативы!$F:$F,'2020'!$K112)</f>
        <v>2460</v>
      </c>
      <c r="AG112" s="618">
        <f>SUMIFS(Нормативы!S:S,Нормативы!$B:$B,$G112,Нормативы!$D:$D,'2020'!$I112,Нормативы!$F:$F,'2020'!$K112)</f>
        <v>5080</v>
      </c>
      <c r="AH112" s="618">
        <f>SUMIFS(Нормативы!T:T,Нормативы!$B:$B,$G112,Нормативы!$D:$D,'2020'!$I112,Нормативы!$F:$F,'2020'!$K112)</f>
        <v>540</v>
      </c>
      <c r="AI112" s="618">
        <f>SUMIFS(Нормативы!U:U,Нормативы!$B:$B,$G112,Нормативы!$D:$D,'2020'!$I112,Нормативы!$F:$F,'2020'!$K112)</f>
        <v>770</v>
      </c>
      <c r="AJ112" s="618">
        <f>SUMIFS(Нормативы!V:V,Нормативы!$B:$B,$G112,Нормативы!$D:$D,'2020'!$I112,Нормативы!$F:$F,'2020'!$K112)</f>
        <v>80</v>
      </c>
      <c r="AK112" s="618">
        <f>SUMIFS(Нормативы!W:W,Нормативы!$B:$B,$G112,Нормативы!$D:$D,'2020'!$I112,Нормативы!$F:$F,'2020'!$K112)</f>
        <v>300</v>
      </c>
      <c r="AL112" s="618">
        <f>SUMIFS(Нормативы!X:X,Нормативы!$B:$B,$G112,Нормативы!$D:$D,'2020'!$I112,Нормативы!$F:$F,'2020'!$K112)*O112</f>
        <v>13440</v>
      </c>
      <c r="AM112" s="618">
        <f t="shared" si="332"/>
        <v>10322.6</v>
      </c>
      <c r="AN112" s="618">
        <f t="shared" si="333"/>
        <v>3117.4</v>
      </c>
      <c r="AO112" s="618">
        <f>SUMIFS(Нормативы!AA:AA,Нормативы!$B:$B,$G112,Нормативы!$D:$D,'2020'!$I112,Нормативы!$F:$F,'2020'!$K112)</f>
        <v>3520</v>
      </c>
      <c r="AP112" s="619">
        <f t="shared" si="334"/>
        <v>86460</v>
      </c>
      <c r="AQ112" s="413">
        <f t="shared" si="272"/>
        <v>918340</v>
      </c>
      <c r="AR112" s="618">
        <f t="shared" si="335"/>
        <v>705330.3</v>
      </c>
      <c r="AS112" s="618">
        <f t="shared" si="336"/>
        <v>213009.7</v>
      </c>
      <c r="AT112" s="616">
        <f t="shared" si="273"/>
        <v>3740</v>
      </c>
      <c r="AU112" s="616">
        <f t="shared" si="274"/>
        <v>748</v>
      </c>
      <c r="AV112" s="616">
        <f t="shared" si="275"/>
        <v>39440</v>
      </c>
      <c r="AW112" s="616">
        <f t="shared" si="276"/>
        <v>63070</v>
      </c>
      <c r="AX112" s="616">
        <f t="shared" si="277"/>
        <v>8840</v>
      </c>
      <c r="AY112" s="616">
        <f t="shared" si="278"/>
        <v>36380</v>
      </c>
      <c r="AZ112" s="616">
        <f t="shared" si="279"/>
        <v>5270</v>
      </c>
      <c r="BA112" s="616">
        <f t="shared" si="280"/>
        <v>12580</v>
      </c>
      <c r="BB112" s="616">
        <f t="shared" si="281"/>
        <v>41820</v>
      </c>
      <c r="BC112" s="616">
        <f t="shared" si="282"/>
        <v>86360</v>
      </c>
      <c r="BD112" s="616">
        <f t="shared" si="283"/>
        <v>9180</v>
      </c>
      <c r="BE112" s="616">
        <f t="shared" si="284"/>
        <v>13090</v>
      </c>
      <c r="BF112" s="616">
        <f t="shared" si="285"/>
        <v>1360</v>
      </c>
      <c r="BG112" s="616">
        <f t="shared" si="286"/>
        <v>5100</v>
      </c>
      <c r="BH112" s="616">
        <f t="shared" si="287"/>
        <v>228480</v>
      </c>
      <c r="BI112" s="618">
        <f t="shared" si="337"/>
        <v>175483.9</v>
      </c>
      <c r="BJ112" s="618">
        <f t="shared" si="338"/>
        <v>52996.1</v>
      </c>
      <c r="BK112" s="616">
        <f t="shared" si="288"/>
        <v>59840</v>
      </c>
      <c r="BL112" s="620">
        <f t="shared" si="289"/>
        <v>1469820</v>
      </c>
      <c r="BM112" s="616">
        <f t="shared" si="290"/>
        <v>1281084</v>
      </c>
      <c r="BN112" s="618">
        <f t="shared" si="291"/>
        <v>983935.5</v>
      </c>
      <c r="BO112" s="618">
        <f t="shared" si="292"/>
        <v>297148.5</v>
      </c>
      <c r="BP112" s="616">
        <f t="shared" si="339"/>
        <v>3740</v>
      </c>
      <c r="BQ112" s="616">
        <f t="shared" si="340"/>
        <v>748</v>
      </c>
      <c r="BR112" s="616">
        <f t="shared" si="341"/>
        <v>39440</v>
      </c>
      <c r="BS112" s="616">
        <f t="shared" si="293"/>
        <v>63070</v>
      </c>
      <c r="BT112" s="616">
        <f t="shared" si="294"/>
        <v>8840</v>
      </c>
      <c r="BU112" s="616">
        <f t="shared" si="295"/>
        <v>36380</v>
      </c>
      <c r="BV112" s="616">
        <f t="shared" si="296"/>
        <v>5270</v>
      </c>
      <c r="BW112" s="616">
        <f t="shared" si="297"/>
        <v>12580</v>
      </c>
      <c r="BX112" s="616">
        <f t="shared" si="298"/>
        <v>82762</v>
      </c>
      <c r="BY112" s="616">
        <f t="shared" si="299"/>
        <v>86360</v>
      </c>
      <c r="BZ112" s="616">
        <f t="shared" si="300"/>
        <v>9180</v>
      </c>
      <c r="CA112" s="616">
        <f t="shared" si="301"/>
        <v>13090</v>
      </c>
      <c r="CB112" s="616">
        <f t="shared" si="302"/>
        <v>1360</v>
      </c>
      <c r="CC112" s="616">
        <f t="shared" si="303"/>
        <v>5100</v>
      </c>
      <c r="CD112" s="616">
        <f t="shared" si="304"/>
        <v>318730</v>
      </c>
      <c r="CE112" s="618">
        <f t="shared" si="342"/>
        <v>244800.3</v>
      </c>
      <c r="CF112" s="618">
        <f t="shared" si="343"/>
        <v>73929.7</v>
      </c>
      <c r="CG112" s="616">
        <f t="shared" si="305"/>
        <v>59840</v>
      </c>
      <c r="CH112" s="621">
        <f t="shared" si="306"/>
        <v>1963756</v>
      </c>
      <c r="CI112" s="88">
        <f t="shared" si="307"/>
        <v>75357.882400000002</v>
      </c>
      <c r="CJ112" s="90">
        <f t="shared" si="308"/>
        <v>57878.558799999999</v>
      </c>
      <c r="CK112" s="90">
        <f t="shared" si="309"/>
        <v>17479.323499999999</v>
      </c>
      <c r="CL112" s="88">
        <f t="shared" si="310"/>
        <v>220</v>
      </c>
      <c r="CM112" s="88">
        <f t="shared" si="311"/>
        <v>44</v>
      </c>
      <c r="CN112" s="88">
        <f t="shared" si="312"/>
        <v>2320</v>
      </c>
      <c r="CO112" s="88">
        <f t="shared" si="313"/>
        <v>3710</v>
      </c>
      <c r="CP112" s="88">
        <f t="shared" si="314"/>
        <v>520</v>
      </c>
      <c r="CQ112" s="88">
        <f t="shared" si="315"/>
        <v>2140</v>
      </c>
      <c r="CR112" s="88">
        <f t="shared" si="316"/>
        <v>310</v>
      </c>
      <c r="CS112" s="88">
        <f t="shared" si="317"/>
        <v>740</v>
      </c>
      <c r="CT112" s="88">
        <f t="shared" si="318"/>
        <v>4868.3528999999999</v>
      </c>
      <c r="CU112" s="88">
        <f t="shared" si="319"/>
        <v>5080</v>
      </c>
      <c r="CV112" s="88">
        <f t="shared" si="320"/>
        <v>540</v>
      </c>
      <c r="CW112" s="88">
        <f t="shared" si="321"/>
        <v>770</v>
      </c>
      <c r="CX112" s="88">
        <f t="shared" si="322"/>
        <v>80</v>
      </c>
      <c r="CY112" s="88">
        <f t="shared" si="323"/>
        <v>300</v>
      </c>
      <c r="CZ112" s="88">
        <f t="shared" si="324"/>
        <v>18748.823499999999</v>
      </c>
      <c r="DA112" s="90">
        <f t="shared" si="325"/>
        <v>14400.017599999999</v>
      </c>
      <c r="DB112" s="90">
        <f t="shared" si="326"/>
        <v>4348.8059000000003</v>
      </c>
      <c r="DC112" s="88">
        <f t="shared" si="327"/>
        <v>3520</v>
      </c>
      <c r="DD112" s="211">
        <f t="shared" si="328"/>
        <v>115515.0588</v>
      </c>
      <c r="AUV112" s="699">
        <f t="shared" si="235"/>
        <v>75357.88</v>
      </c>
      <c r="AUW112" s="699">
        <f t="shared" si="236"/>
        <v>57878.559999999998</v>
      </c>
      <c r="AUX112" s="699">
        <f t="shared" si="237"/>
        <v>17479.32</v>
      </c>
      <c r="AUY112" s="699">
        <f t="shared" si="346"/>
        <v>220</v>
      </c>
      <c r="AUZ112" s="699">
        <f t="shared" si="344"/>
        <v>377.97</v>
      </c>
      <c r="AVA112" s="699">
        <f t="shared" si="344"/>
        <v>0.73</v>
      </c>
      <c r="AVB112" s="699">
        <f t="shared" si="347"/>
        <v>3710</v>
      </c>
      <c r="AVC112" s="699">
        <f t="shared" si="348"/>
        <v>520</v>
      </c>
      <c r="AVD112" s="699">
        <f t="shared" si="349"/>
        <v>2140</v>
      </c>
      <c r="AVE112" s="699">
        <f t="shared" si="350"/>
        <v>310</v>
      </c>
      <c r="AVF112" s="699">
        <f t="shared" si="351"/>
        <v>740</v>
      </c>
      <c r="AVG112" s="699">
        <f t="shared" si="352"/>
        <v>4868.3500000000004</v>
      </c>
      <c r="AVH112" s="699">
        <f t="shared" si="353"/>
        <v>5080</v>
      </c>
      <c r="AVI112" s="699">
        <f t="shared" si="354"/>
        <v>540</v>
      </c>
      <c r="AVJ112" s="699">
        <f t="shared" si="355"/>
        <v>770</v>
      </c>
      <c r="AVK112" s="699">
        <f t="shared" si="356"/>
        <v>80</v>
      </c>
      <c r="AVL112" s="699">
        <f t="shared" si="357"/>
        <v>300</v>
      </c>
      <c r="AVM112" s="699">
        <f t="shared" si="358"/>
        <v>18748.82</v>
      </c>
      <c r="AVN112" s="699">
        <f t="shared" si="359"/>
        <v>14400.02</v>
      </c>
      <c r="AVO112" s="699">
        <f t="shared" si="360"/>
        <v>4348.8</v>
      </c>
      <c r="AVP112" s="699">
        <f t="shared" si="361"/>
        <v>3520</v>
      </c>
      <c r="AVQ112" s="699">
        <f t="shared" si="362"/>
        <v>115515.06</v>
      </c>
    </row>
    <row r="113" spans="1:108 1244:1265" ht="30" customHeight="1" x14ac:dyDescent="0.25">
      <c r="A113" s="643">
        <v>1</v>
      </c>
      <c r="B113" s="643">
        <v>5</v>
      </c>
      <c r="C113" s="664" t="s">
        <v>248</v>
      </c>
      <c r="D113" s="2"/>
      <c r="E113" s="101" t="s">
        <v>344</v>
      </c>
      <c r="F113" s="643" t="s">
        <v>31</v>
      </c>
      <c r="G113" s="643">
        <v>1</v>
      </c>
      <c r="H113" s="658" t="s">
        <v>8</v>
      </c>
      <c r="I113" s="643">
        <v>3</v>
      </c>
      <c r="J113" s="101" t="s">
        <v>358</v>
      </c>
      <c r="K113" s="643">
        <v>1</v>
      </c>
      <c r="L113" s="683" t="s">
        <v>349</v>
      </c>
      <c r="M113" s="11" t="s">
        <v>288</v>
      </c>
      <c r="N113" s="101" t="s">
        <v>387</v>
      </c>
      <c r="O113" s="643">
        <v>1</v>
      </c>
      <c r="P113" s="632">
        <v>40</v>
      </c>
      <c r="Q113" s="632">
        <v>40</v>
      </c>
      <c r="R113" s="632">
        <v>40</v>
      </c>
      <c r="S113" s="675">
        <f>SUMIF('Территориальный кк'!$A:$A,'2020'!$B113,'Территориальный кк'!D:D)</f>
        <v>1.395</v>
      </c>
      <c r="T113" s="676">
        <f>SUMIF('Территориальный кк'!$A:$A,'2020'!$B113,'Территориальный кк'!E:E)</f>
        <v>1.9790000000000001</v>
      </c>
      <c r="U113" s="618">
        <f>SUMIFS(Нормативы!G:G,Нормативы!$B:$B,$G113,Нормативы!$D:$D,'2020'!$I113,Нормативы!$F:$F,'2020'!$K113)*O113</f>
        <v>5402</v>
      </c>
      <c r="V113" s="618">
        <f t="shared" si="329"/>
        <v>4149</v>
      </c>
      <c r="W113" s="618">
        <f t="shared" si="330"/>
        <v>1253</v>
      </c>
      <c r="X113" s="618">
        <f>SUMIFS(Нормативы!J:J,Нормативы!$B:$B,$G113,Нормативы!$D:$D,'2020'!$I113,Нормативы!$F:$F,'2020'!$K113)</f>
        <v>22</v>
      </c>
      <c r="Y113" s="618">
        <f>SUMIFS(Нормативы!K:K,Нормативы!$B:$B,$G113,Нормативы!$D:$D,'2020'!$I113,Нормативы!$F:$F,'2020'!$K113)</f>
        <v>4</v>
      </c>
      <c r="Z113" s="618">
        <f>SUMIFS(Нормативы!L:L,Нормативы!$B:$B,$G113,Нормативы!$D:$D,'2020'!$I113,Нормативы!$F:$F,'2020'!$K113)</f>
        <v>232</v>
      </c>
      <c r="AA113" s="618">
        <f t="shared" si="331"/>
        <v>371</v>
      </c>
      <c r="AB113" s="618">
        <f>SUMIFS(Нормативы!N:N,Нормативы!$B:$B,$G113,Нормативы!$D:$D,'2020'!$I113,Нормативы!$F:$F,'2020'!$K113)*O113</f>
        <v>52</v>
      </c>
      <c r="AC113" s="618">
        <f>SUMIFS(Нормативы!O:O,Нормативы!$B:$B,$G113,Нормативы!$D:$D,'2020'!$I113,Нормативы!$F:$F,'2020'!$K113)</f>
        <v>214</v>
      </c>
      <c r="AD113" s="618">
        <f>SUMIFS(Нормативы!P:P,Нормативы!$B:$B,$G113,Нормативы!$D:$D,'2020'!$I113,Нормативы!$F:$F,'2020'!$K113)*O113</f>
        <v>31</v>
      </c>
      <c r="AE113" s="618">
        <f>SUMIFS(Нормативы!Q:Q,Нормативы!$B:$B,$G113,Нормативы!$D:$D,'2020'!$I113,Нормативы!$F:$F,'2020'!$K113)</f>
        <v>74</v>
      </c>
      <c r="AF113" s="618">
        <f>SUMIFS(Нормативы!R:R,Нормативы!$B:$B,$G113,Нормативы!$D:$D,'2020'!$I113,Нормативы!$F:$F,'2020'!$K113)</f>
        <v>246</v>
      </c>
      <c r="AG113" s="618">
        <f>SUMIFS(Нормативы!S:S,Нормативы!$B:$B,$G113,Нормативы!$D:$D,'2020'!$I113,Нормативы!$F:$F,'2020'!$K113)</f>
        <v>508</v>
      </c>
      <c r="AH113" s="618">
        <f>SUMIFS(Нормативы!T:T,Нормативы!$B:$B,$G113,Нормативы!$D:$D,'2020'!$I113,Нормативы!$F:$F,'2020'!$K113)</f>
        <v>54</v>
      </c>
      <c r="AI113" s="618">
        <f>SUMIFS(Нормативы!U:U,Нормативы!$B:$B,$G113,Нормативы!$D:$D,'2020'!$I113,Нормативы!$F:$F,'2020'!$K113)</f>
        <v>77</v>
      </c>
      <c r="AJ113" s="618">
        <f>SUMIFS(Нормативы!V:V,Нормативы!$B:$B,$G113,Нормативы!$D:$D,'2020'!$I113,Нормативы!$F:$F,'2020'!$K113)</f>
        <v>8</v>
      </c>
      <c r="AK113" s="618">
        <f>SUMIFS(Нормативы!W:W,Нормативы!$B:$B,$G113,Нормативы!$D:$D,'2020'!$I113,Нормативы!$F:$F,'2020'!$K113)</f>
        <v>30</v>
      </c>
      <c r="AL113" s="618">
        <f>SUMIFS(Нормативы!X:X,Нормативы!$B:$B,$G113,Нормативы!$D:$D,'2020'!$I113,Нормативы!$F:$F,'2020'!$K113)*O113</f>
        <v>1344</v>
      </c>
      <c r="AM113" s="618">
        <f t="shared" si="332"/>
        <v>1032.3</v>
      </c>
      <c r="AN113" s="618">
        <f t="shared" si="333"/>
        <v>311.7</v>
      </c>
      <c r="AO113" s="618">
        <f>SUMIFS(Нормативы!AA:AA,Нормативы!$B:$B,$G113,Нормативы!$D:$D,'2020'!$I113,Нормативы!$F:$F,'2020'!$K113)</f>
        <v>0</v>
      </c>
      <c r="AP113" s="619">
        <f t="shared" si="334"/>
        <v>8294</v>
      </c>
      <c r="AQ113" s="413">
        <f t="shared" si="272"/>
        <v>216080</v>
      </c>
      <c r="AR113" s="618">
        <f t="shared" si="335"/>
        <v>165960.1</v>
      </c>
      <c r="AS113" s="618">
        <f t="shared" si="336"/>
        <v>50119.9</v>
      </c>
      <c r="AT113" s="616">
        <f t="shared" si="273"/>
        <v>880</v>
      </c>
      <c r="AU113" s="616">
        <f t="shared" si="274"/>
        <v>160</v>
      </c>
      <c r="AV113" s="616">
        <f t="shared" si="275"/>
        <v>9280</v>
      </c>
      <c r="AW113" s="616">
        <f t="shared" si="276"/>
        <v>14840</v>
      </c>
      <c r="AX113" s="616">
        <f t="shared" si="277"/>
        <v>2080</v>
      </c>
      <c r="AY113" s="616">
        <f t="shared" si="278"/>
        <v>8560</v>
      </c>
      <c r="AZ113" s="616">
        <f t="shared" si="279"/>
        <v>1240</v>
      </c>
      <c r="BA113" s="616">
        <f t="shared" si="280"/>
        <v>2960</v>
      </c>
      <c r="BB113" s="616">
        <f t="shared" si="281"/>
        <v>9840</v>
      </c>
      <c r="BC113" s="616">
        <f t="shared" si="282"/>
        <v>20320</v>
      </c>
      <c r="BD113" s="616">
        <f t="shared" si="283"/>
        <v>2160</v>
      </c>
      <c r="BE113" s="616">
        <f t="shared" si="284"/>
        <v>3080</v>
      </c>
      <c r="BF113" s="616">
        <f t="shared" si="285"/>
        <v>320</v>
      </c>
      <c r="BG113" s="616">
        <f t="shared" si="286"/>
        <v>1200</v>
      </c>
      <c r="BH113" s="616">
        <f t="shared" si="287"/>
        <v>53760</v>
      </c>
      <c r="BI113" s="618">
        <f t="shared" si="337"/>
        <v>41290.300000000003</v>
      </c>
      <c r="BJ113" s="618">
        <f t="shared" si="338"/>
        <v>12469.7</v>
      </c>
      <c r="BK113" s="616">
        <f t="shared" si="288"/>
        <v>0</v>
      </c>
      <c r="BL113" s="620">
        <f t="shared" si="289"/>
        <v>331760</v>
      </c>
      <c r="BM113" s="616">
        <f t="shared" si="290"/>
        <v>301432</v>
      </c>
      <c r="BN113" s="618">
        <f t="shared" si="291"/>
        <v>231514.6</v>
      </c>
      <c r="BO113" s="618">
        <f t="shared" si="292"/>
        <v>69917.399999999994</v>
      </c>
      <c r="BP113" s="616">
        <f t="shared" si="339"/>
        <v>880</v>
      </c>
      <c r="BQ113" s="616">
        <f t="shared" si="340"/>
        <v>160</v>
      </c>
      <c r="BR113" s="616">
        <f t="shared" si="341"/>
        <v>9280</v>
      </c>
      <c r="BS113" s="616">
        <f t="shared" si="293"/>
        <v>14840</v>
      </c>
      <c r="BT113" s="616">
        <f t="shared" si="294"/>
        <v>2080</v>
      </c>
      <c r="BU113" s="616">
        <f t="shared" si="295"/>
        <v>8560</v>
      </c>
      <c r="BV113" s="616">
        <f t="shared" si="296"/>
        <v>1240</v>
      </c>
      <c r="BW113" s="616">
        <f t="shared" si="297"/>
        <v>2960</v>
      </c>
      <c r="BX113" s="616">
        <f t="shared" si="298"/>
        <v>19473</v>
      </c>
      <c r="BY113" s="616">
        <f t="shared" si="299"/>
        <v>20320</v>
      </c>
      <c r="BZ113" s="616">
        <f t="shared" si="300"/>
        <v>2160</v>
      </c>
      <c r="CA113" s="616">
        <f t="shared" si="301"/>
        <v>3080</v>
      </c>
      <c r="CB113" s="616">
        <f t="shared" si="302"/>
        <v>320</v>
      </c>
      <c r="CC113" s="616">
        <f t="shared" si="303"/>
        <v>1200</v>
      </c>
      <c r="CD113" s="616">
        <f t="shared" si="304"/>
        <v>74995</v>
      </c>
      <c r="CE113" s="618">
        <f t="shared" si="342"/>
        <v>57599.8</v>
      </c>
      <c r="CF113" s="618">
        <f t="shared" si="343"/>
        <v>17395.2</v>
      </c>
      <c r="CG113" s="616">
        <f t="shared" si="305"/>
        <v>0</v>
      </c>
      <c r="CH113" s="621">
        <f t="shared" si="306"/>
        <v>447980</v>
      </c>
      <c r="CI113" s="88">
        <f t="shared" si="307"/>
        <v>7535.8</v>
      </c>
      <c r="CJ113" s="90">
        <f t="shared" si="308"/>
        <v>5787.8649999999998</v>
      </c>
      <c r="CK113" s="90">
        <f t="shared" si="309"/>
        <v>1747.9349999999999</v>
      </c>
      <c r="CL113" s="88">
        <f t="shared" si="310"/>
        <v>22</v>
      </c>
      <c r="CM113" s="88">
        <f t="shared" si="311"/>
        <v>4</v>
      </c>
      <c r="CN113" s="88">
        <f t="shared" si="312"/>
        <v>232</v>
      </c>
      <c r="CO113" s="88">
        <f t="shared" si="313"/>
        <v>371</v>
      </c>
      <c r="CP113" s="88">
        <f t="shared" si="314"/>
        <v>52</v>
      </c>
      <c r="CQ113" s="88">
        <f t="shared" si="315"/>
        <v>214</v>
      </c>
      <c r="CR113" s="88">
        <f t="shared" si="316"/>
        <v>31</v>
      </c>
      <c r="CS113" s="88">
        <f t="shared" si="317"/>
        <v>74</v>
      </c>
      <c r="CT113" s="88">
        <f t="shared" si="318"/>
        <v>486.82499999999999</v>
      </c>
      <c r="CU113" s="88">
        <f t="shared" si="319"/>
        <v>508</v>
      </c>
      <c r="CV113" s="88">
        <f t="shared" si="320"/>
        <v>54</v>
      </c>
      <c r="CW113" s="88">
        <f t="shared" si="321"/>
        <v>77</v>
      </c>
      <c r="CX113" s="88">
        <f t="shared" si="322"/>
        <v>8</v>
      </c>
      <c r="CY113" s="88">
        <f t="shared" si="323"/>
        <v>30</v>
      </c>
      <c r="CZ113" s="88">
        <f t="shared" si="324"/>
        <v>1874.875</v>
      </c>
      <c r="DA113" s="90">
        <f t="shared" si="325"/>
        <v>1439.9949999999999</v>
      </c>
      <c r="DB113" s="90">
        <f t="shared" si="326"/>
        <v>434.88</v>
      </c>
      <c r="DC113" s="88">
        <f t="shared" si="327"/>
        <v>0</v>
      </c>
      <c r="DD113" s="88">
        <f t="shared" si="328"/>
        <v>11199.5</v>
      </c>
      <c r="AUV113" s="699">
        <f t="shared" si="235"/>
        <v>7535.8</v>
      </c>
      <c r="AUW113" s="699">
        <f t="shared" si="236"/>
        <v>5787.86</v>
      </c>
      <c r="AUX113" s="699">
        <f t="shared" si="237"/>
        <v>1747.94</v>
      </c>
      <c r="AUY113" s="699">
        <f t="shared" si="346"/>
        <v>22</v>
      </c>
      <c r="AUZ113" s="699">
        <f t="shared" si="344"/>
        <v>80.849999999999994</v>
      </c>
      <c r="AVA113" s="699">
        <f t="shared" si="344"/>
        <v>1.72</v>
      </c>
      <c r="AVB113" s="699">
        <f t="shared" si="347"/>
        <v>371</v>
      </c>
      <c r="AVC113" s="699">
        <f t="shared" si="348"/>
        <v>52</v>
      </c>
      <c r="AVD113" s="699">
        <f t="shared" si="349"/>
        <v>214</v>
      </c>
      <c r="AVE113" s="699">
        <f t="shared" si="350"/>
        <v>31</v>
      </c>
      <c r="AVF113" s="699">
        <f t="shared" si="351"/>
        <v>74</v>
      </c>
      <c r="AVG113" s="699">
        <f t="shared" si="352"/>
        <v>486.83</v>
      </c>
      <c r="AVH113" s="699">
        <f t="shared" si="353"/>
        <v>508</v>
      </c>
      <c r="AVI113" s="699">
        <f t="shared" si="354"/>
        <v>54</v>
      </c>
      <c r="AVJ113" s="699">
        <f t="shared" si="355"/>
        <v>77</v>
      </c>
      <c r="AVK113" s="699">
        <f t="shared" si="356"/>
        <v>8</v>
      </c>
      <c r="AVL113" s="699">
        <f t="shared" si="357"/>
        <v>30</v>
      </c>
      <c r="AVM113" s="699">
        <f t="shared" si="358"/>
        <v>1874.88</v>
      </c>
      <c r="AVN113" s="699">
        <f t="shared" si="359"/>
        <v>1440</v>
      </c>
      <c r="AVO113" s="699">
        <f t="shared" si="360"/>
        <v>434.88</v>
      </c>
      <c r="AVP113" s="699">
        <f t="shared" si="361"/>
        <v>0</v>
      </c>
      <c r="AVQ113" s="699">
        <f t="shared" si="362"/>
        <v>11199.5</v>
      </c>
    </row>
    <row r="114" spans="1:108 1244:1265" ht="30" customHeight="1" x14ac:dyDescent="0.25">
      <c r="A114" s="643">
        <v>1</v>
      </c>
      <c r="B114" s="643">
        <v>5</v>
      </c>
      <c r="C114" s="664" t="s">
        <v>248</v>
      </c>
      <c r="D114" s="2"/>
      <c r="E114" s="101" t="s">
        <v>344</v>
      </c>
      <c r="F114" s="643" t="s">
        <v>31</v>
      </c>
      <c r="G114" s="643">
        <v>1</v>
      </c>
      <c r="H114" s="658" t="s">
        <v>10</v>
      </c>
      <c r="I114" s="643">
        <v>0</v>
      </c>
      <c r="J114" s="101" t="s">
        <v>359</v>
      </c>
      <c r="K114" s="643">
        <v>1</v>
      </c>
      <c r="L114" s="683" t="s">
        <v>349</v>
      </c>
      <c r="M114" s="11" t="s">
        <v>263</v>
      </c>
      <c r="N114" s="101" t="s">
        <v>387</v>
      </c>
      <c r="O114" s="643">
        <v>1</v>
      </c>
      <c r="P114" s="632">
        <v>23</v>
      </c>
      <c r="Q114" s="632">
        <v>23</v>
      </c>
      <c r="R114" s="632">
        <v>23</v>
      </c>
      <c r="S114" s="675">
        <f>SUMIF('Территориальный кк'!$A:$A,'2020'!$B114,'Территориальный кк'!D:D)</f>
        <v>1.395</v>
      </c>
      <c r="T114" s="676">
        <f>SUMIF('Территориальный кк'!$A:$A,'2020'!$B114,'Территориальный кк'!E:E)</f>
        <v>1.9790000000000001</v>
      </c>
      <c r="U114" s="618">
        <f>SUMIFS(Нормативы!G:G,Нормативы!$B:$B,$G114,Нормативы!$D:$D,'2020'!$I114,Нормативы!$F:$F,'2020'!$K114)*O114</f>
        <v>54020</v>
      </c>
      <c r="V114" s="618">
        <f t="shared" si="329"/>
        <v>41490</v>
      </c>
      <c r="W114" s="618">
        <f t="shared" si="330"/>
        <v>12530</v>
      </c>
      <c r="X114" s="618">
        <f>SUMIFS(Нормативы!J:J,Нормативы!$B:$B,$G114,Нормативы!$D:$D,'2020'!$I114,Нормативы!$F:$F,'2020'!$K114)</f>
        <v>220</v>
      </c>
      <c r="Y114" s="618">
        <f>SUMIFS(Нормативы!K:K,Нормативы!$B:$B,$G114,Нормативы!$D:$D,'2020'!$I114,Нормативы!$F:$F,'2020'!$K114)</f>
        <v>44</v>
      </c>
      <c r="Z114" s="618">
        <f>SUMIFS(Нормативы!L:L,Нормативы!$B:$B,$G114,Нормативы!$D:$D,'2020'!$I114,Нормативы!$F:$F,'2020'!$K114)</f>
        <v>2320</v>
      </c>
      <c r="AA114" s="618">
        <f t="shared" si="331"/>
        <v>3710</v>
      </c>
      <c r="AB114" s="618">
        <f>SUMIFS(Нормативы!N:N,Нормативы!$B:$B,$G114,Нормативы!$D:$D,'2020'!$I114,Нормативы!$F:$F,'2020'!$K114)*O114</f>
        <v>520</v>
      </c>
      <c r="AC114" s="618">
        <f>SUMIFS(Нормативы!O:O,Нормативы!$B:$B,$G114,Нормативы!$D:$D,'2020'!$I114,Нормативы!$F:$F,'2020'!$K114)</f>
        <v>2140</v>
      </c>
      <c r="AD114" s="618">
        <f>SUMIFS(Нормативы!P:P,Нормативы!$B:$B,$G114,Нормативы!$D:$D,'2020'!$I114,Нормативы!$F:$F,'2020'!$K114)*O114</f>
        <v>310</v>
      </c>
      <c r="AE114" s="618">
        <f>SUMIFS(Нормативы!Q:Q,Нормативы!$B:$B,$G114,Нормативы!$D:$D,'2020'!$I114,Нормативы!$F:$F,'2020'!$K114)</f>
        <v>740</v>
      </c>
      <c r="AF114" s="618">
        <f>SUMIFS(Нормативы!R:R,Нормативы!$B:$B,$G114,Нормативы!$D:$D,'2020'!$I114,Нормативы!$F:$F,'2020'!$K114)</f>
        <v>2460</v>
      </c>
      <c r="AG114" s="618">
        <f>SUMIFS(Нормативы!S:S,Нормативы!$B:$B,$G114,Нормативы!$D:$D,'2020'!$I114,Нормативы!$F:$F,'2020'!$K114)</f>
        <v>5080</v>
      </c>
      <c r="AH114" s="618">
        <f>SUMIFS(Нормативы!T:T,Нормативы!$B:$B,$G114,Нормативы!$D:$D,'2020'!$I114,Нормативы!$F:$F,'2020'!$K114)</f>
        <v>540</v>
      </c>
      <c r="AI114" s="618">
        <f>SUMIFS(Нормативы!U:U,Нормативы!$B:$B,$G114,Нормативы!$D:$D,'2020'!$I114,Нормативы!$F:$F,'2020'!$K114)</f>
        <v>770</v>
      </c>
      <c r="AJ114" s="618">
        <f>SUMIFS(Нормативы!V:V,Нормативы!$B:$B,$G114,Нормативы!$D:$D,'2020'!$I114,Нормативы!$F:$F,'2020'!$K114)</f>
        <v>80</v>
      </c>
      <c r="AK114" s="618">
        <f>SUMIFS(Нормативы!W:W,Нормативы!$B:$B,$G114,Нормативы!$D:$D,'2020'!$I114,Нормативы!$F:$F,'2020'!$K114)</f>
        <v>300</v>
      </c>
      <c r="AL114" s="618">
        <f>SUMIFS(Нормативы!X:X,Нормативы!$B:$B,$G114,Нормативы!$D:$D,'2020'!$I114,Нормативы!$F:$F,'2020'!$K114)*O114</f>
        <v>13440</v>
      </c>
      <c r="AM114" s="618">
        <f t="shared" si="332"/>
        <v>10322.6</v>
      </c>
      <c r="AN114" s="618">
        <f t="shared" si="333"/>
        <v>3117.4</v>
      </c>
      <c r="AO114" s="618">
        <f>SUMIFS(Нормативы!AA:AA,Нормативы!$B:$B,$G114,Нормативы!$D:$D,'2020'!$I114,Нормативы!$F:$F,'2020'!$K114)</f>
        <v>3520</v>
      </c>
      <c r="AP114" s="619">
        <f t="shared" si="334"/>
        <v>86460</v>
      </c>
      <c r="AQ114" s="413">
        <f t="shared" si="272"/>
        <v>1242460</v>
      </c>
      <c r="AR114" s="618">
        <f t="shared" si="335"/>
        <v>954270.4</v>
      </c>
      <c r="AS114" s="618">
        <f t="shared" si="336"/>
        <v>288189.59999999998</v>
      </c>
      <c r="AT114" s="616">
        <f t="shared" si="273"/>
        <v>5060</v>
      </c>
      <c r="AU114" s="616">
        <f t="shared" si="274"/>
        <v>1012</v>
      </c>
      <c r="AV114" s="616">
        <f t="shared" si="275"/>
        <v>53360</v>
      </c>
      <c r="AW114" s="616">
        <f t="shared" si="276"/>
        <v>85330</v>
      </c>
      <c r="AX114" s="616">
        <f t="shared" si="277"/>
        <v>11960</v>
      </c>
      <c r="AY114" s="616">
        <f t="shared" si="278"/>
        <v>49220</v>
      </c>
      <c r="AZ114" s="616">
        <f t="shared" si="279"/>
        <v>7130</v>
      </c>
      <c r="BA114" s="616">
        <f t="shared" si="280"/>
        <v>17020</v>
      </c>
      <c r="BB114" s="616">
        <f t="shared" si="281"/>
        <v>56580</v>
      </c>
      <c r="BC114" s="616">
        <f t="shared" si="282"/>
        <v>116840</v>
      </c>
      <c r="BD114" s="616">
        <f t="shared" si="283"/>
        <v>12420</v>
      </c>
      <c r="BE114" s="616">
        <f t="shared" si="284"/>
        <v>17710</v>
      </c>
      <c r="BF114" s="616">
        <f t="shared" si="285"/>
        <v>1840</v>
      </c>
      <c r="BG114" s="616">
        <f t="shared" si="286"/>
        <v>6900</v>
      </c>
      <c r="BH114" s="616">
        <f t="shared" si="287"/>
        <v>309120</v>
      </c>
      <c r="BI114" s="618">
        <f t="shared" si="337"/>
        <v>237419.4</v>
      </c>
      <c r="BJ114" s="618">
        <f t="shared" si="338"/>
        <v>71700.600000000006</v>
      </c>
      <c r="BK114" s="616">
        <f t="shared" si="288"/>
        <v>80960</v>
      </c>
      <c r="BL114" s="620">
        <f t="shared" si="289"/>
        <v>1988580</v>
      </c>
      <c r="BM114" s="616">
        <f t="shared" si="290"/>
        <v>1733232</v>
      </c>
      <c r="BN114" s="618">
        <f t="shared" si="291"/>
        <v>1331207.3999999999</v>
      </c>
      <c r="BO114" s="618">
        <f t="shared" si="292"/>
        <v>402024.6</v>
      </c>
      <c r="BP114" s="616">
        <f t="shared" si="339"/>
        <v>5060</v>
      </c>
      <c r="BQ114" s="616">
        <f t="shared" si="340"/>
        <v>1012</v>
      </c>
      <c r="BR114" s="616">
        <f t="shared" si="341"/>
        <v>53360</v>
      </c>
      <c r="BS114" s="616">
        <f t="shared" si="293"/>
        <v>85330</v>
      </c>
      <c r="BT114" s="616">
        <f t="shared" si="294"/>
        <v>11960</v>
      </c>
      <c r="BU114" s="616">
        <f t="shared" si="295"/>
        <v>49220</v>
      </c>
      <c r="BV114" s="616">
        <f t="shared" si="296"/>
        <v>7130</v>
      </c>
      <c r="BW114" s="616">
        <f t="shared" si="297"/>
        <v>17020</v>
      </c>
      <c r="BX114" s="616">
        <f t="shared" si="298"/>
        <v>111972</v>
      </c>
      <c r="BY114" s="616">
        <f t="shared" si="299"/>
        <v>116840</v>
      </c>
      <c r="BZ114" s="616">
        <f t="shared" si="300"/>
        <v>12420</v>
      </c>
      <c r="CA114" s="616">
        <f t="shared" si="301"/>
        <v>17710</v>
      </c>
      <c r="CB114" s="616">
        <f t="shared" si="302"/>
        <v>1840</v>
      </c>
      <c r="CC114" s="616">
        <f t="shared" si="303"/>
        <v>6900</v>
      </c>
      <c r="CD114" s="616">
        <f t="shared" si="304"/>
        <v>431222</v>
      </c>
      <c r="CE114" s="618">
        <f t="shared" si="342"/>
        <v>331199.7</v>
      </c>
      <c r="CF114" s="618">
        <f t="shared" si="343"/>
        <v>100022.3</v>
      </c>
      <c r="CG114" s="616">
        <f t="shared" si="305"/>
        <v>80960</v>
      </c>
      <c r="CH114" s="621">
        <f t="shared" si="306"/>
        <v>2656846</v>
      </c>
      <c r="CI114" s="88">
        <f t="shared" si="307"/>
        <v>75357.913</v>
      </c>
      <c r="CJ114" s="90">
        <f t="shared" si="308"/>
        <v>57878.582600000002</v>
      </c>
      <c r="CK114" s="90">
        <f t="shared" si="309"/>
        <v>17479.330399999999</v>
      </c>
      <c r="CL114" s="88">
        <f t="shared" si="310"/>
        <v>220</v>
      </c>
      <c r="CM114" s="88">
        <f t="shared" si="311"/>
        <v>44</v>
      </c>
      <c r="CN114" s="88">
        <f t="shared" si="312"/>
        <v>2320</v>
      </c>
      <c r="CO114" s="88">
        <f t="shared" si="313"/>
        <v>3710</v>
      </c>
      <c r="CP114" s="88">
        <f t="shared" si="314"/>
        <v>520</v>
      </c>
      <c r="CQ114" s="88">
        <f t="shared" si="315"/>
        <v>2140</v>
      </c>
      <c r="CR114" s="88">
        <f t="shared" si="316"/>
        <v>310</v>
      </c>
      <c r="CS114" s="88">
        <f t="shared" si="317"/>
        <v>740</v>
      </c>
      <c r="CT114" s="88">
        <f t="shared" si="318"/>
        <v>4868.3477999999996</v>
      </c>
      <c r="CU114" s="88">
        <f t="shared" si="319"/>
        <v>5080</v>
      </c>
      <c r="CV114" s="88">
        <f t="shared" si="320"/>
        <v>540</v>
      </c>
      <c r="CW114" s="88">
        <f t="shared" si="321"/>
        <v>770</v>
      </c>
      <c r="CX114" s="88">
        <f t="shared" si="322"/>
        <v>80</v>
      </c>
      <c r="CY114" s="88">
        <f t="shared" si="323"/>
        <v>300</v>
      </c>
      <c r="CZ114" s="88">
        <f t="shared" si="324"/>
        <v>18748.782599999999</v>
      </c>
      <c r="DA114" s="90">
        <f t="shared" si="325"/>
        <v>14399.986999999999</v>
      </c>
      <c r="DB114" s="90">
        <f t="shared" si="326"/>
        <v>4348.7956999999997</v>
      </c>
      <c r="DC114" s="88">
        <f t="shared" si="327"/>
        <v>3520</v>
      </c>
      <c r="DD114" s="88">
        <f t="shared" si="328"/>
        <v>115515.0435</v>
      </c>
      <c r="AUV114" s="699">
        <f t="shared" si="235"/>
        <v>75357.91</v>
      </c>
      <c r="AUW114" s="699">
        <f t="shared" si="236"/>
        <v>57878.58</v>
      </c>
      <c r="AUX114" s="699">
        <f t="shared" si="237"/>
        <v>17479.330000000002</v>
      </c>
      <c r="AUY114" s="699">
        <f t="shared" si="346"/>
        <v>220</v>
      </c>
      <c r="AUZ114" s="699">
        <f t="shared" si="344"/>
        <v>511.37</v>
      </c>
      <c r="AVA114" s="699">
        <f t="shared" si="344"/>
        <v>0.99</v>
      </c>
      <c r="AVB114" s="699">
        <f t="shared" si="347"/>
        <v>3710</v>
      </c>
      <c r="AVC114" s="699">
        <f t="shared" si="348"/>
        <v>520</v>
      </c>
      <c r="AVD114" s="699">
        <f t="shared" si="349"/>
        <v>2140</v>
      </c>
      <c r="AVE114" s="699">
        <f t="shared" si="350"/>
        <v>310</v>
      </c>
      <c r="AVF114" s="699">
        <f t="shared" si="351"/>
        <v>740</v>
      </c>
      <c r="AVG114" s="699">
        <f t="shared" si="352"/>
        <v>4868.3500000000004</v>
      </c>
      <c r="AVH114" s="699">
        <f t="shared" si="353"/>
        <v>5080</v>
      </c>
      <c r="AVI114" s="699">
        <f t="shared" si="354"/>
        <v>540</v>
      </c>
      <c r="AVJ114" s="699">
        <f t="shared" si="355"/>
        <v>770</v>
      </c>
      <c r="AVK114" s="699">
        <f t="shared" si="356"/>
        <v>80</v>
      </c>
      <c r="AVL114" s="699">
        <f t="shared" si="357"/>
        <v>300</v>
      </c>
      <c r="AVM114" s="699">
        <f t="shared" si="358"/>
        <v>18748.78</v>
      </c>
      <c r="AVN114" s="699">
        <f t="shared" si="359"/>
        <v>14399.98</v>
      </c>
      <c r="AVO114" s="699">
        <f t="shared" si="360"/>
        <v>4348.8</v>
      </c>
      <c r="AVP114" s="699">
        <f t="shared" si="361"/>
        <v>3520</v>
      </c>
      <c r="AVQ114" s="699">
        <f t="shared" si="362"/>
        <v>115515.04</v>
      </c>
    </row>
    <row r="115" spans="1:108 1244:1265" ht="30" customHeight="1" x14ac:dyDescent="0.25">
      <c r="A115" s="643">
        <v>1</v>
      </c>
      <c r="B115" s="643">
        <v>5</v>
      </c>
      <c r="C115" s="664" t="s">
        <v>248</v>
      </c>
      <c r="D115" s="2"/>
      <c r="E115" s="101" t="s">
        <v>344</v>
      </c>
      <c r="F115" s="643" t="s">
        <v>31</v>
      </c>
      <c r="G115" s="643">
        <v>1</v>
      </c>
      <c r="H115" s="658" t="s">
        <v>10</v>
      </c>
      <c r="I115" s="643">
        <v>0</v>
      </c>
      <c r="J115" s="101" t="s">
        <v>360</v>
      </c>
      <c r="K115" s="643">
        <v>3</v>
      </c>
      <c r="L115" s="683" t="s">
        <v>349</v>
      </c>
      <c r="M115" s="11" t="s">
        <v>265</v>
      </c>
      <c r="N115" s="101" t="s">
        <v>387</v>
      </c>
      <c r="O115" s="643">
        <v>1</v>
      </c>
      <c r="P115" s="632">
        <v>467</v>
      </c>
      <c r="Q115" s="632">
        <v>467</v>
      </c>
      <c r="R115" s="632">
        <v>467</v>
      </c>
      <c r="S115" s="675">
        <f>SUMIF('Территориальный кк'!$A:$A,'2020'!$B115,'Территориальный кк'!D:D)</f>
        <v>1.395</v>
      </c>
      <c r="T115" s="676">
        <f>SUMIF('Территориальный кк'!$A:$A,'2020'!$B115,'Территориальный кк'!E:E)</f>
        <v>1.9790000000000001</v>
      </c>
      <c r="U115" s="618">
        <f>SUMIFS(Нормативы!G:G,Нормативы!$B:$B,$G115,Нормативы!$D:$D,'2020'!$I115,Нормативы!$F:$F,'2020'!$K115)*O115</f>
        <v>64190</v>
      </c>
      <c r="V115" s="618">
        <f t="shared" si="329"/>
        <v>49301.1</v>
      </c>
      <c r="W115" s="618">
        <f t="shared" si="330"/>
        <v>14888.9</v>
      </c>
      <c r="X115" s="618">
        <f>SUMIFS(Нормативы!J:J,Нормативы!$B:$B,$G115,Нормативы!$D:$D,'2020'!$I115,Нормативы!$F:$F,'2020'!$K115)</f>
        <v>8830</v>
      </c>
      <c r="Y115" s="618">
        <f>SUMIFS(Нормативы!K:K,Нормативы!$B:$B,$G115,Нормативы!$D:$D,'2020'!$I115,Нормативы!$F:$F,'2020'!$K115)</f>
        <v>1766</v>
      </c>
      <c r="Z115" s="618">
        <f>SUMIFS(Нормативы!L:L,Нормативы!$B:$B,$G115,Нормативы!$D:$D,'2020'!$I115,Нормативы!$F:$F,'2020'!$K115)</f>
        <v>8110</v>
      </c>
      <c r="AA115" s="618">
        <f t="shared" si="331"/>
        <v>19050</v>
      </c>
      <c r="AB115" s="618">
        <f>SUMIFS(Нормативы!N:N,Нормативы!$B:$B,$G115,Нормативы!$D:$D,'2020'!$I115,Нормативы!$F:$F,'2020'!$K115)*O115</f>
        <v>520</v>
      </c>
      <c r="AC115" s="618">
        <f>SUMIFS(Нормативы!O:O,Нормативы!$B:$B,$G115,Нормативы!$D:$D,'2020'!$I115,Нормативы!$F:$F,'2020'!$K115)</f>
        <v>17290</v>
      </c>
      <c r="AD115" s="618">
        <f>SUMIFS(Нормативы!P:P,Нормативы!$B:$B,$G115,Нормативы!$D:$D,'2020'!$I115,Нормативы!$F:$F,'2020'!$K115)*O115</f>
        <v>360</v>
      </c>
      <c r="AE115" s="618">
        <f>SUMIFS(Нормативы!Q:Q,Нормативы!$B:$B,$G115,Нормативы!$D:$D,'2020'!$I115,Нормативы!$F:$F,'2020'!$K115)</f>
        <v>880</v>
      </c>
      <c r="AF115" s="618">
        <f>SUMIFS(Нормативы!R:R,Нормативы!$B:$B,$G115,Нормативы!$D:$D,'2020'!$I115,Нормативы!$F:$F,'2020'!$K115)</f>
        <v>2680</v>
      </c>
      <c r="AG115" s="618">
        <f>SUMIFS(Нормативы!S:S,Нормативы!$B:$B,$G115,Нормативы!$D:$D,'2020'!$I115,Нормативы!$F:$F,'2020'!$K115)</f>
        <v>5800</v>
      </c>
      <c r="AH115" s="618">
        <f>SUMIFS(Нормативы!T:T,Нормативы!$B:$B,$G115,Нормативы!$D:$D,'2020'!$I115,Нормативы!$F:$F,'2020'!$K115)</f>
        <v>540</v>
      </c>
      <c r="AI115" s="618">
        <f>SUMIFS(Нормативы!U:U,Нормативы!$B:$B,$G115,Нормативы!$D:$D,'2020'!$I115,Нормативы!$F:$F,'2020'!$K115)</f>
        <v>770</v>
      </c>
      <c r="AJ115" s="618">
        <f>SUMIFS(Нормативы!V:V,Нормативы!$B:$B,$G115,Нормативы!$D:$D,'2020'!$I115,Нормативы!$F:$F,'2020'!$K115)</f>
        <v>80</v>
      </c>
      <c r="AK115" s="618">
        <f>SUMIFS(Нормативы!W:W,Нормативы!$B:$B,$G115,Нормативы!$D:$D,'2020'!$I115,Нормативы!$F:$F,'2020'!$K115)</f>
        <v>1050</v>
      </c>
      <c r="AL115" s="618">
        <f>SUMIFS(Нормативы!X:X,Нормативы!$B:$B,$G115,Нормативы!$D:$D,'2020'!$I115,Нормативы!$F:$F,'2020'!$K115)*O115</f>
        <v>16120</v>
      </c>
      <c r="AM115" s="618">
        <f t="shared" si="332"/>
        <v>12381</v>
      </c>
      <c r="AN115" s="618">
        <f t="shared" si="333"/>
        <v>3739</v>
      </c>
      <c r="AO115" s="618">
        <f>SUMIFS(Нормативы!AA:AA,Нормативы!$B:$B,$G115,Нормативы!$D:$D,'2020'!$I115,Нормативы!$F:$F,'2020'!$K115)</f>
        <v>3520</v>
      </c>
      <c r="AP115" s="619">
        <f t="shared" si="334"/>
        <v>130740</v>
      </c>
      <c r="AQ115" s="413">
        <f t="shared" si="272"/>
        <v>29976730</v>
      </c>
      <c r="AR115" s="618">
        <f t="shared" si="335"/>
        <v>23023602.199999999</v>
      </c>
      <c r="AS115" s="618">
        <f t="shared" si="336"/>
        <v>6953127.7999999998</v>
      </c>
      <c r="AT115" s="616">
        <f t="shared" si="273"/>
        <v>4123610</v>
      </c>
      <c r="AU115" s="616">
        <f t="shared" si="274"/>
        <v>824722</v>
      </c>
      <c r="AV115" s="616">
        <f t="shared" si="275"/>
        <v>3787370</v>
      </c>
      <c r="AW115" s="616">
        <f t="shared" si="276"/>
        <v>8896350</v>
      </c>
      <c r="AX115" s="616">
        <f t="shared" si="277"/>
        <v>242840</v>
      </c>
      <c r="AY115" s="616">
        <f t="shared" si="278"/>
        <v>8074430</v>
      </c>
      <c r="AZ115" s="616">
        <f t="shared" si="279"/>
        <v>168120</v>
      </c>
      <c r="BA115" s="616">
        <f t="shared" si="280"/>
        <v>410960</v>
      </c>
      <c r="BB115" s="616">
        <f t="shared" si="281"/>
        <v>1251560</v>
      </c>
      <c r="BC115" s="616">
        <f t="shared" si="282"/>
        <v>2708600</v>
      </c>
      <c r="BD115" s="616">
        <f t="shared" si="283"/>
        <v>252180</v>
      </c>
      <c r="BE115" s="616">
        <f t="shared" si="284"/>
        <v>359590</v>
      </c>
      <c r="BF115" s="616">
        <f t="shared" si="285"/>
        <v>37360</v>
      </c>
      <c r="BG115" s="616">
        <f t="shared" si="286"/>
        <v>490350</v>
      </c>
      <c r="BH115" s="616">
        <f t="shared" si="287"/>
        <v>7528040</v>
      </c>
      <c r="BI115" s="618">
        <f t="shared" si="337"/>
        <v>5781904.7999999998</v>
      </c>
      <c r="BJ115" s="618">
        <f t="shared" si="338"/>
        <v>1746135.2</v>
      </c>
      <c r="BK115" s="616">
        <f t="shared" si="288"/>
        <v>1643840</v>
      </c>
      <c r="BL115" s="620">
        <f t="shared" si="289"/>
        <v>61055580</v>
      </c>
      <c r="BM115" s="616">
        <f t="shared" si="290"/>
        <v>41817538</v>
      </c>
      <c r="BN115" s="618">
        <f t="shared" si="291"/>
        <v>32117924.699999999</v>
      </c>
      <c r="BO115" s="618">
        <f t="shared" si="292"/>
        <v>9699613.3000000007</v>
      </c>
      <c r="BP115" s="616">
        <f t="shared" si="339"/>
        <v>4123610</v>
      </c>
      <c r="BQ115" s="616">
        <f t="shared" si="340"/>
        <v>824722</v>
      </c>
      <c r="BR115" s="616">
        <f t="shared" si="341"/>
        <v>3787370</v>
      </c>
      <c r="BS115" s="616">
        <f t="shared" si="293"/>
        <v>8896350</v>
      </c>
      <c r="BT115" s="616">
        <f t="shared" si="294"/>
        <v>242840</v>
      </c>
      <c r="BU115" s="616">
        <f t="shared" si="295"/>
        <v>8074430</v>
      </c>
      <c r="BV115" s="616">
        <f t="shared" si="296"/>
        <v>168120</v>
      </c>
      <c r="BW115" s="616">
        <f t="shared" si="297"/>
        <v>410960</v>
      </c>
      <c r="BX115" s="616">
        <f t="shared" si="298"/>
        <v>2476837</v>
      </c>
      <c r="BY115" s="616">
        <f t="shared" si="299"/>
        <v>2708600</v>
      </c>
      <c r="BZ115" s="616">
        <f t="shared" si="300"/>
        <v>252180</v>
      </c>
      <c r="CA115" s="616">
        <f t="shared" si="301"/>
        <v>359590</v>
      </c>
      <c r="CB115" s="616">
        <f t="shared" si="302"/>
        <v>37360</v>
      </c>
      <c r="CC115" s="616">
        <f t="shared" si="303"/>
        <v>490350</v>
      </c>
      <c r="CD115" s="616">
        <f t="shared" si="304"/>
        <v>10501616</v>
      </c>
      <c r="CE115" s="618">
        <f t="shared" si="342"/>
        <v>8065757.2999999998</v>
      </c>
      <c r="CF115" s="618">
        <f t="shared" si="343"/>
        <v>2435858.7000000002</v>
      </c>
      <c r="CG115" s="616">
        <f t="shared" si="305"/>
        <v>1643840</v>
      </c>
      <c r="CH115" s="621">
        <f t="shared" si="306"/>
        <v>77095241</v>
      </c>
      <c r="CI115" s="88">
        <f t="shared" si="307"/>
        <v>89545.049299999999</v>
      </c>
      <c r="CJ115" s="90">
        <f t="shared" si="308"/>
        <v>68774.999400000001</v>
      </c>
      <c r="CK115" s="90">
        <f t="shared" si="309"/>
        <v>20770.049900000002</v>
      </c>
      <c r="CL115" s="88">
        <f t="shared" si="310"/>
        <v>8830</v>
      </c>
      <c r="CM115" s="88">
        <f t="shared" si="311"/>
        <v>1766</v>
      </c>
      <c r="CN115" s="88">
        <f t="shared" si="312"/>
        <v>8110</v>
      </c>
      <c r="CO115" s="88">
        <f t="shared" si="313"/>
        <v>19050</v>
      </c>
      <c r="CP115" s="88">
        <f t="shared" si="314"/>
        <v>520</v>
      </c>
      <c r="CQ115" s="88">
        <f t="shared" si="315"/>
        <v>17290</v>
      </c>
      <c r="CR115" s="88">
        <f t="shared" si="316"/>
        <v>360</v>
      </c>
      <c r="CS115" s="88">
        <f t="shared" si="317"/>
        <v>880</v>
      </c>
      <c r="CT115" s="88">
        <f t="shared" si="318"/>
        <v>5303.7195000000002</v>
      </c>
      <c r="CU115" s="88">
        <f t="shared" si="319"/>
        <v>5800</v>
      </c>
      <c r="CV115" s="88">
        <f t="shared" si="320"/>
        <v>540</v>
      </c>
      <c r="CW115" s="88">
        <f t="shared" si="321"/>
        <v>770</v>
      </c>
      <c r="CX115" s="88">
        <f t="shared" si="322"/>
        <v>80</v>
      </c>
      <c r="CY115" s="88">
        <f t="shared" si="323"/>
        <v>1050</v>
      </c>
      <c r="CZ115" s="88">
        <f t="shared" si="324"/>
        <v>22487.400399999999</v>
      </c>
      <c r="DA115" s="90">
        <f t="shared" si="325"/>
        <v>17271.428899999999</v>
      </c>
      <c r="DB115" s="90">
        <f t="shared" si="326"/>
        <v>5215.9714999999997</v>
      </c>
      <c r="DC115" s="88">
        <f t="shared" si="327"/>
        <v>3520</v>
      </c>
      <c r="DD115" s="88">
        <f t="shared" si="328"/>
        <v>165086.1692</v>
      </c>
      <c r="AUV115" s="699">
        <f t="shared" si="235"/>
        <v>89545.05</v>
      </c>
      <c r="AUW115" s="699">
        <f t="shared" si="236"/>
        <v>68775</v>
      </c>
      <c r="AUX115" s="699">
        <f t="shared" si="237"/>
        <v>20770.05</v>
      </c>
      <c r="AUY115" s="699">
        <f t="shared" si="346"/>
        <v>8830</v>
      </c>
      <c r="AUZ115" s="699">
        <f t="shared" si="344"/>
        <v>416736.74</v>
      </c>
      <c r="AVA115" s="699">
        <f t="shared" si="344"/>
        <v>59</v>
      </c>
      <c r="AVB115" s="699">
        <f t="shared" si="347"/>
        <v>19050</v>
      </c>
      <c r="AVC115" s="699">
        <f t="shared" si="348"/>
        <v>520</v>
      </c>
      <c r="AVD115" s="699">
        <f t="shared" si="349"/>
        <v>17290</v>
      </c>
      <c r="AVE115" s="699">
        <f t="shared" si="350"/>
        <v>360</v>
      </c>
      <c r="AVF115" s="699">
        <f t="shared" si="351"/>
        <v>880</v>
      </c>
      <c r="AVG115" s="699">
        <f t="shared" si="352"/>
        <v>5303.72</v>
      </c>
      <c r="AVH115" s="699">
        <f t="shared" si="353"/>
        <v>5800</v>
      </c>
      <c r="AVI115" s="699">
        <f t="shared" si="354"/>
        <v>540</v>
      </c>
      <c r="AVJ115" s="699">
        <f t="shared" si="355"/>
        <v>770</v>
      </c>
      <c r="AVK115" s="699">
        <f t="shared" si="356"/>
        <v>80</v>
      </c>
      <c r="AVL115" s="699">
        <f t="shared" si="357"/>
        <v>1050</v>
      </c>
      <c r="AVM115" s="699">
        <f t="shared" si="358"/>
        <v>22487.4</v>
      </c>
      <c r="AVN115" s="699">
        <f t="shared" si="359"/>
        <v>17271.43</v>
      </c>
      <c r="AVO115" s="699">
        <f t="shared" si="360"/>
        <v>5215.97</v>
      </c>
      <c r="AVP115" s="699">
        <f t="shared" si="361"/>
        <v>3520</v>
      </c>
      <c r="AVQ115" s="699">
        <f t="shared" si="362"/>
        <v>165086.17000000001</v>
      </c>
    </row>
    <row r="116" spans="1:108 1244:1265" ht="30" customHeight="1" x14ac:dyDescent="0.25">
      <c r="A116" s="643">
        <v>1</v>
      </c>
      <c r="B116" s="643">
        <v>5</v>
      </c>
      <c r="C116" s="664" t="s">
        <v>248</v>
      </c>
      <c r="D116" s="2"/>
      <c r="E116" s="101" t="s">
        <v>344</v>
      </c>
      <c r="F116" s="643" t="s">
        <v>31</v>
      </c>
      <c r="G116" s="643">
        <v>1</v>
      </c>
      <c r="H116" s="658" t="s">
        <v>8</v>
      </c>
      <c r="I116" s="643">
        <v>3</v>
      </c>
      <c r="J116" s="101" t="s">
        <v>360</v>
      </c>
      <c r="K116" s="643">
        <v>3</v>
      </c>
      <c r="L116" s="683" t="s">
        <v>349</v>
      </c>
      <c r="M116" s="11" t="s">
        <v>266</v>
      </c>
      <c r="N116" s="101" t="s">
        <v>387</v>
      </c>
      <c r="O116" s="643">
        <v>1</v>
      </c>
      <c r="P116" s="632">
        <v>227</v>
      </c>
      <c r="Q116" s="632">
        <v>227</v>
      </c>
      <c r="R116" s="632">
        <v>227</v>
      </c>
      <c r="S116" s="675">
        <f>SUMIF('Территориальный кк'!$A:$A,'2020'!$B116,'Территориальный кк'!D:D)</f>
        <v>1.395</v>
      </c>
      <c r="T116" s="676">
        <f>SUMIF('Территориальный кк'!$A:$A,'2020'!$B116,'Территориальный кк'!E:E)</f>
        <v>1.9790000000000001</v>
      </c>
      <c r="U116" s="618">
        <f>SUMIFS(Нормативы!G:G,Нормативы!$B:$B,$G116,Нормативы!$D:$D,'2020'!$I116,Нормативы!$F:$F,'2020'!$K116)*O116</f>
        <v>6419</v>
      </c>
      <c r="V116" s="618">
        <f t="shared" si="329"/>
        <v>4930.1000000000004</v>
      </c>
      <c r="W116" s="618">
        <f t="shared" si="330"/>
        <v>1488.9</v>
      </c>
      <c r="X116" s="618">
        <f>SUMIFS(Нормативы!J:J,Нормативы!$B:$B,$G116,Нормативы!$D:$D,'2020'!$I116,Нормативы!$F:$F,'2020'!$K116)</f>
        <v>883</v>
      </c>
      <c r="Y116" s="618">
        <f>SUMIFS(Нормативы!K:K,Нормативы!$B:$B,$G116,Нормативы!$D:$D,'2020'!$I116,Нормативы!$F:$F,'2020'!$K116)</f>
        <v>177</v>
      </c>
      <c r="Z116" s="618">
        <f>SUMIFS(Нормативы!L:L,Нормативы!$B:$B,$G116,Нормативы!$D:$D,'2020'!$I116,Нормативы!$F:$F,'2020'!$K116)</f>
        <v>811</v>
      </c>
      <c r="AA116" s="618">
        <f t="shared" si="331"/>
        <v>1905</v>
      </c>
      <c r="AB116" s="618">
        <f>SUMIFS(Нормативы!N:N,Нормативы!$B:$B,$G116,Нормативы!$D:$D,'2020'!$I116,Нормативы!$F:$F,'2020'!$K116)*O116</f>
        <v>52</v>
      </c>
      <c r="AC116" s="618">
        <f>SUMIFS(Нормативы!O:O,Нормативы!$B:$B,$G116,Нормативы!$D:$D,'2020'!$I116,Нормативы!$F:$F,'2020'!$K116)</f>
        <v>1729</v>
      </c>
      <c r="AD116" s="618">
        <f>SUMIFS(Нормативы!P:P,Нормативы!$B:$B,$G116,Нормативы!$D:$D,'2020'!$I116,Нормативы!$F:$F,'2020'!$K116)*O116</f>
        <v>36</v>
      </c>
      <c r="AE116" s="618">
        <f>SUMIFS(Нормативы!Q:Q,Нормативы!$B:$B,$G116,Нормативы!$D:$D,'2020'!$I116,Нормативы!$F:$F,'2020'!$K116)</f>
        <v>88</v>
      </c>
      <c r="AF116" s="618">
        <f>SUMIFS(Нормативы!R:R,Нормативы!$B:$B,$G116,Нормативы!$D:$D,'2020'!$I116,Нормативы!$F:$F,'2020'!$K116)</f>
        <v>268</v>
      </c>
      <c r="AG116" s="618">
        <f>SUMIFS(Нормативы!S:S,Нормативы!$B:$B,$G116,Нормативы!$D:$D,'2020'!$I116,Нормативы!$F:$F,'2020'!$K116)</f>
        <v>580</v>
      </c>
      <c r="AH116" s="618">
        <f>SUMIFS(Нормативы!T:T,Нормативы!$B:$B,$G116,Нормативы!$D:$D,'2020'!$I116,Нормативы!$F:$F,'2020'!$K116)</f>
        <v>54</v>
      </c>
      <c r="AI116" s="618">
        <f>SUMIFS(Нормативы!U:U,Нормативы!$B:$B,$G116,Нормативы!$D:$D,'2020'!$I116,Нормативы!$F:$F,'2020'!$K116)</f>
        <v>77</v>
      </c>
      <c r="AJ116" s="618">
        <f>SUMIFS(Нормативы!V:V,Нормативы!$B:$B,$G116,Нормативы!$D:$D,'2020'!$I116,Нормативы!$F:$F,'2020'!$K116)</f>
        <v>8</v>
      </c>
      <c r="AK116" s="618">
        <f>SUMIFS(Нормативы!W:W,Нормативы!$B:$B,$G116,Нормативы!$D:$D,'2020'!$I116,Нормативы!$F:$F,'2020'!$K116)</f>
        <v>105</v>
      </c>
      <c r="AL116" s="618">
        <f>SUMIFS(Нормативы!X:X,Нормативы!$B:$B,$G116,Нормативы!$D:$D,'2020'!$I116,Нормативы!$F:$F,'2020'!$K116)*O116</f>
        <v>1612</v>
      </c>
      <c r="AM116" s="618">
        <f t="shared" si="332"/>
        <v>1238.0999999999999</v>
      </c>
      <c r="AN116" s="618">
        <f t="shared" si="333"/>
        <v>373.9</v>
      </c>
      <c r="AO116" s="618">
        <f>SUMIFS(Нормативы!AA:AA,Нормативы!$B:$B,$G116,Нормативы!$D:$D,'2020'!$I116,Нормативы!$F:$F,'2020'!$K116)</f>
        <v>0</v>
      </c>
      <c r="AP116" s="619">
        <f t="shared" si="334"/>
        <v>12722</v>
      </c>
      <c r="AQ116" s="413">
        <f t="shared" si="272"/>
        <v>1457113</v>
      </c>
      <c r="AR116" s="618">
        <f t="shared" si="335"/>
        <v>1119134.3999999999</v>
      </c>
      <c r="AS116" s="618">
        <f t="shared" si="336"/>
        <v>337978.6</v>
      </c>
      <c r="AT116" s="616">
        <f t="shared" si="273"/>
        <v>200441</v>
      </c>
      <c r="AU116" s="616">
        <f t="shared" si="274"/>
        <v>40179</v>
      </c>
      <c r="AV116" s="616">
        <f t="shared" si="275"/>
        <v>184097</v>
      </c>
      <c r="AW116" s="616">
        <f t="shared" si="276"/>
        <v>432435</v>
      </c>
      <c r="AX116" s="616">
        <f t="shared" si="277"/>
        <v>11804</v>
      </c>
      <c r="AY116" s="616">
        <f t="shared" si="278"/>
        <v>392483</v>
      </c>
      <c r="AZ116" s="616">
        <f t="shared" si="279"/>
        <v>8172</v>
      </c>
      <c r="BA116" s="616">
        <f t="shared" si="280"/>
        <v>19976</v>
      </c>
      <c r="BB116" s="616">
        <f t="shared" si="281"/>
        <v>60836</v>
      </c>
      <c r="BC116" s="616">
        <f t="shared" si="282"/>
        <v>131660</v>
      </c>
      <c r="BD116" s="616">
        <f t="shared" si="283"/>
        <v>12258</v>
      </c>
      <c r="BE116" s="616">
        <f t="shared" si="284"/>
        <v>17479</v>
      </c>
      <c r="BF116" s="616">
        <f t="shared" si="285"/>
        <v>1816</v>
      </c>
      <c r="BG116" s="616">
        <f t="shared" si="286"/>
        <v>23835</v>
      </c>
      <c r="BH116" s="616">
        <f t="shared" si="287"/>
        <v>365924</v>
      </c>
      <c r="BI116" s="618">
        <f t="shared" si="337"/>
        <v>281047.59999999998</v>
      </c>
      <c r="BJ116" s="618">
        <f t="shared" si="338"/>
        <v>84876.4</v>
      </c>
      <c r="BK116" s="616">
        <f t="shared" si="288"/>
        <v>0</v>
      </c>
      <c r="BL116" s="620">
        <f t="shared" si="289"/>
        <v>2887894</v>
      </c>
      <c r="BM116" s="616">
        <f t="shared" si="290"/>
        <v>2032673</v>
      </c>
      <c r="BN116" s="618">
        <f t="shared" si="291"/>
        <v>1561192.8</v>
      </c>
      <c r="BO116" s="618">
        <f t="shared" si="292"/>
        <v>471480.2</v>
      </c>
      <c r="BP116" s="616">
        <f t="shared" si="339"/>
        <v>200441</v>
      </c>
      <c r="BQ116" s="616">
        <f t="shared" si="340"/>
        <v>40179</v>
      </c>
      <c r="BR116" s="616">
        <f t="shared" si="341"/>
        <v>184097</v>
      </c>
      <c r="BS116" s="616">
        <f t="shared" si="293"/>
        <v>432435</v>
      </c>
      <c r="BT116" s="616">
        <f t="shared" si="294"/>
        <v>11804</v>
      </c>
      <c r="BU116" s="616">
        <f t="shared" si="295"/>
        <v>392483</v>
      </c>
      <c r="BV116" s="616">
        <f t="shared" si="296"/>
        <v>8172</v>
      </c>
      <c r="BW116" s="616">
        <f t="shared" si="297"/>
        <v>19976</v>
      </c>
      <c r="BX116" s="616">
        <f t="shared" si="298"/>
        <v>120394</v>
      </c>
      <c r="BY116" s="616">
        <f t="shared" si="299"/>
        <v>131660</v>
      </c>
      <c r="BZ116" s="616">
        <f t="shared" si="300"/>
        <v>12258</v>
      </c>
      <c r="CA116" s="616">
        <f t="shared" si="301"/>
        <v>17479</v>
      </c>
      <c r="CB116" s="616">
        <f t="shared" si="302"/>
        <v>1816</v>
      </c>
      <c r="CC116" s="616">
        <f t="shared" si="303"/>
        <v>23835</v>
      </c>
      <c r="CD116" s="616">
        <f t="shared" si="304"/>
        <v>510464</v>
      </c>
      <c r="CE116" s="618">
        <f t="shared" si="342"/>
        <v>392061.4</v>
      </c>
      <c r="CF116" s="618">
        <f t="shared" si="343"/>
        <v>118402.6</v>
      </c>
      <c r="CG116" s="616">
        <f t="shared" si="305"/>
        <v>0</v>
      </c>
      <c r="CH116" s="621">
        <f t="shared" si="306"/>
        <v>3667552</v>
      </c>
      <c r="CI116" s="88">
        <f t="shared" si="307"/>
        <v>8954.5066000000006</v>
      </c>
      <c r="CJ116" s="90">
        <f t="shared" si="308"/>
        <v>6877.5012999999999</v>
      </c>
      <c r="CK116" s="90">
        <f t="shared" si="309"/>
        <v>2077.0052999999998</v>
      </c>
      <c r="CL116" s="88">
        <f t="shared" si="310"/>
        <v>883</v>
      </c>
      <c r="CM116" s="88">
        <f t="shared" si="311"/>
        <v>177</v>
      </c>
      <c r="CN116" s="88">
        <f t="shared" si="312"/>
        <v>811</v>
      </c>
      <c r="CO116" s="88">
        <f t="shared" si="313"/>
        <v>1905</v>
      </c>
      <c r="CP116" s="88">
        <f t="shared" si="314"/>
        <v>52</v>
      </c>
      <c r="CQ116" s="88">
        <f t="shared" si="315"/>
        <v>1729</v>
      </c>
      <c r="CR116" s="88">
        <f t="shared" si="316"/>
        <v>36</v>
      </c>
      <c r="CS116" s="88">
        <f t="shared" si="317"/>
        <v>88</v>
      </c>
      <c r="CT116" s="88">
        <f t="shared" si="318"/>
        <v>530.37</v>
      </c>
      <c r="CU116" s="88">
        <f t="shared" si="319"/>
        <v>580</v>
      </c>
      <c r="CV116" s="88">
        <f t="shared" si="320"/>
        <v>54</v>
      </c>
      <c r="CW116" s="88">
        <f t="shared" si="321"/>
        <v>77</v>
      </c>
      <c r="CX116" s="88">
        <f t="shared" si="322"/>
        <v>8</v>
      </c>
      <c r="CY116" s="88">
        <f t="shared" si="323"/>
        <v>105</v>
      </c>
      <c r="CZ116" s="88">
        <f t="shared" si="324"/>
        <v>2248.7401</v>
      </c>
      <c r="DA116" s="90">
        <f t="shared" si="325"/>
        <v>1727.1427000000001</v>
      </c>
      <c r="DB116" s="90">
        <f t="shared" si="326"/>
        <v>521.59739999999999</v>
      </c>
      <c r="DC116" s="88">
        <f t="shared" si="327"/>
        <v>0</v>
      </c>
      <c r="DD116" s="88">
        <f t="shared" si="328"/>
        <v>16156.6167</v>
      </c>
      <c r="AUV116" s="699">
        <f t="shared" si="235"/>
        <v>8954.51</v>
      </c>
      <c r="AUW116" s="699">
        <f t="shared" si="236"/>
        <v>6877.5</v>
      </c>
      <c r="AUX116" s="699">
        <f t="shared" si="237"/>
        <v>2077.0100000000002</v>
      </c>
      <c r="AUY116" s="699">
        <f t="shared" si="346"/>
        <v>883</v>
      </c>
      <c r="AUZ116" s="699">
        <f t="shared" si="344"/>
        <v>20302.68</v>
      </c>
      <c r="AVA116" s="699">
        <f t="shared" si="344"/>
        <v>28.68</v>
      </c>
      <c r="AVB116" s="699">
        <f t="shared" si="347"/>
        <v>1905</v>
      </c>
      <c r="AVC116" s="699">
        <f t="shared" si="348"/>
        <v>52</v>
      </c>
      <c r="AVD116" s="699">
        <f t="shared" si="349"/>
        <v>1729</v>
      </c>
      <c r="AVE116" s="699">
        <f t="shared" si="350"/>
        <v>36</v>
      </c>
      <c r="AVF116" s="699">
        <f t="shared" si="351"/>
        <v>88</v>
      </c>
      <c r="AVG116" s="699">
        <f t="shared" si="352"/>
        <v>530.37</v>
      </c>
      <c r="AVH116" s="699">
        <f t="shared" si="353"/>
        <v>580</v>
      </c>
      <c r="AVI116" s="699">
        <f t="shared" si="354"/>
        <v>54</v>
      </c>
      <c r="AVJ116" s="699">
        <f t="shared" si="355"/>
        <v>77</v>
      </c>
      <c r="AVK116" s="699">
        <f t="shared" si="356"/>
        <v>8</v>
      </c>
      <c r="AVL116" s="699">
        <f t="shared" si="357"/>
        <v>105</v>
      </c>
      <c r="AVM116" s="699">
        <f t="shared" si="358"/>
        <v>2248.7399999999998</v>
      </c>
      <c r="AVN116" s="699">
        <f t="shared" si="359"/>
        <v>1727.14</v>
      </c>
      <c r="AVO116" s="699">
        <f t="shared" si="360"/>
        <v>521.6</v>
      </c>
      <c r="AVP116" s="699">
        <f t="shared" si="361"/>
        <v>0</v>
      </c>
      <c r="AVQ116" s="699">
        <f t="shared" si="362"/>
        <v>16156.62</v>
      </c>
    </row>
    <row r="117" spans="1:108 1244:1265" ht="30" customHeight="1" x14ac:dyDescent="0.25">
      <c r="A117" s="643">
        <v>1</v>
      </c>
      <c r="B117" s="643">
        <v>5</v>
      </c>
      <c r="C117" s="664" t="s">
        <v>248</v>
      </c>
      <c r="D117" s="2"/>
      <c r="E117" s="101" t="s">
        <v>345</v>
      </c>
      <c r="F117" s="643" t="s">
        <v>38</v>
      </c>
      <c r="G117" s="643">
        <v>2</v>
      </c>
      <c r="H117" s="658" t="s">
        <v>10</v>
      </c>
      <c r="I117" s="643">
        <v>0</v>
      </c>
      <c r="J117" s="101" t="s">
        <v>361</v>
      </c>
      <c r="K117" s="643">
        <v>3</v>
      </c>
      <c r="L117" s="683" t="s">
        <v>350</v>
      </c>
      <c r="M117" s="11" t="s">
        <v>267</v>
      </c>
      <c r="N117" s="101" t="s">
        <v>387</v>
      </c>
      <c r="O117" s="643">
        <v>1</v>
      </c>
      <c r="P117" s="632">
        <v>34</v>
      </c>
      <c r="Q117" s="632">
        <v>34</v>
      </c>
      <c r="R117" s="632">
        <v>34</v>
      </c>
      <c r="S117" s="675">
        <f>SUMIF('Территориальный кк'!$A:$A,'2020'!$B117,'Территориальный кк'!D:D)</f>
        <v>1.395</v>
      </c>
      <c r="T117" s="676">
        <f>SUMIF('Территориальный кк'!$A:$A,'2020'!$B117,'Территориальный кк'!E:E)</f>
        <v>1.9790000000000001</v>
      </c>
      <c r="U117" s="618">
        <f>SUMIFS(Нормативы!G:G,Нормативы!$B:$B,$G117,Нормативы!$D:$D,'2020'!$I117,Нормативы!$F:$F,'2020'!$K117)*O117</f>
        <v>70600</v>
      </c>
      <c r="V117" s="618">
        <f t="shared" si="329"/>
        <v>54224.3</v>
      </c>
      <c r="W117" s="618">
        <f t="shared" si="330"/>
        <v>16375.7</v>
      </c>
      <c r="X117" s="618">
        <f>SUMIFS(Нормативы!J:J,Нормативы!$B:$B,$G117,Нормативы!$D:$D,'2020'!$I117,Нормативы!$F:$F,'2020'!$K117)</f>
        <v>8860</v>
      </c>
      <c r="Y117" s="618">
        <f>SUMIFS(Нормативы!K:K,Нормативы!$B:$B,$G117,Нормативы!$D:$D,'2020'!$I117,Нормативы!$F:$F,'2020'!$K117)</f>
        <v>0</v>
      </c>
      <c r="Z117" s="618">
        <f>SUMIFS(Нормативы!L:L,Нормативы!$B:$B,$G117,Нормативы!$D:$D,'2020'!$I117,Нормативы!$F:$F,'2020'!$K117)</f>
        <v>8110</v>
      </c>
      <c r="AA117" s="618">
        <f t="shared" si="331"/>
        <v>21610</v>
      </c>
      <c r="AB117" s="618">
        <f>SUMIFS(Нормативы!N:N,Нормативы!$B:$B,$G117,Нормативы!$D:$D,'2020'!$I117,Нормативы!$F:$F,'2020'!$K117)*O117</f>
        <v>520</v>
      </c>
      <c r="AC117" s="618">
        <f>SUMIFS(Нормативы!O:O,Нормативы!$B:$B,$G117,Нормативы!$D:$D,'2020'!$I117,Нормативы!$F:$F,'2020'!$K117)</f>
        <v>19720</v>
      </c>
      <c r="AD117" s="618">
        <f>SUMIFS(Нормативы!P:P,Нормативы!$B:$B,$G117,Нормативы!$D:$D,'2020'!$I117,Нормативы!$F:$F,'2020'!$K117)*O117</f>
        <v>400</v>
      </c>
      <c r="AE117" s="618">
        <f>SUMIFS(Нормативы!Q:Q,Нормативы!$B:$B,$G117,Нормативы!$D:$D,'2020'!$I117,Нормативы!$F:$F,'2020'!$K117)</f>
        <v>970</v>
      </c>
      <c r="AF117" s="618">
        <f>SUMIFS(Нормативы!R:R,Нормативы!$B:$B,$G117,Нормативы!$D:$D,'2020'!$I117,Нормативы!$F:$F,'2020'!$K117)</f>
        <v>2680</v>
      </c>
      <c r="AG117" s="618">
        <f>SUMIFS(Нормативы!S:S,Нормативы!$B:$B,$G117,Нормативы!$D:$D,'2020'!$I117,Нормативы!$F:$F,'2020'!$K117)</f>
        <v>5800</v>
      </c>
      <c r="AH117" s="618">
        <f>SUMIFS(Нормативы!T:T,Нормативы!$B:$B,$G117,Нормативы!$D:$D,'2020'!$I117,Нормативы!$F:$F,'2020'!$K117)</f>
        <v>540</v>
      </c>
      <c r="AI117" s="618">
        <f>SUMIFS(Нормативы!U:U,Нормативы!$B:$B,$G117,Нормативы!$D:$D,'2020'!$I117,Нормативы!$F:$F,'2020'!$K117)</f>
        <v>770</v>
      </c>
      <c r="AJ117" s="618">
        <f>SUMIFS(Нормативы!V:V,Нормативы!$B:$B,$G117,Нормативы!$D:$D,'2020'!$I117,Нормативы!$F:$F,'2020'!$K117)</f>
        <v>80</v>
      </c>
      <c r="AK117" s="618">
        <f>SUMIFS(Нормативы!W:W,Нормативы!$B:$B,$G117,Нормативы!$D:$D,'2020'!$I117,Нормативы!$F:$F,'2020'!$K117)</f>
        <v>330</v>
      </c>
      <c r="AL117" s="618">
        <f>SUMIFS(Нормативы!X:X,Нормативы!$B:$B,$G117,Нормативы!$D:$D,'2020'!$I117,Нормативы!$F:$F,'2020'!$K117)*O117</f>
        <v>16120</v>
      </c>
      <c r="AM117" s="618">
        <f t="shared" si="332"/>
        <v>12381</v>
      </c>
      <c r="AN117" s="618">
        <f t="shared" si="333"/>
        <v>3739</v>
      </c>
      <c r="AO117" s="618">
        <f>SUMIFS(Нормативы!AA:AA,Нормативы!$B:$B,$G117,Нормативы!$D:$D,'2020'!$I117,Нормативы!$F:$F,'2020'!$K117)</f>
        <v>3520</v>
      </c>
      <c r="AP117" s="619">
        <f t="shared" si="334"/>
        <v>139020</v>
      </c>
      <c r="AQ117" s="413">
        <f t="shared" si="272"/>
        <v>2400400</v>
      </c>
      <c r="AR117" s="618">
        <f t="shared" si="335"/>
        <v>1843625.2</v>
      </c>
      <c r="AS117" s="618">
        <f t="shared" si="336"/>
        <v>556774.80000000005</v>
      </c>
      <c r="AT117" s="616">
        <f t="shared" si="273"/>
        <v>301240</v>
      </c>
      <c r="AU117" s="616">
        <f t="shared" si="274"/>
        <v>0</v>
      </c>
      <c r="AV117" s="616">
        <f t="shared" si="275"/>
        <v>275740</v>
      </c>
      <c r="AW117" s="616">
        <f t="shared" si="276"/>
        <v>734740</v>
      </c>
      <c r="AX117" s="616">
        <f t="shared" si="277"/>
        <v>17680</v>
      </c>
      <c r="AY117" s="616">
        <f t="shared" si="278"/>
        <v>670480</v>
      </c>
      <c r="AZ117" s="616">
        <f t="shared" si="279"/>
        <v>13600</v>
      </c>
      <c r="BA117" s="616">
        <f t="shared" si="280"/>
        <v>32980</v>
      </c>
      <c r="BB117" s="616">
        <f t="shared" si="281"/>
        <v>91120</v>
      </c>
      <c r="BC117" s="616">
        <f t="shared" si="282"/>
        <v>197200</v>
      </c>
      <c r="BD117" s="616">
        <f t="shared" si="283"/>
        <v>18360</v>
      </c>
      <c r="BE117" s="616">
        <f t="shared" si="284"/>
        <v>26180</v>
      </c>
      <c r="BF117" s="616">
        <f t="shared" si="285"/>
        <v>2720</v>
      </c>
      <c r="BG117" s="616">
        <f t="shared" si="286"/>
        <v>11220</v>
      </c>
      <c r="BH117" s="616">
        <f t="shared" si="287"/>
        <v>548080</v>
      </c>
      <c r="BI117" s="618">
        <f t="shared" si="337"/>
        <v>420952.4</v>
      </c>
      <c r="BJ117" s="618">
        <f t="shared" si="338"/>
        <v>127127.6</v>
      </c>
      <c r="BK117" s="616">
        <f t="shared" si="288"/>
        <v>119680</v>
      </c>
      <c r="BL117" s="620">
        <f t="shared" si="289"/>
        <v>4726680</v>
      </c>
      <c r="BM117" s="616">
        <f t="shared" si="290"/>
        <v>3348558</v>
      </c>
      <c r="BN117" s="618">
        <f t="shared" si="291"/>
        <v>2571857.1</v>
      </c>
      <c r="BO117" s="618">
        <f t="shared" si="292"/>
        <v>776700.9</v>
      </c>
      <c r="BP117" s="616">
        <f t="shared" si="339"/>
        <v>301240</v>
      </c>
      <c r="BQ117" s="616">
        <f t="shared" si="340"/>
        <v>0</v>
      </c>
      <c r="BR117" s="616">
        <f t="shared" si="341"/>
        <v>275740</v>
      </c>
      <c r="BS117" s="616">
        <f t="shared" si="293"/>
        <v>734740</v>
      </c>
      <c r="BT117" s="616">
        <f t="shared" si="294"/>
        <v>17680</v>
      </c>
      <c r="BU117" s="616">
        <f t="shared" si="295"/>
        <v>670480</v>
      </c>
      <c r="BV117" s="616">
        <f t="shared" si="296"/>
        <v>13600</v>
      </c>
      <c r="BW117" s="616">
        <f t="shared" si="297"/>
        <v>32980</v>
      </c>
      <c r="BX117" s="616">
        <f t="shared" si="298"/>
        <v>180326</v>
      </c>
      <c r="BY117" s="616">
        <f t="shared" si="299"/>
        <v>197200</v>
      </c>
      <c r="BZ117" s="616">
        <f t="shared" si="300"/>
        <v>18360</v>
      </c>
      <c r="CA117" s="616">
        <f t="shared" si="301"/>
        <v>26180</v>
      </c>
      <c r="CB117" s="616">
        <f t="shared" si="302"/>
        <v>2720</v>
      </c>
      <c r="CC117" s="616">
        <f t="shared" si="303"/>
        <v>11220</v>
      </c>
      <c r="CD117" s="616">
        <f t="shared" si="304"/>
        <v>764572</v>
      </c>
      <c r="CE117" s="618">
        <f t="shared" si="342"/>
        <v>587228.9</v>
      </c>
      <c r="CF117" s="618">
        <f t="shared" si="343"/>
        <v>177343.1</v>
      </c>
      <c r="CG117" s="616">
        <f t="shared" si="305"/>
        <v>119680</v>
      </c>
      <c r="CH117" s="621">
        <f t="shared" si="306"/>
        <v>5980536</v>
      </c>
      <c r="CI117" s="88">
        <f t="shared" si="307"/>
        <v>98487</v>
      </c>
      <c r="CJ117" s="90">
        <f t="shared" si="308"/>
        <v>75642.855899999995</v>
      </c>
      <c r="CK117" s="90">
        <f t="shared" si="309"/>
        <v>22844.144100000001</v>
      </c>
      <c r="CL117" s="88">
        <f t="shared" si="310"/>
        <v>8860</v>
      </c>
      <c r="CM117" s="88">
        <f t="shared" si="311"/>
        <v>0</v>
      </c>
      <c r="CN117" s="88">
        <f t="shared" si="312"/>
        <v>8110</v>
      </c>
      <c r="CO117" s="88">
        <f t="shared" si="313"/>
        <v>21610</v>
      </c>
      <c r="CP117" s="88">
        <f t="shared" si="314"/>
        <v>520</v>
      </c>
      <c r="CQ117" s="88">
        <f t="shared" si="315"/>
        <v>19720</v>
      </c>
      <c r="CR117" s="88">
        <f t="shared" si="316"/>
        <v>400</v>
      </c>
      <c r="CS117" s="88">
        <f t="shared" si="317"/>
        <v>970</v>
      </c>
      <c r="CT117" s="88">
        <f t="shared" si="318"/>
        <v>5303.7058999999999</v>
      </c>
      <c r="CU117" s="88">
        <f t="shared" si="319"/>
        <v>5800</v>
      </c>
      <c r="CV117" s="88">
        <f t="shared" si="320"/>
        <v>540</v>
      </c>
      <c r="CW117" s="88">
        <f t="shared" si="321"/>
        <v>770</v>
      </c>
      <c r="CX117" s="88">
        <f t="shared" si="322"/>
        <v>80</v>
      </c>
      <c r="CY117" s="88">
        <f t="shared" si="323"/>
        <v>330</v>
      </c>
      <c r="CZ117" s="88">
        <f t="shared" si="324"/>
        <v>22487.411800000002</v>
      </c>
      <c r="DA117" s="90">
        <f t="shared" si="325"/>
        <v>17271.438200000001</v>
      </c>
      <c r="DB117" s="90">
        <f t="shared" si="326"/>
        <v>5215.9735000000001</v>
      </c>
      <c r="DC117" s="88">
        <f t="shared" si="327"/>
        <v>3520</v>
      </c>
      <c r="DD117" s="88">
        <f t="shared" si="328"/>
        <v>175898.1176</v>
      </c>
      <c r="AUV117" s="699">
        <f t="shared" si="235"/>
        <v>98487</v>
      </c>
      <c r="AUW117" s="699">
        <f t="shared" si="236"/>
        <v>75642.86</v>
      </c>
      <c r="AUX117" s="699">
        <f t="shared" si="237"/>
        <v>22844.14</v>
      </c>
      <c r="AUY117" s="699">
        <f t="shared" si="346"/>
        <v>8860</v>
      </c>
      <c r="AUZ117" s="699">
        <f t="shared" si="344"/>
        <v>0</v>
      </c>
      <c r="AVA117" s="699">
        <f t="shared" si="344"/>
        <v>3.91</v>
      </c>
      <c r="AVB117" s="699">
        <f t="shared" si="347"/>
        <v>21610</v>
      </c>
      <c r="AVC117" s="699">
        <f t="shared" si="348"/>
        <v>520</v>
      </c>
      <c r="AVD117" s="699">
        <f t="shared" si="349"/>
        <v>19720</v>
      </c>
      <c r="AVE117" s="699">
        <f t="shared" si="350"/>
        <v>400</v>
      </c>
      <c r="AVF117" s="699">
        <f t="shared" si="351"/>
        <v>970</v>
      </c>
      <c r="AVG117" s="699">
        <f t="shared" si="352"/>
        <v>5303.71</v>
      </c>
      <c r="AVH117" s="699">
        <f t="shared" si="353"/>
        <v>5800</v>
      </c>
      <c r="AVI117" s="699">
        <f t="shared" si="354"/>
        <v>540</v>
      </c>
      <c r="AVJ117" s="699">
        <f t="shared" si="355"/>
        <v>770</v>
      </c>
      <c r="AVK117" s="699">
        <f t="shared" si="356"/>
        <v>80</v>
      </c>
      <c r="AVL117" s="699">
        <f t="shared" si="357"/>
        <v>330</v>
      </c>
      <c r="AVM117" s="699">
        <f t="shared" si="358"/>
        <v>22487.41</v>
      </c>
      <c r="AVN117" s="699">
        <f t="shared" si="359"/>
        <v>17271.439999999999</v>
      </c>
      <c r="AVO117" s="699">
        <f t="shared" si="360"/>
        <v>5215.97</v>
      </c>
      <c r="AVP117" s="699">
        <f t="shared" si="361"/>
        <v>3520</v>
      </c>
      <c r="AVQ117" s="699">
        <f t="shared" si="362"/>
        <v>175898.12</v>
      </c>
    </row>
    <row r="118" spans="1:108 1244:1265" ht="30" customHeight="1" x14ac:dyDescent="0.25">
      <c r="A118" s="643">
        <v>1</v>
      </c>
      <c r="B118" s="643">
        <v>5</v>
      </c>
      <c r="C118" s="664" t="s">
        <v>248</v>
      </c>
      <c r="D118" s="2"/>
      <c r="E118" s="101" t="s">
        <v>345</v>
      </c>
      <c r="F118" s="643" t="s">
        <v>38</v>
      </c>
      <c r="G118" s="643">
        <v>2</v>
      </c>
      <c r="H118" s="658" t="s">
        <v>10</v>
      </c>
      <c r="I118" s="643">
        <v>0</v>
      </c>
      <c r="J118" s="101" t="s">
        <v>361</v>
      </c>
      <c r="K118" s="643">
        <v>3</v>
      </c>
      <c r="L118" s="683" t="s">
        <v>350</v>
      </c>
      <c r="M118" s="11" t="s">
        <v>315</v>
      </c>
      <c r="N118" s="101" t="s">
        <v>401</v>
      </c>
      <c r="O118" s="643">
        <v>2</v>
      </c>
      <c r="P118" s="632"/>
      <c r="Q118" s="632"/>
      <c r="R118" s="632"/>
      <c r="S118" s="675">
        <f>SUMIF('Территориальный кк'!$A:$A,'2020'!$B118,'Территориальный кк'!D:D)</f>
        <v>1.395</v>
      </c>
      <c r="T118" s="676">
        <f>SUMIF('Территориальный кк'!$A:$A,'2020'!$B118,'Территориальный кк'!E:E)</f>
        <v>1.9790000000000001</v>
      </c>
      <c r="U118" s="618">
        <f>SUMIFS(Нормативы!G:G,Нормативы!$B:$B,$G118,Нормативы!$D:$D,'2020'!$I118,Нормативы!$F:$F,'2020'!$K118)*O118</f>
        <v>141200</v>
      </c>
      <c r="V118" s="618">
        <f t="shared" si="329"/>
        <v>108448.5</v>
      </c>
      <c r="W118" s="618">
        <f t="shared" si="330"/>
        <v>32751.5</v>
      </c>
      <c r="X118" s="618">
        <f>SUMIFS(Нормативы!J:J,Нормативы!$B:$B,$G118,Нормативы!$D:$D,'2020'!$I118,Нормативы!$F:$F,'2020'!$K118)</f>
        <v>8860</v>
      </c>
      <c r="Y118" s="618">
        <f>SUMIFS(Нормативы!K:K,Нормативы!$B:$B,$G118,Нормативы!$D:$D,'2020'!$I118,Нормативы!$F:$F,'2020'!$K118)</f>
        <v>0</v>
      </c>
      <c r="Z118" s="618">
        <f>SUMIFS(Нормативы!L:L,Нормативы!$B:$B,$G118,Нормативы!$D:$D,'2020'!$I118,Нормативы!$F:$F,'2020'!$K118)</f>
        <v>8110</v>
      </c>
      <c r="AA118" s="618">
        <f t="shared" si="331"/>
        <v>22530</v>
      </c>
      <c r="AB118" s="618">
        <f>SUMIFS(Нормативы!N:N,Нормативы!$B:$B,$G118,Нормативы!$D:$D,'2020'!$I118,Нормативы!$F:$F,'2020'!$K118)*O118</f>
        <v>1040</v>
      </c>
      <c r="AC118" s="618">
        <f>SUMIFS(Нормативы!O:O,Нормативы!$B:$B,$G118,Нормативы!$D:$D,'2020'!$I118,Нормативы!$F:$F,'2020'!$K118)</f>
        <v>19720</v>
      </c>
      <c r="AD118" s="618">
        <f>SUMIFS(Нормативы!P:P,Нормативы!$B:$B,$G118,Нормативы!$D:$D,'2020'!$I118,Нормативы!$F:$F,'2020'!$K118)*O118</f>
        <v>800</v>
      </c>
      <c r="AE118" s="618">
        <f>SUMIFS(Нормативы!Q:Q,Нормативы!$B:$B,$G118,Нормативы!$D:$D,'2020'!$I118,Нормативы!$F:$F,'2020'!$K118)</f>
        <v>970</v>
      </c>
      <c r="AF118" s="618">
        <f>SUMIFS(Нормативы!R:R,Нормативы!$B:$B,$G118,Нормативы!$D:$D,'2020'!$I118,Нормативы!$F:$F,'2020'!$K118)</f>
        <v>2680</v>
      </c>
      <c r="AG118" s="618">
        <f>SUMIFS(Нормативы!S:S,Нормативы!$B:$B,$G118,Нормативы!$D:$D,'2020'!$I118,Нормативы!$F:$F,'2020'!$K118)</f>
        <v>5800</v>
      </c>
      <c r="AH118" s="618">
        <f>SUMIFS(Нормативы!T:T,Нормативы!$B:$B,$G118,Нормативы!$D:$D,'2020'!$I118,Нормативы!$F:$F,'2020'!$K118)</f>
        <v>540</v>
      </c>
      <c r="AI118" s="618">
        <f>SUMIFS(Нормативы!U:U,Нормативы!$B:$B,$G118,Нормативы!$D:$D,'2020'!$I118,Нормативы!$F:$F,'2020'!$K118)</f>
        <v>770</v>
      </c>
      <c r="AJ118" s="618">
        <f>SUMIFS(Нормативы!V:V,Нормативы!$B:$B,$G118,Нормативы!$D:$D,'2020'!$I118,Нормативы!$F:$F,'2020'!$K118)</f>
        <v>80</v>
      </c>
      <c r="AK118" s="618">
        <f>SUMIFS(Нормативы!W:W,Нормативы!$B:$B,$G118,Нормативы!$D:$D,'2020'!$I118,Нормативы!$F:$F,'2020'!$K118)</f>
        <v>330</v>
      </c>
      <c r="AL118" s="618">
        <f>SUMIFS(Нормативы!X:X,Нормативы!$B:$B,$G118,Нормативы!$D:$D,'2020'!$I118,Нормативы!$F:$F,'2020'!$K118)*O118</f>
        <v>32240</v>
      </c>
      <c r="AM118" s="618">
        <f t="shared" si="332"/>
        <v>24761.9</v>
      </c>
      <c r="AN118" s="618">
        <f t="shared" si="333"/>
        <v>7478.1</v>
      </c>
      <c r="AO118" s="618">
        <f>SUMIFS(Нормативы!AA:AA,Нормативы!$B:$B,$G118,Нормативы!$D:$D,'2020'!$I118,Нормативы!$F:$F,'2020'!$K118)</f>
        <v>3520</v>
      </c>
      <c r="AP118" s="619">
        <f t="shared" si="334"/>
        <v>226660</v>
      </c>
      <c r="AQ118" s="413">
        <f t="shared" si="272"/>
        <v>0</v>
      </c>
      <c r="AR118" s="618">
        <f t="shared" si="335"/>
        <v>0</v>
      </c>
      <c r="AS118" s="618">
        <f t="shared" si="336"/>
        <v>0</v>
      </c>
      <c r="AT118" s="616">
        <f t="shared" si="273"/>
        <v>0</v>
      </c>
      <c r="AU118" s="616">
        <f t="shared" si="274"/>
        <v>0</v>
      </c>
      <c r="AV118" s="616">
        <f t="shared" si="275"/>
        <v>0</v>
      </c>
      <c r="AW118" s="616">
        <f t="shared" si="276"/>
        <v>0</v>
      </c>
      <c r="AX118" s="616">
        <f t="shared" si="277"/>
        <v>0</v>
      </c>
      <c r="AY118" s="616">
        <f t="shared" si="278"/>
        <v>0</v>
      </c>
      <c r="AZ118" s="616">
        <f t="shared" si="279"/>
        <v>0</v>
      </c>
      <c r="BA118" s="616">
        <f t="shared" si="280"/>
        <v>0</v>
      </c>
      <c r="BB118" s="616">
        <f t="shared" si="281"/>
        <v>0</v>
      </c>
      <c r="BC118" s="616">
        <f t="shared" si="282"/>
        <v>0</v>
      </c>
      <c r="BD118" s="616">
        <f t="shared" si="283"/>
        <v>0</v>
      </c>
      <c r="BE118" s="616">
        <f t="shared" si="284"/>
        <v>0</v>
      </c>
      <c r="BF118" s="616">
        <f t="shared" si="285"/>
        <v>0</v>
      </c>
      <c r="BG118" s="616">
        <f t="shared" si="286"/>
        <v>0</v>
      </c>
      <c r="BH118" s="616">
        <f t="shared" si="287"/>
        <v>0</v>
      </c>
      <c r="BI118" s="618">
        <f t="shared" si="337"/>
        <v>0</v>
      </c>
      <c r="BJ118" s="618">
        <f t="shared" si="338"/>
        <v>0</v>
      </c>
      <c r="BK118" s="616">
        <f t="shared" si="288"/>
        <v>0</v>
      </c>
      <c r="BL118" s="620">
        <f t="shared" si="289"/>
        <v>0</v>
      </c>
      <c r="BM118" s="616">
        <f t="shared" si="290"/>
        <v>0</v>
      </c>
      <c r="BN118" s="618">
        <f t="shared" si="291"/>
        <v>0</v>
      </c>
      <c r="BO118" s="618">
        <f t="shared" si="292"/>
        <v>0</v>
      </c>
      <c r="BP118" s="616">
        <f t="shared" si="339"/>
        <v>0</v>
      </c>
      <c r="BQ118" s="616">
        <f t="shared" si="340"/>
        <v>0</v>
      </c>
      <c r="BR118" s="616">
        <f t="shared" si="341"/>
        <v>0</v>
      </c>
      <c r="BS118" s="616">
        <f t="shared" si="293"/>
        <v>0</v>
      </c>
      <c r="BT118" s="616">
        <f t="shared" si="294"/>
        <v>0</v>
      </c>
      <c r="BU118" s="616">
        <f t="shared" si="295"/>
        <v>0</v>
      </c>
      <c r="BV118" s="616">
        <f t="shared" si="296"/>
        <v>0</v>
      </c>
      <c r="BW118" s="616">
        <f t="shared" si="297"/>
        <v>0</v>
      </c>
      <c r="BX118" s="616">
        <f t="shared" si="298"/>
        <v>0</v>
      </c>
      <c r="BY118" s="616">
        <f t="shared" si="299"/>
        <v>0</v>
      </c>
      <c r="BZ118" s="616">
        <f t="shared" si="300"/>
        <v>0</v>
      </c>
      <c r="CA118" s="616">
        <f t="shared" si="301"/>
        <v>0</v>
      </c>
      <c r="CB118" s="616">
        <f t="shared" si="302"/>
        <v>0</v>
      </c>
      <c r="CC118" s="616">
        <f t="shared" si="303"/>
        <v>0</v>
      </c>
      <c r="CD118" s="616">
        <f t="shared" si="304"/>
        <v>0</v>
      </c>
      <c r="CE118" s="618">
        <f t="shared" si="342"/>
        <v>0</v>
      </c>
      <c r="CF118" s="618">
        <f t="shared" si="343"/>
        <v>0</v>
      </c>
      <c r="CG118" s="616">
        <f t="shared" si="305"/>
        <v>0</v>
      </c>
      <c r="CH118" s="621">
        <f t="shared" si="306"/>
        <v>0</v>
      </c>
      <c r="CI118" s="88" t="e">
        <f t="shared" si="307"/>
        <v>#DIV/0!</v>
      </c>
      <c r="CJ118" s="90" t="e">
        <f t="shared" si="308"/>
        <v>#DIV/0!</v>
      </c>
      <c r="CK118" s="90" t="e">
        <f t="shared" si="309"/>
        <v>#DIV/0!</v>
      </c>
      <c r="CL118" s="88" t="e">
        <f t="shared" si="310"/>
        <v>#DIV/0!</v>
      </c>
      <c r="CM118" s="88" t="e">
        <f t="shared" si="311"/>
        <v>#DIV/0!</v>
      </c>
      <c r="CN118" s="88" t="e">
        <f t="shared" si="312"/>
        <v>#DIV/0!</v>
      </c>
      <c r="CO118" s="88" t="e">
        <f t="shared" si="313"/>
        <v>#DIV/0!</v>
      </c>
      <c r="CP118" s="88" t="e">
        <f t="shared" si="314"/>
        <v>#DIV/0!</v>
      </c>
      <c r="CQ118" s="88" t="e">
        <f t="shared" si="315"/>
        <v>#DIV/0!</v>
      </c>
      <c r="CR118" s="88" t="e">
        <f t="shared" si="316"/>
        <v>#DIV/0!</v>
      </c>
      <c r="CS118" s="88" t="e">
        <f t="shared" si="317"/>
        <v>#DIV/0!</v>
      </c>
      <c r="CT118" s="88" t="e">
        <f t="shared" si="318"/>
        <v>#DIV/0!</v>
      </c>
      <c r="CU118" s="88" t="e">
        <f t="shared" si="319"/>
        <v>#DIV/0!</v>
      </c>
      <c r="CV118" s="88" t="e">
        <f t="shared" si="320"/>
        <v>#DIV/0!</v>
      </c>
      <c r="CW118" s="88" t="e">
        <f t="shared" si="321"/>
        <v>#DIV/0!</v>
      </c>
      <c r="CX118" s="88" t="e">
        <f t="shared" si="322"/>
        <v>#DIV/0!</v>
      </c>
      <c r="CY118" s="88" t="e">
        <f t="shared" si="323"/>
        <v>#DIV/0!</v>
      </c>
      <c r="CZ118" s="88" t="e">
        <f t="shared" si="324"/>
        <v>#DIV/0!</v>
      </c>
      <c r="DA118" s="90" t="e">
        <f t="shared" si="325"/>
        <v>#DIV/0!</v>
      </c>
      <c r="DB118" s="90" t="e">
        <f t="shared" si="326"/>
        <v>#DIV/0!</v>
      </c>
      <c r="DC118" s="88" t="e">
        <f t="shared" si="327"/>
        <v>#DIV/0!</v>
      </c>
      <c r="DD118" s="88" t="e">
        <f t="shared" si="328"/>
        <v>#DIV/0!</v>
      </c>
      <c r="AUV118" s="699">
        <v>0</v>
      </c>
      <c r="AUW118" s="699">
        <f t="shared" si="236"/>
        <v>0</v>
      </c>
      <c r="AUX118" s="699">
        <f t="shared" si="237"/>
        <v>0</v>
      </c>
      <c r="AUY118" s="699">
        <f t="shared" si="344"/>
        <v>0</v>
      </c>
      <c r="AUZ118" s="699">
        <f t="shared" si="344"/>
        <v>0</v>
      </c>
      <c r="AVA118" s="699">
        <f t="shared" si="344"/>
        <v>0</v>
      </c>
      <c r="AVB118" s="699">
        <f t="shared" si="345"/>
        <v>0</v>
      </c>
      <c r="AVC118" s="697"/>
      <c r="AVD118" s="697"/>
      <c r="AVE118" s="697"/>
      <c r="AVF118" s="697"/>
      <c r="AVG118" s="697"/>
      <c r="AVH118" s="697"/>
      <c r="AVI118" s="697"/>
      <c r="AVJ118" s="697"/>
      <c r="AVK118" s="697"/>
      <c r="AVL118" s="697"/>
      <c r="AVM118" s="697"/>
      <c r="AVN118" s="697"/>
      <c r="AVO118" s="697"/>
      <c r="AVP118" s="697"/>
      <c r="AVQ118" s="697"/>
    </row>
    <row r="119" spans="1:108 1244:1265" ht="30" customHeight="1" x14ac:dyDescent="0.25">
      <c r="A119" s="643">
        <v>1</v>
      </c>
      <c r="B119" s="643">
        <v>5</v>
      </c>
      <c r="C119" s="664" t="s">
        <v>248</v>
      </c>
      <c r="D119" s="2"/>
      <c r="E119" s="101" t="s">
        <v>345</v>
      </c>
      <c r="F119" s="643" t="s">
        <v>38</v>
      </c>
      <c r="G119" s="643">
        <v>2</v>
      </c>
      <c r="H119" s="658" t="s">
        <v>8</v>
      </c>
      <c r="I119" s="643">
        <v>3</v>
      </c>
      <c r="J119" s="101" t="s">
        <v>361</v>
      </c>
      <c r="K119" s="643">
        <v>3</v>
      </c>
      <c r="L119" s="683" t="s">
        <v>350</v>
      </c>
      <c r="M119" s="11" t="s">
        <v>294</v>
      </c>
      <c r="N119" s="101" t="s">
        <v>387</v>
      </c>
      <c r="O119" s="643">
        <v>1</v>
      </c>
      <c r="P119" s="632">
        <v>17</v>
      </c>
      <c r="Q119" s="632">
        <v>17</v>
      </c>
      <c r="R119" s="632">
        <v>17</v>
      </c>
      <c r="S119" s="675">
        <f>SUMIF('Территориальный кк'!$A:$A,'2020'!$B119,'Территориальный кк'!D:D)</f>
        <v>1.395</v>
      </c>
      <c r="T119" s="676">
        <f>SUMIF('Территориальный кк'!$A:$A,'2020'!$B119,'Территориальный кк'!E:E)</f>
        <v>1.9790000000000001</v>
      </c>
      <c r="U119" s="618">
        <f>SUMIFS(Нормативы!G:G,Нормативы!$B:$B,$G119,Нормативы!$D:$D,'2020'!$I119,Нормативы!$F:$F,'2020'!$K119)*O119</f>
        <v>12944</v>
      </c>
      <c r="V119" s="618">
        <f t="shared" si="329"/>
        <v>9941.6</v>
      </c>
      <c r="W119" s="618">
        <f t="shared" si="330"/>
        <v>3002.4</v>
      </c>
      <c r="X119" s="618">
        <f>SUMIFS(Нормативы!J:J,Нормативы!$B:$B,$G119,Нормативы!$D:$D,'2020'!$I119,Нормативы!$F:$F,'2020'!$K119)</f>
        <v>486</v>
      </c>
      <c r="Y119" s="618">
        <f>SUMIFS(Нормативы!K:K,Нормативы!$B:$B,$G119,Нормативы!$D:$D,'2020'!$I119,Нормативы!$F:$F,'2020'!$K119)</f>
        <v>97</v>
      </c>
      <c r="Z119" s="618">
        <f>SUMIFS(Нормативы!L:L,Нормативы!$B:$B,$G119,Нормативы!$D:$D,'2020'!$I119,Нормативы!$F:$F,'2020'!$K119)</f>
        <v>348</v>
      </c>
      <c r="AA119" s="618">
        <f t="shared" si="331"/>
        <v>2031</v>
      </c>
      <c r="AB119" s="618">
        <f>SUMIFS(Нормативы!N:N,Нормативы!$B:$B,$G119,Нормативы!$D:$D,'2020'!$I119,Нормативы!$F:$F,'2020'!$K119)*O119</f>
        <v>52</v>
      </c>
      <c r="AC119" s="618">
        <f>SUMIFS(Нормативы!O:O,Нормативы!$B:$B,$G119,Нормативы!$D:$D,'2020'!$I119,Нормативы!$F:$F,'2020'!$K119)</f>
        <v>1728</v>
      </c>
      <c r="AD119" s="618">
        <f>SUMIFS(Нормативы!P:P,Нормативы!$B:$B,$G119,Нормативы!$D:$D,'2020'!$I119,Нормативы!$F:$F,'2020'!$K119)*O119</f>
        <v>73</v>
      </c>
      <c r="AE119" s="618">
        <f>SUMIFS(Нормативы!Q:Q,Нормативы!$B:$B,$G119,Нормативы!$D:$D,'2020'!$I119,Нормативы!$F:$F,'2020'!$K119)</f>
        <v>178</v>
      </c>
      <c r="AF119" s="618">
        <f>SUMIFS(Нормативы!R:R,Нормативы!$B:$B,$G119,Нормативы!$D:$D,'2020'!$I119,Нормативы!$F:$F,'2020'!$K119)</f>
        <v>275</v>
      </c>
      <c r="AG119" s="618">
        <f>SUMIFS(Нормативы!S:S,Нормативы!$B:$B,$G119,Нормативы!$D:$D,'2020'!$I119,Нормативы!$F:$F,'2020'!$K119)</f>
        <v>580</v>
      </c>
      <c r="AH119" s="618">
        <f>SUMIFS(Нормативы!T:T,Нормативы!$B:$B,$G119,Нормативы!$D:$D,'2020'!$I119,Нормативы!$F:$F,'2020'!$K119)</f>
        <v>54</v>
      </c>
      <c r="AI119" s="618">
        <f>SUMIFS(Нормативы!U:U,Нормативы!$B:$B,$G119,Нормативы!$D:$D,'2020'!$I119,Нормативы!$F:$F,'2020'!$K119)</f>
        <v>77</v>
      </c>
      <c r="AJ119" s="618">
        <f>SUMIFS(Нормативы!V:V,Нормативы!$B:$B,$G119,Нормативы!$D:$D,'2020'!$I119,Нормативы!$F:$F,'2020'!$K119)</f>
        <v>8</v>
      </c>
      <c r="AK119" s="618">
        <f>SUMIFS(Нормативы!W:W,Нормативы!$B:$B,$G119,Нормативы!$D:$D,'2020'!$I119,Нормативы!$F:$F,'2020'!$K119)</f>
        <v>39</v>
      </c>
      <c r="AL119" s="618">
        <f>SUMIFS(Нормативы!X:X,Нормативы!$B:$B,$G119,Нормативы!$D:$D,'2020'!$I119,Нормативы!$F:$F,'2020'!$K119)*O119</f>
        <v>1612</v>
      </c>
      <c r="AM119" s="618">
        <f t="shared" si="332"/>
        <v>1238.0999999999999</v>
      </c>
      <c r="AN119" s="618">
        <f t="shared" si="333"/>
        <v>373.9</v>
      </c>
      <c r="AO119" s="618">
        <f>SUMIFS(Нормативы!AA:AA,Нормативы!$B:$B,$G119,Нормативы!$D:$D,'2020'!$I119,Нормативы!$F:$F,'2020'!$K119)</f>
        <v>0</v>
      </c>
      <c r="AP119" s="619">
        <f t="shared" si="334"/>
        <v>18454</v>
      </c>
      <c r="AQ119" s="413">
        <f t="shared" si="272"/>
        <v>220048</v>
      </c>
      <c r="AR119" s="618">
        <f t="shared" si="335"/>
        <v>169007.7</v>
      </c>
      <c r="AS119" s="618">
        <f t="shared" si="336"/>
        <v>51040.3</v>
      </c>
      <c r="AT119" s="616">
        <f t="shared" si="273"/>
        <v>8262</v>
      </c>
      <c r="AU119" s="616">
        <f t="shared" si="274"/>
        <v>1649</v>
      </c>
      <c r="AV119" s="616">
        <f t="shared" si="275"/>
        <v>5916</v>
      </c>
      <c r="AW119" s="616">
        <f t="shared" si="276"/>
        <v>34527</v>
      </c>
      <c r="AX119" s="616">
        <f t="shared" si="277"/>
        <v>884</v>
      </c>
      <c r="AY119" s="616">
        <f t="shared" si="278"/>
        <v>29376</v>
      </c>
      <c r="AZ119" s="616">
        <f t="shared" si="279"/>
        <v>1241</v>
      </c>
      <c r="BA119" s="616">
        <f t="shared" si="280"/>
        <v>3026</v>
      </c>
      <c r="BB119" s="616">
        <f t="shared" si="281"/>
        <v>4675</v>
      </c>
      <c r="BC119" s="616">
        <f t="shared" si="282"/>
        <v>9860</v>
      </c>
      <c r="BD119" s="616">
        <f t="shared" si="283"/>
        <v>918</v>
      </c>
      <c r="BE119" s="616">
        <f t="shared" si="284"/>
        <v>1309</v>
      </c>
      <c r="BF119" s="616">
        <f t="shared" si="285"/>
        <v>136</v>
      </c>
      <c r="BG119" s="616">
        <f t="shared" si="286"/>
        <v>663</v>
      </c>
      <c r="BH119" s="616">
        <f t="shared" si="287"/>
        <v>27404</v>
      </c>
      <c r="BI119" s="618">
        <f t="shared" si="337"/>
        <v>21047.599999999999</v>
      </c>
      <c r="BJ119" s="618">
        <f t="shared" si="338"/>
        <v>6356.4</v>
      </c>
      <c r="BK119" s="616">
        <f t="shared" si="288"/>
        <v>0</v>
      </c>
      <c r="BL119" s="620">
        <f t="shared" si="289"/>
        <v>313718</v>
      </c>
      <c r="BM119" s="616">
        <f t="shared" si="290"/>
        <v>306967</v>
      </c>
      <c r="BN119" s="618">
        <f t="shared" si="291"/>
        <v>235765.7</v>
      </c>
      <c r="BO119" s="618">
        <f t="shared" si="292"/>
        <v>71201.3</v>
      </c>
      <c r="BP119" s="616">
        <f t="shared" si="339"/>
        <v>8262</v>
      </c>
      <c r="BQ119" s="616">
        <f t="shared" si="340"/>
        <v>1649</v>
      </c>
      <c r="BR119" s="616">
        <f t="shared" si="341"/>
        <v>5916</v>
      </c>
      <c r="BS119" s="616">
        <f t="shared" si="293"/>
        <v>34527</v>
      </c>
      <c r="BT119" s="616">
        <f t="shared" si="294"/>
        <v>884</v>
      </c>
      <c r="BU119" s="616">
        <f t="shared" si="295"/>
        <v>29376</v>
      </c>
      <c r="BV119" s="616">
        <f t="shared" si="296"/>
        <v>1241</v>
      </c>
      <c r="BW119" s="616">
        <f t="shared" si="297"/>
        <v>3026</v>
      </c>
      <c r="BX119" s="616">
        <f t="shared" si="298"/>
        <v>9252</v>
      </c>
      <c r="BY119" s="616">
        <f t="shared" si="299"/>
        <v>9860</v>
      </c>
      <c r="BZ119" s="616">
        <f t="shared" si="300"/>
        <v>918</v>
      </c>
      <c r="CA119" s="616">
        <f t="shared" si="301"/>
        <v>1309</v>
      </c>
      <c r="CB119" s="616">
        <f t="shared" si="302"/>
        <v>136</v>
      </c>
      <c r="CC119" s="616">
        <f t="shared" si="303"/>
        <v>663</v>
      </c>
      <c r="CD119" s="616">
        <f t="shared" si="304"/>
        <v>38229</v>
      </c>
      <c r="CE119" s="618">
        <f t="shared" si="342"/>
        <v>29361.8</v>
      </c>
      <c r="CF119" s="618">
        <f t="shared" si="343"/>
        <v>8867.2000000000007</v>
      </c>
      <c r="CG119" s="616">
        <f t="shared" si="305"/>
        <v>0</v>
      </c>
      <c r="CH119" s="621">
        <f t="shared" si="306"/>
        <v>416039</v>
      </c>
      <c r="CI119" s="88">
        <f t="shared" si="307"/>
        <v>18056.882399999999</v>
      </c>
      <c r="CJ119" s="90">
        <f t="shared" si="308"/>
        <v>13868.570599999999</v>
      </c>
      <c r="CK119" s="90">
        <f t="shared" si="309"/>
        <v>4188.3118000000004</v>
      </c>
      <c r="CL119" s="88">
        <f t="shared" si="310"/>
        <v>486</v>
      </c>
      <c r="CM119" s="88">
        <f t="shared" si="311"/>
        <v>97</v>
      </c>
      <c r="CN119" s="88">
        <f t="shared" si="312"/>
        <v>348</v>
      </c>
      <c r="CO119" s="88">
        <f t="shared" si="313"/>
        <v>2031</v>
      </c>
      <c r="CP119" s="88">
        <f t="shared" si="314"/>
        <v>52</v>
      </c>
      <c r="CQ119" s="88">
        <f t="shared" si="315"/>
        <v>1728</v>
      </c>
      <c r="CR119" s="88">
        <f t="shared" si="316"/>
        <v>73</v>
      </c>
      <c r="CS119" s="88">
        <f t="shared" si="317"/>
        <v>178</v>
      </c>
      <c r="CT119" s="88">
        <f t="shared" si="318"/>
        <v>544.23530000000005</v>
      </c>
      <c r="CU119" s="88">
        <f t="shared" si="319"/>
        <v>580</v>
      </c>
      <c r="CV119" s="88">
        <f t="shared" si="320"/>
        <v>54</v>
      </c>
      <c r="CW119" s="88">
        <f t="shared" si="321"/>
        <v>77</v>
      </c>
      <c r="CX119" s="88">
        <f t="shared" si="322"/>
        <v>8</v>
      </c>
      <c r="CY119" s="88">
        <f t="shared" si="323"/>
        <v>39</v>
      </c>
      <c r="CZ119" s="88">
        <f t="shared" si="324"/>
        <v>2248.7647000000002</v>
      </c>
      <c r="DA119" s="90">
        <f t="shared" si="325"/>
        <v>1727.1647</v>
      </c>
      <c r="DB119" s="90">
        <f t="shared" si="326"/>
        <v>521.6</v>
      </c>
      <c r="DC119" s="88">
        <f t="shared" si="327"/>
        <v>0</v>
      </c>
      <c r="DD119" s="211">
        <f t="shared" si="328"/>
        <v>24472.882399999999</v>
      </c>
      <c r="AUV119" s="699">
        <f t="shared" si="235"/>
        <v>18056.88</v>
      </c>
      <c r="AUW119" s="699">
        <f t="shared" si="236"/>
        <v>13868.57</v>
      </c>
      <c r="AUX119" s="699">
        <f t="shared" si="237"/>
        <v>4188.3100000000004</v>
      </c>
      <c r="AUY119" s="699">
        <f t="shared" ref="AUY119:AUY128" si="375">BP119/P119</f>
        <v>486</v>
      </c>
      <c r="AUZ119" s="699">
        <f t="shared" si="344"/>
        <v>833.25</v>
      </c>
      <c r="AVA119" s="699">
        <f t="shared" si="344"/>
        <v>0.46</v>
      </c>
      <c r="AVB119" s="699">
        <f t="shared" ref="AVB119:AVB128" si="376">AVC119+AVD119+AVE119+AVF119</f>
        <v>2031</v>
      </c>
      <c r="AVC119" s="699">
        <f t="shared" ref="AVC119:AVC128" si="377">BT119/P119</f>
        <v>52</v>
      </c>
      <c r="AVD119" s="699">
        <f t="shared" ref="AVD119:AVD128" si="378">BU119/P119</f>
        <v>1728</v>
      </c>
      <c r="AVE119" s="699">
        <f t="shared" ref="AVE119:AVE128" si="379">BV119/P119</f>
        <v>73</v>
      </c>
      <c r="AVF119" s="699">
        <f t="shared" ref="AVF119:AVF128" si="380">BW119/P119</f>
        <v>178</v>
      </c>
      <c r="AVG119" s="699">
        <f t="shared" ref="AVG119:AVG128" si="381">BX119/P119</f>
        <v>544.24</v>
      </c>
      <c r="AVH119" s="699">
        <f t="shared" ref="AVH119:AVH128" si="382">BY119/P119</f>
        <v>580</v>
      </c>
      <c r="AVI119" s="699">
        <f t="shared" ref="AVI119:AVI128" si="383">BZ119/P119</f>
        <v>54</v>
      </c>
      <c r="AVJ119" s="699">
        <f t="shared" ref="AVJ119:AVJ128" si="384">CA119/P119</f>
        <v>77</v>
      </c>
      <c r="AVK119" s="699">
        <f t="shared" ref="AVK119:AVK128" si="385">CB119/P119</f>
        <v>8</v>
      </c>
      <c r="AVL119" s="699">
        <f t="shared" ref="AVL119:AVL128" si="386">CC119/P119</f>
        <v>39</v>
      </c>
      <c r="AVM119" s="699">
        <f t="shared" ref="AVM119:AVM128" si="387">CD119/P119</f>
        <v>2248.7600000000002</v>
      </c>
      <c r="AVN119" s="699">
        <f t="shared" ref="AVN119:AVN128" si="388">AVM119/1.302</f>
        <v>1727.16</v>
      </c>
      <c r="AVO119" s="699">
        <f t="shared" ref="AVO119:AVO128" si="389">AVM119-AVN119</f>
        <v>521.6</v>
      </c>
      <c r="AVP119" s="699">
        <f t="shared" ref="AVP119:AVP128" si="390">CG119/P119</f>
        <v>0</v>
      </c>
      <c r="AVQ119" s="699">
        <f t="shared" ref="AVQ119:AVQ128" si="391">CH119/P119</f>
        <v>24472.880000000001</v>
      </c>
    </row>
    <row r="120" spans="1:108 1244:1265" ht="30" customHeight="1" x14ac:dyDescent="0.25">
      <c r="A120" s="643">
        <v>1</v>
      </c>
      <c r="B120" s="643">
        <v>5</v>
      </c>
      <c r="C120" s="664" t="s">
        <v>248</v>
      </c>
      <c r="D120" s="2"/>
      <c r="E120" s="101" t="s">
        <v>345</v>
      </c>
      <c r="F120" s="643" t="s">
        <v>38</v>
      </c>
      <c r="G120" s="643">
        <v>2</v>
      </c>
      <c r="H120" s="658" t="s">
        <v>10</v>
      </c>
      <c r="I120" s="643">
        <v>0</v>
      </c>
      <c r="J120" s="101" t="s">
        <v>363</v>
      </c>
      <c r="K120" s="643">
        <v>3</v>
      </c>
      <c r="L120" s="683" t="s">
        <v>350</v>
      </c>
      <c r="M120" s="11" t="s">
        <v>269</v>
      </c>
      <c r="N120" s="101" t="s">
        <v>387</v>
      </c>
      <c r="O120" s="643">
        <v>1</v>
      </c>
      <c r="P120" s="632">
        <v>17</v>
      </c>
      <c r="Q120" s="632">
        <v>17</v>
      </c>
      <c r="R120" s="632">
        <v>17</v>
      </c>
      <c r="S120" s="675">
        <f>SUMIF('Территориальный кк'!$A:$A,'2020'!$B120,'Территориальный кк'!D:D)</f>
        <v>1.395</v>
      </c>
      <c r="T120" s="676">
        <f>SUMIF('Территориальный кк'!$A:$A,'2020'!$B120,'Территориальный кк'!E:E)</f>
        <v>1.9790000000000001</v>
      </c>
      <c r="U120" s="618">
        <f>SUMIFS(Нормативы!G:G,Нормативы!$B:$B,$G120,Нормативы!$D:$D,'2020'!$I120,Нормативы!$F:$F,'2020'!$K120)*O120</f>
        <v>70600</v>
      </c>
      <c r="V120" s="618">
        <f t="shared" si="329"/>
        <v>54224.3</v>
      </c>
      <c r="W120" s="618">
        <f t="shared" si="330"/>
        <v>16375.7</v>
      </c>
      <c r="X120" s="618">
        <f>SUMIFS(Нормативы!J:J,Нормативы!$B:$B,$G120,Нормативы!$D:$D,'2020'!$I120,Нормативы!$F:$F,'2020'!$K120)</f>
        <v>8860</v>
      </c>
      <c r="Y120" s="618">
        <f>SUMIFS(Нормативы!K:K,Нормативы!$B:$B,$G120,Нормативы!$D:$D,'2020'!$I120,Нормативы!$F:$F,'2020'!$K120)</f>
        <v>0</v>
      </c>
      <c r="Z120" s="618">
        <f>SUMIFS(Нормативы!L:L,Нормативы!$B:$B,$G120,Нормативы!$D:$D,'2020'!$I120,Нормативы!$F:$F,'2020'!$K120)</f>
        <v>8110</v>
      </c>
      <c r="AA120" s="618">
        <f t="shared" si="331"/>
        <v>21610</v>
      </c>
      <c r="AB120" s="618">
        <f>SUMIFS(Нормативы!N:N,Нормативы!$B:$B,$G120,Нормативы!$D:$D,'2020'!$I120,Нормативы!$F:$F,'2020'!$K120)*O120</f>
        <v>520</v>
      </c>
      <c r="AC120" s="618">
        <f>SUMIFS(Нормативы!O:O,Нормативы!$B:$B,$G120,Нормативы!$D:$D,'2020'!$I120,Нормативы!$F:$F,'2020'!$K120)</f>
        <v>19720</v>
      </c>
      <c r="AD120" s="618">
        <f>SUMIFS(Нормативы!P:P,Нормативы!$B:$B,$G120,Нормативы!$D:$D,'2020'!$I120,Нормативы!$F:$F,'2020'!$K120)*O120</f>
        <v>400</v>
      </c>
      <c r="AE120" s="618">
        <f>SUMIFS(Нормативы!Q:Q,Нормативы!$B:$B,$G120,Нормативы!$D:$D,'2020'!$I120,Нормативы!$F:$F,'2020'!$K120)</f>
        <v>970</v>
      </c>
      <c r="AF120" s="618">
        <f>SUMIFS(Нормативы!R:R,Нормативы!$B:$B,$G120,Нормативы!$D:$D,'2020'!$I120,Нормативы!$F:$F,'2020'!$K120)</f>
        <v>2680</v>
      </c>
      <c r="AG120" s="618">
        <f>SUMIFS(Нормативы!S:S,Нормативы!$B:$B,$G120,Нормативы!$D:$D,'2020'!$I120,Нормативы!$F:$F,'2020'!$K120)</f>
        <v>5800</v>
      </c>
      <c r="AH120" s="618">
        <f>SUMIFS(Нормативы!T:T,Нормативы!$B:$B,$G120,Нормативы!$D:$D,'2020'!$I120,Нормативы!$F:$F,'2020'!$K120)</f>
        <v>540</v>
      </c>
      <c r="AI120" s="618">
        <f>SUMIFS(Нормативы!U:U,Нормативы!$B:$B,$G120,Нормативы!$D:$D,'2020'!$I120,Нормативы!$F:$F,'2020'!$K120)</f>
        <v>770</v>
      </c>
      <c r="AJ120" s="618">
        <f>SUMIFS(Нормативы!V:V,Нормативы!$B:$B,$G120,Нормативы!$D:$D,'2020'!$I120,Нормативы!$F:$F,'2020'!$K120)</f>
        <v>80</v>
      </c>
      <c r="AK120" s="618">
        <f>SUMIFS(Нормативы!W:W,Нормативы!$B:$B,$G120,Нормативы!$D:$D,'2020'!$I120,Нормативы!$F:$F,'2020'!$K120)</f>
        <v>330</v>
      </c>
      <c r="AL120" s="618">
        <f>SUMIFS(Нормативы!X:X,Нормативы!$B:$B,$G120,Нормативы!$D:$D,'2020'!$I120,Нормативы!$F:$F,'2020'!$K120)*O120</f>
        <v>16120</v>
      </c>
      <c r="AM120" s="618">
        <f t="shared" si="332"/>
        <v>12381</v>
      </c>
      <c r="AN120" s="618">
        <f t="shared" si="333"/>
        <v>3739</v>
      </c>
      <c r="AO120" s="618">
        <f>SUMIFS(Нормативы!AA:AA,Нормативы!$B:$B,$G120,Нормативы!$D:$D,'2020'!$I120,Нормативы!$F:$F,'2020'!$K120)</f>
        <v>3520</v>
      </c>
      <c r="AP120" s="619">
        <f t="shared" si="334"/>
        <v>139020</v>
      </c>
      <c r="AQ120" s="413">
        <f t="shared" si="272"/>
        <v>1200200</v>
      </c>
      <c r="AR120" s="618">
        <f t="shared" si="335"/>
        <v>921812.6</v>
      </c>
      <c r="AS120" s="618">
        <f t="shared" si="336"/>
        <v>278387.40000000002</v>
      </c>
      <c r="AT120" s="616">
        <f t="shared" si="273"/>
        <v>150620</v>
      </c>
      <c r="AU120" s="616">
        <f t="shared" si="274"/>
        <v>0</v>
      </c>
      <c r="AV120" s="616">
        <f t="shared" si="275"/>
        <v>137870</v>
      </c>
      <c r="AW120" s="616">
        <f t="shared" si="276"/>
        <v>367370</v>
      </c>
      <c r="AX120" s="616">
        <f t="shared" si="277"/>
        <v>8840</v>
      </c>
      <c r="AY120" s="616">
        <f t="shared" si="278"/>
        <v>335240</v>
      </c>
      <c r="AZ120" s="616">
        <f t="shared" si="279"/>
        <v>6800</v>
      </c>
      <c r="BA120" s="616">
        <f t="shared" si="280"/>
        <v>16490</v>
      </c>
      <c r="BB120" s="616">
        <f t="shared" si="281"/>
        <v>45560</v>
      </c>
      <c r="BC120" s="616">
        <f t="shared" si="282"/>
        <v>98600</v>
      </c>
      <c r="BD120" s="616">
        <f t="shared" si="283"/>
        <v>9180</v>
      </c>
      <c r="BE120" s="616">
        <f t="shared" si="284"/>
        <v>13090</v>
      </c>
      <c r="BF120" s="616">
        <f t="shared" si="285"/>
        <v>1360</v>
      </c>
      <c r="BG120" s="616">
        <f t="shared" si="286"/>
        <v>5610</v>
      </c>
      <c r="BH120" s="616">
        <f t="shared" si="287"/>
        <v>274040</v>
      </c>
      <c r="BI120" s="618">
        <f t="shared" si="337"/>
        <v>210476.2</v>
      </c>
      <c r="BJ120" s="618">
        <f t="shared" si="338"/>
        <v>63563.8</v>
      </c>
      <c r="BK120" s="616">
        <f t="shared" si="288"/>
        <v>59840</v>
      </c>
      <c r="BL120" s="620">
        <f t="shared" si="289"/>
        <v>2363340</v>
      </c>
      <c r="BM120" s="616">
        <f t="shared" si="290"/>
        <v>1674279</v>
      </c>
      <c r="BN120" s="618">
        <f t="shared" si="291"/>
        <v>1285928.6000000001</v>
      </c>
      <c r="BO120" s="618">
        <f t="shared" si="292"/>
        <v>388350.4</v>
      </c>
      <c r="BP120" s="616">
        <f t="shared" si="339"/>
        <v>150620</v>
      </c>
      <c r="BQ120" s="616">
        <f t="shared" si="340"/>
        <v>0</v>
      </c>
      <c r="BR120" s="616">
        <f t="shared" si="341"/>
        <v>137870</v>
      </c>
      <c r="BS120" s="616">
        <f t="shared" si="293"/>
        <v>367370</v>
      </c>
      <c r="BT120" s="616">
        <f t="shared" si="294"/>
        <v>8840</v>
      </c>
      <c r="BU120" s="616">
        <f t="shared" si="295"/>
        <v>335240</v>
      </c>
      <c r="BV120" s="616">
        <f t="shared" si="296"/>
        <v>6800</v>
      </c>
      <c r="BW120" s="616">
        <f t="shared" si="297"/>
        <v>16490</v>
      </c>
      <c r="BX120" s="616">
        <f t="shared" si="298"/>
        <v>90163</v>
      </c>
      <c r="BY120" s="616">
        <f t="shared" si="299"/>
        <v>98600</v>
      </c>
      <c r="BZ120" s="616">
        <f t="shared" si="300"/>
        <v>9180</v>
      </c>
      <c r="CA120" s="616">
        <f t="shared" si="301"/>
        <v>13090</v>
      </c>
      <c r="CB120" s="616">
        <f t="shared" si="302"/>
        <v>1360</v>
      </c>
      <c r="CC120" s="616">
        <f t="shared" si="303"/>
        <v>5610</v>
      </c>
      <c r="CD120" s="616">
        <f t="shared" si="304"/>
        <v>382286</v>
      </c>
      <c r="CE120" s="618">
        <f t="shared" si="342"/>
        <v>293614.40000000002</v>
      </c>
      <c r="CF120" s="618">
        <f t="shared" si="343"/>
        <v>88671.6</v>
      </c>
      <c r="CG120" s="616">
        <f t="shared" si="305"/>
        <v>59840</v>
      </c>
      <c r="CH120" s="621">
        <f t="shared" si="306"/>
        <v>2990268</v>
      </c>
      <c r="CI120" s="88">
        <f t="shared" si="307"/>
        <v>98487</v>
      </c>
      <c r="CJ120" s="90">
        <f t="shared" si="308"/>
        <v>75642.858800000002</v>
      </c>
      <c r="CK120" s="90">
        <f t="shared" si="309"/>
        <v>22844.141199999998</v>
      </c>
      <c r="CL120" s="88">
        <f t="shared" si="310"/>
        <v>8860</v>
      </c>
      <c r="CM120" s="88">
        <f t="shared" si="311"/>
        <v>0</v>
      </c>
      <c r="CN120" s="88">
        <f t="shared" si="312"/>
        <v>8110</v>
      </c>
      <c r="CO120" s="88">
        <f t="shared" si="313"/>
        <v>21610</v>
      </c>
      <c r="CP120" s="88">
        <f t="shared" si="314"/>
        <v>520</v>
      </c>
      <c r="CQ120" s="88">
        <f t="shared" si="315"/>
        <v>19720</v>
      </c>
      <c r="CR120" s="88">
        <f t="shared" si="316"/>
        <v>400</v>
      </c>
      <c r="CS120" s="88">
        <f t="shared" si="317"/>
        <v>970</v>
      </c>
      <c r="CT120" s="88">
        <f t="shared" si="318"/>
        <v>5303.7058999999999</v>
      </c>
      <c r="CU120" s="88">
        <f t="shared" si="319"/>
        <v>5800</v>
      </c>
      <c r="CV120" s="88">
        <f t="shared" si="320"/>
        <v>540</v>
      </c>
      <c r="CW120" s="88">
        <f t="shared" si="321"/>
        <v>770</v>
      </c>
      <c r="CX120" s="88">
        <f t="shared" si="322"/>
        <v>80</v>
      </c>
      <c r="CY120" s="88">
        <f t="shared" si="323"/>
        <v>330</v>
      </c>
      <c r="CZ120" s="88">
        <f t="shared" si="324"/>
        <v>22487.411800000002</v>
      </c>
      <c r="DA120" s="90">
        <f t="shared" si="325"/>
        <v>17271.435300000001</v>
      </c>
      <c r="DB120" s="90">
        <f t="shared" si="326"/>
        <v>5215.9764999999998</v>
      </c>
      <c r="DC120" s="88">
        <f t="shared" si="327"/>
        <v>3520</v>
      </c>
      <c r="DD120" s="211">
        <f t="shared" si="328"/>
        <v>175898.1176</v>
      </c>
      <c r="AUV120" s="699">
        <f t="shared" si="235"/>
        <v>98487</v>
      </c>
      <c r="AUW120" s="699">
        <f t="shared" si="236"/>
        <v>75642.86</v>
      </c>
      <c r="AUX120" s="699">
        <f t="shared" si="237"/>
        <v>22844.14</v>
      </c>
      <c r="AUY120" s="699">
        <f t="shared" si="375"/>
        <v>8860</v>
      </c>
      <c r="AUZ120" s="699">
        <f t="shared" si="344"/>
        <v>0</v>
      </c>
      <c r="AVA120" s="699">
        <f t="shared" si="344"/>
        <v>1.95</v>
      </c>
      <c r="AVB120" s="699">
        <f t="shared" si="376"/>
        <v>21610</v>
      </c>
      <c r="AVC120" s="699">
        <f t="shared" si="377"/>
        <v>520</v>
      </c>
      <c r="AVD120" s="699">
        <f t="shared" si="378"/>
        <v>19720</v>
      </c>
      <c r="AVE120" s="699">
        <f t="shared" si="379"/>
        <v>400</v>
      </c>
      <c r="AVF120" s="699">
        <f t="shared" si="380"/>
        <v>970</v>
      </c>
      <c r="AVG120" s="699">
        <f t="shared" si="381"/>
        <v>5303.71</v>
      </c>
      <c r="AVH120" s="699">
        <f t="shared" si="382"/>
        <v>5800</v>
      </c>
      <c r="AVI120" s="699">
        <f t="shared" si="383"/>
        <v>540</v>
      </c>
      <c r="AVJ120" s="699">
        <f t="shared" si="384"/>
        <v>770</v>
      </c>
      <c r="AVK120" s="699">
        <f t="shared" si="385"/>
        <v>80</v>
      </c>
      <c r="AVL120" s="699">
        <f t="shared" si="386"/>
        <v>330</v>
      </c>
      <c r="AVM120" s="699">
        <f t="shared" si="387"/>
        <v>22487.41</v>
      </c>
      <c r="AVN120" s="699">
        <f t="shared" si="388"/>
        <v>17271.439999999999</v>
      </c>
      <c r="AVO120" s="699">
        <f t="shared" si="389"/>
        <v>5215.97</v>
      </c>
      <c r="AVP120" s="699">
        <f t="shared" si="390"/>
        <v>3520</v>
      </c>
      <c r="AVQ120" s="699">
        <f t="shared" si="391"/>
        <v>175898.12</v>
      </c>
    </row>
    <row r="121" spans="1:108 1244:1265" ht="30" customHeight="1" x14ac:dyDescent="0.25">
      <c r="A121" s="643">
        <v>1</v>
      </c>
      <c r="B121" s="643">
        <v>5</v>
      </c>
      <c r="C121" s="664" t="s">
        <v>248</v>
      </c>
      <c r="D121" s="2"/>
      <c r="E121" s="101" t="s">
        <v>345</v>
      </c>
      <c r="F121" s="643" t="s">
        <v>38</v>
      </c>
      <c r="G121" s="643">
        <v>2</v>
      </c>
      <c r="H121" s="658" t="s">
        <v>10</v>
      </c>
      <c r="I121" s="643">
        <v>0</v>
      </c>
      <c r="J121" s="101" t="s">
        <v>364</v>
      </c>
      <c r="K121" s="643">
        <v>3</v>
      </c>
      <c r="L121" s="683" t="s">
        <v>350</v>
      </c>
      <c r="M121" s="11" t="s">
        <v>270</v>
      </c>
      <c r="N121" s="101" t="s">
        <v>387</v>
      </c>
      <c r="O121" s="643">
        <v>1</v>
      </c>
      <c r="P121" s="632">
        <v>98</v>
      </c>
      <c r="Q121" s="632">
        <v>98</v>
      </c>
      <c r="R121" s="632">
        <v>98</v>
      </c>
      <c r="S121" s="675">
        <f>SUMIF('Территориальный кк'!$A:$A,'2020'!$B121,'Территориальный кк'!D:D)</f>
        <v>1.395</v>
      </c>
      <c r="T121" s="676">
        <f>SUMIF('Территориальный кк'!$A:$A,'2020'!$B121,'Территориальный кк'!E:E)</f>
        <v>1.9790000000000001</v>
      </c>
      <c r="U121" s="618">
        <f>SUMIFS(Нормативы!G:G,Нормативы!$B:$B,$G121,Нормативы!$D:$D,'2020'!$I121,Нормативы!$F:$F,'2020'!$K121)*O121</f>
        <v>70600</v>
      </c>
      <c r="V121" s="618">
        <f t="shared" si="329"/>
        <v>54224.3</v>
      </c>
      <c r="W121" s="618">
        <f t="shared" si="330"/>
        <v>16375.7</v>
      </c>
      <c r="X121" s="618">
        <f>SUMIFS(Нормативы!J:J,Нормативы!$B:$B,$G121,Нормативы!$D:$D,'2020'!$I121,Нормативы!$F:$F,'2020'!$K121)</f>
        <v>8860</v>
      </c>
      <c r="Y121" s="618">
        <f>SUMIFS(Нормативы!K:K,Нормативы!$B:$B,$G121,Нормативы!$D:$D,'2020'!$I121,Нормативы!$F:$F,'2020'!$K121)</f>
        <v>0</v>
      </c>
      <c r="Z121" s="618">
        <f>SUMIFS(Нормативы!L:L,Нормативы!$B:$B,$G121,Нормативы!$D:$D,'2020'!$I121,Нормативы!$F:$F,'2020'!$K121)</f>
        <v>8110</v>
      </c>
      <c r="AA121" s="618">
        <f t="shared" si="331"/>
        <v>21610</v>
      </c>
      <c r="AB121" s="618">
        <f>SUMIFS(Нормативы!N:N,Нормативы!$B:$B,$G121,Нормативы!$D:$D,'2020'!$I121,Нормативы!$F:$F,'2020'!$K121)*O121</f>
        <v>520</v>
      </c>
      <c r="AC121" s="618">
        <f>SUMIFS(Нормативы!O:O,Нормативы!$B:$B,$G121,Нормативы!$D:$D,'2020'!$I121,Нормативы!$F:$F,'2020'!$K121)</f>
        <v>19720</v>
      </c>
      <c r="AD121" s="618">
        <f>SUMIFS(Нормативы!P:P,Нормативы!$B:$B,$G121,Нормативы!$D:$D,'2020'!$I121,Нормативы!$F:$F,'2020'!$K121)*O121</f>
        <v>400</v>
      </c>
      <c r="AE121" s="618">
        <f>SUMIFS(Нормативы!Q:Q,Нормативы!$B:$B,$G121,Нормативы!$D:$D,'2020'!$I121,Нормативы!$F:$F,'2020'!$K121)</f>
        <v>970</v>
      </c>
      <c r="AF121" s="618">
        <f>SUMIFS(Нормативы!R:R,Нормативы!$B:$B,$G121,Нормативы!$D:$D,'2020'!$I121,Нормативы!$F:$F,'2020'!$K121)</f>
        <v>2680</v>
      </c>
      <c r="AG121" s="618">
        <f>SUMIFS(Нормативы!S:S,Нормативы!$B:$B,$G121,Нормативы!$D:$D,'2020'!$I121,Нормативы!$F:$F,'2020'!$K121)</f>
        <v>5800</v>
      </c>
      <c r="AH121" s="618">
        <f>SUMIFS(Нормативы!T:T,Нормативы!$B:$B,$G121,Нормативы!$D:$D,'2020'!$I121,Нормативы!$F:$F,'2020'!$K121)</f>
        <v>540</v>
      </c>
      <c r="AI121" s="618">
        <f>SUMIFS(Нормативы!U:U,Нормативы!$B:$B,$G121,Нормативы!$D:$D,'2020'!$I121,Нормативы!$F:$F,'2020'!$K121)</f>
        <v>770</v>
      </c>
      <c r="AJ121" s="618">
        <f>SUMIFS(Нормативы!V:V,Нормативы!$B:$B,$G121,Нормативы!$D:$D,'2020'!$I121,Нормативы!$F:$F,'2020'!$K121)</f>
        <v>80</v>
      </c>
      <c r="AK121" s="618">
        <f>SUMIFS(Нормативы!W:W,Нормативы!$B:$B,$G121,Нормативы!$D:$D,'2020'!$I121,Нормативы!$F:$F,'2020'!$K121)</f>
        <v>330</v>
      </c>
      <c r="AL121" s="618">
        <f>SUMIFS(Нормативы!X:X,Нормативы!$B:$B,$G121,Нормативы!$D:$D,'2020'!$I121,Нормативы!$F:$F,'2020'!$K121)*O121</f>
        <v>16120</v>
      </c>
      <c r="AM121" s="618">
        <f t="shared" si="332"/>
        <v>12381</v>
      </c>
      <c r="AN121" s="618">
        <f t="shared" si="333"/>
        <v>3739</v>
      </c>
      <c r="AO121" s="618">
        <f>SUMIFS(Нормативы!AA:AA,Нормативы!$B:$B,$G121,Нормативы!$D:$D,'2020'!$I121,Нормативы!$F:$F,'2020'!$K121)</f>
        <v>3520</v>
      </c>
      <c r="AP121" s="619">
        <f t="shared" si="334"/>
        <v>139020</v>
      </c>
      <c r="AQ121" s="413">
        <f t="shared" si="272"/>
        <v>6918800</v>
      </c>
      <c r="AR121" s="618">
        <f t="shared" si="335"/>
        <v>5313978.5</v>
      </c>
      <c r="AS121" s="618">
        <f t="shared" si="336"/>
        <v>1604821.5</v>
      </c>
      <c r="AT121" s="616">
        <f t="shared" si="273"/>
        <v>868280</v>
      </c>
      <c r="AU121" s="616">
        <f t="shared" si="274"/>
        <v>0</v>
      </c>
      <c r="AV121" s="616">
        <f t="shared" si="275"/>
        <v>794780</v>
      </c>
      <c r="AW121" s="616">
        <f t="shared" si="276"/>
        <v>2117780</v>
      </c>
      <c r="AX121" s="616">
        <f t="shared" si="277"/>
        <v>50960</v>
      </c>
      <c r="AY121" s="616">
        <f t="shared" si="278"/>
        <v>1932560</v>
      </c>
      <c r="AZ121" s="616">
        <f t="shared" si="279"/>
        <v>39200</v>
      </c>
      <c r="BA121" s="616">
        <f t="shared" si="280"/>
        <v>95060</v>
      </c>
      <c r="BB121" s="616">
        <f t="shared" si="281"/>
        <v>262640</v>
      </c>
      <c r="BC121" s="616">
        <f t="shared" si="282"/>
        <v>568400</v>
      </c>
      <c r="BD121" s="616">
        <f t="shared" si="283"/>
        <v>52920</v>
      </c>
      <c r="BE121" s="616">
        <f t="shared" si="284"/>
        <v>75460</v>
      </c>
      <c r="BF121" s="616">
        <f t="shared" si="285"/>
        <v>7840</v>
      </c>
      <c r="BG121" s="616">
        <f t="shared" si="286"/>
        <v>32340</v>
      </c>
      <c r="BH121" s="616">
        <f t="shared" si="287"/>
        <v>1579760</v>
      </c>
      <c r="BI121" s="618">
        <f t="shared" si="337"/>
        <v>1213333.3</v>
      </c>
      <c r="BJ121" s="618">
        <f t="shared" si="338"/>
        <v>366426.7</v>
      </c>
      <c r="BK121" s="616">
        <f t="shared" si="288"/>
        <v>344960</v>
      </c>
      <c r="BL121" s="620">
        <f t="shared" si="289"/>
        <v>13623960</v>
      </c>
      <c r="BM121" s="616">
        <f t="shared" si="290"/>
        <v>9651726</v>
      </c>
      <c r="BN121" s="618">
        <f t="shared" si="291"/>
        <v>7413000</v>
      </c>
      <c r="BO121" s="618">
        <f t="shared" si="292"/>
        <v>2238726</v>
      </c>
      <c r="BP121" s="616">
        <f t="shared" si="339"/>
        <v>868280</v>
      </c>
      <c r="BQ121" s="616">
        <f t="shared" si="340"/>
        <v>0</v>
      </c>
      <c r="BR121" s="616">
        <f t="shared" si="341"/>
        <v>794780</v>
      </c>
      <c r="BS121" s="616">
        <f t="shared" si="293"/>
        <v>2117780</v>
      </c>
      <c r="BT121" s="616">
        <f t="shared" si="294"/>
        <v>50960</v>
      </c>
      <c r="BU121" s="616">
        <f t="shared" si="295"/>
        <v>1932560</v>
      </c>
      <c r="BV121" s="616">
        <f t="shared" si="296"/>
        <v>39200</v>
      </c>
      <c r="BW121" s="616">
        <f t="shared" si="297"/>
        <v>95060</v>
      </c>
      <c r="BX121" s="616">
        <f t="shared" si="298"/>
        <v>519765</v>
      </c>
      <c r="BY121" s="616">
        <f t="shared" si="299"/>
        <v>568400</v>
      </c>
      <c r="BZ121" s="616">
        <f t="shared" si="300"/>
        <v>52920</v>
      </c>
      <c r="CA121" s="616">
        <f t="shared" si="301"/>
        <v>75460</v>
      </c>
      <c r="CB121" s="616">
        <f t="shared" si="302"/>
        <v>7840</v>
      </c>
      <c r="CC121" s="616">
        <f t="shared" si="303"/>
        <v>32340</v>
      </c>
      <c r="CD121" s="616">
        <f t="shared" si="304"/>
        <v>2203765</v>
      </c>
      <c r="CE121" s="618">
        <f t="shared" si="342"/>
        <v>1692599.8</v>
      </c>
      <c r="CF121" s="618">
        <f t="shared" si="343"/>
        <v>511165.2</v>
      </c>
      <c r="CG121" s="616">
        <f t="shared" si="305"/>
        <v>344960</v>
      </c>
      <c r="CH121" s="621">
        <f t="shared" si="306"/>
        <v>17238016</v>
      </c>
      <c r="CI121" s="88">
        <f t="shared" si="307"/>
        <v>98487</v>
      </c>
      <c r="CJ121" s="90">
        <f t="shared" si="308"/>
        <v>75642.857099999994</v>
      </c>
      <c r="CK121" s="90">
        <f t="shared" si="309"/>
        <v>22844.142899999999</v>
      </c>
      <c r="CL121" s="88">
        <f t="shared" si="310"/>
        <v>8860</v>
      </c>
      <c r="CM121" s="88">
        <f t="shared" si="311"/>
        <v>0</v>
      </c>
      <c r="CN121" s="88">
        <f t="shared" si="312"/>
        <v>8110</v>
      </c>
      <c r="CO121" s="88">
        <f t="shared" si="313"/>
        <v>21610</v>
      </c>
      <c r="CP121" s="88">
        <f t="shared" si="314"/>
        <v>520</v>
      </c>
      <c r="CQ121" s="88">
        <f t="shared" si="315"/>
        <v>19720</v>
      </c>
      <c r="CR121" s="88">
        <f t="shared" si="316"/>
        <v>400</v>
      </c>
      <c r="CS121" s="88">
        <f t="shared" si="317"/>
        <v>970</v>
      </c>
      <c r="CT121" s="88">
        <f t="shared" si="318"/>
        <v>5303.7245000000003</v>
      </c>
      <c r="CU121" s="88">
        <f t="shared" si="319"/>
        <v>5800</v>
      </c>
      <c r="CV121" s="88">
        <f t="shared" si="320"/>
        <v>540</v>
      </c>
      <c r="CW121" s="88">
        <f t="shared" si="321"/>
        <v>770</v>
      </c>
      <c r="CX121" s="88">
        <f t="shared" si="322"/>
        <v>80</v>
      </c>
      <c r="CY121" s="88">
        <f t="shared" si="323"/>
        <v>330</v>
      </c>
      <c r="CZ121" s="88">
        <f t="shared" si="324"/>
        <v>22487.398000000001</v>
      </c>
      <c r="DA121" s="90">
        <f t="shared" si="325"/>
        <v>17271.426500000001</v>
      </c>
      <c r="DB121" s="90">
        <f t="shared" si="326"/>
        <v>5215.9714000000004</v>
      </c>
      <c r="DC121" s="88">
        <f t="shared" si="327"/>
        <v>3520</v>
      </c>
      <c r="DD121" s="211">
        <f t="shared" si="328"/>
        <v>175898.12239999999</v>
      </c>
      <c r="AUV121" s="699">
        <f t="shared" si="235"/>
        <v>98487</v>
      </c>
      <c r="AUW121" s="699">
        <f t="shared" si="236"/>
        <v>75642.86</v>
      </c>
      <c r="AUX121" s="699">
        <f t="shared" si="237"/>
        <v>22844.14</v>
      </c>
      <c r="AUY121" s="699">
        <f t="shared" si="375"/>
        <v>8860</v>
      </c>
      <c r="AUZ121" s="699">
        <f t="shared" si="344"/>
        <v>0</v>
      </c>
      <c r="AVA121" s="699">
        <f t="shared" si="344"/>
        <v>11.26</v>
      </c>
      <c r="AVB121" s="699">
        <f t="shared" si="376"/>
        <v>21610</v>
      </c>
      <c r="AVC121" s="699">
        <f t="shared" si="377"/>
        <v>520</v>
      </c>
      <c r="AVD121" s="699">
        <f t="shared" si="378"/>
        <v>19720</v>
      </c>
      <c r="AVE121" s="699">
        <f t="shared" si="379"/>
        <v>400</v>
      </c>
      <c r="AVF121" s="699">
        <f t="shared" si="380"/>
        <v>970</v>
      </c>
      <c r="AVG121" s="699">
        <f t="shared" si="381"/>
        <v>5303.72</v>
      </c>
      <c r="AVH121" s="699">
        <f t="shared" si="382"/>
        <v>5800</v>
      </c>
      <c r="AVI121" s="699">
        <f t="shared" si="383"/>
        <v>540</v>
      </c>
      <c r="AVJ121" s="699">
        <f t="shared" si="384"/>
        <v>770</v>
      </c>
      <c r="AVK121" s="699">
        <f t="shared" si="385"/>
        <v>80</v>
      </c>
      <c r="AVL121" s="699">
        <f t="shared" si="386"/>
        <v>330</v>
      </c>
      <c r="AVM121" s="699">
        <f t="shared" si="387"/>
        <v>22487.4</v>
      </c>
      <c r="AVN121" s="699">
        <f t="shared" si="388"/>
        <v>17271.43</v>
      </c>
      <c r="AVO121" s="699">
        <f t="shared" si="389"/>
        <v>5215.97</v>
      </c>
      <c r="AVP121" s="699">
        <f t="shared" si="390"/>
        <v>3520</v>
      </c>
      <c r="AVQ121" s="699">
        <f t="shared" si="391"/>
        <v>175898.12</v>
      </c>
    </row>
    <row r="122" spans="1:108 1244:1265" ht="30" customHeight="1" x14ac:dyDescent="0.25">
      <c r="A122" s="643">
        <v>1</v>
      </c>
      <c r="B122" s="643">
        <v>5</v>
      </c>
      <c r="C122" s="664" t="s">
        <v>248</v>
      </c>
      <c r="D122" s="2"/>
      <c r="E122" s="101" t="s">
        <v>345</v>
      </c>
      <c r="F122" s="643" t="s">
        <v>38</v>
      </c>
      <c r="G122" s="643">
        <v>2</v>
      </c>
      <c r="H122" s="658" t="s">
        <v>8</v>
      </c>
      <c r="I122" s="643">
        <v>3</v>
      </c>
      <c r="J122" s="101" t="s">
        <v>364</v>
      </c>
      <c r="K122" s="643">
        <v>3</v>
      </c>
      <c r="L122" s="683" t="s">
        <v>350</v>
      </c>
      <c r="M122" s="11" t="s">
        <v>307</v>
      </c>
      <c r="N122" s="101" t="s">
        <v>387</v>
      </c>
      <c r="O122" s="643">
        <v>1</v>
      </c>
      <c r="P122" s="632">
        <v>35</v>
      </c>
      <c r="Q122" s="632">
        <v>35</v>
      </c>
      <c r="R122" s="632">
        <v>35</v>
      </c>
      <c r="S122" s="675">
        <f>SUMIF('Территориальный кк'!$A:$A,'2020'!$B122,'Территориальный кк'!D:D)</f>
        <v>1.395</v>
      </c>
      <c r="T122" s="676">
        <f>SUMIF('Территориальный кк'!$A:$A,'2020'!$B122,'Территориальный кк'!E:E)</f>
        <v>1.9790000000000001</v>
      </c>
      <c r="U122" s="618">
        <f>SUMIFS(Нормативы!G:G,Нормативы!$B:$B,$G122,Нормативы!$D:$D,'2020'!$I122,Нормативы!$F:$F,'2020'!$K122)*O122</f>
        <v>12944</v>
      </c>
      <c r="V122" s="618">
        <f t="shared" si="329"/>
        <v>9941.6</v>
      </c>
      <c r="W122" s="618">
        <f t="shared" si="330"/>
        <v>3002.4</v>
      </c>
      <c r="X122" s="618">
        <f>SUMIFS(Нормативы!J:J,Нормативы!$B:$B,$G122,Нормативы!$D:$D,'2020'!$I122,Нормативы!$F:$F,'2020'!$K122)</f>
        <v>486</v>
      </c>
      <c r="Y122" s="618">
        <f>SUMIFS(Нормативы!K:K,Нормативы!$B:$B,$G122,Нормативы!$D:$D,'2020'!$I122,Нормативы!$F:$F,'2020'!$K122)</f>
        <v>97</v>
      </c>
      <c r="Z122" s="618">
        <f>SUMIFS(Нормативы!L:L,Нормативы!$B:$B,$G122,Нормативы!$D:$D,'2020'!$I122,Нормативы!$F:$F,'2020'!$K122)</f>
        <v>348</v>
      </c>
      <c r="AA122" s="618">
        <f t="shared" si="331"/>
        <v>2031</v>
      </c>
      <c r="AB122" s="618">
        <f>SUMIFS(Нормативы!N:N,Нормативы!$B:$B,$G122,Нормативы!$D:$D,'2020'!$I122,Нормативы!$F:$F,'2020'!$K122)*O122</f>
        <v>52</v>
      </c>
      <c r="AC122" s="618">
        <f>SUMIFS(Нормативы!O:O,Нормативы!$B:$B,$G122,Нормативы!$D:$D,'2020'!$I122,Нормативы!$F:$F,'2020'!$K122)</f>
        <v>1728</v>
      </c>
      <c r="AD122" s="618">
        <f>SUMIFS(Нормативы!P:P,Нормативы!$B:$B,$G122,Нормативы!$D:$D,'2020'!$I122,Нормативы!$F:$F,'2020'!$K122)*O122</f>
        <v>73</v>
      </c>
      <c r="AE122" s="618">
        <f>SUMIFS(Нормативы!Q:Q,Нормативы!$B:$B,$G122,Нормативы!$D:$D,'2020'!$I122,Нормативы!$F:$F,'2020'!$K122)</f>
        <v>178</v>
      </c>
      <c r="AF122" s="618">
        <f>SUMIFS(Нормативы!R:R,Нормативы!$B:$B,$G122,Нормативы!$D:$D,'2020'!$I122,Нормативы!$F:$F,'2020'!$K122)</f>
        <v>275</v>
      </c>
      <c r="AG122" s="618">
        <f>SUMIFS(Нормативы!S:S,Нормативы!$B:$B,$G122,Нормативы!$D:$D,'2020'!$I122,Нормативы!$F:$F,'2020'!$K122)</f>
        <v>580</v>
      </c>
      <c r="AH122" s="618">
        <f>SUMIFS(Нормативы!T:T,Нормативы!$B:$B,$G122,Нормативы!$D:$D,'2020'!$I122,Нормативы!$F:$F,'2020'!$K122)</f>
        <v>54</v>
      </c>
      <c r="AI122" s="618">
        <f>SUMIFS(Нормативы!U:U,Нормативы!$B:$B,$G122,Нормативы!$D:$D,'2020'!$I122,Нормативы!$F:$F,'2020'!$K122)</f>
        <v>77</v>
      </c>
      <c r="AJ122" s="618">
        <f>SUMIFS(Нормативы!V:V,Нормативы!$B:$B,$G122,Нормативы!$D:$D,'2020'!$I122,Нормативы!$F:$F,'2020'!$K122)</f>
        <v>8</v>
      </c>
      <c r="AK122" s="618">
        <f>SUMIFS(Нормативы!W:W,Нормативы!$B:$B,$G122,Нормативы!$D:$D,'2020'!$I122,Нормативы!$F:$F,'2020'!$K122)</f>
        <v>39</v>
      </c>
      <c r="AL122" s="618">
        <f>SUMIFS(Нормативы!X:X,Нормативы!$B:$B,$G122,Нормативы!$D:$D,'2020'!$I122,Нормативы!$F:$F,'2020'!$K122)*O122</f>
        <v>1612</v>
      </c>
      <c r="AM122" s="618">
        <f t="shared" si="332"/>
        <v>1238.0999999999999</v>
      </c>
      <c r="AN122" s="618">
        <f t="shared" si="333"/>
        <v>373.9</v>
      </c>
      <c r="AO122" s="618">
        <f>SUMIFS(Нормативы!AA:AA,Нормативы!$B:$B,$G122,Нормативы!$D:$D,'2020'!$I122,Нормативы!$F:$F,'2020'!$K122)</f>
        <v>0</v>
      </c>
      <c r="AP122" s="619">
        <f t="shared" si="334"/>
        <v>18454</v>
      </c>
      <c r="AQ122" s="413">
        <f t="shared" si="272"/>
        <v>453040</v>
      </c>
      <c r="AR122" s="618">
        <f t="shared" si="335"/>
        <v>347957</v>
      </c>
      <c r="AS122" s="618">
        <f t="shared" si="336"/>
        <v>105083</v>
      </c>
      <c r="AT122" s="616">
        <f t="shared" si="273"/>
        <v>17010</v>
      </c>
      <c r="AU122" s="616">
        <f t="shared" si="274"/>
        <v>3395</v>
      </c>
      <c r="AV122" s="616">
        <f t="shared" si="275"/>
        <v>12180</v>
      </c>
      <c r="AW122" s="616">
        <f t="shared" si="276"/>
        <v>71085</v>
      </c>
      <c r="AX122" s="616">
        <f t="shared" si="277"/>
        <v>1820</v>
      </c>
      <c r="AY122" s="616">
        <f t="shared" si="278"/>
        <v>60480</v>
      </c>
      <c r="AZ122" s="616">
        <f t="shared" si="279"/>
        <v>2555</v>
      </c>
      <c r="BA122" s="616">
        <f t="shared" si="280"/>
        <v>6230</v>
      </c>
      <c r="BB122" s="616">
        <f t="shared" si="281"/>
        <v>9625</v>
      </c>
      <c r="BC122" s="616">
        <f t="shared" si="282"/>
        <v>20300</v>
      </c>
      <c r="BD122" s="616">
        <f t="shared" si="283"/>
        <v>1890</v>
      </c>
      <c r="BE122" s="616">
        <f t="shared" si="284"/>
        <v>2695</v>
      </c>
      <c r="BF122" s="616">
        <f t="shared" si="285"/>
        <v>280</v>
      </c>
      <c r="BG122" s="616">
        <f t="shared" si="286"/>
        <v>1365</v>
      </c>
      <c r="BH122" s="616">
        <f t="shared" si="287"/>
        <v>56420</v>
      </c>
      <c r="BI122" s="618">
        <f t="shared" si="337"/>
        <v>43333.3</v>
      </c>
      <c r="BJ122" s="618">
        <f t="shared" si="338"/>
        <v>13086.7</v>
      </c>
      <c r="BK122" s="616">
        <f t="shared" si="288"/>
        <v>0</v>
      </c>
      <c r="BL122" s="620">
        <f t="shared" si="289"/>
        <v>645890</v>
      </c>
      <c r="BM122" s="616">
        <f t="shared" si="290"/>
        <v>631991</v>
      </c>
      <c r="BN122" s="618">
        <f t="shared" si="291"/>
        <v>485400.2</v>
      </c>
      <c r="BO122" s="618">
        <f t="shared" si="292"/>
        <v>146590.79999999999</v>
      </c>
      <c r="BP122" s="616">
        <f t="shared" si="339"/>
        <v>17010</v>
      </c>
      <c r="BQ122" s="616">
        <f t="shared" si="340"/>
        <v>3395</v>
      </c>
      <c r="BR122" s="616">
        <f t="shared" si="341"/>
        <v>12180</v>
      </c>
      <c r="BS122" s="616">
        <f t="shared" si="293"/>
        <v>71085</v>
      </c>
      <c r="BT122" s="616">
        <f t="shared" si="294"/>
        <v>1820</v>
      </c>
      <c r="BU122" s="616">
        <f t="shared" si="295"/>
        <v>60480</v>
      </c>
      <c r="BV122" s="616">
        <f t="shared" si="296"/>
        <v>2555</v>
      </c>
      <c r="BW122" s="616">
        <f t="shared" si="297"/>
        <v>6230</v>
      </c>
      <c r="BX122" s="616">
        <f t="shared" si="298"/>
        <v>19048</v>
      </c>
      <c r="BY122" s="616">
        <f t="shared" si="299"/>
        <v>20300</v>
      </c>
      <c r="BZ122" s="616">
        <f t="shared" si="300"/>
        <v>1890</v>
      </c>
      <c r="CA122" s="616">
        <f t="shared" si="301"/>
        <v>2695</v>
      </c>
      <c r="CB122" s="616">
        <f t="shared" si="302"/>
        <v>280</v>
      </c>
      <c r="CC122" s="616">
        <f t="shared" si="303"/>
        <v>1365</v>
      </c>
      <c r="CD122" s="616">
        <f t="shared" si="304"/>
        <v>78706</v>
      </c>
      <c r="CE122" s="618">
        <f t="shared" si="342"/>
        <v>60450.1</v>
      </c>
      <c r="CF122" s="618">
        <f t="shared" si="343"/>
        <v>18255.900000000001</v>
      </c>
      <c r="CG122" s="616">
        <f t="shared" si="305"/>
        <v>0</v>
      </c>
      <c r="CH122" s="621">
        <f t="shared" si="306"/>
        <v>856550</v>
      </c>
      <c r="CI122" s="88">
        <f t="shared" si="307"/>
        <v>18056.885699999999</v>
      </c>
      <c r="CJ122" s="90">
        <f t="shared" si="308"/>
        <v>13868.5771</v>
      </c>
      <c r="CK122" s="90">
        <f t="shared" si="309"/>
        <v>4188.3086000000003</v>
      </c>
      <c r="CL122" s="88">
        <f t="shared" si="310"/>
        <v>486</v>
      </c>
      <c r="CM122" s="88">
        <f t="shared" si="311"/>
        <v>97</v>
      </c>
      <c r="CN122" s="88">
        <f t="shared" si="312"/>
        <v>348</v>
      </c>
      <c r="CO122" s="88">
        <f t="shared" si="313"/>
        <v>2031</v>
      </c>
      <c r="CP122" s="88">
        <f t="shared" si="314"/>
        <v>52</v>
      </c>
      <c r="CQ122" s="88">
        <f t="shared" si="315"/>
        <v>1728</v>
      </c>
      <c r="CR122" s="88">
        <f t="shared" si="316"/>
        <v>73</v>
      </c>
      <c r="CS122" s="88">
        <f t="shared" si="317"/>
        <v>178</v>
      </c>
      <c r="CT122" s="88">
        <f t="shared" si="318"/>
        <v>544.22860000000003</v>
      </c>
      <c r="CU122" s="88">
        <f t="shared" si="319"/>
        <v>580</v>
      </c>
      <c r="CV122" s="88">
        <f t="shared" si="320"/>
        <v>54</v>
      </c>
      <c r="CW122" s="88">
        <f t="shared" si="321"/>
        <v>77</v>
      </c>
      <c r="CX122" s="88">
        <f t="shared" si="322"/>
        <v>8</v>
      </c>
      <c r="CY122" s="88">
        <f t="shared" si="323"/>
        <v>39</v>
      </c>
      <c r="CZ122" s="88">
        <f t="shared" si="324"/>
        <v>2248.7429000000002</v>
      </c>
      <c r="DA122" s="90">
        <f t="shared" si="325"/>
        <v>1727.1457</v>
      </c>
      <c r="DB122" s="90">
        <f t="shared" si="326"/>
        <v>521.59709999999995</v>
      </c>
      <c r="DC122" s="88">
        <f t="shared" si="327"/>
        <v>0</v>
      </c>
      <c r="DD122" s="211">
        <f t="shared" si="328"/>
        <v>24472.857100000001</v>
      </c>
      <c r="AUV122" s="699">
        <f t="shared" si="235"/>
        <v>18056.89</v>
      </c>
      <c r="AUW122" s="699">
        <f t="shared" si="236"/>
        <v>13868.58</v>
      </c>
      <c r="AUX122" s="699">
        <f t="shared" si="237"/>
        <v>4188.3100000000004</v>
      </c>
      <c r="AUY122" s="699">
        <f t="shared" si="375"/>
        <v>486</v>
      </c>
      <c r="AUZ122" s="699">
        <f t="shared" si="344"/>
        <v>1715.51</v>
      </c>
      <c r="AVA122" s="699">
        <f t="shared" si="344"/>
        <v>0.94</v>
      </c>
      <c r="AVB122" s="699">
        <f t="shared" si="376"/>
        <v>2031</v>
      </c>
      <c r="AVC122" s="699">
        <f t="shared" si="377"/>
        <v>52</v>
      </c>
      <c r="AVD122" s="699">
        <f t="shared" si="378"/>
        <v>1728</v>
      </c>
      <c r="AVE122" s="699">
        <f t="shared" si="379"/>
        <v>73</v>
      </c>
      <c r="AVF122" s="699">
        <f t="shared" si="380"/>
        <v>178</v>
      </c>
      <c r="AVG122" s="699">
        <f t="shared" si="381"/>
        <v>544.23</v>
      </c>
      <c r="AVH122" s="699">
        <f t="shared" si="382"/>
        <v>580</v>
      </c>
      <c r="AVI122" s="699">
        <f t="shared" si="383"/>
        <v>54</v>
      </c>
      <c r="AVJ122" s="699">
        <f t="shared" si="384"/>
        <v>77</v>
      </c>
      <c r="AVK122" s="699">
        <f t="shared" si="385"/>
        <v>8</v>
      </c>
      <c r="AVL122" s="699">
        <f t="shared" si="386"/>
        <v>39</v>
      </c>
      <c r="AVM122" s="699">
        <f t="shared" si="387"/>
        <v>2248.7399999999998</v>
      </c>
      <c r="AVN122" s="699">
        <f t="shared" si="388"/>
        <v>1727.14</v>
      </c>
      <c r="AVO122" s="699">
        <f t="shared" si="389"/>
        <v>521.6</v>
      </c>
      <c r="AVP122" s="699">
        <f t="shared" si="390"/>
        <v>0</v>
      </c>
      <c r="AVQ122" s="699">
        <f t="shared" si="391"/>
        <v>24472.86</v>
      </c>
    </row>
    <row r="123" spans="1:108 1244:1265" ht="30" customHeight="1" x14ac:dyDescent="0.25">
      <c r="A123" s="642">
        <v>1</v>
      </c>
      <c r="B123" s="642">
        <v>5</v>
      </c>
      <c r="C123" s="663" t="s">
        <v>248</v>
      </c>
      <c r="D123" s="2"/>
      <c r="E123" s="277" t="s">
        <v>348</v>
      </c>
      <c r="F123" s="642" t="s">
        <v>40</v>
      </c>
      <c r="G123" s="642">
        <v>4</v>
      </c>
      <c r="H123" s="657" t="s">
        <v>10</v>
      </c>
      <c r="I123" s="642">
        <v>0</v>
      </c>
      <c r="J123" s="277" t="s">
        <v>390</v>
      </c>
      <c r="K123" s="642">
        <v>1</v>
      </c>
      <c r="L123" s="682" t="s">
        <v>353</v>
      </c>
      <c r="M123" s="419" t="s">
        <v>316</v>
      </c>
      <c r="N123" s="277" t="s">
        <v>387</v>
      </c>
      <c r="O123" s="642">
        <v>1</v>
      </c>
      <c r="P123" s="632">
        <v>24</v>
      </c>
      <c r="Q123" s="632">
        <v>24</v>
      </c>
      <c r="R123" s="632">
        <v>24</v>
      </c>
      <c r="S123" s="673">
        <f>SUMIF('Территориальный кк'!$A:$A,'2020'!$B123,'Территориальный кк'!F:F)</f>
        <v>1.395</v>
      </c>
      <c r="T123" s="673">
        <f>SUMIF('Территориальный кк'!$A:$A,'2020'!$B123,'Территориальный кк'!G:G)</f>
        <v>1.9890000000000001</v>
      </c>
      <c r="U123" s="624">
        <f>SUMIFS(Нормативы!G:G,Нормативы!$B:$B,$G123,Нормативы!$D:$D,'2020'!$I123,Нормативы!$F:$F,'2020'!$K123)*O123</f>
        <v>22310</v>
      </c>
      <c r="V123" s="624">
        <f t="shared" si="329"/>
        <v>17135.2</v>
      </c>
      <c r="W123" s="624">
        <f t="shared" si="330"/>
        <v>5174.8</v>
      </c>
      <c r="X123" s="624">
        <f>SUMIFS(Нормативы!J:J,Нормативы!$B:$B,$G123,Нормативы!$D:$D,'2020'!$I123,Нормативы!$F:$F,'2020'!$K123)</f>
        <v>910</v>
      </c>
      <c r="Y123" s="624">
        <f>SUMIFS(Нормативы!K:K,Нормативы!$B:$B,$G123,Нормативы!$D:$D,'2020'!$I123,Нормативы!$F:$F,'2020'!$K123)</f>
        <v>182</v>
      </c>
      <c r="Z123" s="624">
        <f>SUMIFS(Нормативы!L:L,Нормативы!$B:$B,$G123,Нормативы!$D:$D,'2020'!$I123,Нормативы!$F:$F,'2020'!$K123)</f>
        <v>2640</v>
      </c>
      <c r="AA123" s="624">
        <f t="shared" si="331"/>
        <v>2630</v>
      </c>
      <c r="AB123" s="624">
        <f>SUMIFS(Нормативы!N:N,Нормативы!$B:$B,$G123,Нормативы!$D:$D,'2020'!$I123,Нормативы!$F:$F,'2020'!$K123)*O123</f>
        <v>460</v>
      </c>
      <c r="AC123" s="624">
        <f>SUMIFS(Нормативы!O:O,Нормативы!$B:$B,$G123,Нормативы!$D:$D,'2020'!$I123,Нормативы!$F:$F,'2020'!$K123)</f>
        <v>600</v>
      </c>
      <c r="AD123" s="624">
        <f>SUMIFS(Нормативы!P:P,Нормативы!$B:$B,$G123,Нормативы!$D:$D,'2020'!$I123,Нормативы!$F:$F,'2020'!$K123)*O123</f>
        <v>830</v>
      </c>
      <c r="AE123" s="624">
        <f>SUMIFS(Нормативы!Q:Q,Нормативы!$B:$B,$G123,Нормативы!$D:$D,'2020'!$I123,Нормативы!$F:$F,'2020'!$K123)</f>
        <v>740</v>
      </c>
      <c r="AF123" s="624">
        <f>SUMIFS(Нормативы!R:R,Нормативы!$B:$B,$G123,Нормативы!$D:$D,'2020'!$I123,Нормативы!$F:$F,'2020'!$K123)</f>
        <v>2120</v>
      </c>
      <c r="AG123" s="624">
        <f>SUMIFS(Нормативы!S:S,Нормативы!$B:$B,$G123,Нормативы!$D:$D,'2020'!$I123,Нормативы!$F:$F,'2020'!$K123)</f>
        <v>8620</v>
      </c>
      <c r="AH123" s="624">
        <f>SUMIFS(Нормативы!T:T,Нормативы!$B:$B,$G123,Нормативы!$D:$D,'2020'!$I123,Нормативы!$F:$F,'2020'!$K123)</f>
        <v>310</v>
      </c>
      <c r="AI123" s="624">
        <f>SUMIFS(Нормативы!U:U,Нормативы!$B:$B,$G123,Нормативы!$D:$D,'2020'!$I123,Нормативы!$F:$F,'2020'!$K123)</f>
        <v>1240</v>
      </c>
      <c r="AJ123" s="624">
        <f>SUMIFS(Нормативы!V:V,Нормативы!$B:$B,$G123,Нормативы!$D:$D,'2020'!$I123,Нормативы!$F:$F,'2020'!$K123)</f>
        <v>50</v>
      </c>
      <c r="AK123" s="624">
        <f>SUMIFS(Нормативы!W:W,Нормативы!$B:$B,$G123,Нормативы!$D:$D,'2020'!$I123,Нормативы!$F:$F,'2020'!$K123)</f>
        <v>190</v>
      </c>
      <c r="AL123" s="624">
        <f>SUMIFS(Нормативы!X:X,Нормативы!$B:$B,$G123,Нормативы!$D:$D,'2020'!$I123,Нормативы!$F:$F,'2020'!$K123)*O123</f>
        <v>14870</v>
      </c>
      <c r="AM123" s="624">
        <f t="shared" si="332"/>
        <v>11420.9</v>
      </c>
      <c r="AN123" s="624">
        <f t="shared" si="333"/>
        <v>3449.1</v>
      </c>
      <c r="AO123" s="624">
        <f>SUMIFS(Нормативы!AA:AA,Нормативы!$B:$B,$G123,Нормативы!$D:$D,'2020'!$I123,Нормативы!$F:$F,'2020'!$K123)</f>
        <v>650</v>
      </c>
      <c r="AP123" s="621">
        <f t="shared" si="334"/>
        <v>56540</v>
      </c>
      <c r="AQ123" s="610">
        <f t="shared" si="272"/>
        <v>535440</v>
      </c>
      <c r="AR123" s="624">
        <f t="shared" si="335"/>
        <v>411244.2</v>
      </c>
      <c r="AS123" s="624">
        <f t="shared" si="336"/>
        <v>124195.8</v>
      </c>
      <c r="AT123" s="615">
        <f t="shared" si="273"/>
        <v>21840</v>
      </c>
      <c r="AU123" s="615">
        <f t="shared" si="274"/>
        <v>4368</v>
      </c>
      <c r="AV123" s="615">
        <f t="shared" si="275"/>
        <v>63360</v>
      </c>
      <c r="AW123" s="615">
        <f t="shared" si="276"/>
        <v>63120</v>
      </c>
      <c r="AX123" s="615">
        <f t="shared" si="277"/>
        <v>11040</v>
      </c>
      <c r="AY123" s="615">
        <f t="shared" si="278"/>
        <v>14400</v>
      </c>
      <c r="AZ123" s="615">
        <f t="shared" si="279"/>
        <v>19920</v>
      </c>
      <c r="BA123" s="615">
        <f t="shared" si="280"/>
        <v>17760</v>
      </c>
      <c r="BB123" s="615">
        <f t="shared" si="281"/>
        <v>50880</v>
      </c>
      <c r="BC123" s="615">
        <f t="shared" si="282"/>
        <v>206880</v>
      </c>
      <c r="BD123" s="615">
        <f t="shared" si="283"/>
        <v>7440</v>
      </c>
      <c r="BE123" s="615">
        <f t="shared" si="284"/>
        <v>29760</v>
      </c>
      <c r="BF123" s="615">
        <f t="shared" si="285"/>
        <v>1200</v>
      </c>
      <c r="BG123" s="615">
        <f t="shared" si="286"/>
        <v>4560</v>
      </c>
      <c r="BH123" s="615">
        <f t="shared" si="287"/>
        <v>356880</v>
      </c>
      <c r="BI123" s="624">
        <f t="shared" si="337"/>
        <v>274101.40000000002</v>
      </c>
      <c r="BJ123" s="624">
        <f t="shared" si="338"/>
        <v>82778.600000000006</v>
      </c>
      <c r="BK123" s="615">
        <f t="shared" si="288"/>
        <v>15600</v>
      </c>
      <c r="BL123" s="620">
        <f t="shared" si="289"/>
        <v>1356960</v>
      </c>
      <c r="BM123" s="615">
        <f t="shared" si="290"/>
        <v>746939</v>
      </c>
      <c r="BN123" s="624">
        <f t="shared" si="291"/>
        <v>573685.9</v>
      </c>
      <c r="BO123" s="624">
        <f t="shared" si="292"/>
        <v>173253.1</v>
      </c>
      <c r="BP123" s="615">
        <f t="shared" si="339"/>
        <v>21840</v>
      </c>
      <c r="BQ123" s="615">
        <f t="shared" si="340"/>
        <v>4368</v>
      </c>
      <c r="BR123" s="615">
        <f t="shared" si="341"/>
        <v>63360</v>
      </c>
      <c r="BS123" s="615">
        <f t="shared" si="293"/>
        <v>63120</v>
      </c>
      <c r="BT123" s="616">
        <f t="shared" si="294"/>
        <v>11040</v>
      </c>
      <c r="BU123" s="616">
        <f t="shared" si="295"/>
        <v>14400</v>
      </c>
      <c r="BV123" s="616">
        <f t="shared" si="296"/>
        <v>19920</v>
      </c>
      <c r="BW123" s="616">
        <f t="shared" si="297"/>
        <v>17760</v>
      </c>
      <c r="BX123" s="615">
        <f t="shared" si="298"/>
        <v>101200</v>
      </c>
      <c r="BY123" s="615">
        <f t="shared" si="299"/>
        <v>206880</v>
      </c>
      <c r="BZ123" s="615">
        <f t="shared" si="300"/>
        <v>7440</v>
      </c>
      <c r="CA123" s="615">
        <f t="shared" si="301"/>
        <v>29760</v>
      </c>
      <c r="CB123" s="615">
        <f t="shared" si="302"/>
        <v>1200</v>
      </c>
      <c r="CC123" s="615">
        <f t="shared" si="303"/>
        <v>4560</v>
      </c>
      <c r="CD123" s="615">
        <f t="shared" si="304"/>
        <v>497848</v>
      </c>
      <c r="CE123" s="624">
        <f t="shared" si="342"/>
        <v>382371.7</v>
      </c>
      <c r="CF123" s="624">
        <f t="shared" si="343"/>
        <v>115476.3</v>
      </c>
      <c r="CG123" s="615">
        <f t="shared" si="305"/>
        <v>15600</v>
      </c>
      <c r="CH123" s="621">
        <f t="shared" si="306"/>
        <v>1759747</v>
      </c>
      <c r="CI123" s="88">
        <f t="shared" si="307"/>
        <v>31122.458299999998</v>
      </c>
      <c r="CJ123" s="90">
        <f t="shared" si="308"/>
        <v>23903.5792</v>
      </c>
      <c r="CK123" s="90">
        <f t="shared" si="309"/>
        <v>7218.8792000000003</v>
      </c>
      <c r="CL123" s="88">
        <f t="shared" si="310"/>
        <v>910</v>
      </c>
      <c r="CM123" s="88">
        <f t="shared" si="311"/>
        <v>182</v>
      </c>
      <c r="CN123" s="88">
        <f t="shared" si="312"/>
        <v>2640</v>
      </c>
      <c r="CO123" s="88">
        <f t="shared" si="313"/>
        <v>2630</v>
      </c>
      <c r="CP123" s="88">
        <f t="shared" si="314"/>
        <v>460</v>
      </c>
      <c r="CQ123" s="88">
        <f t="shared" si="315"/>
        <v>600</v>
      </c>
      <c r="CR123" s="88">
        <f t="shared" si="316"/>
        <v>830</v>
      </c>
      <c r="CS123" s="88">
        <f t="shared" si="317"/>
        <v>740</v>
      </c>
      <c r="CT123" s="88">
        <f t="shared" si="318"/>
        <v>4216.6666999999998</v>
      </c>
      <c r="CU123" s="88">
        <f t="shared" si="319"/>
        <v>8620</v>
      </c>
      <c r="CV123" s="88">
        <f t="shared" si="320"/>
        <v>310</v>
      </c>
      <c r="CW123" s="88">
        <f t="shared" si="321"/>
        <v>1240</v>
      </c>
      <c r="CX123" s="88">
        <f t="shared" si="322"/>
        <v>50</v>
      </c>
      <c r="CY123" s="88">
        <f t="shared" si="323"/>
        <v>190</v>
      </c>
      <c r="CZ123" s="88">
        <f t="shared" si="324"/>
        <v>20743.666700000002</v>
      </c>
      <c r="DA123" s="90">
        <f t="shared" si="325"/>
        <v>15932.154200000001</v>
      </c>
      <c r="DB123" s="90">
        <f t="shared" si="326"/>
        <v>4811.5124999999998</v>
      </c>
      <c r="DC123" s="88">
        <f t="shared" si="327"/>
        <v>650</v>
      </c>
      <c r="DD123" s="211">
        <f t="shared" si="328"/>
        <v>73322.791700000002</v>
      </c>
      <c r="AUV123" s="699">
        <f t="shared" si="235"/>
        <v>31122.46</v>
      </c>
      <c r="AUW123" s="699">
        <f t="shared" si="236"/>
        <v>23903.58</v>
      </c>
      <c r="AUX123" s="699">
        <f t="shared" si="237"/>
        <v>7218.88</v>
      </c>
      <c r="AUY123" s="699">
        <f t="shared" si="375"/>
        <v>910</v>
      </c>
      <c r="AUZ123" s="699">
        <f t="shared" si="344"/>
        <v>2196.08</v>
      </c>
      <c r="AVA123" s="699">
        <f t="shared" si="344"/>
        <v>2.84</v>
      </c>
      <c r="AVB123" s="699">
        <f t="shared" si="376"/>
        <v>2630</v>
      </c>
      <c r="AVC123" s="699">
        <f t="shared" si="377"/>
        <v>460</v>
      </c>
      <c r="AVD123" s="699">
        <f t="shared" si="378"/>
        <v>600</v>
      </c>
      <c r="AVE123" s="699">
        <f t="shared" si="379"/>
        <v>830</v>
      </c>
      <c r="AVF123" s="699">
        <f t="shared" si="380"/>
        <v>740</v>
      </c>
      <c r="AVG123" s="699">
        <f t="shared" si="381"/>
        <v>4216.67</v>
      </c>
      <c r="AVH123" s="699">
        <f t="shared" si="382"/>
        <v>8620</v>
      </c>
      <c r="AVI123" s="699">
        <f t="shared" si="383"/>
        <v>310</v>
      </c>
      <c r="AVJ123" s="699">
        <f t="shared" si="384"/>
        <v>1240</v>
      </c>
      <c r="AVK123" s="699">
        <f t="shared" si="385"/>
        <v>50</v>
      </c>
      <c r="AVL123" s="699">
        <f t="shared" si="386"/>
        <v>190</v>
      </c>
      <c r="AVM123" s="699">
        <f t="shared" si="387"/>
        <v>20743.669999999998</v>
      </c>
      <c r="AVN123" s="699">
        <f t="shared" si="388"/>
        <v>15932.16</v>
      </c>
      <c r="AVO123" s="699">
        <f t="shared" si="389"/>
        <v>4811.51</v>
      </c>
      <c r="AVP123" s="699">
        <f t="shared" si="390"/>
        <v>650</v>
      </c>
      <c r="AVQ123" s="699">
        <f t="shared" si="391"/>
        <v>73322.789999999994</v>
      </c>
    </row>
    <row r="124" spans="1:108 1244:1265" ht="30" customHeight="1" x14ac:dyDescent="0.25">
      <c r="A124" s="642">
        <v>1</v>
      </c>
      <c r="B124" s="642">
        <v>5</v>
      </c>
      <c r="C124" s="663" t="s">
        <v>248</v>
      </c>
      <c r="D124" s="2"/>
      <c r="E124" s="277" t="s">
        <v>348</v>
      </c>
      <c r="F124" s="642" t="s">
        <v>40</v>
      </c>
      <c r="G124" s="642">
        <v>4</v>
      </c>
      <c r="H124" s="657" t="s">
        <v>10</v>
      </c>
      <c r="I124" s="642">
        <v>0</v>
      </c>
      <c r="J124" s="277" t="s">
        <v>391</v>
      </c>
      <c r="K124" s="642">
        <v>3</v>
      </c>
      <c r="L124" s="682" t="s">
        <v>353</v>
      </c>
      <c r="M124" s="419" t="s">
        <v>317</v>
      </c>
      <c r="N124" s="277" t="s">
        <v>387</v>
      </c>
      <c r="O124" s="642">
        <v>1</v>
      </c>
      <c r="P124" s="632">
        <v>320</v>
      </c>
      <c r="Q124" s="632">
        <v>320</v>
      </c>
      <c r="R124" s="632">
        <v>320</v>
      </c>
      <c r="S124" s="673">
        <f>SUMIF('Территориальный кк'!$A:$A,'2020'!$B124,'Территориальный кк'!F:F)</f>
        <v>1.395</v>
      </c>
      <c r="T124" s="673">
        <f>SUMIF('Территориальный кк'!$A:$A,'2020'!$B124,'Территориальный кк'!G:G)</f>
        <v>1.9890000000000001</v>
      </c>
      <c r="U124" s="624">
        <f>SUMIFS(Нормативы!G:G,Нормативы!$B:$B,$G124,Нормативы!$D:$D,'2020'!$I124,Нормативы!$F:$F,'2020'!$K124)*O124</f>
        <v>22310</v>
      </c>
      <c r="V124" s="624">
        <f t="shared" si="329"/>
        <v>17135.2</v>
      </c>
      <c r="W124" s="624">
        <f t="shared" si="330"/>
        <v>5174.8</v>
      </c>
      <c r="X124" s="624">
        <f>SUMIFS(Нормативы!J:J,Нормативы!$B:$B,$G124,Нормативы!$D:$D,'2020'!$I124,Нормативы!$F:$F,'2020'!$K124)</f>
        <v>1910</v>
      </c>
      <c r="Y124" s="624">
        <f>SUMIFS(Нормативы!K:K,Нормативы!$B:$B,$G124,Нормативы!$D:$D,'2020'!$I124,Нормативы!$F:$F,'2020'!$K124)</f>
        <v>382</v>
      </c>
      <c r="Z124" s="624">
        <f>SUMIFS(Нормативы!L:L,Нормативы!$B:$B,$G124,Нормативы!$D:$D,'2020'!$I124,Нормативы!$F:$F,'2020'!$K124)</f>
        <v>3970</v>
      </c>
      <c r="AA124" s="624">
        <f t="shared" si="331"/>
        <v>13670</v>
      </c>
      <c r="AB124" s="624">
        <f>SUMIFS(Нормативы!N:N,Нормативы!$B:$B,$G124,Нормативы!$D:$D,'2020'!$I124,Нормативы!$F:$F,'2020'!$K124)*O124</f>
        <v>460</v>
      </c>
      <c r="AC124" s="624">
        <f>SUMIFS(Нормативы!O:O,Нормативы!$B:$B,$G124,Нормативы!$D:$D,'2020'!$I124,Нормативы!$F:$F,'2020'!$K124)</f>
        <v>9200</v>
      </c>
      <c r="AD124" s="624">
        <f>SUMIFS(Нормативы!P:P,Нормативы!$B:$B,$G124,Нормативы!$D:$D,'2020'!$I124,Нормативы!$F:$F,'2020'!$K124)*O124</f>
        <v>3270</v>
      </c>
      <c r="AE124" s="624">
        <f>SUMIFS(Нормативы!Q:Q,Нормативы!$B:$B,$G124,Нормативы!$D:$D,'2020'!$I124,Нормативы!$F:$F,'2020'!$K124)</f>
        <v>740</v>
      </c>
      <c r="AF124" s="624">
        <f>SUMIFS(Нормативы!R:R,Нормативы!$B:$B,$G124,Нормативы!$D:$D,'2020'!$I124,Нормативы!$F:$F,'2020'!$K124)</f>
        <v>2120</v>
      </c>
      <c r="AG124" s="624">
        <f>SUMIFS(Нормативы!S:S,Нормативы!$B:$B,$G124,Нормативы!$D:$D,'2020'!$I124,Нормативы!$F:$F,'2020'!$K124)</f>
        <v>8620</v>
      </c>
      <c r="AH124" s="624">
        <f>SUMIFS(Нормативы!T:T,Нормативы!$B:$B,$G124,Нормативы!$D:$D,'2020'!$I124,Нормативы!$F:$F,'2020'!$K124)</f>
        <v>310</v>
      </c>
      <c r="AI124" s="624">
        <f>SUMIFS(Нормативы!U:U,Нормативы!$B:$B,$G124,Нормативы!$D:$D,'2020'!$I124,Нормативы!$F:$F,'2020'!$K124)</f>
        <v>1240</v>
      </c>
      <c r="AJ124" s="624">
        <f>SUMIFS(Нормативы!V:V,Нормативы!$B:$B,$G124,Нормативы!$D:$D,'2020'!$I124,Нормативы!$F:$F,'2020'!$K124)</f>
        <v>50</v>
      </c>
      <c r="AK124" s="624">
        <f>SUMIFS(Нормативы!W:W,Нормативы!$B:$B,$G124,Нормативы!$D:$D,'2020'!$I124,Нормативы!$F:$F,'2020'!$K124)</f>
        <v>2570</v>
      </c>
      <c r="AL124" s="624">
        <f>SUMIFS(Нормативы!X:X,Нормативы!$B:$B,$G124,Нормативы!$D:$D,'2020'!$I124,Нормативы!$F:$F,'2020'!$K124)*O124</f>
        <v>17850</v>
      </c>
      <c r="AM124" s="624">
        <f t="shared" si="332"/>
        <v>13709.7</v>
      </c>
      <c r="AN124" s="624">
        <f t="shared" si="333"/>
        <v>4140.3</v>
      </c>
      <c r="AO124" s="624">
        <f>SUMIFS(Нормативы!AA:AA,Нормативы!$B:$B,$G124,Нормативы!$D:$D,'2020'!$I124,Нормативы!$F:$F,'2020'!$K124)</f>
        <v>650</v>
      </c>
      <c r="AP124" s="621">
        <f t="shared" si="334"/>
        <v>75270</v>
      </c>
      <c r="AQ124" s="610">
        <f t="shared" si="272"/>
        <v>7139200</v>
      </c>
      <c r="AR124" s="624">
        <f t="shared" si="335"/>
        <v>5483256.5</v>
      </c>
      <c r="AS124" s="624">
        <f t="shared" si="336"/>
        <v>1655943.5</v>
      </c>
      <c r="AT124" s="615">
        <f t="shared" si="273"/>
        <v>611200</v>
      </c>
      <c r="AU124" s="615">
        <f t="shared" si="274"/>
        <v>122240</v>
      </c>
      <c r="AV124" s="615">
        <f t="shared" si="275"/>
        <v>1270400</v>
      </c>
      <c r="AW124" s="615">
        <f t="shared" si="276"/>
        <v>4374400</v>
      </c>
      <c r="AX124" s="615">
        <f t="shared" si="277"/>
        <v>147200</v>
      </c>
      <c r="AY124" s="615">
        <f t="shared" si="278"/>
        <v>2944000</v>
      </c>
      <c r="AZ124" s="615">
        <f t="shared" si="279"/>
        <v>1046400</v>
      </c>
      <c r="BA124" s="615">
        <f t="shared" si="280"/>
        <v>236800</v>
      </c>
      <c r="BB124" s="615">
        <f t="shared" si="281"/>
        <v>678400</v>
      </c>
      <c r="BC124" s="615">
        <f t="shared" si="282"/>
        <v>2758400</v>
      </c>
      <c r="BD124" s="615">
        <f t="shared" si="283"/>
        <v>99200</v>
      </c>
      <c r="BE124" s="615">
        <f t="shared" si="284"/>
        <v>396800</v>
      </c>
      <c r="BF124" s="615">
        <f t="shared" si="285"/>
        <v>16000</v>
      </c>
      <c r="BG124" s="615">
        <f t="shared" si="286"/>
        <v>822400</v>
      </c>
      <c r="BH124" s="615">
        <f t="shared" si="287"/>
        <v>5712000</v>
      </c>
      <c r="BI124" s="624">
        <f t="shared" si="337"/>
        <v>4387096.8</v>
      </c>
      <c r="BJ124" s="624">
        <f t="shared" si="338"/>
        <v>1324903.2</v>
      </c>
      <c r="BK124" s="615">
        <f t="shared" si="288"/>
        <v>208000</v>
      </c>
      <c r="BL124" s="620">
        <f t="shared" si="289"/>
        <v>24086400</v>
      </c>
      <c r="BM124" s="615">
        <f t="shared" si="290"/>
        <v>9959184</v>
      </c>
      <c r="BN124" s="624">
        <f t="shared" si="291"/>
        <v>7649142.9000000004</v>
      </c>
      <c r="BO124" s="624">
        <f t="shared" si="292"/>
        <v>2310041.1</v>
      </c>
      <c r="BP124" s="615">
        <f t="shared" si="339"/>
        <v>611200</v>
      </c>
      <c r="BQ124" s="615">
        <f t="shared" si="340"/>
        <v>122240</v>
      </c>
      <c r="BR124" s="615">
        <f t="shared" si="341"/>
        <v>1270400</v>
      </c>
      <c r="BS124" s="615">
        <f t="shared" si="293"/>
        <v>4374400</v>
      </c>
      <c r="BT124" s="616">
        <f t="shared" si="294"/>
        <v>147200</v>
      </c>
      <c r="BU124" s="616">
        <f t="shared" si="295"/>
        <v>2944000</v>
      </c>
      <c r="BV124" s="616">
        <f t="shared" si="296"/>
        <v>1046400</v>
      </c>
      <c r="BW124" s="616">
        <f t="shared" si="297"/>
        <v>236800</v>
      </c>
      <c r="BX124" s="615">
        <f t="shared" si="298"/>
        <v>1349338</v>
      </c>
      <c r="BY124" s="615">
        <f t="shared" si="299"/>
        <v>2758400</v>
      </c>
      <c r="BZ124" s="615">
        <f t="shared" si="300"/>
        <v>99200</v>
      </c>
      <c r="CA124" s="615">
        <f t="shared" si="301"/>
        <v>396800</v>
      </c>
      <c r="CB124" s="615">
        <f t="shared" si="302"/>
        <v>16000</v>
      </c>
      <c r="CC124" s="615">
        <f t="shared" si="303"/>
        <v>822400</v>
      </c>
      <c r="CD124" s="615">
        <f t="shared" si="304"/>
        <v>7968240</v>
      </c>
      <c r="CE124" s="624">
        <f t="shared" si="342"/>
        <v>6120000</v>
      </c>
      <c r="CF124" s="624">
        <f t="shared" si="343"/>
        <v>1848240</v>
      </c>
      <c r="CG124" s="615">
        <f t="shared" si="305"/>
        <v>208000</v>
      </c>
      <c r="CH124" s="621">
        <f t="shared" si="306"/>
        <v>29833562</v>
      </c>
      <c r="CI124" s="88">
        <f t="shared" si="307"/>
        <v>31122.45</v>
      </c>
      <c r="CJ124" s="90">
        <f t="shared" si="308"/>
        <v>23903.571599999999</v>
      </c>
      <c r="CK124" s="90">
        <f t="shared" si="309"/>
        <v>7218.8783999999996</v>
      </c>
      <c r="CL124" s="88">
        <f t="shared" si="310"/>
        <v>1910</v>
      </c>
      <c r="CM124" s="88">
        <f t="shared" si="311"/>
        <v>382</v>
      </c>
      <c r="CN124" s="88">
        <f t="shared" si="312"/>
        <v>3970</v>
      </c>
      <c r="CO124" s="88">
        <f t="shared" si="313"/>
        <v>13670</v>
      </c>
      <c r="CP124" s="88">
        <f t="shared" si="314"/>
        <v>460</v>
      </c>
      <c r="CQ124" s="88">
        <f t="shared" si="315"/>
        <v>9200</v>
      </c>
      <c r="CR124" s="88">
        <f t="shared" si="316"/>
        <v>3270</v>
      </c>
      <c r="CS124" s="88">
        <f t="shared" si="317"/>
        <v>740</v>
      </c>
      <c r="CT124" s="88">
        <f t="shared" si="318"/>
        <v>4216.6813000000002</v>
      </c>
      <c r="CU124" s="88">
        <f t="shared" si="319"/>
        <v>8620</v>
      </c>
      <c r="CV124" s="88">
        <f t="shared" si="320"/>
        <v>310</v>
      </c>
      <c r="CW124" s="88">
        <f t="shared" si="321"/>
        <v>1240</v>
      </c>
      <c r="CX124" s="88">
        <f t="shared" si="322"/>
        <v>50</v>
      </c>
      <c r="CY124" s="88">
        <f t="shared" si="323"/>
        <v>2570</v>
      </c>
      <c r="CZ124" s="88">
        <f t="shared" si="324"/>
        <v>24900.75</v>
      </c>
      <c r="DA124" s="90">
        <f t="shared" si="325"/>
        <v>19125</v>
      </c>
      <c r="DB124" s="90">
        <f t="shared" si="326"/>
        <v>5775.75</v>
      </c>
      <c r="DC124" s="88">
        <f t="shared" si="327"/>
        <v>650</v>
      </c>
      <c r="DD124" s="211">
        <f t="shared" si="328"/>
        <v>93229.881299999994</v>
      </c>
      <c r="AUV124" s="699">
        <f t="shared" si="235"/>
        <v>31122.45</v>
      </c>
      <c r="AUW124" s="699">
        <f t="shared" si="236"/>
        <v>23903.57</v>
      </c>
      <c r="AUX124" s="699">
        <f t="shared" si="237"/>
        <v>7218.88</v>
      </c>
      <c r="AUY124" s="699">
        <f t="shared" si="375"/>
        <v>1910</v>
      </c>
      <c r="AUZ124" s="699">
        <f t="shared" si="344"/>
        <v>61458.02</v>
      </c>
      <c r="AVA124" s="699">
        <f t="shared" si="344"/>
        <v>56.94</v>
      </c>
      <c r="AVB124" s="699">
        <f t="shared" si="376"/>
        <v>13670</v>
      </c>
      <c r="AVC124" s="699">
        <f t="shared" si="377"/>
        <v>460</v>
      </c>
      <c r="AVD124" s="699">
        <f t="shared" si="378"/>
        <v>9200</v>
      </c>
      <c r="AVE124" s="699">
        <f t="shared" si="379"/>
        <v>3270</v>
      </c>
      <c r="AVF124" s="699">
        <f t="shared" si="380"/>
        <v>740</v>
      </c>
      <c r="AVG124" s="699">
        <f t="shared" si="381"/>
        <v>4216.68</v>
      </c>
      <c r="AVH124" s="699">
        <f t="shared" si="382"/>
        <v>8620</v>
      </c>
      <c r="AVI124" s="699">
        <f t="shared" si="383"/>
        <v>310</v>
      </c>
      <c r="AVJ124" s="699">
        <f t="shared" si="384"/>
        <v>1240</v>
      </c>
      <c r="AVK124" s="699">
        <f t="shared" si="385"/>
        <v>50</v>
      </c>
      <c r="AVL124" s="699">
        <f t="shared" si="386"/>
        <v>2570</v>
      </c>
      <c r="AVM124" s="699">
        <f t="shared" si="387"/>
        <v>24900.75</v>
      </c>
      <c r="AVN124" s="699">
        <f t="shared" si="388"/>
        <v>19125</v>
      </c>
      <c r="AVO124" s="699">
        <f t="shared" si="389"/>
        <v>5775.75</v>
      </c>
      <c r="AVP124" s="699">
        <f t="shared" si="390"/>
        <v>650</v>
      </c>
      <c r="AVQ124" s="699">
        <f t="shared" si="391"/>
        <v>93229.88</v>
      </c>
    </row>
    <row r="125" spans="1:108 1244:1265" ht="30" customHeight="1" x14ac:dyDescent="0.25">
      <c r="A125" s="642">
        <v>1</v>
      </c>
      <c r="B125" s="642">
        <v>5</v>
      </c>
      <c r="C125" s="663" t="s">
        <v>248</v>
      </c>
      <c r="D125" s="2"/>
      <c r="E125" s="277" t="s">
        <v>348</v>
      </c>
      <c r="F125" s="642" t="s">
        <v>40</v>
      </c>
      <c r="G125" s="642">
        <v>4</v>
      </c>
      <c r="H125" s="657" t="s">
        <v>10</v>
      </c>
      <c r="I125" s="642">
        <v>0</v>
      </c>
      <c r="J125" s="277" t="s">
        <v>391</v>
      </c>
      <c r="K125" s="642">
        <v>3</v>
      </c>
      <c r="L125" s="682" t="s">
        <v>353</v>
      </c>
      <c r="M125" s="419" t="s">
        <v>318</v>
      </c>
      <c r="N125" s="277" t="s">
        <v>401</v>
      </c>
      <c r="O125" s="642">
        <v>2</v>
      </c>
      <c r="P125" s="632">
        <v>10</v>
      </c>
      <c r="Q125" s="632">
        <v>10</v>
      </c>
      <c r="R125" s="632">
        <v>10</v>
      </c>
      <c r="S125" s="673">
        <f>SUMIF('Территориальный кк'!$A:$A,'2020'!$B125,'Территориальный кк'!F:F)</f>
        <v>1.395</v>
      </c>
      <c r="T125" s="673">
        <f>SUMIF('Территориальный кк'!$A:$A,'2020'!$B125,'Территориальный кк'!G:G)</f>
        <v>1.9890000000000001</v>
      </c>
      <c r="U125" s="624">
        <f>SUMIFS(Нормативы!G:G,Нормативы!$B:$B,$G125,Нормативы!$D:$D,'2020'!$I125,Нормативы!$F:$F,'2020'!$K125)*O125</f>
        <v>44620</v>
      </c>
      <c r="V125" s="624">
        <f t="shared" si="329"/>
        <v>34270.400000000001</v>
      </c>
      <c r="W125" s="624">
        <f t="shared" si="330"/>
        <v>10349.6</v>
      </c>
      <c r="X125" s="624">
        <f>SUMIFS(Нормативы!J:J,Нормативы!$B:$B,$G125,Нормативы!$D:$D,'2020'!$I125,Нормативы!$F:$F,'2020'!$K125)</f>
        <v>1910</v>
      </c>
      <c r="Y125" s="624">
        <f>SUMIFS(Нормативы!K:K,Нормативы!$B:$B,$G125,Нормативы!$D:$D,'2020'!$I125,Нормативы!$F:$F,'2020'!$K125)</f>
        <v>382</v>
      </c>
      <c r="Z125" s="624">
        <f>SUMIFS(Нормативы!L:L,Нормативы!$B:$B,$G125,Нормативы!$D:$D,'2020'!$I125,Нормативы!$F:$F,'2020'!$K125)</f>
        <v>3970</v>
      </c>
      <c r="AA125" s="624">
        <f t="shared" si="331"/>
        <v>17400</v>
      </c>
      <c r="AB125" s="624">
        <f>SUMIFS(Нормативы!N:N,Нормативы!$B:$B,$G125,Нормативы!$D:$D,'2020'!$I125,Нормативы!$F:$F,'2020'!$K125)*O125</f>
        <v>920</v>
      </c>
      <c r="AC125" s="624">
        <f>SUMIFS(Нормативы!O:O,Нормативы!$B:$B,$G125,Нормативы!$D:$D,'2020'!$I125,Нормативы!$F:$F,'2020'!$K125)</f>
        <v>9200</v>
      </c>
      <c r="AD125" s="624">
        <f>SUMIFS(Нормативы!P:P,Нормативы!$B:$B,$G125,Нормативы!$D:$D,'2020'!$I125,Нормативы!$F:$F,'2020'!$K125)*O125</f>
        <v>6540</v>
      </c>
      <c r="AE125" s="624">
        <f>SUMIFS(Нормативы!Q:Q,Нормативы!$B:$B,$G125,Нормативы!$D:$D,'2020'!$I125,Нормативы!$F:$F,'2020'!$K125)</f>
        <v>740</v>
      </c>
      <c r="AF125" s="624">
        <f>SUMIFS(Нормативы!R:R,Нормативы!$B:$B,$G125,Нормативы!$D:$D,'2020'!$I125,Нормативы!$F:$F,'2020'!$K125)</f>
        <v>2120</v>
      </c>
      <c r="AG125" s="624">
        <f>SUMIFS(Нормативы!S:S,Нормативы!$B:$B,$G125,Нормативы!$D:$D,'2020'!$I125,Нормативы!$F:$F,'2020'!$K125)</f>
        <v>8620</v>
      </c>
      <c r="AH125" s="624">
        <f>SUMIFS(Нормативы!T:T,Нормативы!$B:$B,$G125,Нормативы!$D:$D,'2020'!$I125,Нормативы!$F:$F,'2020'!$K125)</f>
        <v>310</v>
      </c>
      <c r="AI125" s="624">
        <f>SUMIFS(Нормативы!U:U,Нормативы!$B:$B,$G125,Нормативы!$D:$D,'2020'!$I125,Нормативы!$F:$F,'2020'!$K125)</f>
        <v>1240</v>
      </c>
      <c r="AJ125" s="624">
        <f>SUMIFS(Нормативы!V:V,Нормативы!$B:$B,$G125,Нормативы!$D:$D,'2020'!$I125,Нормативы!$F:$F,'2020'!$K125)</f>
        <v>50</v>
      </c>
      <c r="AK125" s="624">
        <f>SUMIFS(Нормативы!W:W,Нормативы!$B:$B,$G125,Нормативы!$D:$D,'2020'!$I125,Нормативы!$F:$F,'2020'!$K125)</f>
        <v>2570</v>
      </c>
      <c r="AL125" s="624">
        <f>SUMIFS(Нормативы!X:X,Нормативы!$B:$B,$G125,Нормативы!$D:$D,'2020'!$I125,Нормативы!$F:$F,'2020'!$K125)*O125</f>
        <v>35700</v>
      </c>
      <c r="AM125" s="624">
        <f t="shared" si="332"/>
        <v>27419.4</v>
      </c>
      <c r="AN125" s="624">
        <f t="shared" si="333"/>
        <v>8280.6</v>
      </c>
      <c r="AO125" s="624">
        <f>SUMIFS(Нормативы!AA:AA,Нормативы!$B:$B,$G125,Нормативы!$D:$D,'2020'!$I125,Нормативы!$F:$F,'2020'!$K125)</f>
        <v>650</v>
      </c>
      <c r="AP125" s="621">
        <f t="shared" si="334"/>
        <v>119160</v>
      </c>
      <c r="AQ125" s="610">
        <f t="shared" si="272"/>
        <v>446200</v>
      </c>
      <c r="AR125" s="624">
        <f t="shared" si="335"/>
        <v>342703.5</v>
      </c>
      <c r="AS125" s="624">
        <f t="shared" si="336"/>
        <v>103496.5</v>
      </c>
      <c r="AT125" s="615">
        <f t="shared" si="273"/>
        <v>19100</v>
      </c>
      <c r="AU125" s="615">
        <f t="shared" si="274"/>
        <v>3820</v>
      </c>
      <c r="AV125" s="615">
        <f t="shared" si="275"/>
        <v>39700</v>
      </c>
      <c r="AW125" s="615">
        <f t="shared" si="276"/>
        <v>174000</v>
      </c>
      <c r="AX125" s="615">
        <f t="shared" si="277"/>
        <v>9200</v>
      </c>
      <c r="AY125" s="615">
        <f t="shared" si="278"/>
        <v>92000</v>
      </c>
      <c r="AZ125" s="615">
        <f t="shared" si="279"/>
        <v>65400</v>
      </c>
      <c r="BA125" s="615">
        <f t="shared" si="280"/>
        <v>7400</v>
      </c>
      <c r="BB125" s="615">
        <f t="shared" si="281"/>
        <v>21200</v>
      </c>
      <c r="BC125" s="615">
        <f t="shared" si="282"/>
        <v>86200</v>
      </c>
      <c r="BD125" s="615">
        <f t="shared" si="283"/>
        <v>3100</v>
      </c>
      <c r="BE125" s="615">
        <f t="shared" si="284"/>
        <v>12400</v>
      </c>
      <c r="BF125" s="615">
        <f t="shared" si="285"/>
        <v>500</v>
      </c>
      <c r="BG125" s="615">
        <f t="shared" si="286"/>
        <v>25700</v>
      </c>
      <c r="BH125" s="615">
        <f t="shared" si="287"/>
        <v>357000</v>
      </c>
      <c r="BI125" s="624">
        <f t="shared" si="337"/>
        <v>274193.5</v>
      </c>
      <c r="BJ125" s="624">
        <f t="shared" si="338"/>
        <v>82806.5</v>
      </c>
      <c r="BK125" s="615">
        <f t="shared" si="288"/>
        <v>6500</v>
      </c>
      <c r="BL125" s="620">
        <f t="shared" si="289"/>
        <v>1191600</v>
      </c>
      <c r="BM125" s="615">
        <f t="shared" si="290"/>
        <v>622449</v>
      </c>
      <c r="BN125" s="624">
        <f t="shared" si="291"/>
        <v>478071.4</v>
      </c>
      <c r="BO125" s="624">
        <f t="shared" si="292"/>
        <v>144377.60000000001</v>
      </c>
      <c r="BP125" s="615">
        <f t="shared" si="339"/>
        <v>19100</v>
      </c>
      <c r="BQ125" s="615">
        <f t="shared" si="340"/>
        <v>3820</v>
      </c>
      <c r="BR125" s="615">
        <f t="shared" si="341"/>
        <v>39700</v>
      </c>
      <c r="BS125" s="615">
        <f t="shared" si="293"/>
        <v>174000</v>
      </c>
      <c r="BT125" s="616">
        <f t="shared" si="294"/>
        <v>9200</v>
      </c>
      <c r="BU125" s="616">
        <f t="shared" si="295"/>
        <v>92000</v>
      </c>
      <c r="BV125" s="616">
        <f t="shared" si="296"/>
        <v>65400</v>
      </c>
      <c r="BW125" s="616">
        <f t="shared" si="297"/>
        <v>7400</v>
      </c>
      <c r="BX125" s="615">
        <f t="shared" si="298"/>
        <v>42167</v>
      </c>
      <c r="BY125" s="615">
        <f t="shared" si="299"/>
        <v>86200</v>
      </c>
      <c r="BZ125" s="615">
        <f t="shared" si="300"/>
        <v>3100</v>
      </c>
      <c r="CA125" s="615">
        <f t="shared" si="301"/>
        <v>12400</v>
      </c>
      <c r="CB125" s="615">
        <f t="shared" si="302"/>
        <v>500</v>
      </c>
      <c r="CC125" s="615">
        <f t="shared" si="303"/>
        <v>25700</v>
      </c>
      <c r="CD125" s="615">
        <f t="shared" si="304"/>
        <v>498015</v>
      </c>
      <c r="CE125" s="624">
        <f t="shared" si="342"/>
        <v>382500</v>
      </c>
      <c r="CF125" s="624">
        <f t="shared" si="343"/>
        <v>115515</v>
      </c>
      <c r="CG125" s="615">
        <f t="shared" si="305"/>
        <v>6500</v>
      </c>
      <c r="CH125" s="621">
        <f t="shared" si="306"/>
        <v>1529831</v>
      </c>
      <c r="CI125" s="88">
        <f t="shared" si="307"/>
        <v>62244.9</v>
      </c>
      <c r="CJ125" s="90">
        <f t="shared" si="308"/>
        <v>47807.14</v>
      </c>
      <c r="CK125" s="90">
        <f t="shared" si="309"/>
        <v>14437.76</v>
      </c>
      <c r="CL125" s="88">
        <f t="shared" si="310"/>
        <v>1910</v>
      </c>
      <c r="CM125" s="88">
        <f t="shared" si="311"/>
        <v>382</v>
      </c>
      <c r="CN125" s="88">
        <f t="shared" si="312"/>
        <v>3970</v>
      </c>
      <c r="CO125" s="88">
        <f t="shared" si="313"/>
        <v>17400</v>
      </c>
      <c r="CP125" s="88">
        <f t="shared" si="314"/>
        <v>920</v>
      </c>
      <c r="CQ125" s="88">
        <f t="shared" si="315"/>
        <v>9200</v>
      </c>
      <c r="CR125" s="88">
        <f t="shared" si="316"/>
        <v>6540</v>
      </c>
      <c r="CS125" s="88">
        <f t="shared" si="317"/>
        <v>740</v>
      </c>
      <c r="CT125" s="88">
        <f t="shared" si="318"/>
        <v>4216.7</v>
      </c>
      <c r="CU125" s="88">
        <f t="shared" si="319"/>
        <v>8620</v>
      </c>
      <c r="CV125" s="88">
        <f t="shared" si="320"/>
        <v>310</v>
      </c>
      <c r="CW125" s="88">
        <f t="shared" si="321"/>
        <v>1240</v>
      </c>
      <c r="CX125" s="88">
        <f t="shared" si="322"/>
        <v>50</v>
      </c>
      <c r="CY125" s="88">
        <f t="shared" si="323"/>
        <v>2570</v>
      </c>
      <c r="CZ125" s="88">
        <f t="shared" si="324"/>
        <v>49801.5</v>
      </c>
      <c r="DA125" s="90">
        <f t="shared" si="325"/>
        <v>38250</v>
      </c>
      <c r="DB125" s="90">
        <f t="shared" si="326"/>
        <v>11551.5</v>
      </c>
      <c r="DC125" s="88">
        <f t="shared" si="327"/>
        <v>650</v>
      </c>
      <c r="DD125" s="211">
        <f t="shared" si="328"/>
        <v>152983.1</v>
      </c>
      <c r="AUV125" s="699">
        <f t="shared" si="235"/>
        <v>62244.9</v>
      </c>
      <c r="AUW125" s="699">
        <f t="shared" si="236"/>
        <v>47807.14</v>
      </c>
      <c r="AUX125" s="699">
        <f t="shared" si="237"/>
        <v>14437.76</v>
      </c>
      <c r="AUY125" s="699">
        <f t="shared" si="375"/>
        <v>1910</v>
      </c>
      <c r="AUZ125" s="699">
        <f t="shared" si="344"/>
        <v>1920.56</v>
      </c>
      <c r="AVA125" s="699">
        <f t="shared" si="344"/>
        <v>0.89</v>
      </c>
      <c r="AVB125" s="699">
        <f t="shared" si="376"/>
        <v>17400</v>
      </c>
      <c r="AVC125" s="699">
        <f t="shared" si="377"/>
        <v>920</v>
      </c>
      <c r="AVD125" s="699">
        <f t="shared" si="378"/>
        <v>9200</v>
      </c>
      <c r="AVE125" s="699">
        <f t="shared" si="379"/>
        <v>6540</v>
      </c>
      <c r="AVF125" s="699">
        <f t="shared" si="380"/>
        <v>740</v>
      </c>
      <c r="AVG125" s="699">
        <f t="shared" si="381"/>
        <v>4216.7</v>
      </c>
      <c r="AVH125" s="699">
        <f t="shared" si="382"/>
        <v>8620</v>
      </c>
      <c r="AVI125" s="699">
        <f t="shared" si="383"/>
        <v>310</v>
      </c>
      <c r="AVJ125" s="699">
        <f t="shared" si="384"/>
        <v>1240</v>
      </c>
      <c r="AVK125" s="699">
        <f t="shared" si="385"/>
        <v>50</v>
      </c>
      <c r="AVL125" s="699">
        <f t="shared" si="386"/>
        <v>2570</v>
      </c>
      <c r="AVM125" s="699">
        <f t="shared" si="387"/>
        <v>49801.5</v>
      </c>
      <c r="AVN125" s="699">
        <f t="shared" si="388"/>
        <v>38250</v>
      </c>
      <c r="AVO125" s="699">
        <f t="shared" si="389"/>
        <v>11551.5</v>
      </c>
      <c r="AVP125" s="699">
        <f t="shared" si="390"/>
        <v>650</v>
      </c>
      <c r="AVQ125" s="699">
        <f t="shared" si="391"/>
        <v>152983.1</v>
      </c>
    </row>
    <row r="126" spans="1:108 1244:1265" ht="30" customHeight="1" x14ac:dyDescent="0.25">
      <c r="A126" s="642">
        <v>1</v>
      </c>
      <c r="B126" s="642">
        <v>5</v>
      </c>
      <c r="C126" s="663" t="s">
        <v>248</v>
      </c>
      <c r="D126" s="2"/>
      <c r="E126" s="277" t="s">
        <v>348</v>
      </c>
      <c r="F126" s="642" t="s">
        <v>40</v>
      </c>
      <c r="G126" s="642">
        <v>4</v>
      </c>
      <c r="H126" s="657" t="s">
        <v>10</v>
      </c>
      <c r="I126" s="642">
        <v>0</v>
      </c>
      <c r="J126" s="277" t="s">
        <v>392</v>
      </c>
      <c r="K126" s="642">
        <v>3</v>
      </c>
      <c r="L126" s="682" t="s">
        <v>353</v>
      </c>
      <c r="M126" s="419" t="s">
        <v>319</v>
      </c>
      <c r="N126" s="277" t="s">
        <v>387</v>
      </c>
      <c r="O126" s="642">
        <v>1</v>
      </c>
      <c r="P126" s="632">
        <v>60</v>
      </c>
      <c r="Q126" s="632">
        <v>60</v>
      </c>
      <c r="R126" s="632">
        <v>60</v>
      </c>
      <c r="S126" s="673">
        <f>SUMIF('Территориальный кк'!$A:$A,'2020'!$B126,'Территориальный кк'!F:F)</f>
        <v>1.395</v>
      </c>
      <c r="T126" s="673">
        <f>SUMIF('Территориальный кк'!$A:$A,'2020'!$B126,'Территориальный кк'!G:G)</f>
        <v>1.9890000000000001</v>
      </c>
      <c r="U126" s="624">
        <f>SUMIFS(Нормативы!G:G,Нормативы!$B:$B,$G126,Нормативы!$D:$D,'2020'!$I126,Нормативы!$F:$F,'2020'!$K126)*O126</f>
        <v>22310</v>
      </c>
      <c r="V126" s="624">
        <f t="shared" si="329"/>
        <v>17135.2</v>
      </c>
      <c r="W126" s="624">
        <f t="shared" si="330"/>
        <v>5174.8</v>
      </c>
      <c r="X126" s="624">
        <f>SUMIFS(Нормативы!J:J,Нормативы!$B:$B,$G126,Нормативы!$D:$D,'2020'!$I126,Нормативы!$F:$F,'2020'!$K126)</f>
        <v>1910</v>
      </c>
      <c r="Y126" s="624">
        <f>SUMIFS(Нормативы!K:K,Нормативы!$B:$B,$G126,Нормативы!$D:$D,'2020'!$I126,Нормативы!$F:$F,'2020'!$K126)</f>
        <v>382</v>
      </c>
      <c r="Z126" s="624">
        <f>SUMIFS(Нормативы!L:L,Нормативы!$B:$B,$G126,Нормативы!$D:$D,'2020'!$I126,Нормативы!$F:$F,'2020'!$K126)</f>
        <v>3970</v>
      </c>
      <c r="AA126" s="624">
        <f t="shared" si="331"/>
        <v>13670</v>
      </c>
      <c r="AB126" s="624">
        <f>SUMIFS(Нормативы!N:N,Нормативы!$B:$B,$G126,Нормативы!$D:$D,'2020'!$I126,Нормативы!$F:$F,'2020'!$K126)*O126</f>
        <v>460</v>
      </c>
      <c r="AC126" s="624">
        <f>SUMIFS(Нормативы!O:O,Нормативы!$B:$B,$G126,Нормативы!$D:$D,'2020'!$I126,Нормативы!$F:$F,'2020'!$K126)</f>
        <v>9200</v>
      </c>
      <c r="AD126" s="624">
        <f>SUMIFS(Нормативы!P:P,Нормативы!$B:$B,$G126,Нормативы!$D:$D,'2020'!$I126,Нормативы!$F:$F,'2020'!$K126)*O126</f>
        <v>3270</v>
      </c>
      <c r="AE126" s="624">
        <f>SUMIFS(Нормативы!Q:Q,Нормативы!$B:$B,$G126,Нормативы!$D:$D,'2020'!$I126,Нормативы!$F:$F,'2020'!$K126)</f>
        <v>740</v>
      </c>
      <c r="AF126" s="624">
        <f>SUMIFS(Нормативы!R:R,Нормативы!$B:$B,$G126,Нормативы!$D:$D,'2020'!$I126,Нормативы!$F:$F,'2020'!$K126)</f>
        <v>2120</v>
      </c>
      <c r="AG126" s="624">
        <f>SUMIFS(Нормативы!S:S,Нормативы!$B:$B,$G126,Нормативы!$D:$D,'2020'!$I126,Нормативы!$F:$F,'2020'!$K126)</f>
        <v>8620</v>
      </c>
      <c r="AH126" s="624">
        <f>SUMIFS(Нормативы!T:T,Нормативы!$B:$B,$G126,Нормативы!$D:$D,'2020'!$I126,Нормативы!$F:$F,'2020'!$K126)</f>
        <v>310</v>
      </c>
      <c r="AI126" s="624">
        <f>SUMIFS(Нормативы!U:U,Нормативы!$B:$B,$G126,Нормативы!$D:$D,'2020'!$I126,Нормативы!$F:$F,'2020'!$K126)</f>
        <v>1240</v>
      </c>
      <c r="AJ126" s="624">
        <f>SUMIFS(Нормативы!V:V,Нормативы!$B:$B,$G126,Нормативы!$D:$D,'2020'!$I126,Нормативы!$F:$F,'2020'!$K126)</f>
        <v>50</v>
      </c>
      <c r="AK126" s="624">
        <f>SUMIFS(Нормативы!W:W,Нормативы!$B:$B,$G126,Нормативы!$D:$D,'2020'!$I126,Нормативы!$F:$F,'2020'!$K126)</f>
        <v>2570</v>
      </c>
      <c r="AL126" s="624">
        <f>SUMIFS(Нормативы!X:X,Нормативы!$B:$B,$G126,Нормативы!$D:$D,'2020'!$I126,Нормативы!$F:$F,'2020'!$K126)*O126</f>
        <v>17850</v>
      </c>
      <c r="AM126" s="624">
        <f t="shared" si="332"/>
        <v>13709.7</v>
      </c>
      <c r="AN126" s="624">
        <f t="shared" si="333"/>
        <v>4140.3</v>
      </c>
      <c r="AO126" s="624">
        <f>SUMIFS(Нормативы!AA:AA,Нормативы!$B:$B,$G126,Нормативы!$D:$D,'2020'!$I126,Нормативы!$F:$F,'2020'!$K126)</f>
        <v>650</v>
      </c>
      <c r="AP126" s="621">
        <f t="shared" si="334"/>
        <v>75270</v>
      </c>
      <c r="AQ126" s="610">
        <f t="shared" si="272"/>
        <v>1338600</v>
      </c>
      <c r="AR126" s="624">
        <f t="shared" si="335"/>
        <v>1028110.6</v>
      </c>
      <c r="AS126" s="624">
        <f t="shared" si="336"/>
        <v>310489.40000000002</v>
      </c>
      <c r="AT126" s="615">
        <f t="shared" si="273"/>
        <v>114600</v>
      </c>
      <c r="AU126" s="615">
        <f t="shared" si="274"/>
        <v>22920</v>
      </c>
      <c r="AV126" s="615">
        <f t="shared" si="275"/>
        <v>238200</v>
      </c>
      <c r="AW126" s="615">
        <f t="shared" si="276"/>
        <v>820200</v>
      </c>
      <c r="AX126" s="615">
        <f t="shared" si="277"/>
        <v>27600</v>
      </c>
      <c r="AY126" s="615">
        <f t="shared" si="278"/>
        <v>552000</v>
      </c>
      <c r="AZ126" s="615">
        <f t="shared" si="279"/>
        <v>196200</v>
      </c>
      <c r="BA126" s="615">
        <f t="shared" si="280"/>
        <v>44400</v>
      </c>
      <c r="BB126" s="615">
        <f t="shared" si="281"/>
        <v>127200</v>
      </c>
      <c r="BC126" s="615">
        <f t="shared" si="282"/>
        <v>517200</v>
      </c>
      <c r="BD126" s="615">
        <f t="shared" si="283"/>
        <v>18600</v>
      </c>
      <c r="BE126" s="615">
        <f t="shared" si="284"/>
        <v>74400</v>
      </c>
      <c r="BF126" s="615">
        <f t="shared" si="285"/>
        <v>3000</v>
      </c>
      <c r="BG126" s="615">
        <f t="shared" si="286"/>
        <v>154200</v>
      </c>
      <c r="BH126" s="615">
        <f t="shared" si="287"/>
        <v>1071000</v>
      </c>
      <c r="BI126" s="624">
        <f t="shared" si="337"/>
        <v>822580.6</v>
      </c>
      <c r="BJ126" s="624">
        <f t="shared" si="338"/>
        <v>248419.4</v>
      </c>
      <c r="BK126" s="615">
        <f t="shared" si="288"/>
        <v>39000</v>
      </c>
      <c r="BL126" s="620">
        <f t="shared" si="289"/>
        <v>4516200</v>
      </c>
      <c r="BM126" s="615">
        <f t="shared" si="290"/>
        <v>1867347</v>
      </c>
      <c r="BN126" s="624">
        <f t="shared" si="291"/>
        <v>1434214.3</v>
      </c>
      <c r="BO126" s="624">
        <f t="shared" si="292"/>
        <v>433132.7</v>
      </c>
      <c r="BP126" s="615">
        <f t="shared" si="339"/>
        <v>114600</v>
      </c>
      <c r="BQ126" s="615">
        <f t="shared" si="340"/>
        <v>22920</v>
      </c>
      <c r="BR126" s="615">
        <f t="shared" si="341"/>
        <v>238200</v>
      </c>
      <c r="BS126" s="615">
        <f t="shared" si="293"/>
        <v>820200</v>
      </c>
      <c r="BT126" s="616">
        <f t="shared" si="294"/>
        <v>27600</v>
      </c>
      <c r="BU126" s="616">
        <f t="shared" si="295"/>
        <v>552000</v>
      </c>
      <c r="BV126" s="616">
        <f t="shared" si="296"/>
        <v>196200</v>
      </c>
      <c r="BW126" s="616">
        <f t="shared" si="297"/>
        <v>44400</v>
      </c>
      <c r="BX126" s="615">
        <f t="shared" si="298"/>
        <v>253001</v>
      </c>
      <c r="BY126" s="615">
        <f t="shared" si="299"/>
        <v>517200</v>
      </c>
      <c r="BZ126" s="615">
        <f t="shared" si="300"/>
        <v>18600</v>
      </c>
      <c r="CA126" s="615">
        <f t="shared" si="301"/>
        <v>74400</v>
      </c>
      <c r="CB126" s="615">
        <f t="shared" si="302"/>
        <v>3000</v>
      </c>
      <c r="CC126" s="615">
        <f t="shared" si="303"/>
        <v>154200</v>
      </c>
      <c r="CD126" s="615">
        <f t="shared" si="304"/>
        <v>1494045</v>
      </c>
      <c r="CE126" s="624">
        <f t="shared" si="342"/>
        <v>1147500</v>
      </c>
      <c r="CF126" s="624">
        <f t="shared" si="343"/>
        <v>346545</v>
      </c>
      <c r="CG126" s="615">
        <f t="shared" si="305"/>
        <v>39000</v>
      </c>
      <c r="CH126" s="621">
        <f t="shared" si="306"/>
        <v>5593793</v>
      </c>
      <c r="CI126" s="88">
        <f t="shared" si="307"/>
        <v>31122.45</v>
      </c>
      <c r="CJ126" s="90">
        <f t="shared" si="308"/>
        <v>23903.5717</v>
      </c>
      <c r="CK126" s="90">
        <f t="shared" si="309"/>
        <v>7218.8783000000003</v>
      </c>
      <c r="CL126" s="88">
        <f t="shared" si="310"/>
        <v>1910</v>
      </c>
      <c r="CM126" s="88">
        <f t="shared" si="311"/>
        <v>382</v>
      </c>
      <c r="CN126" s="88">
        <f t="shared" si="312"/>
        <v>3970</v>
      </c>
      <c r="CO126" s="88">
        <f t="shared" si="313"/>
        <v>13670</v>
      </c>
      <c r="CP126" s="88">
        <f t="shared" si="314"/>
        <v>460</v>
      </c>
      <c r="CQ126" s="88">
        <f t="shared" si="315"/>
        <v>9200</v>
      </c>
      <c r="CR126" s="88">
        <f t="shared" si="316"/>
        <v>3270</v>
      </c>
      <c r="CS126" s="88">
        <f t="shared" si="317"/>
        <v>740</v>
      </c>
      <c r="CT126" s="88">
        <f t="shared" si="318"/>
        <v>4216.6832999999997</v>
      </c>
      <c r="CU126" s="88">
        <f t="shared" si="319"/>
        <v>8620</v>
      </c>
      <c r="CV126" s="88">
        <f t="shared" si="320"/>
        <v>310</v>
      </c>
      <c r="CW126" s="88">
        <f t="shared" si="321"/>
        <v>1240</v>
      </c>
      <c r="CX126" s="88">
        <f t="shared" si="322"/>
        <v>50</v>
      </c>
      <c r="CY126" s="88">
        <f t="shared" si="323"/>
        <v>2570</v>
      </c>
      <c r="CZ126" s="88">
        <f t="shared" si="324"/>
        <v>24900.75</v>
      </c>
      <c r="DA126" s="90">
        <f t="shared" si="325"/>
        <v>19125</v>
      </c>
      <c r="DB126" s="90">
        <f t="shared" si="326"/>
        <v>5775.75</v>
      </c>
      <c r="DC126" s="88">
        <f t="shared" si="327"/>
        <v>650</v>
      </c>
      <c r="DD126" s="211">
        <f t="shared" si="328"/>
        <v>93229.883300000001</v>
      </c>
      <c r="AUV126" s="699">
        <f t="shared" si="235"/>
        <v>31122.45</v>
      </c>
      <c r="AUW126" s="699">
        <f t="shared" si="236"/>
        <v>23903.57</v>
      </c>
      <c r="AUX126" s="699">
        <f t="shared" si="237"/>
        <v>7218.88</v>
      </c>
      <c r="AUY126" s="699">
        <f t="shared" si="375"/>
        <v>1910</v>
      </c>
      <c r="AUZ126" s="699">
        <f t="shared" si="344"/>
        <v>11523.38</v>
      </c>
      <c r="AVA126" s="699">
        <f t="shared" si="344"/>
        <v>10.68</v>
      </c>
      <c r="AVB126" s="699">
        <f t="shared" si="376"/>
        <v>13670</v>
      </c>
      <c r="AVC126" s="699">
        <f t="shared" si="377"/>
        <v>460</v>
      </c>
      <c r="AVD126" s="699">
        <f t="shared" si="378"/>
        <v>9200</v>
      </c>
      <c r="AVE126" s="699">
        <f t="shared" si="379"/>
        <v>3270</v>
      </c>
      <c r="AVF126" s="699">
        <f t="shared" si="380"/>
        <v>740</v>
      </c>
      <c r="AVG126" s="699">
        <f t="shared" si="381"/>
        <v>4216.68</v>
      </c>
      <c r="AVH126" s="699">
        <f t="shared" si="382"/>
        <v>8620</v>
      </c>
      <c r="AVI126" s="699">
        <f t="shared" si="383"/>
        <v>310</v>
      </c>
      <c r="AVJ126" s="699">
        <f t="shared" si="384"/>
        <v>1240</v>
      </c>
      <c r="AVK126" s="699">
        <f t="shared" si="385"/>
        <v>50</v>
      </c>
      <c r="AVL126" s="699">
        <f t="shared" si="386"/>
        <v>2570</v>
      </c>
      <c r="AVM126" s="699">
        <f t="shared" si="387"/>
        <v>24900.75</v>
      </c>
      <c r="AVN126" s="699">
        <f t="shared" si="388"/>
        <v>19125</v>
      </c>
      <c r="AVO126" s="699">
        <f t="shared" si="389"/>
        <v>5775.75</v>
      </c>
      <c r="AVP126" s="699">
        <f t="shared" si="390"/>
        <v>650</v>
      </c>
      <c r="AVQ126" s="699">
        <f t="shared" si="391"/>
        <v>93229.88</v>
      </c>
    </row>
    <row r="127" spans="1:108 1244:1265" ht="30" customHeight="1" x14ac:dyDescent="0.25">
      <c r="A127" s="642">
        <v>1</v>
      </c>
      <c r="B127" s="642">
        <v>5</v>
      </c>
      <c r="C127" s="663" t="s">
        <v>248</v>
      </c>
      <c r="D127" s="2"/>
      <c r="E127" s="277" t="s">
        <v>348</v>
      </c>
      <c r="F127" s="642" t="s">
        <v>40</v>
      </c>
      <c r="G127" s="642">
        <v>4</v>
      </c>
      <c r="H127" s="657" t="s">
        <v>10</v>
      </c>
      <c r="I127" s="642">
        <v>0</v>
      </c>
      <c r="J127" s="277" t="s">
        <v>392</v>
      </c>
      <c r="K127" s="642">
        <v>3</v>
      </c>
      <c r="L127" s="682" t="s">
        <v>353</v>
      </c>
      <c r="M127" s="419" t="s">
        <v>320</v>
      </c>
      <c r="N127" s="277" t="s">
        <v>401</v>
      </c>
      <c r="O127" s="642">
        <v>2</v>
      </c>
      <c r="P127" s="632">
        <v>4</v>
      </c>
      <c r="Q127" s="632">
        <v>4</v>
      </c>
      <c r="R127" s="632">
        <v>4</v>
      </c>
      <c r="S127" s="673">
        <f>SUMIF('Территориальный кк'!$A:$A,'2020'!$B127,'Территориальный кк'!F:F)</f>
        <v>1.395</v>
      </c>
      <c r="T127" s="673">
        <f>SUMIF('Территориальный кк'!$A:$A,'2020'!$B127,'Территориальный кк'!G:G)</f>
        <v>1.9890000000000001</v>
      </c>
      <c r="U127" s="624">
        <f>SUMIFS(Нормативы!G:G,Нормативы!$B:$B,$G127,Нормативы!$D:$D,'2020'!$I127,Нормативы!$F:$F,'2020'!$K127)*O127</f>
        <v>44620</v>
      </c>
      <c r="V127" s="624">
        <f t="shared" si="329"/>
        <v>34270.400000000001</v>
      </c>
      <c r="W127" s="624">
        <f t="shared" si="330"/>
        <v>10349.6</v>
      </c>
      <c r="X127" s="624">
        <f>SUMIFS(Нормативы!J:J,Нормативы!$B:$B,$G127,Нормативы!$D:$D,'2020'!$I127,Нормативы!$F:$F,'2020'!$K127)</f>
        <v>1910</v>
      </c>
      <c r="Y127" s="624">
        <f>SUMIFS(Нормативы!K:K,Нормативы!$B:$B,$G127,Нормативы!$D:$D,'2020'!$I127,Нормативы!$F:$F,'2020'!$K127)</f>
        <v>382</v>
      </c>
      <c r="Z127" s="624">
        <f>SUMIFS(Нормативы!L:L,Нормативы!$B:$B,$G127,Нормативы!$D:$D,'2020'!$I127,Нормативы!$F:$F,'2020'!$K127)</f>
        <v>3970</v>
      </c>
      <c r="AA127" s="624">
        <f t="shared" si="331"/>
        <v>17400</v>
      </c>
      <c r="AB127" s="624">
        <f>SUMIFS(Нормативы!N:N,Нормативы!$B:$B,$G127,Нормативы!$D:$D,'2020'!$I127,Нормативы!$F:$F,'2020'!$K127)*O127</f>
        <v>920</v>
      </c>
      <c r="AC127" s="624">
        <f>SUMIFS(Нормативы!O:O,Нормативы!$B:$B,$G127,Нормативы!$D:$D,'2020'!$I127,Нормативы!$F:$F,'2020'!$K127)</f>
        <v>9200</v>
      </c>
      <c r="AD127" s="624">
        <f>SUMIFS(Нормативы!P:P,Нормативы!$B:$B,$G127,Нормативы!$D:$D,'2020'!$I127,Нормативы!$F:$F,'2020'!$K127)*O127</f>
        <v>6540</v>
      </c>
      <c r="AE127" s="624">
        <f>SUMIFS(Нормативы!Q:Q,Нормативы!$B:$B,$G127,Нормативы!$D:$D,'2020'!$I127,Нормативы!$F:$F,'2020'!$K127)</f>
        <v>740</v>
      </c>
      <c r="AF127" s="624">
        <f>SUMIFS(Нормативы!R:R,Нормативы!$B:$B,$G127,Нормативы!$D:$D,'2020'!$I127,Нормативы!$F:$F,'2020'!$K127)</f>
        <v>2120</v>
      </c>
      <c r="AG127" s="624">
        <f>SUMIFS(Нормативы!S:S,Нормативы!$B:$B,$G127,Нормативы!$D:$D,'2020'!$I127,Нормативы!$F:$F,'2020'!$K127)</f>
        <v>8620</v>
      </c>
      <c r="AH127" s="624">
        <f>SUMIFS(Нормативы!T:T,Нормативы!$B:$B,$G127,Нормативы!$D:$D,'2020'!$I127,Нормативы!$F:$F,'2020'!$K127)</f>
        <v>310</v>
      </c>
      <c r="AI127" s="624">
        <f>SUMIFS(Нормативы!U:U,Нормативы!$B:$B,$G127,Нормативы!$D:$D,'2020'!$I127,Нормативы!$F:$F,'2020'!$K127)</f>
        <v>1240</v>
      </c>
      <c r="AJ127" s="624">
        <f>SUMIFS(Нормативы!V:V,Нормативы!$B:$B,$G127,Нормативы!$D:$D,'2020'!$I127,Нормативы!$F:$F,'2020'!$K127)</f>
        <v>50</v>
      </c>
      <c r="AK127" s="624">
        <f>SUMIFS(Нормативы!W:W,Нормативы!$B:$B,$G127,Нормативы!$D:$D,'2020'!$I127,Нормативы!$F:$F,'2020'!$K127)</f>
        <v>2570</v>
      </c>
      <c r="AL127" s="624">
        <f>SUMIFS(Нормативы!X:X,Нормативы!$B:$B,$G127,Нормативы!$D:$D,'2020'!$I127,Нормативы!$F:$F,'2020'!$K127)*O127</f>
        <v>35700</v>
      </c>
      <c r="AM127" s="624">
        <f t="shared" si="332"/>
        <v>27419.4</v>
      </c>
      <c r="AN127" s="624">
        <f t="shared" si="333"/>
        <v>8280.6</v>
      </c>
      <c r="AO127" s="624">
        <f>SUMIFS(Нормативы!AA:AA,Нормативы!$B:$B,$G127,Нормативы!$D:$D,'2020'!$I127,Нормативы!$F:$F,'2020'!$K127)</f>
        <v>650</v>
      </c>
      <c r="AP127" s="621">
        <f t="shared" si="334"/>
        <v>119160</v>
      </c>
      <c r="AQ127" s="610">
        <f t="shared" si="272"/>
        <v>178480</v>
      </c>
      <c r="AR127" s="624">
        <f t="shared" si="335"/>
        <v>137081.4</v>
      </c>
      <c r="AS127" s="624">
        <f t="shared" si="336"/>
        <v>41398.6</v>
      </c>
      <c r="AT127" s="615">
        <f t="shared" si="273"/>
        <v>7640</v>
      </c>
      <c r="AU127" s="615">
        <f t="shared" si="274"/>
        <v>1528</v>
      </c>
      <c r="AV127" s="615">
        <f t="shared" si="275"/>
        <v>15880</v>
      </c>
      <c r="AW127" s="615">
        <f t="shared" si="276"/>
        <v>69600</v>
      </c>
      <c r="AX127" s="615">
        <f t="shared" si="277"/>
        <v>3680</v>
      </c>
      <c r="AY127" s="615">
        <f t="shared" si="278"/>
        <v>36800</v>
      </c>
      <c r="AZ127" s="615">
        <f t="shared" si="279"/>
        <v>26160</v>
      </c>
      <c r="BA127" s="615">
        <f t="shared" si="280"/>
        <v>2960</v>
      </c>
      <c r="BB127" s="615">
        <f t="shared" si="281"/>
        <v>8480</v>
      </c>
      <c r="BC127" s="615">
        <f t="shared" si="282"/>
        <v>34480</v>
      </c>
      <c r="BD127" s="615">
        <f t="shared" si="283"/>
        <v>1240</v>
      </c>
      <c r="BE127" s="615">
        <f t="shared" si="284"/>
        <v>4960</v>
      </c>
      <c r="BF127" s="615">
        <f t="shared" si="285"/>
        <v>200</v>
      </c>
      <c r="BG127" s="615">
        <f t="shared" si="286"/>
        <v>10280</v>
      </c>
      <c r="BH127" s="615">
        <f t="shared" si="287"/>
        <v>142800</v>
      </c>
      <c r="BI127" s="624">
        <f t="shared" si="337"/>
        <v>109677.4</v>
      </c>
      <c r="BJ127" s="624">
        <f t="shared" si="338"/>
        <v>33122.6</v>
      </c>
      <c r="BK127" s="615">
        <f t="shared" si="288"/>
        <v>2600</v>
      </c>
      <c r="BL127" s="620">
        <f t="shared" si="289"/>
        <v>476640</v>
      </c>
      <c r="BM127" s="615">
        <f t="shared" si="290"/>
        <v>248980</v>
      </c>
      <c r="BN127" s="624">
        <f t="shared" si="291"/>
        <v>191228.9</v>
      </c>
      <c r="BO127" s="624">
        <f t="shared" si="292"/>
        <v>57751.1</v>
      </c>
      <c r="BP127" s="615">
        <f t="shared" si="339"/>
        <v>7640</v>
      </c>
      <c r="BQ127" s="615">
        <f t="shared" si="340"/>
        <v>1528</v>
      </c>
      <c r="BR127" s="615">
        <f t="shared" si="341"/>
        <v>15880</v>
      </c>
      <c r="BS127" s="615">
        <f t="shared" si="293"/>
        <v>69600</v>
      </c>
      <c r="BT127" s="616">
        <f t="shared" si="294"/>
        <v>3680</v>
      </c>
      <c r="BU127" s="616">
        <f t="shared" si="295"/>
        <v>36800</v>
      </c>
      <c r="BV127" s="616">
        <f t="shared" si="296"/>
        <v>26160</v>
      </c>
      <c r="BW127" s="616">
        <f t="shared" si="297"/>
        <v>2960</v>
      </c>
      <c r="BX127" s="615">
        <f t="shared" si="298"/>
        <v>16867</v>
      </c>
      <c r="BY127" s="615">
        <f t="shared" si="299"/>
        <v>34480</v>
      </c>
      <c r="BZ127" s="615">
        <f t="shared" si="300"/>
        <v>1240</v>
      </c>
      <c r="CA127" s="615">
        <f t="shared" si="301"/>
        <v>4960</v>
      </c>
      <c r="CB127" s="615">
        <f t="shared" si="302"/>
        <v>200</v>
      </c>
      <c r="CC127" s="615">
        <f t="shared" si="303"/>
        <v>10280</v>
      </c>
      <c r="CD127" s="615">
        <f t="shared" si="304"/>
        <v>199206</v>
      </c>
      <c r="CE127" s="624">
        <f t="shared" si="342"/>
        <v>153000</v>
      </c>
      <c r="CF127" s="624">
        <f t="shared" si="343"/>
        <v>46206</v>
      </c>
      <c r="CG127" s="615">
        <f t="shared" si="305"/>
        <v>2600</v>
      </c>
      <c r="CH127" s="621">
        <f t="shared" si="306"/>
        <v>611933</v>
      </c>
      <c r="CI127" s="88">
        <f t="shared" si="307"/>
        <v>62245</v>
      </c>
      <c r="CJ127" s="90">
        <f t="shared" si="308"/>
        <v>47807.224999999999</v>
      </c>
      <c r="CK127" s="90">
        <f t="shared" si="309"/>
        <v>14437.775</v>
      </c>
      <c r="CL127" s="88">
        <f t="shared" si="310"/>
        <v>1910</v>
      </c>
      <c r="CM127" s="88">
        <f t="shared" si="311"/>
        <v>382</v>
      </c>
      <c r="CN127" s="88">
        <f t="shared" si="312"/>
        <v>3970</v>
      </c>
      <c r="CO127" s="88">
        <f t="shared" si="313"/>
        <v>17400</v>
      </c>
      <c r="CP127" s="88">
        <f t="shared" si="314"/>
        <v>920</v>
      </c>
      <c r="CQ127" s="88">
        <f t="shared" si="315"/>
        <v>9200</v>
      </c>
      <c r="CR127" s="88">
        <f t="shared" si="316"/>
        <v>6540</v>
      </c>
      <c r="CS127" s="88">
        <f t="shared" si="317"/>
        <v>740</v>
      </c>
      <c r="CT127" s="88">
        <f t="shared" si="318"/>
        <v>4216.75</v>
      </c>
      <c r="CU127" s="88">
        <f t="shared" si="319"/>
        <v>8620</v>
      </c>
      <c r="CV127" s="88">
        <f t="shared" si="320"/>
        <v>310</v>
      </c>
      <c r="CW127" s="88">
        <f t="shared" si="321"/>
        <v>1240</v>
      </c>
      <c r="CX127" s="88">
        <f t="shared" si="322"/>
        <v>50</v>
      </c>
      <c r="CY127" s="88">
        <f t="shared" si="323"/>
        <v>2570</v>
      </c>
      <c r="CZ127" s="88">
        <f t="shared" si="324"/>
        <v>49801.5</v>
      </c>
      <c r="DA127" s="90">
        <f t="shared" si="325"/>
        <v>38250</v>
      </c>
      <c r="DB127" s="90">
        <f t="shared" si="326"/>
        <v>11551.5</v>
      </c>
      <c r="DC127" s="88">
        <f t="shared" si="327"/>
        <v>650</v>
      </c>
      <c r="DD127" s="211">
        <f t="shared" si="328"/>
        <v>152983.25</v>
      </c>
      <c r="AUV127" s="699">
        <f t="shared" si="235"/>
        <v>62245</v>
      </c>
      <c r="AUW127" s="699">
        <f t="shared" si="236"/>
        <v>47807.22</v>
      </c>
      <c r="AUX127" s="699">
        <f t="shared" si="237"/>
        <v>14437.78</v>
      </c>
      <c r="AUY127" s="699">
        <f t="shared" si="375"/>
        <v>1910</v>
      </c>
      <c r="AUZ127" s="699">
        <f t="shared" si="344"/>
        <v>768.23</v>
      </c>
      <c r="AVA127" s="699">
        <f t="shared" si="344"/>
        <v>0.36</v>
      </c>
      <c r="AVB127" s="699">
        <f t="shared" si="376"/>
        <v>17400</v>
      </c>
      <c r="AVC127" s="699">
        <f t="shared" si="377"/>
        <v>920</v>
      </c>
      <c r="AVD127" s="699">
        <f t="shared" si="378"/>
        <v>9200</v>
      </c>
      <c r="AVE127" s="699">
        <f t="shared" si="379"/>
        <v>6540</v>
      </c>
      <c r="AVF127" s="699">
        <f t="shared" si="380"/>
        <v>740</v>
      </c>
      <c r="AVG127" s="699">
        <f t="shared" si="381"/>
        <v>4216.75</v>
      </c>
      <c r="AVH127" s="699">
        <f t="shared" si="382"/>
        <v>8620</v>
      </c>
      <c r="AVI127" s="699">
        <f t="shared" si="383"/>
        <v>310</v>
      </c>
      <c r="AVJ127" s="699">
        <f t="shared" si="384"/>
        <v>1240</v>
      </c>
      <c r="AVK127" s="699">
        <f t="shared" si="385"/>
        <v>50</v>
      </c>
      <c r="AVL127" s="699">
        <f t="shared" si="386"/>
        <v>2570</v>
      </c>
      <c r="AVM127" s="699">
        <f t="shared" si="387"/>
        <v>49801.5</v>
      </c>
      <c r="AVN127" s="699">
        <f t="shared" si="388"/>
        <v>38250</v>
      </c>
      <c r="AVO127" s="699">
        <f t="shared" si="389"/>
        <v>11551.5</v>
      </c>
      <c r="AVP127" s="699">
        <f t="shared" si="390"/>
        <v>650</v>
      </c>
      <c r="AVQ127" s="699">
        <f t="shared" si="391"/>
        <v>152983.25</v>
      </c>
    </row>
    <row r="128" spans="1:108 1244:1265" ht="30" customHeight="1" x14ac:dyDescent="0.25">
      <c r="A128" s="643">
        <v>1</v>
      </c>
      <c r="B128" s="643">
        <v>5</v>
      </c>
      <c r="C128" s="664" t="s">
        <v>248</v>
      </c>
      <c r="D128" s="2"/>
      <c r="E128" s="101" t="s">
        <v>346</v>
      </c>
      <c r="F128" s="643" t="s">
        <v>39</v>
      </c>
      <c r="G128" s="643">
        <v>3</v>
      </c>
      <c r="H128" s="658" t="s">
        <v>10</v>
      </c>
      <c r="I128" s="643">
        <v>0</v>
      </c>
      <c r="J128" s="101" t="s">
        <v>365</v>
      </c>
      <c r="K128" s="643">
        <v>2</v>
      </c>
      <c r="L128" s="683" t="s">
        <v>351</v>
      </c>
      <c r="M128" s="11" t="s">
        <v>271</v>
      </c>
      <c r="N128" s="101" t="s">
        <v>387</v>
      </c>
      <c r="O128" s="643">
        <v>1</v>
      </c>
      <c r="P128" s="632">
        <v>2</v>
      </c>
      <c r="Q128" s="632">
        <v>2</v>
      </c>
      <c r="R128" s="632">
        <v>2</v>
      </c>
      <c r="S128" s="675">
        <f>SUMIF('Территориальный кк'!$A:$A,'2020'!$B128,'Территориальный кк'!D:D)</f>
        <v>1.395</v>
      </c>
      <c r="T128" s="676">
        <f>SUMIF('Территориальный кк'!$A:$A,'2020'!$B128,'Территориальный кк'!E:E)</f>
        <v>1.9790000000000001</v>
      </c>
      <c r="U128" s="618">
        <f>SUMIFS(Нормативы!G:G,Нормативы!$B:$B,$G128,Нормативы!$D:$D,'2020'!$I128,Нормативы!$F:$F,'2020'!$K128)*O128</f>
        <v>78450</v>
      </c>
      <c r="V128" s="618">
        <f t="shared" si="329"/>
        <v>60253.5</v>
      </c>
      <c r="W128" s="618">
        <f t="shared" si="330"/>
        <v>18196.5</v>
      </c>
      <c r="X128" s="618">
        <f>SUMIFS(Нормативы!J:J,Нормативы!$B:$B,$G128,Нормативы!$D:$D,'2020'!$I128,Нормативы!$F:$F,'2020'!$K128)</f>
        <v>1610</v>
      </c>
      <c r="Y128" s="618">
        <f>SUMIFS(Нормативы!K:K,Нормативы!$B:$B,$G128,Нормативы!$D:$D,'2020'!$I128,Нормативы!$F:$F,'2020'!$K128)</f>
        <v>322</v>
      </c>
      <c r="Z128" s="618">
        <f>SUMIFS(Нормативы!L:L,Нормативы!$B:$B,$G128,Нормативы!$D:$D,'2020'!$I128,Нормативы!$F:$F,'2020'!$K128)</f>
        <v>3480</v>
      </c>
      <c r="AA128" s="618">
        <f t="shared" si="331"/>
        <v>8580</v>
      </c>
      <c r="AB128" s="618">
        <f>SUMIFS(Нормативы!N:N,Нормативы!$B:$B,$G128,Нормативы!$D:$D,'2020'!$I128,Нормативы!$F:$F,'2020'!$K128)*O128</f>
        <v>880</v>
      </c>
      <c r="AC128" s="618">
        <f>SUMIFS(Нормативы!O:O,Нормативы!$B:$B,$G128,Нормативы!$D:$D,'2020'!$I128,Нормативы!$F:$F,'2020'!$K128)</f>
        <v>6180</v>
      </c>
      <c r="AD128" s="618">
        <f>SUMIFS(Нормативы!P:P,Нормативы!$B:$B,$G128,Нормативы!$D:$D,'2020'!$I128,Нормативы!$F:$F,'2020'!$K128)*O128</f>
        <v>440</v>
      </c>
      <c r="AE128" s="618">
        <f>SUMIFS(Нормативы!Q:Q,Нормативы!$B:$B,$G128,Нормативы!$D:$D,'2020'!$I128,Нормативы!$F:$F,'2020'!$K128)</f>
        <v>1080</v>
      </c>
      <c r="AF128" s="618">
        <f>SUMIFS(Нормативы!R:R,Нормативы!$B:$B,$G128,Нормативы!$D:$D,'2020'!$I128,Нормативы!$F:$F,'2020'!$K128)</f>
        <v>2490</v>
      </c>
      <c r="AG128" s="618">
        <f>SUMIFS(Нормативы!S:S,Нормативы!$B:$B,$G128,Нормативы!$D:$D,'2020'!$I128,Нормативы!$F:$F,'2020'!$K128)</f>
        <v>5800</v>
      </c>
      <c r="AH128" s="618">
        <f>SUMIFS(Нормативы!T:T,Нормативы!$B:$B,$G128,Нормативы!$D:$D,'2020'!$I128,Нормативы!$F:$F,'2020'!$K128)</f>
        <v>540</v>
      </c>
      <c r="AI128" s="618">
        <f>SUMIFS(Нормативы!U:U,Нормативы!$B:$B,$G128,Нормативы!$D:$D,'2020'!$I128,Нормативы!$F:$F,'2020'!$K128)</f>
        <v>770</v>
      </c>
      <c r="AJ128" s="618">
        <f>SUMIFS(Нормативы!V:V,Нормативы!$B:$B,$G128,Нормативы!$D:$D,'2020'!$I128,Нормативы!$F:$F,'2020'!$K128)</f>
        <v>170</v>
      </c>
      <c r="AK128" s="618">
        <f>SUMIFS(Нормативы!W:W,Нормативы!$B:$B,$G128,Нормативы!$D:$D,'2020'!$I128,Нормативы!$F:$F,'2020'!$K128)</f>
        <v>200</v>
      </c>
      <c r="AL128" s="618">
        <f>SUMIFS(Нормативы!X:X,Нормативы!$B:$B,$G128,Нормативы!$D:$D,'2020'!$I128,Нормативы!$F:$F,'2020'!$K128)*O128</f>
        <v>13440</v>
      </c>
      <c r="AM128" s="618">
        <f t="shared" si="332"/>
        <v>10322.6</v>
      </c>
      <c r="AN128" s="618">
        <f t="shared" si="333"/>
        <v>3117.4</v>
      </c>
      <c r="AO128" s="618">
        <f>SUMIFS(Нормативы!AA:AA,Нормативы!$B:$B,$G128,Нормативы!$D:$D,'2020'!$I128,Нормативы!$F:$F,'2020'!$K128)</f>
        <v>0</v>
      </c>
      <c r="AP128" s="619">
        <f t="shared" si="334"/>
        <v>115530</v>
      </c>
      <c r="AQ128" s="413">
        <f t="shared" si="272"/>
        <v>156900</v>
      </c>
      <c r="AR128" s="618">
        <f t="shared" si="335"/>
        <v>120506.9</v>
      </c>
      <c r="AS128" s="618">
        <f t="shared" si="336"/>
        <v>36393.1</v>
      </c>
      <c r="AT128" s="616">
        <f t="shared" si="273"/>
        <v>3220</v>
      </c>
      <c r="AU128" s="616">
        <f t="shared" si="274"/>
        <v>644</v>
      </c>
      <c r="AV128" s="616">
        <f t="shared" si="275"/>
        <v>6960</v>
      </c>
      <c r="AW128" s="616">
        <f t="shared" si="276"/>
        <v>17160</v>
      </c>
      <c r="AX128" s="616">
        <f t="shared" si="277"/>
        <v>1760</v>
      </c>
      <c r="AY128" s="616">
        <f t="shared" si="278"/>
        <v>12360</v>
      </c>
      <c r="AZ128" s="616">
        <f t="shared" si="279"/>
        <v>880</v>
      </c>
      <c r="BA128" s="616">
        <f t="shared" si="280"/>
        <v>2160</v>
      </c>
      <c r="BB128" s="616">
        <f t="shared" si="281"/>
        <v>4980</v>
      </c>
      <c r="BC128" s="616">
        <f t="shared" si="282"/>
        <v>11600</v>
      </c>
      <c r="BD128" s="616">
        <f t="shared" si="283"/>
        <v>1080</v>
      </c>
      <c r="BE128" s="616">
        <f t="shared" si="284"/>
        <v>1540</v>
      </c>
      <c r="BF128" s="616">
        <f t="shared" si="285"/>
        <v>340</v>
      </c>
      <c r="BG128" s="616">
        <f t="shared" si="286"/>
        <v>400</v>
      </c>
      <c r="BH128" s="616">
        <f t="shared" si="287"/>
        <v>26880</v>
      </c>
      <c r="BI128" s="618">
        <f t="shared" si="337"/>
        <v>20645.2</v>
      </c>
      <c r="BJ128" s="618">
        <f t="shared" si="338"/>
        <v>6234.8</v>
      </c>
      <c r="BK128" s="616">
        <f t="shared" si="288"/>
        <v>0</v>
      </c>
      <c r="BL128" s="620">
        <f t="shared" si="289"/>
        <v>231060</v>
      </c>
      <c r="BM128" s="616">
        <f t="shared" si="290"/>
        <v>218876</v>
      </c>
      <c r="BN128" s="618">
        <f t="shared" si="291"/>
        <v>168107.5</v>
      </c>
      <c r="BO128" s="618">
        <f t="shared" si="292"/>
        <v>50768.5</v>
      </c>
      <c r="BP128" s="616">
        <f t="shared" si="339"/>
        <v>3220</v>
      </c>
      <c r="BQ128" s="616">
        <f t="shared" si="340"/>
        <v>644</v>
      </c>
      <c r="BR128" s="616">
        <f t="shared" si="341"/>
        <v>6960</v>
      </c>
      <c r="BS128" s="616">
        <f t="shared" si="293"/>
        <v>17160</v>
      </c>
      <c r="BT128" s="616">
        <f t="shared" si="294"/>
        <v>1760</v>
      </c>
      <c r="BU128" s="616">
        <f t="shared" si="295"/>
        <v>12360</v>
      </c>
      <c r="BV128" s="616">
        <f t="shared" si="296"/>
        <v>880</v>
      </c>
      <c r="BW128" s="616">
        <f t="shared" si="297"/>
        <v>2160</v>
      </c>
      <c r="BX128" s="616">
        <f t="shared" si="298"/>
        <v>9855</v>
      </c>
      <c r="BY128" s="616">
        <f t="shared" si="299"/>
        <v>11600</v>
      </c>
      <c r="BZ128" s="616">
        <f t="shared" si="300"/>
        <v>1080</v>
      </c>
      <c r="CA128" s="616">
        <f t="shared" si="301"/>
        <v>1540</v>
      </c>
      <c r="CB128" s="616">
        <f t="shared" si="302"/>
        <v>340</v>
      </c>
      <c r="CC128" s="616">
        <f t="shared" si="303"/>
        <v>400</v>
      </c>
      <c r="CD128" s="616">
        <f t="shared" si="304"/>
        <v>37498</v>
      </c>
      <c r="CE128" s="618">
        <f t="shared" si="342"/>
        <v>28800.3</v>
      </c>
      <c r="CF128" s="618">
        <f t="shared" si="343"/>
        <v>8697.7000000000007</v>
      </c>
      <c r="CG128" s="616">
        <f t="shared" si="305"/>
        <v>0</v>
      </c>
      <c r="CH128" s="621">
        <f t="shared" si="306"/>
        <v>308529</v>
      </c>
      <c r="CI128" s="88">
        <f t="shared" si="307"/>
        <v>109438</v>
      </c>
      <c r="CJ128" s="90">
        <f t="shared" si="308"/>
        <v>84053.75</v>
      </c>
      <c r="CK128" s="90">
        <f t="shared" si="309"/>
        <v>25384.25</v>
      </c>
      <c r="CL128" s="88">
        <f t="shared" si="310"/>
        <v>1610</v>
      </c>
      <c r="CM128" s="88">
        <f t="shared" si="311"/>
        <v>322</v>
      </c>
      <c r="CN128" s="88">
        <f t="shared" si="312"/>
        <v>3480</v>
      </c>
      <c r="CO128" s="88">
        <f t="shared" si="313"/>
        <v>8580</v>
      </c>
      <c r="CP128" s="88">
        <f t="shared" si="314"/>
        <v>880</v>
      </c>
      <c r="CQ128" s="88">
        <f t="shared" si="315"/>
        <v>6180</v>
      </c>
      <c r="CR128" s="88">
        <f t="shared" si="316"/>
        <v>440</v>
      </c>
      <c r="CS128" s="88">
        <f t="shared" si="317"/>
        <v>1080</v>
      </c>
      <c r="CT128" s="88">
        <f t="shared" si="318"/>
        <v>4927.5</v>
      </c>
      <c r="CU128" s="88">
        <f t="shared" si="319"/>
        <v>5800</v>
      </c>
      <c r="CV128" s="88">
        <f t="shared" si="320"/>
        <v>540</v>
      </c>
      <c r="CW128" s="88">
        <f t="shared" si="321"/>
        <v>770</v>
      </c>
      <c r="CX128" s="88">
        <f t="shared" si="322"/>
        <v>170</v>
      </c>
      <c r="CY128" s="88">
        <f t="shared" si="323"/>
        <v>200</v>
      </c>
      <c r="CZ128" s="88">
        <f t="shared" si="324"/>
        <v>18749</v>
      </c>
      <c r="DA128" s="90">
        <f t="shared" si="325"/>
        <v>14400.15</v>
      </c>
      <c r="DB128" s="90">
        <f t="shared" si="326"/>
        <v>4348.8500000000004</v>
      </c>
      <c r="DC128" s="88">
        <f t="shared" si="327"/>
        <v>0</v>
      </c>
      <c r="DD128" s="211">
        <f t="shared" si="328"/>
        <v>154264.5</v>
      </c>
      <c r="AUV128" s="699">
        <f t="shared" si="235"/>
        <v>109438</v>
      </c>
      <c r="AUW128" s="699">
        <f t="shared" si="236"/>
        <v>84053.759999999995</v>
      </c>
      <c r="AUX128" s="699">
        <f t="shared" si="237"/>
        <v>25384.240000000002</v>
      </c>
      <c r="AUY128" s="699">
        <f t="shared" si="375"/>
        <v>1610</v>
      </c>
      <c r="AUZ128" s="699">
        <f t="shared" si="344"/>
        <v>325.42</v>
      </c>
      <c r="AVA128" s="699">
        <f t="shared" si="344"/>
        <v>0.09</v>
      </c>
      <c r="AVB128" s="699">
        <f t="shared" si="376"/>
        <v>8580</v>
      </c>
      <c r="AVC128" s="699">
        <f t="shared" si="377"/>
        <v>880</v>
      </c>
      <c r="AVD128" s="699">
        <f t="shared" si="378"/>
        <v>6180</v>
      </c>
      <c r="AVE128" s="699">
        <f t="shared" si="379"/>
        <v>440</v>
      </c>
      <c r="AVF128" s="699">
        <f t="shared" si="380"/>
        <v>1080</v>
      </c>
      <c r="AVG128" s="699">
        <f t="shared" si="381"/>
        <v>4927.5</v>
      </c>
      <c r="AVH128" s="699">
        <f t="shared" si="382"/>
        <v>5800</v>
      </c>
      <c r="AVI128" s="699">
        <f t="shared" si="383"/>
        <v>540</v>
      </c>
      <c r="AVJ128" s="699">
        <f t="shared" si="384"/>
        <v>770</v>
      </c>
      <c r="AVK128" s="699">
        <f t="shared" si="385"/>
        <v>170</v>
      </c>
      <c r="AVL128" s="699">
        <f t="shared" si="386"/>
        <v>200</v>
      </c>
      <c r="AVM128" s="699">
        <f t="shared" si="387"/>
        <v>18749</v>
      </c>
      <c r="AVN128" s="699">
        <f t="shared" si="388"/>
        <v>14400.15</v>
      </c>
      <c r="AVO128" s="699">
        <f t="shared" si="389"/>
        <v>4348.8500000000004</v>
      </c>
      <c r="AVP128" s="699">
        <f t="shared" si="390"/>
        <v>0</v>
      </c>
      <c r="AVQ128" s="699">
        <f t="shared" si="391"/>
        <v>154264.5</v>
      </c>
    </row>
    <row r="129" spans="1:108 1244:1265" ht="30" customHeight="1" x14ac:dyDescent="0.25">
      <c r="A129" s="643">
        <v>1</v>
      </c>
      <c r="B129" s="643">
        <v>5</v>
      </c>
      <c r="C129" s="664" t="s">
        <v>248</v>
      </c>
      <c r="D129" s="2"/>
      <c r="E129" s="101" t="s">
        <v>346</v>
      </c>
      <c r="F129" s="643" t="s">
        <v>39</v>
      </c>
      <c r="G129" s="643">
        <v>3</v>
      </c>
      <c r="H129" s="658" t="s">
        <v>10</v>
      </c>
      <c r="I129" s="643">
        <v>0</v>
      </c>
      <c r="J129" s="101" t="s">
        <v>393</v>
      </c>
      <c r="K129" s="643">
        <v>3</v>
      </c>
      <c r="L129" s="683" t="s">
        <v>351</v>
      </c>
      <c r="M129" s="11" t="s">
        <v>321</v>
      </c>
      <c r="N129" s="101" t="s">
        <v>387</v>
      </c>
      <c r="O129" s="643">
        <v>1</v>
      </c>
      <c r="P129" s="632"/>
      <c r="Q129" s="632"/>
      <c r="R129" s="632"/>
      <c r="S129" s="675">
        <f>SUMIF('Территориальный кк'!$A:$A,'2020'!$B129,'Территориальный кк'!D:D)</f>
        <v>1.395</v>
      </c>
      <c r="T129" s="676">
        <f>SUMIF('Территориальный кк'!$A:$A,'2020'!$B129,'Территориальный кк'!E:E)</f>
        <v>1.9790000000000001</v>
      </c>
      <c r="U129" s="618">
        <f>SUMIFS(Нормативы!G:G,Нормативы!$B:$B,$G129,Нормативы!$D:$D,'2020'!$I129,Нормативы!$F:$F,'2020'!$K129)*O129</f>
        <v>78450</v>
      </c>
      <c r="V129" s="618">
        <f t="shared" si="329"/>
        <v>60253.5</v>
      </c>
      <c r="W129" s="618">
        <f t="shared" si="330"/>
        <v>18196.5</v>
      </c>
      <c r="X129" s="618">
        <f>SUMIFS(Нормативы!J:J,Нормативы!$B:$B,$G129,Нормативы!$D:$D,'2020'!$I129,Нормативы!$F:$F,'2020'!$K129)</f>
        <v>6840</v>
      </c>
      <c r="Y129" s="618">
        <f>SUMIFS(Нормативы!K:K,Нормативы!$B:$B,$G129,Нормативы!$D:$D,'2020'!$I129,Нормативы!$F:$F,'2020'!$K129)</f>
        <v>1368</v>
      </c>
      <c r="Z129" s="618">
        <f>SUMIFS(Нормативы!L:L,Нормативы!$B:$B,$G129,Нормативы!$D:$D,'2020'!$I129,Нормативы!$F:$F,'2020'!$K129)</f>
        <v>8110</v>
      </c>
      <c r="AA129" s="618">
        <f t="shared" si="331"/>
        <v>23360</v>
      </c>
      <c r="AB129" s="618">
        <f>SUMIFS(Нормативы!N:N,Нормативы!$B:$B,$G129,Нормативы!$D:$D,'2020'!$I129,Нормативы!$F:$F,'2020'!$K129)*O129</f>
        <v>880</v>
      </c>
      <c r="AC129" s="618">
        <f>SUMIFS(Нормативы!O:O,Нормативы!$B:$B,$G129,Нормативы!$D:$D,'2020'!$I129,Нормативы!$F:$F,'2020'!$K129)</f>
        <v>20960</v>
      </c>
      <c r="AD129" s="618">
        <f>SUMIFS(Нормативы!P:P,Нормативы!$B:$B,$G129,Нормативы!$D:$D,'2020'!$I129,Нормативы!$F:$F,'2020'!$K129)*O129</f>
        <v>440</v>
      </c>
      <c r="AE129" s="618">
        <f>SUMIFS(Нормативы!Q:Q,Нормативы!$B:$B,$G129,Нормативы!$D:$D,'2020'!$I129,Нормативы!$F:$F,'2020'!$K129)</f>
        <v>1080</v>
      </c>
      <c r="AF129" s="618">
        <f>SUMIFS(Нормативы!R:R,Нормативы!$B:$B,$G129,Нормативы!$D:$D,'2020'!$I129,Нормативы!$F:$F,'2020'!$K129)</f>
        <v>2700</v>
      </c>
      <c r="AG129" s="618">
        <f>SUMIFS(Нормативы!S:S,Нормативы!$B:$B,$G129,Нормативы!$D:$D,'2020'!$I129,Нормативы!$F:$F,'2020'!$K129)</f>
        <v>5800</v>
      </c>
      <c r="AH129" s="618">
        <f>SUMIFS(Нормативы!T:T,Нормативы!$B:$B,$G129,Нормативы!$D:$D,'2020'!$I129,Нормативы!$F:$F,'2020'!$K129)</f>
        <v>540</v>
      </c>
      <c r="AI129" s="618">
        <f>SUMIFS(Нормативы!U:U,Нормативы!$B:$B,$G129,Нормативы!$D:$D,'2020'!$I129,Нормативы!$F:$F,'2020'!$K129)</f>
        <v>770</v>
      </c>
      <c r="AJ129" s="618">
        <f>SUMIFS(Нормативы!V:V,Нормативы!$B:$B,$G129,Нормативы!$D:$D,'2020'!$I129,Нормативы!$F:$F,'2020'!$K129)</f>
        <v>170</v>
      </c>
      <c r="AK129" s="618">
        <f>SUMIFS(Нормативы!W:W,Нормативы!$B:$B,$G129,Нормативы!$D:$D,'2020'!$I129,Нормативы!$F:$F,'2020'!$K129)</f>
        <v>200</v>
      </c>
      <c r="AL129" s="618">
        <f>SUMIFS(Нормативы!X:X,Нормативы!$B:$B,$G129,Нормативы!$D:$D,'2020'!$I129,Нормативы!$F:$F,'2020'!$K129)*O129</f>
        <v>13440</v>
      </c>
      <c r="AM129" s="618">
        <f t="shared" si="332"/>
        <v>10322.6</v>
      </c>
      <c r="AN129" s="618">
        <f t="shared" si="333"/>
        <v>3117.4</v>
      </c>
      <c r="AO129" s="618">
        <f>SUMIFS(Нормативы!AA:AA,Нормативы!$B:$B,$G129,Нормативы!$D:$D,'2020'!$I129,Нормативы!$F:$F,'2020'!$K129)</f>
        <v>0</v>
      </c>
      <c r="AP129" s="619">
        <f t="shared" si="334"/>
        <v>140380</v>
      </c>
      <c r="AQ129" s="413">
        <f t="shared" si="272"/>
        <v>0</v>
      </c>
      <c r="AR129" s="618">
        <f t="shared" si="335"/>
        <v>0</v>
      </c>
      <c r="AS129" s="618">
        <f t="shared" si="336"/>
        <v>0</v>
      </c>
      <c r="AT129" s="616">
        <f t="shared" si="273"/>
        <v>0</v>
      </c>
      <c r="AU129" s="616">
        <f t="shared" si="274"/>
        <v>0</v>
      </c>
      <c r="AV129" s="616">
        <f t="shared" si="275"/>
        <v>0</v>
      </c>
      <c r="AW129" s="616">
        <f t="shared" si="276"/>
        <v>0</v>
      </c>
      <c r="AX129" s="616">
        <f t="shared" si="277"/>
        <v>0</v>
      </c>
      <c r="AY129" s="616">
        <f t="shared" si="278"/>
        <v>0</v>
      </c>
      <c r="AZ129" s="616">
        <f t="shared" si="279"/>
        <v>0</v>
      </c>
      <c r="BA129" s="616">
        <f t="shared" si="280"/>
        <v>0</v>
      </c>
      <c r="BB129" s="616">
        <f t="shared" si="281"/>
        <v>0</v>
      </c>
      <c r="BC129" s="616">
        <f t="shared" si="282"/>
        <v>0</v>
      </c>
      <c r="BD129" s="616">
        <f t="shared" si="283"/>
        <v>0</v>
      </c>
      <c r="BE129" s="616">
        <f t="shared" si="284"/>
        <v>0</v>
      </c>
      <c r="BF129" s="616">
        <f t="shared" si="285"/>
        <v>0</v>
      </c>
      <c r="BG129" s="616">
        <f t="shared" si="286"/>
        <v>0</v>
      </c>
      <c r="BH129" s="616">
        <f t="shared" si="287"/>
        <v>0</v>
      </c>
      <c r="BI129" s="618">
        <f t="shared" si="337"/>
        <v>0</v>
      </c>
      <c r="BJ129" s="618">
        <f t="shared" si="338"/>
        <v>0</v>
      </c>
      <c r="BK129" s="616">
        <f t="shared" si="288"/>
        <v>0</v>
      </c>
      <c r="BL129" s="620">
        <f t="shared" si="289"/>
        <v>0</v>
      </c>
      <c r="BM129" s="616">
        <f t="shared" si="290"/>
        <v>0</v>
      </c>
      <c r="BN129" s="618">
        <f t="shared" si="291"/>
        <v>0</v>
      </c>
      <c r="BO129" s="618">
        <f t="shared" si="292"/>
        <v>0</v>
      </c>
      <c r="BP129" s="616">
        <f t="shared" si="339"/>
        <v>0</v>
      </c>
      <c r="BQ129" s="616">
        <f t="shared" si="340"/>
        <v>0</v>
      </c>
      <c r="BR129" s="616">
        <f t="shared" si="341"/>
        <v>0</v>
      </c>
      <c r="BS129" s="616">
        <f t="shared" si="293"/>
        <v>0</v>
      </c>
      <c r="BT129" s="616">
        <f t="shared" si="294"/>
        <v>0</v>
      </c>
      <c r="BU129" s="616">
        <f t="shared" si="295"/>
        <v>0</v>
      </c>
      <c r="BV129" s="616">
        <f t="shared" si="296"/>
        <v>0</v>
      </c>
      <c r="BW129" s="616">
        <f t="shared" si="297"/>
        <v>0</v>
      </c>
      <c r="BX129" s="616">
        <f t="shared" si="298"/>
        <v>0</v>
      </c>
      <c r="BY129" s="616">
        <f t="shared" si="299"/>
        <v>0</v>
      </c>
      <c r="BZ129" s="616">
        <f t="shared" si="300"/>
        <v>0</v>
      </c>
      <c r="CA129" s="616">
        <f t="shared" si="301"/>
        <v>0</v>
      </c>
      <c r="CB129" s="616">
        <f t="shared" si="302"/>
        <v>0</v>
      </c>
      <c r="CC129" s="616">
        <f t="shared" si="303"/>
        <v>0</v>
      </c>
      <c r="CD129" s="616">
        <f t="shared" si="304"/>
        <v>0</v>
      </c>
      <c r="CE129" s="618">
        <f t="shared" si="342"/>
        <v>0</v>
      </c>
      <c r="CF129" s="618">
        <f t="shared" si="343"/>
        <v>0</v>
      </c>
      <c r="CG129" s="616">
        <f t="shared" si="305"/>
        <v>0</v>
      </c>
      <c r="CH129" s="621">
        <f t="shared" si="306"/>
        <v>0</v>
      </c>
      <c r="CI129" s="88" t="e">
        <f t="shared" si="307"/>
        <v>#DIV/0!</v>
      </c>
      <c r="CJ129" s="90" t="e">
        <f t="shared" si="308"/>
        <v>#DIV/0!</v>
      </c>
      <c r="CK129" s="90" t="e">
        <f t="shared" si="309"/>
        <v>#DIV/0!</v>
      </c>
      <c r="CL129" s="88" t="e">
        <f t="shared" si="310"/>
        <v>#DIV/0!</v>
      </c>
      <c r="CM129" s="88" t="e">
        <f t="shared" si="311"/>
        <v>#DIV/0!</v>
      </c>
      <c r="CN129" s="88" t="e">
        <f t="shared" si="312"/>
        <v>#DIV/0!</v>
      </c>
      <c r="CO129" s="88" t="e">
        <f t="shared" si="313"/>
        <v>#DIV/0!</v>
      </c>
      <c r="CP129" s="88" t="e">
        <f t="shared" si="314"/>
        <v>#DIV/0!</v>
      </c>
      <c r="CQ129" s="88" t="e">
        <f t="shared" si="315"/>
        <v>#DIV/0!</v>
      </c>
      <c r="CR129" s="88" t="e">
        <f t="shared" si="316"/>
        <v>#DIV/0!</v>
      </c>
      <c r="CS129" s="88" t="e">
        <f t="shared" si="317"/>
        <v>#DIV/0!</v>
      </c>
      <c r="CT129" s="88" t="e">
        <f t="shared" si="318"/>
        <v>#DIV/0!</v>
      </c>
      <c r="CU129" s="88" t="e">
        <f t="shared" si="319"/>
        <v>#DIV/0!</v>
      </c>
      <c r="CV129" s="88" t="e">
        <f t="shared" si="320"/>
        <v>#DIV/0!</v>
      </c>
      <c r="CW129" s="88" t="e">
        <f t="shared" si="321"/>
        <v>#DIV/0!</v>
      </c>
      <c r="CX129" s="88" t="e">
        <f t="shared" si="322"/>
        <v>#DIV/0!</v>
      </c>
      <c r="CY129" s="88" t="e">
        <f t="shared" si="323"/>
        <v>#DIV/0!</v>
      </c>
      <c r="CZ129" s="88" t="e">
        <f t="shared" si="324"/>
        <v>#DIV/0!</v>
      </c>
      <c r="DA129" s="90" t="e">
        <f t="shared" si="325"/>
        <v>#DIV/0!</v>
      </c>
      <c r="DB129" s="90" t="e">
        <f t="shared" si="326"/>
        <v>#DIV/0!</v>
      </c>
      <c r="DC129" s="88" t="e">
        <f t="shared" si="327"/>
        <v>#DIV/0!</v>
      </c>
      <c r="DD129" s="88" t="e">
        <f t="shared" si="328"/>
        <v>#DIV/0!</v>
      </c>
      <c r="AUV129" s="699">
        <v>0</v>
      </c>
      <c r="AUW129" s="699">
        <f t="shared" si="236"/>
        <v>0</v>
      </c>
      <c r="AUX129" s="699">
        <f t="shared" si="237"/>
        <v>0</v>
      </c>
      <c r="AUY129" s="699">
        <f t="shared" si="344"/>
        <v>0</v>
      </c>
      <c r="AUZ129" s="699">
        <f t="shared" si="344"/>
        <v>0</v>
      </c>
      <c r="AVA129" s="699">
        <f t="shared" si="344"/>
        <v>0</v>
      </c>
      <c r="AVB129" s="699">
        <f t="shared" si="345"/>
        <v>0</v>
      </c>
      <c r="AVC129" s="697"/>
      <c r="AVD129" s="697"/>
      <c r="AVE129" s="697"/>
      <c r="AVF129" s="697"/>
      <c r="AVG129" s="697"/>
      <c r="AVH129" s="697"/>
      <c r="AVI129" s="697"/>
      <c r="AVJ129" s="697"/>
      <c r="AVK129" s="697"/>
      <c r="AVL129" s="697"/>
      <c r="AVM129" s="697"/>
      <c r="AVN129" s="697"/>
      <c r="AVO129" s="697"/>
      <c r="AVP129" s="697"/>
      <c r="AVQ129" s="697"/>
    </row>
    <row r="130" spans="1:108 1244:1265" ht="30" customHeight="1" x14ac:dyDescent="0.25">
      <c r="A130" s="643">
        <v>1</v>
      </c>
      <c r="B130" s="643">
        <v>5</v>
      </c>
      <c r="C130" s="664" t="s">
        <v>248</v>
      </c>
      <c r="D130" s="2"/>
      <c r="E130" s="101" t="s">
        <v>346</v>
      </c>
      <c r="F130" s="643" t="s">
        <v>39</v>
      </c>
      <c r="G130" s="643">
        <v>3</v>
      </c>
      <c r="H130" s="658" t="s">
        <v>10</v>
      </c>
      <c r="I130" s="643">
        <v>0</v>
      </c>
      <c r="J130" s="101" t="s">
        <v>366</v>
      </c>
      <c r="K130" s="643">
        <v>3</v>
      </c>
      <c r="L130" s="683" t="s">
        <v>351</v>
      </c>
      <c r="M130" s="11" t="s">
        <v>272</v>
      </c>
      <c r="N130" s="101" t="s">
        <v>387</v>
      </c>
      <c r="O130" s="643">
        <v>1</v>
      </c>
      <c r="P130" s="632">
        <v>30</v>
      </c>
      <c r="Q130" s="632">
        <v>30</v>
      </c>
      <c r="R130" s="632">
        <v>30</v>
      </c>
      <c r="S130" s="675">
        <f>SUMIF('Территориальный кк'!$A:$A,'2020'!$B130,'Территориальный кк'!D:D)</f>
        <v>1.395</v>
      </c>
      <c r="T130" s="676">
        <f>SUMIF('Территориальный кк'!$A:$A,'2020'!$B130,'Территориальный кк'!E:E)</f>
        <v>1.9790000000000001</v>
      </c>
      <c r="U130" s="618">
        <f>SUMIFS(Нормативы!G:G,Нормативы!$B:$B,$G130,Нормативы!$D:$D,'2020'!$I130,Нормативы!$F:$F,'2020'!$K130)*O130</f>
        <v>78450</v>
      </c>
      <c r="V130" s="618">
        <f t="shared" si="329"/>
        <v>60253.5</v>
      </c>
      <c r="W130" s="618">
        <f t="shared" si="330"/>
        <v>18196.5</v>
      </c>
      <c r="X130" s="618">
        <f>SUMIFS(Нормативы!J:J,Нормативы!$B:$B,$G130,Нормативы!$D:$D,'2020'!$I130,Нормативы!$F:$F,'2020'!$K130)</f>
        <v>6840</v>
      </c>
      <c r="Y130" s="618">
        <f>SUMIFS(Нормативы!K:K,Нормативы!$B:$B,$G130,Нормативы!$D:$D,'2020'!$I130,Нормативы!$F:$F,'2020'!$K130)</f>
        <v>1368</v>
      </c>
      <c r="Z130" s="618">
        <f>SUMIFS(Нормативы!L:L,Нормативы!$B:$B,$G130,Нормативы!$D:$D,'2020'!$I130,Нормативы!$F:$F,'2020'!$K130)</f>
        <v>8110</v>
      </c>
      <c r="AA130" s="618">
        <f t="shared" si="331"/>
        <v>23360</v>
      </c>
      <c r="AB130" s="618">
        <f>SUMIFS(Нормативы!N:N,Нормативы!$B:$B,$G130,Нормативы!$D:$D,'2020'!$I130,Нормативы!$F:$F,'2020'!$K130)*O130</f>
        <v>880</v>
      </c>
      <c r="AC130" s="618">
        <f>SUMIFS(Нормативы!O:O,Нормативы!$B:$B,$G130,Нормативы!$D:$D,'2020'!$I130,Нормативы!$F:$F,'2020'!$K130)</f>
        <v>20960</v>
      </c>
      <c r="AD130" s="618">
        <f>SUMIFS(Нормативы!P:P,Нормативы!$B:$B,$G130,Нормативы!$D:$D,'2020'!$I130,Нормативы!$F:$F,'2020'!$K130)*O130</f>
        <v>440</v>
      </c>
      <c r="AE130" s="618">
        <f>SUMIFS(Нормативы!Q:Q,Нормативы!$B:$B,$G130,Нормативы!$D:$D,'2020'!$I130,Нормативы!$F:$F,'2020'!$K130)</f>
        <v>1080</v>
      </c>
      <c r="AF130" s="618">
        <f>SUMIFS(Нормативы!R:R,Нормативы!$B:$B,$G130,Нормативы!$D:$D,'2020'!$I130,Нормативы!$F:$F,'2020'!$K130)</f>
        <v>2700</v>
      </c>
      <c r="AG130" s="618">
        <f>SUMIFS(Нормативы!S:S,Нормативы!$B:$B,$G130,Нормативы!$D:$D,'2020'!$I130,Нормативы!$F:$F,'2020'!$K130)</f>
        <v>5800</v>
      </c>
      <c r="AH130" s="618">
        <f>SUMIFS(Нормативы!T:T,Нормативы!$B:$B,$G130,Нормативы!$D:$D,'2020'!$I130,Нормативы!$F:$F,'2020'!$K130)</f>
        <v>540</v>
      </c>
      <c r="AI130" s="618">
        <f>SUMIFS(Нормативы!U:U,Нормативы!$B:$B,$G130,Нормативы!$D:$D,'2020'!$I130,Нормативы!$F:$F,'2020'!$K130)</f>
        <v>770</v>
      </c>
      <c r="AJ130" s="618">
        <f>SUMIFS(Нормативы!V:V,Нормативы!$B:$B,$G130,Нормативы!$D:$D,'2020'!$I130,Нормативы!$F:$F,'2020'!$K130)</f>
        <v>170</v>
      </c>
      <c r="AK130" s="618">
        <f>SUMIFS(Нормативы!W:W,Нормативы!$B:$B,$G130,Нормативы!$D:$D,'2020'!$I130,Нормативы!$F:$F,'2020'!$K130)</f>
        <v>200</v>
      </c>
      <c r="AL130" s="618">
        <f>SUMIFS(Нормативы!X:X,Нормативы!$B:$B,$G130,Нормативы!$D:$D,'2020'!$I130,Нормативы!$F:$F,'2020'!$K130)*O130</f>
        <v>13440</v>
      </c>
      <c r="AM130" s="618">
        <f t="shared" si="332"/>
        <v>10322.6</v>
      </c>
      <c r="AN130" s="618">
        <f t="shared" si="333"/>
        <v>3117.4</v>
      </c>
      <c r="AO130" s="618">
        <f>SUMIFS(Нормативы!AA:AA,Нормативы!$B:$B,$G130,Нормативы!$D:$D,'2020'!$I130,Нормативы!$F:$F,'2020'!$K130)</f>
        <v>0</v>
      </c>
      <c r="AP130" s="619">
        <f t="shared" si="334"/>
        <v>140380</v>
      </c>
      <c r="AQ130" s="413">
        <f t="shared" si="272"/>
        <v>2353500</v>
      </c>
      <c r="AR130" s="618">
        <f t="shared" si="335"/>
        <v>1807603.7</v>
      </c>
      <c r="AS130" s="618">
        <f t="shared" si="336"/>
        <v>545896.30000000005</v>
      </c>
      <c r="AT130" s="616">
        <f t="shared" si="273"/>
        <v>205200</v>
      </c>
      <c r="AU130" s="616">
        <f t="shared" si="274"/>
        <v>41040</v>
      </c>
      <c r="AV130" s="616">
        <f t="shared" si="275"/>
        <v>243300</v>
      </c>
      <c r="AW130" s="616">
        <f t="shared" si="276"/>
        <v>700800</v>
      </c>
      <c r="AX130" s="616">
        <f t="shared" si="277"/>
        <v>26400</v>
      </c>
      <c r="AY130" s="616">
        <f t="shared" si="278"/>
        <v>628800</v>
      </c>
      <c r="AZ130" s="616">
        <f t="shared" si="279"/>
        <v>13200</v>
      </c>
      <c r="BA130" s="616">
        <f t="shared" si="280"/>
        <v>32400</v>
      </c>
      <c r="BB130" s="616">
        <f t="shared" si="281"/>
        <v>81000</v>
      </c>
      <c r="BC130" s="616">
        <f t="shared" si="282"/>
        <v>174000</v>
      </c>
      <c r="BD130" s="616">
        <f t="shared" si="283"/>
        <v>16200</v>
      </c>
      <c r="BE130" s="616">
        <f t="shared" si="284"/>
        <v>23100</v>
      </c>
      <c r="BF130" s="616">
        <f t="shared" si="285"/>
        <v>5100</v>
      </c>
      <c r="BG130" s="616">
        <f t="shared" si="286"/>
        <v>6000</v>
      </c>
      <c r="BH130" s="616">
        <f t="shared" si="287"/>
        <v>403200</v>
      </c>
      <c r="BI130" s="618">
        <f t="shared" si="337"/>
        <v>309677.40000000002</v>
      </c>
      <c r="BJ130" s="618">
        <f t="shared" si="338"/>
        <v>93522.6</v>
      </c>
      <c r="BK130" s="616">
        <f t="shared" si="288"/>
        <v>0</v>
      </c>
      <c r="BL130" s="620">
        <f t="shared" si="289"/>
        <v>4211400</v>
      </c>
      <c r="BM130" s="616">
        <f t="shared" si="290"/>
        <v>3283133</v>
      </c>
      <c r="BN130" s="618">
        <f t="shared" si="291"/>
        <v>2521607.5</v>
      </c>
      <c r="BO130" s="618">
        <f t="shared" si="292"/>
        <v>761525.5</v>
      </c>
      <c r="BP130" s="616">
        <f t="shared" si="339"/>
        <v>205200</v>
      </c>
      <c r="BQ130" s="616">
        <f t="shared" si="340"/>
        <v>41040</v>
      </c>
      <c r="BR130" s="616">
        <f t="shared" si="341"/>
        <v>243300</v>
      </c>
      <c r="BS130" s="616">
        <f t="shared" si="293"/>
        <v>700800</v>
      </c>
      <c r="BT130" s="616">
        <f t="shared" si="294"/>
        <v>26400</v>
      </c>
      <c r="BU130" s="616">
        <f t="shared" si="295"/>
        <v>628800</v>
      </c>
      <c r="BV130" s="616">
        <f t="shared" si="296"/>
        <v>13200</v>
      </c>
      <c r="BW130" s="616">
        <f t="shared" si="297"/>
        <v>32400</v>
      </c>
      <c r="BX130" s="616">
        <f t="shared" si="298"/>
        <v>160299</v>
      </c>
      <c r="BY130" s="616">
        <f t="shared" si="299"/>
        <v>174000</v>
      </c>
      <c r="BZ130" s="616">
        <f t="shared" si="300"/>
        <v>16200</v>
      </c>
      <c r="CA130" s="616">
        <f t="shared" si="301"/>
        <v>23100</v>
      </c>
      <c r="CB130" s="616">
        <f t="shared" si="302"/>
        <v>5100</v>
      </c>
      <c r="CC130" s="616">
        <f t="shared" si="303"/>
        <v>6000</v>
      </c>
      <c r="CD130" s="616">
        <f t="shared" si="304"/>
        <v>562464</v>
      </c>
      <c r="CE130" s="618">
        <f t="shared" si="342"/>
        <v>432000</v>
      </c>
      <c r="CF130" s="618">
        <f t="shared" si="343"/>
        <v>130464</v>
      </c>
      <c r="CG130" s="616">
        <f t="shared" si="305"/>
        <v>0</v>
      </c>
      <c r="CH130" s="621">
        <f t="shared" si="306"/>
        <v>5379596</v>
      </c>
      <c r="CI130" s="88">
        <f t="shared" si="307"/>
        <v>109437.76669999999</v>
      </c>
      <c r="CJ130" s="90">
        <f t="shared" si="308"/>
        <v>84053.583299999998</v>
      </c>
      <c r="CK130" s="90">
        <f t="shared" si="309"/>
        <v>25384.183300000001</v>
      </c>
      <c r="CL130" s="88">
        <f t="shared" si="310"/>
        <v>6840</v>
      </c>
      <c r="CM130" s="88">
        <f t="shared" si="311"/>
        <v>1368</v>
      </c>
      <c r="CN130" s="88">
        <f t="shared" si="312"/>
        <v>8110</v>
      </c>
      <c r="CO130" s="88">
        <f t="shared" si="313"/>
        <v>23360</v>
      </c>
      <c r="CP130" s="88">
        <f t="shared" si="314"/>
        <v>880</v>
      </c>
      <c r="CQ130" s="88">
        <f t="shared" si="315"/>
        <v>20960</v>
      </c>
      <c r="CR130" s="88">
        <f t="shared" si="316"/>
        <v>440</v>
      </c>
      <c r="CS130" s="88">
        <f t="shared" si="317"/>
        <v>1080</v>
      </c>
      <c r="CT130" s="88">
        <f t="shared" si="318"/>
        <v>5343.3</v>
      </c>
      <c r="CU130" s="88">
        <f t="shared" si="319"/>
        <v>5800</v>
      </c>
      <c r="CV130" s="88">
        <f t="shared" si="320"/>
        <v>540</v>
      </c>
      <c r="CW130" s="88">
        <f t="shared" si="321"/>
        <v>770</v>
      </c>
      <c r="CX130" s="88">
        <f t="shared" si="322"/>
        <v>170</v>
      </c>
      <c r="CY130" s="88">
        <f t="shared" si="323"/>
        <v>200</v>
      </c>
      <c r="CZ130" s="88">
        <f t="shared" si="324"/>
        <v>18748.8</v>
      </c>
      <c r="DA130" s="90">
        <f t="shared" si="325"/>
        <v>14400</v>
      </c>
      <c r="DB130" s="90">
        <f t="shared" si="326"/>
        <v>4348.8</v>
      </c>
      <c r="DC130" s="88">
        <f t="shared" si="327"/>
        <v>0</v>
      </c>
      <c r="DD130" s="88">
        <f t="shared" si="328"/>
        <v>179319.86670000001</v>
      </c>
      <c r="AUV130" s="699">
        <f t="shared" si="235"/>
        <v>109437.77</v>
      </c>
      <c r="AUW130" s="699">
        <f t="shared" si="236"/>
        <v>84053.59</v>
      </c>
      <c r="AUX130" s="699">
        <f t="shared" si="237"/>
        <v>25384.18</v>
      </c>
      <c r="AUY130" s="699">
        <f>BP130/P130</f>
        <v>6840</v>
      </c>
      <c r="AUZ130" s="699">
        <f t="shared" si="344"/>
        <v>20737.75</v>
      </c>
      <c r="AVA130" s="699">
        <f t="shared" si="344"/>
        <v>3.1</v>
      </c>
      <c r="AVB130" s="699">
        <f>AVC130+AVD130+AVE130+AVF130</f>
        <v>23360</v>
      </c>
      <c r="AVC130" s="699">
        <f>BT130/P130</f>
        <v>880</v>
      </c>
      <c r="AVD130" s="699">
        <f>BU130/P130</f>
        <v>20960</v>
      </c>
      <c r="AVE130" s="699">
        <f>BV130/P130</f>
        <v>440</v>
      </c>
      <c r="AVF130" s="699">
        <f>BW130/P130</f>
        <v>1080</v>
      </c>
      <c r="AVG130" s="699">
        <f>BX130/P130</f>
        <v>5343.3</v>
      </c>
      <c r="AVH130" s="699">
        <f>BY130/P130</f>
        <v>5800</v>
      </c>
      <c r="AVI130" s="699">
        <f>BZ130/P130</f>
        <v>540</v>
      </c>
      <c r="AVJ130" s="699">
        <f>CA130/P130</f>
        <v>770</v>
      </c>
      <c r="AVK130" s="699">
        <f>CB130/P130</f>
        <v>170</v>
      </c>
      <c r="AVL130" s="699">
        <f>CC130/P130</f>
        <v>200</v>
      </c>
      <c r="AVM130" s="699">
        <f>CD130/P130</f>
        <v>18748.8</v>
      </c>
      <c r="AVN130" s="699">
        <f>AVM130/1.302</f>
        <v>14400</v>
      </c>
      <c r="AVO130" s="699">
        <f>AVM130-AVN130</f>
        <v>4348.8</v>
      </c>
      <c r="AVP130" s="699">
        <f>CG130/P130</f>
        <v>0</v>
      </c>
      <c r="AVQ130" s="699">
        <f>CH130/P130</f>
        <v>179319.87</v>
      </c>
    </row>
    <row r="131" spans="1:108 1244:1265" ht="30" customHeight="1" x14ac:dyDescent="0.25">
      <c r="A131" s="643">
        <v>1</v>
      </c>
      <c r="B131" s="643">
        <v>5</v>
      </c>
      <c r="C131" s="664" t="s">
        <v>248</v>
      </c>
      <c r="D131" s="2"/>
      <c r="E131" s="101" t="s">
        <v>346</v>
      </c>
      <c r="F131" s="643" t="s">
        <v>39</v>
      </c>
      <c r="G131" s="643">
        <v>3</v>
      </c>
      <c r="H131" s="658" t="s">
        <v>10</v>
      </c>
      <c r="I131" s="643">
        <v>0</v>
      </c>
      <c r="J131" s="101" t="s">
        <v>367</v>
      </c>
      <c r="K131" s="643">
        <v>3</v>
      </c>
      <c r="L131" s="683" t="s">
        <v>351</v>
      </c>
      <c r="M131" s="11" t="s">
        <v>273</v>
      </c>
      <c r="N131" s="101" t="s">
        <v>387</v>
      </c>
      <c r="O131" s="643">
        <v>1</v>
      </c>
      <c r="P131" s="632"/>
      <c r="Q131" s="632"/>
      <c r="R131" s="632"/>
      <c r="S131" s="675">
        <f>SUMIF('Территориальный кк'!$A:$A,'2020'!$B131,'Территориальный кк'!D:D)</f>
        <v>1.395</v>
      </c>
      <c r="T131" s="676">
        <f>SUMIF('Территориальный кк'!$A:$A,'2020'!$B131,'Территориальный кк'!E:E)</f>
        <v>1.9790000000000001</v>
      </c>
      <c r="U131" s="618">
        <f>SUMIFS(Нормативы!G:G,Нормативы!$B:$B,$G131,Нормативы!$D:$D,'2020'!$I131,Нормативы!$F:$F,'2020'!$K131)*O131</f>
        <v>78450</v>
      </c>
      <c r="V131" s="618">
        <f t="shared" si="329"/>
        <v>60253.5</v>
      </c>
      <c r="W131" s="618">
        <f t="shared" si="330"/>
        <v>18196.5</v>
      </c>
      <c r="X131" s="618">
        <f>SUMIFS(Нормативы!J:J,Нормативы!$B:$B,$G131,Нормативы!$D:$D,'2020'!$I131,Нормативы!$F:$F,'2020'!$K131)</f>
        <v>6840</v>
      </c>
      <c r="Y131" s="618">
        <f>SUMIFS(Нормативы!K:K,Нормативы!$B:$B,$G131,Нормативы!$D:$D,'2020'!$I131,Нормативы!$F:$F,'2020'!$K131)</f>
        <v>1368</v>
      </c>
      <c r="Z131" s="618">
        <f>SUMIFS(Нормативы!L:L,Нормативы!$B:$B,$G131,Нормативы!$D:$D,'2020'!$I131,Нормативы!$F:$F,'2020'!$K131)</f>
        <v>8110</v>
      </c>
      <c r="AA131" s="618">
        <f t="shared" si="331"/>
        <v>23360</v>
      </c>
      <c r="AB131" s="618">
        <f>SUMIFS(Нормативы!N:N,Нормативы!$B:$B,$G131,Нормативы!$D:$D,'2020'!$I131,Нормативы!$F:$F,'2020'!$K131)*O131</f>
        <v>880</v>
      </c>
      <c r="AC131" s="618">
        <f>SUMIFS(Нормативы!O:O,Нормативы!$B:$B,$G131,Нормативы!$D:$D,'2020'!$I131,Нормативы!$F:$F,'2020'!$K131)</f>
        <v>20960</v>
      </c>
      <c r="AD131" s="618">
        <f>SUMIFS(Нормативы!P:P,Нормативы!$B:$B,$G131,Нормативы!$D:$D,'2020'!$I131,Нормативы!$F:$F,'2020'!$K131)*O131</f>
        <v>440</v>
      </c>
      <c r="AE131" s="618">
        <f>SUMIFS(Нормативы!Q:Q,Нормативы!$B:$B,$G131,Нормативы!$D:$D,'2020'!$I131,Нормативы!$F:$F,'2020'!$K131)</f>
        <v>1080</v>
      </c>
      <c r="AF131" s="618">
        <f>SUMIFS(Нормативы!R:R,Нормативы!$B:$B,$G131,Нормативы!$D:$D,'2020'!$I131,Нормативы!$F:$F,'2020'!$K131)</f>
        <v>2700</v>
      </c>
      <c r="AG131" s="618">
        <f>SUMIFS(Нормативы!S:S,Нормативы!$B:$B,$G131,Нормативы!$D:$D,'2020'!$I131,Нормативы!$F:$F,'2020'!$K131)</f>
        <v>5800</v>
      </c>
      <c r="AH131" s="618">
        <f>SUMIFS(Нормативы!T:T,Нормативы!$B:$B,$G131,Нормативы!$D:$D,'2020'!$I131,Нормативы!$F:$F,'2020'!$K131)</f>
        <v>540</v>
      </c>
      <c r="AI131" s="618">
        <f>SUMIFS(Нормативы!U:U,Нормативы!$B:$B,$G131,Нормативы!$D:$D,'2020'!$I131,Нормативы!$F:$F,'2020'!$K131)</f>
        <v>770</v>
      </c>
      <c r="AJ131" s="618">
        <f>SUMIFS(Нормативы!V:V,Нормативы!$B:$B,$G131,Нормативы!$D:$D,'2020'!$I131,Нормативы!$F:$F,'2020'!$K131)</f>
        <v>170</v>
      </c>
      <c r="AK131" s="618">
        <f>SUMIFS(Нормативы!W:W,Нормативы!$B:$B,$G131,Нормативы!$D:$D,'2020'!$I131,Нормативы!$F:$F,'2020'!$K131)</f>
        <v>200</v>
      </c>
      <c r="AL131" s="618">
        <f>SUMIFS(Нормативы!X:X,Нормативы!$B:$B,$G131,Нормативы!$D:$D,'2020'!$I131,Нормативы!$F:$F,'2020'!$K131)*O131</f>
        <v>13440</v>
      </c>
      <c r="AM131" s="618">
        <f t="shared" si="332"/>
        <v>10322.6</v>
      </c>
      <c r="AN131" s="618">
        <f t="shared" si="333"/>
        <v>3117.4</v>
      </c>
      <c r="AO131" s="618">
        <f>SUMIFS(Нормативы!AA:AA,Нормативы!$B:$B,$G131,Нормативы!$D:$D,'2020'!$I131,Нормативы!$F:$F,'2020'!$K131)</f>
        <v>0</v>
      </c>
      <c r="AP131" s="619">
        <f t="shared" si="334"/>
        <v>140380</v>
      </c>
      <c r="AQ131" s="413">
        <f t="shared" si="272"/>
        <v>0</v>
      </c>
      <c r="AR131" s="618">
        <f t="shared" si="335"/>
        <v>0</v>
      </c>
      <c r="AS131" s="618">
        <f t="shared" si="336"/>
        <v>0</v>
      </c>
      <c r="AT131" s="616">
        <f t="shared" si="273"/>
        <v>0</v>
      </c>
      <c r="AU131" s="616">
        <f t="shared" si="274"/>
        <v>0</v>
      </c>
      <c r="AV131" s="616">
        <f t="shared" si="275"/>
        <v>0</v>
      </c>
      <c r="AW131" s="616">
        <f t="shared" si="276"/>
        <v>0</v>
      </c>
      <c r="AX131" s="616">
        <f t="shared" si="277"/>
        <v>0</v>
      </c>
      <c r="AY131" s="616">
        <f t="shared" si="278"/>
        <v>0</v>
      </c>
      <c r="AZ131" s="616">
        <f t="shared" si="279"/>
        <v>0</v>
      </c>
      <c r="BA131" s="616">
        <f t="shared" si="280"/>
        <v>0</v>
      </c>
      <c r="BB131" s="616">
        <f t="shared" si="281"/>
        <v>0</v>
      </c>
      <c r="BC131" s="616">
        <f t="shared" si="282"/>
        <v>0</v>
      </c>
      <c r="BD131" s="616">
        <f t="shared" si="283"/>
        <v>0</v>
      </c>
      <c r="BE131" s="616">
        <f t="shared" si="284"/>
        <v>0</v>
      </c>
      <c r="BF131" s="616">
        <f t="shared" si="285"/>
        <v>0</v>
      </c>
      <c r="BG131" s="616">
        <f t="shared" si="286"/>
        <v>0</v>
      </c>
      <c r="BH131" s="616">
        <f t="shared" si="287"/>
        <v>0</v>
      </c>
      <c r="BI131" s="618">
        <f t="shared" si="337"/>
        <v>0</v>
      </c>
      <c r="BJ131" s="618">
        <f t="shared" si="338"/>
        <v>0</v>
      </c>
      <c r="BK131" s="616">
        <f t="shared" si="288"/>
        <v>0</v>
      </c>
      <c r="BL131" s="620">
        <f t="shared" si="289"/>
        <v>0</v>
      </c>
      <c r="BM131" s="616">
        <f t="shared" si="290"/>
        <v>0</v>
      </c>
      <c r="BN131" s="618">
        <f t="shared" si="291"/>
        <v>0</v>
      </c>
      <c r="BO131" s="618">
        <f t="shared" si="292"/>
        <v>0</v>
      </c>
      <c r="BP131" s="616">
        <f t="shared" si="339"/>
        <v>0</v>
      </c>
      <c r="BQ131" s="616">
        <f t="shared" si="340"/>
        <v>0</v>
      </c>
      <c r="BR131" s="616">
        <f t="shared" si="341"/>
        <v>0</v>
      </c>
      <c r="BS131" s="616">
        <f t="shared" si="293"/>
        <v>0</v>
      </c>
      <c r="BT131" s="616">
        <f t="shared" si="294"/>
        <v>0</v>
      </c>
      <c r="BU131" s="616">
        <f t="shared" si="295"/>
        <v>0</v>
      </c>
      <c r="BV131" s="616">
        <f t="shared" si="296"/>
        <v>0</v>
      </c>
      <c r="BW131" s="616">
        <f t="shared" si="297"/>
        <v>0</v>
      </c>
      <c r="BX131" s="616">
        <f t="shared" si="298"/>
        <v>0</v>
      </c>
      <c r="BY131" s="616">
        <f t="shared" si="299"/>
        <v>0</v>
      </c>
      <c r="BZ131" s="616">
        <f t="shared" si="300"/>
        <v>0</v>
      </c>
      <c r="CA131" s="616">
        <f t="shared" si="301"/>
        <v>0</v>
      </c>
      <c r="CB131" s="616">
        <f t="shared" si="302"/>
        <v>0</v>
      </c>
      <c r="CC131" s="616">
        <f t="shared" si="303"/>
        <v>0</v>
      </c>
      <c r="CD131" s="616">
        <f t="shared" si="304"/>
        <v>0</v>
      </c>
      <c r="CE131" s="618">
        <f t="shared" si="342"/>
        <v>0</v>
      </c>
      <c r="CF131" s="618">
        <f t="shared" si="343"/>
        <v>0</v>
      </c>
      <c r="CG131" s="616">
        <f t="shared" si="305"/>
        <v>0</v>
      </c>
      <c r="CH131" s="621">
        <f t="shared" si="306"/>
        <v>0</v>
      </c>
      <c r="CI131" s="88" t="e">
        <f t="shared" si="307"/>
        <v>#DIV/0!</v>
      </c>
      <c r="CJ131" s="90" t="e">
        <f t="shared" si="308"/>
        <v>#DIV/0!</v>
      </c>
      <c r="CK131" s="90" t="e">
        <f t="shared" si="309"/>
        <v>#DIV/0!</v>
      </c>
      <c r="CL131" s="88" t="e">
        <f t="shared" si="310"/>
        <v>#DIV/0!</v>
      </c>
      <c r="CM131" s="88" t="e">
        <f t="shared" si="311"/>
        <v>#DIV/0!</v>
      </c>
      <c r="CN131" s="88" t="e">
        <f t="shared" si="312"/>
        <v>#DIV/0!</v>
      </c>
      <c r="CO131" s="88" t="e">
        <f t="shared" si="313"/>
        <v>#DIV/0!</v>
      </c>
      <c r="CP131" s="88" t="e">
        <f t="shared" si="314"/>
        <v>#DIV/0!</v>
      </c>
      <c r="CQ131" s="88" t="e">
        <f t="shared" si="315"/>
        <v>#DIV/0!</v>
      </c>
      <c r="CR131" s="88" t="e">
        <f t="shared" si="316"/>
        <v>#DIV/0!</v>
      </c>
      <c r="CS131" s="88" t="e">
        <f t="shared" si="317"/>
        <v>#DIV/0!</v>
      </c>
      <c r="CT131" s="88" t="e">
        <f t="shared" si="318"/>
        <v>#DIV/0!</v>
      </c>
      <c r="CU131" s="88" t="e">
        <f t="shared" si="319"/>
        <v>#DIV/0!</v>
      </c>
      <c r="CV131" s="88" t="e">
        <f t="shared" si="320"/>
        <v>#DIV/0!</v>
      </c>
      <c r="CW131" s="88" t="e">
        <f t="shared" si="321"/>
        <v>#DIV/0!</v>
      </c>
      <c r="CX131" s="88" t="e">
        <f t="shared" si="322"/>
        <v>#DIV/0!</v>
      </c>
      <c r="CY131" s="88" t="e">
        <f t="shared" si="323"/>
        <v>#DIV/0!</v>
      </c>
      <c r="CZ131" s="88" t="e">
        <f t="shared" si="324"/>
        <v>#DIV/0!</v>
      </c>
      <c r="DA131" s="90" t="e">
        <f t="shared" si="325"/>
        <v>#DIV/0!</v>
      </c>
      <c r="DB131" s="90" t="e">
        <f t="shared" si="326"/>
        <v>#DIV/0!</v>
      </c>
      <c r="DC131" s="88" t="e">
        <f t="shared" si="327"/>
        <v>#DIV/0!</v>
      </c>
      <c r="DD131" s="88" t="e">
        <f t="shared" si="328"/>
        <v>#DIV/0!</v>
      </c>
      <c r="AUV131" s="699">
        <v>0</v>
      </c>
      <c r="AUW131" s="699">
        <f t="shared" si="236"/>
        <v>0</v>
      </c>
      <c r="AUX131" s="699">
        <f t="shared" si="237"/>
        <v>0</v>
      </c>
      <c r="AUY131" s="699">
        <f t="shared" si="344"/>
        <v>0</v>
      </c>
      <c r="AUZ131" s="699">
        <f t="shared" si="344"/>
        <v>0</v>
      </c>
      <c r="AVA131" s="699">
        <f t="shared" si="344"/>
        <v>0</v>
      </c>
      <c r="AVB131" s="699">
        <f t="shared" si="345"/>
        <v>0</v>
      </c>
      <c r="AVC131" s="697"/>
      <c r="AVD131" s="697"/>
      <c r="AVE131" s="697"/>
      <c r="AVF131" s="697"/>
      <c r="AVG131" s="697"/>
      <c r="AVH131" s="697"/>
      <c r="AVI131" s="697"/>
      <c r="AVJ131" s="697"/>
      <c r="AVK131" s="697"/>
      <c r="AVL131" s="697"/>
      <c r="AVM131" s="697"/>
      <c r="AVN131" s="697"/>
      <c r="AVO131" s="697"/>
      <c r="AVP131" s="697"/>
      <c r="AVQ131" s="697"/>
    </row>
    <row r="132" spans="1:108 1244:1265" ht="30" customHeight="1" x14ac:dyDescent="0.25">
      <c r="A132" s="643">
        <v>1</v>
      </c>
      <c r="B132" s="643">
        <v>5</v>
      </c>
      <c r="C132" s="664" t="s">
        <v>248</v>
      </c>
      <c r="D132" s="2"/>
      <c r="E132" s="101" t="s">
        <v>346</v>
      </c>
      <c r="F132" s="643" t="s">
        <v>39</v>
      </c>
      <c r="G132" s="643">
        <v>3</v>
      </c>
      <c r="H132" s="658" t="s">
        <v>10</v>
      </c>
      <c r="I132" s="643">
        <v>0</v>
      </c>
      <c r="J132" s="101" t="s">
        <v>368</v>
      </c>
      <c r="K132" s="643">
        <v>2</v>
      </c>
      <c r="L132" s="683" t="s">
        <v>351</v>
      </c>
      <c r="M132" s="11" t="s">
        <v>274</v>
      </c>
      <c r="N132" s="101" t="s">
        <v>387</v>
      </c>
      <c r="O132" s="643">
        <v>1</v>
      </c>
      <c r="P132" s="632"/>
      <c r="Q132" s="632"/>
      <c r="R132" s="632"/>
      <c r="S132" s="675">
        <f>SUMIF('Территориальный кк'!$A:$A,'2020'!$B132,'Территориальный кк'!D:D)</f>
        <v>1.395</v>
      </c>
      <c r="T132" s="676">
        <f>SUMIF('Территориальный кк'!$A:$A,'2020'!$B132,'Территориальный кк'!E:E)</f>
        <v>1.9790000000000001</v>
      </c>
      <c r="U132" s="618">
        <f>SUMIFS(Нормативы!G:G,Нормативы!$B:$B,$G132,Нормативы!$D:$D,'2020'!$I132,Нормативы!$F:$F,'2020'!$K132)*O132</f>
        <v>78450</v>
      </c>
      <c r="V132" s="618">
        <f t="shared" si="329"/>
        <v>60253.5</v>
      </c>
      <c r="W132" s="618">
        <f t="shared" si="330"/>
        <v>18196.5</v>
      </c>
      <c r="X132" s="618">
        <f>SUMIFS(Нормативы!J:J,Нормативы!$B:$B,$G132,Нормативы!$D:$D,'2020'!$I132,Нормативы!$F:$F,'2020'!$K132)</f>
        <v>1610</v>
      </c>
      <c r="Y132" s="618">
        <f>SUMIFS(Нормативы!K:K,Нормативы!$B:$B,$G132,Нормативы!$D:$D,'2020'!$I132,Нормативы!$F:$F,'2020'!$K132)</f>
        <v>322</v>
      </c>
      <c r="Z132" s="618">
        <f>SUMIFS(Нормативы!L:L,Нормативы!$B:$B,$G132,Нормативы!$D:$D,'2020'!$I132,Нормативы!$F:$F,'2020'!$K132)</f>
        <v>3480</v>
      </c>
      <c r="AA132" s="618">
        <f t="shared" si="331"/>
        <v>8580</v>
      </c>
      <c r="AB132" s="618">
        <f>SUMIFS(Нормативы!N:N,Нормативы!$B:$B,$G132,Нормативы!$D:$D,'2020'!$I132,Нормативы!$F:$F,'2020'!$K132)*O132</f>
        <v>880</v>
      </c>
      <c r="AC132" s="618">
        <f>SUMIFS(Нормативы!O:O,Нормативы!$B:$B,$G132,Нормативы!$D:$D,'2020'!$I132,Нормативы!$F:$F,'2020'!$K132)</f>
        <v>6180</v>
      </c>
      <c r="AD132" s="618">
        <f>SUMIFS(Нормативы!P:P,Нормативы!$B:$B,$G132,Нормативы!$D:$D,'2020'!$I132,Нормативы!$F:$F,'2020'!$K132)*O132</f>
        <v>440</v>
      </c>
      <c r="AE132" s="618">
        <f>SUMIFS(Нормативы!Q:Q,Нормативы!$B:$B,$G132,Нормативы!$D:$D,'2020'!$I132,Нормативы!$F:$F,'2020'!$K132)</f>
        <v>1080</v>
      </c>
      <c r="AF132" s="618">
        <f>SUMIFS(Нормативы!R:R,Нормативы!$B:$B,$G132,Нормативы!$D:$D,'2020'!$I132,Нормативы!$F:$F,'2020'!$K132)</f>
        <v>2490</v>
      </c>
      <c r="AG132" s="618">
        <f>SUMIFS(Нормативы!S:S,Нормативы!$B:$B,$G132,Нормативы!$D:$D,'2020'!$I132,Нормативы!$F:$F,'2020'!$K132)</f>
        <v>5800</v>
      </c>
      <c r="AH132" s="618">
        <f>SUMIFS(Нормативы!T:T,Нормативы!$B:$B,$G132,Нормативы!$D:$D,'2020'!$I132,Нормативы!$F:$F,'2020'!$K132)</f>
        <v>540</v>
      </c>
      <c r="AI132" s="618">
        <f>SUMIFS(Нормативы!U:U,Нормативы!$B:$B,$G132,Нормативы!$D:$D,'2020'!$I132,Нормативы!$F:$F,'2020'!$K132)</f>
        <v>770</v>
      </c>
      <c r="AJ132" s="618">
        <f>SUMIFS(Нормативы!V:V,Нормативы!$B:$B,$G132,Нормативы!$D:$D,'2020'!$I132,Нормативы!$F:$F,'2020'!$K132)</f>
        <v>170</v>
      </c>
      <c r="AK132" s="618">
        <f>SUMIFS(Нормативы!W:W,Нормативы!$B:$B,$G132,Нормативы!$D:$D,'2020'!$I132,Нормативы!$F:$F,'2020'!$K132)</f>
        <v>200</v>
      </c>
      <c r="AL132" s="618">
        <f>SUMIFS(Нормативы!X:X,Нормативы!$B:$B,$G132,Нормативы!$D:$D,'2020'!$I132,Нормативы!$F:$F,'2020'!$K132)*O132</f>
        <v>13440</v>
      </c>
      <c r="AM132" s="618">
        <f t="shared" si="332"/>
        <v>10322.6</v>
      </c>
      <c r="AN132" s="618">
        <f t="shared" si="333"/>
        <v>3117.4</v>
      </c>
      <c r="AO132" s="618">
        <f>SUMIFS(Нормативы!AA:AA,Нормативы!$B:$B,$G132,Нормативы!$D:$D,'2020'!$I132,Нормативы!$F:$F,'2020'!$K132)</f>
        <v>0</v>
      </c>
      <c r="AP132" s="619">
        <f t="shared" si="334"/>
        <v>115530</v>
      </c>
      <c r="AQ132" s="413">
        <f t="shared" si="272"/>
        <v>0</v>
      </c>
      <c r="AR132" s="618">
        <f t="shared" si="335"/>
        <v>0</v>
      </c>
      <c r="AS132" s="618">
        <f t="shared" si="336"/>
        <v>0</v>
      </c>
      <c r="AT132" s="616">
        <f t="shared" si="273"/>
        <v>0</v>
      </c>
      <c r="AU132" s="616">
        <f t="shared" si="274"/>
        <v>0</v>
      </c>
      <c r="AV132" s="616">
        <f t="shared" si="275"/>
        <v>0</v>
      </c>
      <c r="AW132" s="616">
        <f t="shared" si="276"/>
        <v>0</v>
      </c>
      <c r="AX132" s="616">
        <f t="shared" si="277"/>
        <v>0</v>
      </c>
      <c r="AY132" s="616">
        <f t="shared" si="278"/>
        <v>0</v>
      </c>
      <c r="AZ132" s="616">
        <f t="shared" si="279"/>
        <v>0</v>
      </c>
      <c r="BA132" s="616">
        <f t="shared" si="280"/>
        <v>0</v>
      </c>
      <c r="BB132" s="616">
        <f t="shared" si="281"/>
        <v>0</v>
      </c>
      <c r="BC132" s="616">
        <f t="shared" si="282"/>
        <v>0</v>
      </c>
      <c r="BD132" s="616">
        <f t="shared" si="283"/>
        <v>0</v>
      </c>
      <c r="BE132" s="616">
        <f t="shared" si="284"/>
        <v>0</v>
      </c>
      <c r="BF132" s="616">
        <f t="shared" si="285"/>
        <v>0</v>
      </c>
      <c r="BG132" s="616">
        <f t="shared" si="286"/>
        <v>0</v>
      </c>
      <c r="BH132" s="616">
        <f t="shared" si="287"/>
        <v>0</v>
      </c>
      <c r="BI132" s="618">
        <f t="shared" si="337"/>
        <v>0</v>
      </c>
      <c r="BJ132" s="618">
        <f t="shared" si="338"/>
        <v>0</v>
      </c>
      <c r="BK132" s="616">
        <f t="shared" si="288"/>
        <v>0</v>
      </c>
      <c r="BL132" s="620">
        <f t="shared" si="289"/>
        <v>0</v>
      </c>
      <c r="BM132" s="616">
        <f t="shared" si="290"/>
        <v>0</v>
      </c>
      <c r="BN132" s="618">
        <f t="shared" si="291"/>
        <v>0</v>
      </c>
      <c r="BO132" s="618">
        <f t="shared" si="292"/>
        <v>0</v>
      </c>
      <c r="BP132" s="616">
        <f t="shared" si="339"/>
        <v>0</v>
      </c>
      <c r="BQ132" s="616">
        <f t="shared" si="340"/>
        <v>0</v>
      </c>
      <c r="BR132" s="616">
        <f t="shared" si="341"/>
        <v>0</v>
      </c>
      <c r="BS132" s="616">
        <f t="shared" si="293"/>
        <v>0</v>
      </c>
      <c r="BT132" s="616">
        <f t="shared" si="294"/>
        <v>0</v>
      </c>
      <c r="BU132" s="616">
        <f t="shared" si="295"/>
        <v>0</v>
      </c>
      <c r="BV132" s="616">
        <f t="shared" si="296"/>
        <v>0</v>
      </c>
      <c r="BW132" s="616">
        <f t="shared" si="297"/>
        <v>0</v>
      </c>
      <c r="BX132" s="616">
        <f t="shared" si="298"/>
        <v>0</v>
      </c>
      <c r="BY132" s="616">
        <f t="shared" si="299"/>
        <v>0</v>
      </c>
      <c r="BZ132" s="616">
        <f t="shared" si="300"/>
        <v>0</v>
      </c>
      <c r="CA132" s="616">
        <f t="shared" si="301"/>
        <v>0</v>
      </c>
      <c r="CB132" s="616">
        <f t="shared" si="302"/>
        <v>0</v>
      </c>
      <c r="CC132" s="616">
        <f t="shared" si="303"/>
        <v>0</v>
      </c>
      <c r="CD132" s="616">
        <f t="shared" si="304"/>
        <v>0</v>
      </c>
      <c r="CE132" s="618">
        <f t="shared" si="342"/>
        <v>0</v>
      </c>
      <c r="CF132" s="618">
        <f t="shared" si="343"/>
        <v>0</v>
      </c>
      <c r="CG132" s="616">
        <f t="shared" si="305"/>
        <v>0</v>
      </c>
      <c r="CH132" s="621">
        <f t="shared" si="306"/>
        <v>0</v>
      </c>
      <c r="CI132" s="88" t="e">
        <f t="shared" si="307"/>
        <v>#DIV/0!</v>
      </c>
      <c r="CJ132" s="90" t="e">
        <f t="shared" si="308"/>
        <v>#DIV/0!</v>
      </c>
      <c r="CK132" s="90" t="e">
        <f t="shared" si="309"/>
        <v>#DIV/0!</v>
      </c>
      <c r="CL132" s="88" t="e">
        <f t="shared" si="310"/>
        <v>#DIV/0!</v>
      </c>
      <c r="CM132" s="88" t="e">
        <f t="shared" si="311"/>
        <v>#DIV/0!</v>
      </c>
      <c r="CN132" s="88" t="e">
        <f t="shared" si="312"/>
        <v>#DIV/0!</v>
      </c>
      <c r="CO132" s="88" t="e">
        <f t="shared" si="313"/>
        <v>#DIV/0!</v>
      </c>
      <c r="CP132" s="88" t="e">
        <f t="shared" si="314"/>
        <v>#DIV/0!</v>
      </c>
      <c r="CQ132" s="88" t="e">
        <f t="shared" si="315"/>
        <v>#DIV/0!</v>
      </c>
      <c r="CR132" s="88" t="e">
        <f t="shared" si="316"/>
        <v>#DIV/0!</v>
      </c>
      <c r="CS132" s="88" t="e">
        <f t="shared" si="317"/>
        <v>#DIV/0!</v>
      </c>
      <c r="CT132" s="88" t="e">
        <f t="shared" si="318"/>
        <v>#DIV/0!</v>
      </c>
      <c r="CU132" s="88" t="e">
        <f t="shared" si="319"/>
        <v>#DIV/0!</v>
      </c>
      <c r="CV132" s="88" t="e">
        <f t="shared" si="320"/>
        <v>#DIV/0!</v>
      </c>
      <c r="CW132" s="88" t="e">
        <f t="shared" si="321"/>
        <v>#DIV/0!</v>
      </c>
      <c r="CX132" s="88" t="e">
        <f t="shared" si="322"/>
        <v>#DIV/0!</v>
      </c>
      <c r="CY132" s="88" t="e">
        <f t="shared" si="323"/>
        <v>#DIV/0!</v>
      </c>
      <c r="CZ132" s="88" t="e">
        <f t="shared" si="324"/>
        <v>#DIV/0!</v>
      </c>
      <c r="DA132" s="90" t="e">
        <f t="shared" si="325"/>
        <v>#DIV/0!</v>
      </c>
      <c r="DB132" s="90" t="e">
        <f t="shared" si="326"/>
        <v>#DIV/0!</v>
      </c>
      <c r="DC132" s="88" t="e">
        <f t="shared" si="327"/>
        <v>#DIV/0!</v>
      </c>
      <c r="DD132" s="88" t="e">
        <f t="shared" si="328"/>
        <v>#DIV/0!</v>
      </c>
      <c r="AUV132" s="699" t="s">
        <v>479</v>
      </c>
      <c r="AUW132" s="699" t="e">
        <f t="shared" si="236"/>
        <v>#VALUE!</v>
      </c>
      <c r="AUX132" s="699" t="e">
        <f t="shared" si="237"/>
        <v>#VALUE!</v>
      </c>
      <c r="AUY132" s="699">
        <f t="shared" si="344"/>
        <v>0</v>
      </c>
      <c r="AUZ132" s="699">
        <f t="shared" si="344"/>
        <v>0</v>
      </c>
      <c r="AVA132" s="699">
        <f t="shared" si="344"/>
        <v>0</v>
      </c>
      <c r="AVB132" s="699">
        <f t="shared" si="345"/>
        <v>0</v>
      </c>
      <c r="AVC132" s="697"/>
      <c r="AVD132" s="697"/>
      <c r="AVE132" s="697"/>
      <c r="AVF132" s="697"/>
      <c r="AVG132" s="697"/>
      <c r="AVH132" s="697"/>
      <c r="AVI132" s="697"/>
      <c r="AVJ132" s="697"/>
      <c r="AVK132" s="697"/>
      <c r="AVL132" s="697"/>
      <c r="AVM132" s="697"/>
      <c r="AVN132" s="697"/>
      <c r="AVO132" s="697"/>
      <c r="AVP132" s="697"/>
      <c r="AVQ132" s="697"/>
    </row>
    <row r="133" spans="1:108 1244:1265" ht="30" customHeight="1" x14ac:dyDescent="0.25">
      <c r="A133" s="643">
        <v>1</v>
      </c>
      <c r="B133" s="643">
        <v>3</v>
      </c>
      <c r="C133" s="664" t="s">
        <v>17</v>
      </c>
      <c r="D133" s="2"/>
      <c r="E133" s="101" t="s">
        <v>344</v>
      </c>
      <c r="F133" s="643" t="s">
        <v>31</v>
      </c>
      <c r="G133" s="643">
        <v>1</v>
      </c>
      <c r="H133" s="658" t="s">
        <v>10</v>
      </c>
      <c r="I133" s="643">
        <v>0</v>
      </c>
      <c r="J133" s="101" t="s">
        <v>356</v>
      </c>
      <c r="K133" s="643">
        <v>3</v>
      </c>
      <c r="L133" s="683" t="s">
        <v>349</v>
      </c>
      <c r="M133" s="11" t="s">
        <v>255</v>
      </c>
      <c r="N133" s="101" t="s">
        <v>387</v>
      </c>
      <c r="O133" s="643">
        <v>1</v>
      </c>
      <c r="P133" s="632">
        <v>266</v>
      </c>
      <c r="Q133" s="632">
        <v>266</v>
      </c>
      <c r="R133" s="632">
        <v>266</v>
      </c>
      <c r="S133" s="675">
        <f>SUMIF('Территориальный кк'!$A:$A,'2020'!$B133,'Территориальный кк'!D:D)</f>
        <v>1.282</v>
      </c>
      <c r="T133" s="676">
        <f>SUMIF('Территориальный кк'!$A:$A,'2020'!$B133,'Территориальный кк'!E:E)</f>
        <v>2.1589999999999998</v>
      </c>
      <c r="U133" s="618">
        <f>SUMIFS(Нормативы!G:G,Нормативы!$B:$B,$G133,Нормативы!$D:$D,'2020'!$I133,Нормативы!$F:$F,'2020'!$K133)*O133</f>
        <v>64190</v>
      </c>
      <c r="V133" s="618">
        <f t="shared" si="329"/>
        <v>49301.1</v>
      </c>
      <c r="W133" s="618">
        <f t="shared" si="330"/>
        <v>14888.9</v>
      </c>
      <c r="X133" s="618">
        <f>SUMIFS(Нормативы!J:J,Нормативы!$B:$B,$G133,Нормативы!$D:$D,'2020'!$I133,Нормативы!$F:$F,'2020'!$K133)</f>
        <v>8830</v>
      </c>
      <c r="Y133" s="618">
        <f>SUMIFS(Нормативы!K:K,Нормативы!$B:$B,$G133,Нормативы!$D:$D,'2020'!$I133,Нормативы!$F:$F,'2020'!$K133)</f>
        <v>1766</v>
      </c>
      <c r="Z133" s="618">
        <f>SUMIFS(Нормативы!L:L,Нормативы!$B:$B,$G133,Нормативы!$D:$D,'2020'!$I133,Нормативы!$F:$F,'2020'!$K133)</f>
        <v>8110</v>
      </c>
      <c r="AA133" s="618">
        <f t="shared" si="331"/>
        <v>19050</v>
      </c>
      <c r="AB133" s="618">
        <f>SUMIFS(Нормативы!N:N,Нормативы!$B:$B,$G133,Нормативы!$D:$D,'2020'!$I133,Нормативы!$F:$F,'2020'!$K133)*O133</f>
        <v>520</v>
      </c>
      <c r="AC133" s="618">
        <f>SUMIFS(Нормативы!O:O,Нормативы!$B:$B,$G133,Нормативы!$D:$D,'2020'!$I133,Нормативы!$F:$F,'2020'!$K133)</f>
        <v>17290</v>
      </c>
      <c r="AD133" s="618">
        <f>SUMIFS(Нормативы!P:P,Нормативы!$B:$B,$G133,Нормативы!$D:$D,'2020'!$I133,Нормативы!$F:$F,'2020'!$K133)*O133</f>
        <v>360</v>
      </c>
      <c r="AE133" s="618">
        <f>SUMIFS(Нормативы!Q:Q,Нормативы!$B:$B,$G133,Нормативы!$D:$D,'2020'!$I133,Нормативы!$F:$F,'2020'!$K133)</f>
        <v>880</v>
      </c>
      <c r="AF133" s="618">
        <f>SUMIFS(Нормативы!R:R,Нормативы!$B:$B,$G133,Нормативы!$D:$D,'2020'!$I133,Нормативы!$F:$F,'2020'!$K133)</f>
        <v>2680</v>
      </c>
      <c r="AG133" s="618">
        <f>SUMIFS(Нормативы!S:S,Нормативы!$B:$B,$G133,Нормативы!$D:$D,'2020'!$I133,Нормативы!$F:$F,'2020'!$K133)</f>
        <v>5800</v>
      </c>
      <c r="AH133" s="618">
        <f>SUMIFS(Нормативы!T:T,Нормативы!$B:$B,$G133,Нормативы!$D:$D,'2020'!$I133,Нормативы!$F:$F,'2020'!$K133)</f>
        <v>540</v>
      </c>
      <c r="AI133" s="618">
        <f>SUMIFS(Нормативы!U:U,Нормативы!$B:$B,$G133,Нормативы!$D:$D,'2020'!$I133,Нормативы!$F:$F,'2020'!$K133)</f>
        <v>770</v>
      </c>
      <c r="AJ133" s="618">
        <f>SUMIFS(Нормативы!V:V,Нормативы!$B:$B,$G133,Нормативы!$D:$D,'2020'!$I133,Нормативы!$F:$F,'2020'!$K133)</f>
        <v>80</v>
      </c>
      <c r="AK133" s="618">
        <f>SUMIFS(Нормативы!W:W,Нормативы!$B:$B,$G133,Нормативы!$D:$D,'2020'!$I133,Нормативы!$F:$F,'2020'!$K133)</f>
        <v>1050</v>
      </c>
      <c r="AL133" s="618">
        <f>SUMIFS(Нормативы!X:X,Нормативы!$B:$B,$G133,Нормативы!$D:$D,'2020'!$I133,Нормативы!$F:$F,'2020'!$K133)*O133</f>
        <v>16120</v>
      </c>
      <c r="AM133" s="618">
        <f t="shared" si="332"/>
        <v>12381</v>
      </c>
      <c r="AN133" s="618">
        <f t="shared" si="333"/>
        <v>3739</v>
      </c>
      <c r="AO133" s="618">
        <f>SUMIFS(Нормативы!AA:AA,Нормативы!$B:$B,$G133,Нормативы!$D:$D,'2020'!$I133,Нормативы!$F:$F,'2020'!$K133)</f>
        <v>3520</v>
      </c>
      <c r="AP133" s="619">
        <f t="shared" si="334"/>
        <v>130740</v>
      </c>
      <c r="AQ133" s="413">
        <f t="shared" si="272"/>
        <v>17074540</v>
      </c>
      <c r="AR133" s="618">
        <f t="shared" si="335"/>
        <v>13114086</v>
      </c>
      <c r="AS133" s="618">
        <f t="shared" si="336"/>
        <v>3960454</v>
      </c>
      <c r="AT133" s="616">
        <f t="shared" si="273"/>
        <v>2348780</v>
      </c>
      <c r="AU133" s="616">
        <f t="shared" si="274"/>
        <v>469756</v>
      </c>
      <c r="AV133" s="616">
        <f t="shared" si="275"/>
        <v>2157260</v>
      </c>
      <c r="AW133" s="616">
        <f t="shared" si="276"/>
        <v>5067300</v>
      </c>
      <c r="AX133" s="616">
        <f t="shared" si="277"/>
        <v>138320</v>
      </c>
      <c r="AY133" s="616">
        <f t="shared" si="278"/>
        <v>4599140</v>
      </c>
      <c r="AZ133" s="616">
        <f t="shared" si="279"/>
        <v>95760</v>
      </c>
      <c r="BA133" s="616">
        <f t="shared" si="280"/>
        <v>234080</v>
      </c>
      <c r="BB133" s="616">
        <f t="shared" si="281"/>
        <v>712880</v>
      </c>
      <c r="BC133" s="616">
        <f t="shared" si="282"/>
        <v>1542800</v>
      </c>
      <c r="BD133" s="616">
        <f t="shared" si="283"/>
        <v>143640</v>
      </c>
      <c r="BE133" s="616">
        <f t="shared" si="284"/>
        <v>204820</v>
      </c>
      <c r="BF133" s="616">
        <f t="shared" si="285"/>
        <v>21280</v>
      </c>
      <c r="BG133" s="616">
        <f t="shared" si="286"/>
        <v>279300</v>
      </c>
      <c r="BH133" s="616">
        <f t="shared" si="287"/>
        <v>4287920</v>
      </c>
      <c r="BI133" s="618">
        <f t="shared" si="337"/>
        <v>3293333.3</v>
      </c>
      <c r="BJ133" s="618">
        <f t="shared" si="338"/>
        <v>994586.7</v>
      </c>
      <c r="BK133" s="616">
        <f t="shared" si="288"/>
        <v>936320</v>
      </c>
      <c r="BL133" s="620">
        <f t="shared" si="289"/>
        <v>34776840</v>
      </c>
      <c r="BM133" s="616">
        <f t="shared" si="290"/>
        <v>21889560</v>
      </c>
      <c r="BN133" s="618">
        <f t="shared" si="291"/>
        <v>16812258.100000001</v>
      </c>
      <c r="BO133" s="618">
        <f t="shared" si="292"/>
        <v>5077301.9000000004</v>
      </c>
      <c r="BP133" s="616">
        <f t="shared" si="339"/>
        <v>2348780</v>
      </c>
      <c r="BQ133" s="616">
        <f t="shared" si="340"/>
        <v>469756</v>
      </c>
      <c r="BR133" s="616">
        <f t="shared" si="341"/>
        <v>2157260</v>
      </c>
      <c r="BS133" s="616">
        <f t="shared" si="293"/>
        <v>5067300</v>
      </c>
      <c r="BT133" s="616">
        <f t="shared" si="294"/>
        <v>138320</v>
      </c>
      <c r="BU133" s="616">
        <f t="shared" si="295"/>
        <v>4599140</v>
      </c>
      <c r="BV133" s="616">
        <f t="shared" si="296"/>
        <v>95760</v>
      </c>
      <c r="BW133" s="616">
        <f t="shared" si="297"/>
        <v>234080</v>
      </c>
      <c r="BX133" s="616">
        <f t="shared" si="298"/>
        <v>1539108</v>
      </c>
      <c r="BY133" s="616">
        <f t="shared" si="299"/>
        <v>1542800</v>
      </c>
      <c r="BZ133" s="616">
        <f t="shared" si="300"/>
        <v>143640</v>
      </c>
      <c r="CA133" s="616">
        <f t="shared" si="301"/>
        <v>204820</v>
      </c>
      <c r="CB133" s="616">
        <f t="shared" si="302"/>
        <v>21280</v>
      </c>
      <c r="CC133" s="616">
        <f t="shared" si="303"/>
        <v>279300</v>
      </c>
      <c r="CD133" s="616">
        <f t="shared" si="304"/>
        <v>5497113</v>
      </c>
      <c r="CE133" s="618">
        <f t="shared" si="342"/>
        <v>4222053</v>
      </c>
      <c r="CF133" s="618">
        <f t="shared" si="343"/>
        <v>1275060</v>
      </c>
      <c r="CG133" s="616">
        <f t="shared" si="305"/>
        <v>936320</v>
      </c>
      <c r="CH133" s="621">
        <f t="shared" si="306"/>
        <v>41627281</v>
      </c>
      <c r="CI133" s="88">
        <f t="shared" si="307"/>
        <v>82291.578899999993</v>
      </c>
      <c r="CJ133" s="90">
        <f t="shared" si="308"/>
        <v>63203.977800000001</v>
      </c>
      <c r="CK133" s="90">
        <f t="shared" si="309"/>
        <v>19087.6011</v>
      </c>
      <c r="CL133" s="88">
        <f t="shared" si="310"/>
        <v>8830</v>
      </c>
      <c r="CM133" s="88">
        <f t="shared" si="311"/>
        <v>1766</v>
      </c>
      <c r="CN133" s="88">
        <f t="shared" si="312"/>
        <v>8110</v>
      </c>
      <c r="CO133" s="88">
        <f t="shared" si="313"/>
        <v>19050</v>
      </c>
      <c r="CP133" s="88">
        <f t="shared" si="314"/>
        <v>520</v>
      </c>
      <c r="CQ133" s="88">
        <f t="shared" si="315"/>
        <v>17290</v>
      </c>
      <c r="CR133" s="88">
        <f t="shared" si="316"/>
        <v>360</v>
      </c>
      <c r="CS133" s="88">
        <f t="shared" si="317"/>
        <v>880</v>
      </c>
      <c r="CT133" s="88">
        <f t="shared" si="318"/>
        <v>5786.1202999999996</v>
      </c>
      <c r="CU133" s="88">
        <f t="shared" si="319"/>
        <v>5800</v>
      </c>
      <c r="CV133" s="88">
        <f t="shared" si="320"/>
        <v>540</v>
      </c>
      <c r="CW133" s="88">
        <f t="shared" si="321"/>
        <v>770</v>
      </c>
      <c r="CX133" s="88">
        <f t="shared" si="322"/>
        <v>80</v>
      </c>
      <c r="CY133" s="88">
        <f t="shared" si="323"/>
        <v>1050</v>
      </c>
      <c r="CZ133" s="88">
        <f t="shared" si="324"/>
        <v>20665.838299999999</v>
      </c>
      <c r="DA133" s="90">
        <f t="shared" si="325"/>
        <v>15872.3797</v>
      </c>
      <c r="DB133" s="90">
        <f t="shared" si="326"/>
        <v>4793.4585999999999</v>
      </c>
      <c r="DC133" s="88">
        <f t="shared" si="327"/>
        <v>3520</v>
      </c>
      <c r="DD133" s="88">
        <f t="shared" si="328"/>
        <v>156493.53760000001</v>
      </c>
      <c r="AUV133" s="699">
        <f t="shared" si="235"/>
        <v>82291.58</v>
      </c>
      <c r="AUW133" s="699">
        <f t="shared" si="236"/>
        <v>63203.98</v>
      </c>
      <c r="AUX133" s="699">
        <f t="shared" si="237"/>
        <v>19087.599999999999</v>
      </c>
      <c r="AUY133" s="699">
        <f t="shared" ref="AUY133:AUY163" si="392">BP133/P133</f>
        <v>8830</v>
      </c>
      <c r="AUZ133" s="699">
        <f t="shared" si="344"/>
        <v>217580.36</v>
      </c>
      <c r="AVA133" s="699">
        <f t="shared" si="344"/>
        <v>33.61</v>
      </c>
      <c r="AVB133" s="699">
        <f t="shared" ref="AVB133:AVB163" si="393">AVC133+AVD133+AVE133+AVF133</f>
        <v>19050</v>
      </c>
      <c r="AVC133" s="699">
        <f t="shared" ref="AVC133:AVC163" si="394">BT133/P133</f>
        <v>520</v>
      </c>
      <c r="AVD133" s="699">
        <f t="shared" ref="AVD133:AVD163" si="395">BU133/P133</f>
        <v>17290</v>
      </c>
      <c r="AVE133" s="699">
        <f t="shared" ref="AVE133:AVE163" si="396">BV133/P133</f>
        <v>360</v>
      </c>
      <c r="AVF133" s="699">
        <f t="shared" ref="AVF133:AVF163" si="397">BW133/P133</f>
        <v>880</v>
      </c>
      <c r="AVG133" s="699">
        <f t="shared" ref="AVG133:AVG163" si="398">BX133/P133</f>
        <v>5786.12</v>
      </c>
      <c r="AVH133" s="699">
        <f t="shared" ref="AVH133:AVH163" si="399">BY133/P133</f>
        <v>5800</v>
      </c>
      <c r="AVI133" s="699">
        <f t="shared" ref="AVI133:AVI163" si="400">BZ133/P133</f>
        <v>540</v>
      </c>
      <c r="AVJ133" s="699">
        <f t="shared" ref="AVJ133:AVJ163" si="401">CA133/P133</f>
        <v>770</v>
      </c>
      <c r="AVK133" s="699">
        <f t="shared" ref="AVK133:AVK163" si="402">CB133/P133</f>
        <v>80</v>
      </c>
      <c r="AVL133" s="699">
        <f t="shared" ref="AVL133:AVL163" si="403">CC133/P133</f>
        <v>1050</v>
      </c>
      <c r="AVM133" s="699">
        <f t="shared" ref="AVM133:AVM163" si="404">CD133/P133</f>
        <v>20665.84</v>
      </c>
      <c r="AVN133" s="699">
        <f t="shared" ref="AVN133:AVN163" si="405">AVM133/1.302</f>
        <v>15872.38</v>
      </c>
      <c r="AVO133" s="699">
        <f t="shared" ref="AVO133:AVO163" si="406">AVM133-AVN133</f>
        <v>4793.46</v>
      </c>
      <c r="AVP133" s="699">
        <f t="shared" ref="AVP133:AVP163" si="407">CG133/P133</f>
        <v>3520</v>
      </c>
      <c r="AVQ133" s="699">
        <f t="shared" ref="AVQ133:AVQ163" si="408">CH133/P133</f>
        <v>156493.54</v>
      </c>
    </row>
    <row r="134" spans="1:108 1244:1265" ht="30" customHeight="1" x14ac:dyDescent="0.25">
      <c r="A134" s="643">
        <v>1</v>
      </c>
      <c r="B134" s="643">
        <v>3</v>
      </c>
      <c r="C134" s="664" t="s">
        <v>17</v>
      </c>
      <c r="D134" s="2"/>
      <c r="E134" s="101" t="s">
        <v>344</v>
      </c>
      <c r="F134" s="643" t="s">
        <v>31</v>
      </c>
      <c r="G134" s="643">
        <v>1</v>
      </c>
      <c r="H134" s="658" t="s">
        <v>8</v>
      </c>
      <c r="I134" s="643">
        <v>3</v>
      </c>
      <c r="J134" s="101" t="s">
        <v>356</v>
      </c>
      <c r="K134" s="643">
        <v>3</v>
      </c>
      <c r="L134" s="683" t="s">
        <v>349</v>
      </c>
      <c r="M134" s="11" t="s">
        <v>257</v>
      </c>
      <c r="N134" s="101" t="s">
        <v>387</v>
      </c>
      <c r="O134" s="643">
        <v>1</v>
      </c>
      <c r="P134" s="632">
        <v>186</v>
      </c>
      <c r="Q134" s="632">
        <v>186</v>
      </c>
      <c r="R134" s="632">
        <v>186</v>
      </c>
      <c r="S134" s="675">
        <f>SUMIF('Территориальный кк'!$A:$A,'2020'!$B134,'Территориальный кк'!D:D)</f>
        <v>1.282</v>
      </c>
      <c r="T134" s="676">
        <f>SUMIF('Территориальный кк'!$A:$A,'2020'!$B134,'Территориальный кк'!E:E)</f>
        <v>2.1589999999999998</v>
      </c>
      <c r="U134" s="618">
        <f>SUMIFS(Нормативы!G:G,Нормативы!$B:$B,$G134,Нормативы!$D:$D,'2020'!$I134,Нормативы!$F:$F,'2020'!$K134)*O134</f>
        <v>6419</v>
      </c>
      <c r="V134" s="618">
        <f t="shared" si="329"/>
        <v>4930.1000000000004</v>
      </c>
      <c r="W134" s="618">
        <f t="shared" si="330"/>
        <v>1488.9</v>
      </c>
      <c r="X134" s="618">
        <f>SUMIFS(Нормативы!J:J,Нормативы!$B:$B,$G134,Нормативы!$D:$D,'2020'!$I134,Нормативы!$F:$F,'2020'!$K134)</f>
        <v>883</v>
      </c>
      <c r="Y134" s="618">
        <f>SUMIFS(Нормативы!K:K,Нормативы!$B:$B,$G134,Нормативы!$D:$D,'2020'!$I134,Нормативы!$F:$F,'2020'!$K134)</f>
        <v>177</v>
      </c>
      <c r="Z134" s="618">
        <f>SUMIFS(Нормативы!L:L,Нормативы!$B:$B,$G134,Нормативы!$D:$D,'2020'!$I134,Нормативы!$F:$F,'2020'!$K134)</f>
        <v>811</v>
      </c>
      <c r="AA134" s="618">
        <f t="shared" si="331"/>
        <v>1905</v>
      </c>
      <c r="AB134" s="618">
        <f>SUMIFS(Нормативы!N:N,Нормативы!$B:$B,$G134,Нормативы!$D:$D,'2020'!$I134,Нормативы!$F:$F,'2020'!$K134)*O134</f>
        <v>52</v>
      </c>
      <c r="AC134" s="618">
        <f>SUMIFS(Нормативы!O:O,Нормативы!$B:$B,$G134,Нормативы!$D:$D,'2020'!$I134,Нормативы!$F:$F,'2020'!$K134)</f>
        <v>1729</v>
      </c>
      <c r="AD134" s="618">
        <f>SUMIFS(Нормативы!P:P,Нормативы!$B:$B,$G134,Нормативы!$D:$D,'2020'!$I134,Нормативы!$F:$F,'2020'!$K134)*O134</f>
        <v>36</v>
      </c>
      <c r="AE134" s="618">
        <f>SUMIFS(Нормативы!Q:Q,Нормативы!$B:$B,$G134,Нормативы!$D:$D,'2020'!$I134,Нормативы!$F:$F,'2020'!$K134)</f>
        <v>88</v>
      </c>
      <c r="AF134" s="618">
        <f>SUMIFS(Нормативы!R:R,Нормативы!$B:$B,$G134,Нормативы!$D:$D,'2020'!$I134,Нормативы!$F:$F,'2020'!$K134)</f>
        <v>268</v>
      </c>
      <c r="AG134" s="618">
        <f>SUMIFS(Нормативы!S:S,Нормативы!$B:$B,$G134,Нормативы!$D:$D,'2020'!$I134,Нормативы!$F:$F,'2020'!$K134)</f>
        <v>580</v>
      </c>
      <c r="AH134" s="618">
        <f>SUMIFS(Нормативы!T:T,Нормативы!$B:$B,$G134,Нормативы!$D:$D,'2020'!$I134,Нормативы!$F:$F,'2020'!$K134)</f>
        <v>54</v>
      </c>
      <c r="AI134" s="618">
        <f>SUMIFS(Нормативы!U:U,Нормативы!$B:$B,$G134,Нормативы!$D:$D,'2020'!$I134,Нормативы!$F:$F,'2020'!$K134)</f>
        <v>77</v>
      </c>
      <c r="AJ134" s="618">
        <f>SUMIFS(Нормативы!V:V,Нормативы!$B:$B,$G134,Нормативы!$D:$D,'2020'!$I134,Нормативы!$F:$F,'2020'!$K134)</f>
        <v>8</v>
      </c>
      <c r="AK134" s="618">
        <f>SUMIFS(Нормативы!W:W,Нормативы!$B:$B,$G134,Нормативы!$D:$D,'2020'!$I134,Нормативы!$F:$F,'2020'!$K134)</f>
        <v>105</v>
      </c>
      <c r="AL134" s="618">
        <f>SUMIFS(Нормативы!X:X,Нормативы!$B:$B,$G134,Нормативы!$D:$D,'2020'!$I134,Нормативы!$F:$F,'2020'!$K134)*O134</f>
        <v>1612</v>
      </c>
      <c r="AM134" s="618">
        <f t="shared" si="332"/>
        <v>1238.0999999999999</v>
      </c>
      <c r="AN134" s="618">
        <f t="shared" si="333"/>
        <v>373.9</v>
      </c>
      <c r="AO134" s="618">
        <f>SUMIFS(Нормативы!AA:AA,Нормативы!$B:$B,$G134,Нормативы!$D:$D,'2020'!$I134,Нормативы!$F:$F,'2020'!$K134)</f>
        <v>0</v>
      </c>
      <c r="AP134" s="619">
        <f t="shared" si="334"/>
        <v>12722</v>
      </c>
      <c r="AQ134" s="413">
        <f t="shared" si="272"/>
        <v>1193934</v>
      </c>
      <c r="AR134" s="618">
        <f t="shared" si="335"/>
        <v>917000</v>
      </c>
      <c r="AS134" s="618">
        <f t="shared" si="336"/>
        <v>276934</v>
      </c>
      <c r="AT134" s="616">
        <f t="shared" si="273"/>
        <v>164238</v>
      </c>
      <c r="AU134" s="616">
        <f t="shared" si="274"/>
        <v>32922</v>
      </c>
      <c r="AV134" s="616">
        <f t="shared" si="275"/>
        <v>150846</v>
      </c>
      <c r="AW134" s="616">
        <f t="shared" si="276"/>
        <v>354330</v>
      </c>
      <c r="AX134" s="616">
        <f t="shared" si="277"/>
        <v>9672</v>
      </c>
      <c r="AY134" s="616">
        <f t="shared" si="278"/>
        <v>321594</v>
      </c>
      <c r="AZ134" s="616">
        <f t="shared" si="279"/>
        <v>6696</v>
      </c>
      <c r="BA134" s="616">
        <f t="shared" si="280"/>
        <v>16368</v>
      </c>
      <c r="BB134" s="616">
        <f t="shared" si="281"/>
        <v>49848</v>
      </c>
      <c r="BC134" s="616">
        <f t="shared" si="282"/>
        <v>107880</v>
      </c>
      <c r="BD134" s="616">
        <f t="shared" si="283"/>
        <v>10044</v>
      </c>
      <c r="BE134" s="616">
        <f t="shared" si="284"/>
        <v>14322</v>
      </c>
      <c r="BF134" s="616">
        <f t="shared" si="285"/>
        <v>1488</v>
      </c>
      <c r="BG134" s="616">
        <f t="shared" si="286"/>
        <v>19530</v>
      </c>
      <c r="BH134" s="616">
        <f t="shared" si="287"/>
        <v>299832</v>
      </c>
      <c r="BI134" s="618">
        <f t="shared" si="337"/>
        <v>230285.7</v>
      </c>
      <c r="BJ134" s="618">
        <f t="shared" si="338"/>
        <v>69546.3</v>
      </c>
      <c r="BK134" s="616">
        <f t="shared" si="288"/>
        <v>0</v>
      </c>
      <c r="BL134" s="620">
        <f t="shared" si="289"/>
        <v>2366292</v>
      </c>
      <c r="BM134" s="616">
        <f t="shared" si="290"/>
        <v>1530623</v>
      </c>
      <c r="BN134" s="618">
        <f t="shared" si="291"/>
        <v>1175593.7</v>
      </c>
      <c r="BO134" s="618">
        <f t="shared" si="292"/>
        <v>355029.3</v>
      </c>
      <c r="BP134" s="616">
        <f t="shared" si="339"/>
        <v>164238</v>
      </c>
      <c r="BQ134" s="616">
        <f t="shared" si="340"/>
        <v>32922</v>
      </c>
      <c r="BR134" s="616">
        <f t="shared" si="341"/>
        <v>150846</v>
      </c>
      <c r="BS134" s="616">
        <f t="shared" si="293"/>
        <v>354330</v>
      </c>
      <c r="BT134" s="616">
        <f t="shared" si="294"/>
        <v>9672</v>
      </c>
      <c r="BU134" s="616">
        <f t="shared" si="295"/>
        <v>321594</v>
      </c>
      <c r="BV134" s="616">
        <f t="shared" si="296"/>
        <v>6696</v>
      </c>
      <c r="BW134" s="616">
        <f t="shared" si="297"/>
        <v>16368</v>
      </c>
      <c r="BX134" s="616">
        <f t="shared" si="298"/>
        <v>107622</v>
      </c>
      <c r="BY134" s="616">
        <f t="shared" si="299"/>
        <v>107880</v>
      </c>
      <c r="BZ134" s="616">
        <f t="shared" si="300"/>
        <v>10044</v>
      </c>
      <c r="CA134" s="616">
        <f t="shared" si="301"/>
        <v>14322</v>
      </c>
      <c r="CB134" s="616">
        <f t="shared" si="302"/>
        <v>1488</v>
      </c>
      <c r="CC134" s="616">
        <f t="shared" si="303"/>
        <v>19530</v>
      </c>
      <c r="CD134" s="616">
        <f t="shared" si="304"/>
        <v>384385</v>
      </c>
      <c r="CE134" s="618">
        <f t="shared" si="342"/>
        <v>295226.59999999998</v>
      </c>
      <c r="CF134" s="618">
        <f t="shared" si="343"/>
        <v>89158.399999999994</v>
      </c>
      <c r="CG134" s="616">
        <f t="shared" si="305"/>
        <v>0</v>
      </c>
      <c r="CH134" s="621">
        <f t="shared" si="306"/>
        <v>2845308</v>
      </c>
      <c r="CI134" s="88">
        <f t="shared" si="307"/>
        <v>8229.1558999999997</v>
      </c>
      <c r="CJ134" s="90">
        <f t="shared" si="308"/>
        <v>6320.3962000000001</v>
      </c>
      <c r="CK134" s="90">
        <f t="shared" si="309"/>
        <v>1908.7597000000001</v>
      </c>
      <c r="CL134" s="88">
        <f t="shared" si="310"/>
        <v>883</v>
      </c>
      <c r="CM134" s="88">
        <f t="shared" si="311"/>
        <v>177</v>
      </c>
      <c r="CN134" s="88">
        <f t="shared" si="312"/>
        <v>811</v>
      </c>
      <c r="CO134" s="88">
        <f t="shared" si="313"/>
        <v>1905</v>
      </c>
      <c r="CP134" s="88">
        <f t="shared" si="314"/>
        <v>52</v>
      </c>
      <c r="CQ134" s="88">
        <f t="shared" si="315"/>
        <v>1729</v>
      </c>
      <c r="CR134" s="88">
        <f t="shared" si="316"/>
        <v>36</v>
      </c>
      <c r="CS134" s="88">
        <f t="shared" si="317"/>
        <v>88</v>
      </c>
      <c r="CT134" s="88">
        <f t="shared" si="318"/>
        <v>578.61289999999997</v>
      </c>
      <c r="CU134" s="88">
        <f t="shared" si="319"/>
        <v>580</v>
      </c>
      <c r="CV134" s="88">
        <f t="shared" si="320"/>
        <v>54</v>
      </c>
      <c r="CW134" s="88">
        <f t="shared" si="321"/>
        <v>77</v>
      </c>
      <c r="CX134" s="88">
        <f t="shared" si="322"/>
        <v>8</v>
      </c>
      <c r="CY134" s="88">
        <f t="shared" si="323"/>
        <v>105</v>
      </c>
      <c r="CZ134" s="88">
        <f t="shared" si="324"/>
        <v>2066.5859999999998</v>
      </c>
      <c r="DA134" s="90">
        <f t="shared" si="325"/>
        <v>1587.2398000000001</v>
      </c>
      <c r="DB134" s="90">
        <f t="shared" si="326"/>
        <v>479.34620000000001</v>
      </c>
      <c r="DC134" s="88">
        <f t="shared" si="327"/>
        <v>0</v>
      </c>
      <c r="DD134" s="88">
        <f t="shared" si="328"/>
        <v>15297.354799999999</v>
      </c>
      <c r="AUV134" s="699">
        <f t="shared" ref="AUV134:AUV197" si="409">BM134/P134</f>
        <v>8229.16</v>
      </c>
      <c r="AUW134" s="699">
        <f t="shared" ref="AUW134:AUW197" si="410">AUV134/1.302</f>
        <v>6320.4</v>
      </c>
      <c r="AUX134" s="699">
        <f t="shared" ref="AUX134:AUX197" si="411">AUV134-AUW134</f>
        <v>1908.76</v>
      </c>
      <c r="AUY134" s="699">
        <f t="shared" si="392"/>
        <v>883</v>
      </c>
      <c r="AUZ134" s="699">
        <f t="shared" si="344"/>
        <v>15248.73</v>
      </c>
      <c r="AVA134" s="699">
        <f t="shared" si="344"/>
        <v>23.5</v>
      </c>
      <c r="AVB134" s="699">
        <f t="shared" si="393"/>
        <v>1905</v>
      </c>
      <c r="AVC134" s="699">
        <f t="shared" si="394"/>
        <v>52</v>
      </c>
      <c r="AVD134" s="699">
        <f t="shared" si="395"/>
        <v>1729</v>
      </c>
      <c r="AVE134" s="699">
        <f t="shared" si="396"/>
        <v>36</v>
      </c>
      <c r="AVF134" s="699">
        <f t="shared" si="397"/>
        <v>88</v>
      </c>
      <c r="AVG134" s="699">
        <f t="shared" si="398"/>
        <v>578.61</v>
      </c>
      <c r="AVH134" s="699">
        <f t="shared" si="399"/>
        <v>580</v>
      </c>
      <c r="AVI134" s="699">
        <f t="shared" si="400"/>
        <v>54</v>
      </c>
      <c r="AVJ134" s="699">
        <f t="shared" si="401"/>
        <v>77</v>
      </c>
      <c r="AVK134" s="699">
        <f t="shared" si="402"/>
        <v>8</v>
      </c>
      <c r="AVL134" s="699">
        <f t="shared" si="403"/>
        <v>105</v>
      </c>
      <c r="AVM134" s="699">
        <f t="shared" si="404"/>
        <v>2066.59</v>
      </c>
      <c r="AVN134" s="699">
        <f t="shared" si="405"/>
        <v>1587.24</v>
      </c>
      <c r="AVO134" s="699">
        <f t="shared" si="406"/>
        <v>479.35</v>
      </c>
      <c r="AVP134" s="699">
        <f t="shared" si="407"/>
        <v>0</v>
      </c>
      <c r="AVQ134" s="699">
        <f t="shared" si="408"/>
        <v>15297.35</v>
      </c>
    </row>
    <row r="135" spans="1:108 1244:1265" ht="30" customHeight="1" x14ac:dyDescent="0.25">
      <c r="A135" s="643">
        <v>1</v>
      </c>
      <c r="B135" s="643">
        <v>3</v>
      </c>
      <c r="C135" s="664" t="s">
        <v>17</v>
      </c>
      <c r="D135" s="2"/>
      <c r="E135" s="101" t="s">
        <v>344</v>
      </c>
      <c r="F135" s="643" t="s">
        <v>31</v>
      </c>
      <c r="G135" s="643">
        <v>1</v>
      </c>
      <c r="H135" s="658" t="s">
        <v>8</v>
      </c>
      <c r="I135" s="643">
        <v>3</v>
      </c>
      <c r="J135" s="101" t="s">
        <v>356</v>
      </c>
      <c r="K135" s="643">
        <v>3</v>
      </c>
      <c r="L135" s="683" t="s">
        <v>349</v>
      </c>
      <c r="M135" s="11" t="s">
        <v>280</v>
      </c>
      <c r="N135" s="101" t="s">
        <v>401</v>
      </c>
      <c r="O135" s="643">
        <v>2</v>
      </c>
      <c r="P135" s="632">
        <v>6</v>
      </c>
      <c r="Q135" s="632">
        <v>6</v>
      </c>
      <c r="R135" s="632">
        <v>6</v>
      </c>
      <c r="S135" s="675">
        <f>SUMIF('Территориальный кк'!$A:$A,'2020'!$B135,'Территориальный кк'!D:D)</f>
        <v>1.282</v>
      </c>
      <c r="T135" s="676">
        <f>SUMIF('Территориальный кк'!$A:$A,'2020'!$B135,'Территориальный кк'!E:E)</f>
        <v>2.1589999999999998</v>
      </c>
      <c r="U135" s="618">
        <f>SUMIFS(Нормативы!G:G,Нормативы!$B:$B,$G135,Нормативы!$D:$D,'2020'!$I135,Нормативы!$F:$F,'2020'!$K135)*O135</f>
        <v>12838</v>
      </c>
      <c r="V135" s="618">
        <f t="shared" si="329"/>
        <v>9860.2000000000007</v>
      </c>
      <c r="W135" s="618">
        <f t="shared" si="330"/>
        <v>2977.8</v>
      </c>
      <c r="X135" s="618">
        <f>SUMIFS(Нормативы!J:J,Нормативы!$B:$B,$G135,Нормативы!$D:$D,'2020'!$I135,Нормативы!$F:$F,'2020'!$K135)</f>
        <v>883</v>
      </c>
      <c r="Y135" s="618">
        <f>SUMIFS(Нормативы!K:K,Нормативы!$B:$B,$G135,Нормативы!$D:$D,'2020'!$I135,Нормативы!$F:$F,'2020'!$K135)</f>
        <v>177</v>
      </c>
      <c r="Z135" s="618">
        <f>SUMIFS(Нормативы!L:L,Нормативы!$B:$B,$G135,Нормативы!$D:$D,'2020'!$I135,Нормативы!$F:$F,'2020'!$K135)</f>
        <v>811</v>
      </c>
      <c r="AA135" s="618">
        <f t="shared" si="331"/>
        <v>1993</v>
      </c>
      <c r="AB135" s="618">
        <f>SUMIFS(Нормативы!N:N,Нормативы!$B:$B,$G135,Нормативы!$D:$D,'2020'!$I135,Нормативы!$F:$F,'2020'!$K135)*O135</f>
        <v>104</v>
      </c>
      <c r="AC135" s="618">
        <f>SUMIFS(Нормативы!O:O,Нормативы!$B:$B,$G135,Нормативы!$D:$D,'2020'!$I135,Нормативы!$F:$F,'2020'!$K135)</f>
        <v>1729</v>
      </c>
      <c r="AD135" s="618">
        <f>SUMIFS(Нормативы!P:P,Нормативы!$B:$B,$G135,Нормативы!$D:$D,'2020'!$I135,Нормативы!$F:$F,'2020'!$K135)*O135</f>
        <v>72</v>
      </c>
      <c r="AE135" s="618">
        <f>SUMIFS(Нормативы!Q:Q,Нормативы!$B:$B,$G135,Нормативы!$D:$D,'2020'!$I135,Нормативы!$F:$F,'2020'!$K135)</f>
        <v>88</v>
      </c>
      <c r="AF135" s="618">
        <f>SUMIFS(Нормативы!R:R,Нормативы!$B:$B,$G135,Нормативы!$D:$D,'2020'!$I135,Нормативы!$F:$F,'2020'!$K135)</f>
        <v>268</v>
      </c>
      <c r="AG135" s="618">
        <f>SUMIFS(Нормативы!S:S,Нормативы!$B:$B,$G135,Нормативы!$D:$D,'2020'!$I135,Нормативы!$F:$F,'2020'!$K135)</f>
        <v>580</v>
      </c>
      <c r="AH135" s="618">
        <f>SUMIFS(Нормативы!T:T,Нормативы!$B:$B,$G135,Нормативы!$D:$D,'2020'!$I135,Нормативы!$F:$F,'2020'!$K135)</f>
        <v>54</v>
      </c>
      <c r="AI135" s="618">
        <f>SUMIFS(Нормативы!U:U,Нормативы!$B:$B,$G135,Нормативы!$D:$D,'2020'!$I135,Нормативы!$F:$F,'2020'!$K135)</f>
        <v>77</v>
      </c>
      <c r="AJ135" s="618">
        <f>SUMIFS(Нормативы!V:V,Нормативы!$B:$B,$G135,Нормативы!$D:$D,'2020'!$I135,Нормативы!$F:$F,'2020'!$K135)</f>
        <v>8</v>
      </c>
      <c r="AK135" s="618">
        <f>SUMIFS(Нормативы!W:W,Нормативы!$B:$B,$G135,Нормативы!$D:$D,'2020'!$I135,Нормативы!$F:$F,'2020'!$K135)</f>
        <v>105</v>
      </c>
      <c r="AL135" s="618">
        <f>SUMIFS(Нормативы!X:X,Нормативы!$B:$B,$G135,Нормативы!$D:$D,'2020'!$I135,Нормативы!$F:$F,'2020'!$K135)*O135</f>
        <v>3224</v>
      </c>
      <c r="AM135" s="618">
        <f t="shared" si="332"/>
        <v>2476.1999999999998</v>
      </c>
      <c r="AN135" s="618">
        <f t="shared" si="333"/>
        <v>747.8</v>
      </c>
      <c r="AO135" s="618">
        <f>SUMIFS(Нормативы!AA:AA,Нормативы!$B:$B,$G135,Нормативы!$D:$D,'2020'!$I135,Нормативы!$F:$F,'2020'!$K135)</f>
        <v>0</v>
      </c>
      <c r="AP135" s="619">
        <f t="shared" si="334"/>
        <v>20841</v>
      </c>
      <c r="AQ135" s="413">
        <f t="shared" si="272"/>
        <v>77028</v>
      </c>
      <c r="AR135" s="618">
        <f t="shared" si="335"/>
        <v>59161.3</v>
      </c>
      <c r="AS135" s="618">
        <f t="shared" si="336"/>
        <v>17866.7</v>
      </c>
      <c r="AT135" s="616">
        <f t="shared" si="273"/>
        <v>5298</v>
      </c>
      <c r="AU135" s="616">
        <f t="shared" si="274"/>
        <v>1062</v>
      </c>
      <c r="AV135" s="616">
        <f t="shared" si="275"/>
        <v>4866</v>
      </c>
      <c r="AW135" s="616">
        <f t="shared" si="276"/>
        <v>11958</v>
      </c>
      <c r="AX135" s="616">
        <f t="shared" si="277"/>
        <v>624</v>
      </c>
      <c r="AY135" s="616">
        <f t="shared" si="278"/>
        <v>10374</v>
      </c>
      <c r="AZ135" s="616">
        <f t="shared" si="279"/>
        <v>432</v>
      </c>
      <c r="BA135" s="616">
        <f t="shared" si="280"/>
        <v>528</v>
      </c>
      <c r="BB135" s="616">
        <f t="shared" si="281"/>
        <v>1608</v>
      </c>
      <c r="BC135" s="616">
        <f t="shared" si="282"/>
        <v>3480</v>
      </c>
      <c r="BD135" s="616">
        <f t="shared" si="283"/>
        <v>324</v>
      </c>
      <c r="BE135" s="616">
        <f t="shared" si="284"/>
        <v>462</v>
      </c>
      <c r="BF135" s="616">
        <f t="shared" si="285"/>
        <v>48</v>
      </c>
      <c r="BG135" s="616">
        <f t="shared" si="286"/>
        <v>630</v>
      </c>
      <c r="BH135" s="616">
        <f t="shared" si="287"/>
        <v>19344</v>
      </c>
      <c r="BI135" s="618">
        <f t="shared" si="337"/>
        <v>14857.1</v>
      </c>
      <c r="BJ135" s="618">
        <f t="shared" si="338"/>
        <v>4486.8999999999996</v>
      </c>
      <c r="BK135" s="616">
        <f t="shared" si="288"/>
        <v>0</v>
      </c>
      <c r="BL135" s="620">
        <f t="shared" si="289"/>
        <v>125046</v>
      </c>
      <c r="BM135" s="616">
        <f t="shared" si="290"/>
        <v>98750</v>
      </c>
      <c r="BN135" s="618">
        <f t="shared" si="291"/>
        <v>75844.899999999994</v>
      </c>
      <c r="BO135" s="618">
        <f t="shared" si="292"/>
        <v>22905.1</v>
      </c>
      <c r="BP135" s="616">
        <f t="shared" si="339"/>
        <v>5298</v>
      </c>
      <c r="BQ135" s="616">
        <f t="shared" si="340"/>
        <v>1062</v>
      </c>
      <c r="BR135" s="616">
        <f t="shared" si="341"/>
        <v>4866</v>
      </c>
      <c r="BS135" s="616">
        <f t="shared" si="293"/>
        <v>11958</v>
      </c>
      <c r="BT135" s="616">
        <f t="shared" si="294"/>
        <v>624</v>
      </c>
      <c r="BU135" s="616">
        <f t="shared" si="295"/>
        <v>10374</v>
      </c>
      <c r="BV135" s="616">
        <f t="shared" si="296"/>
        <v>432</v>
      </c>
      <c r="BW135" s="616">
        <f t="shared" si="297"/>
        <v>528</v>
      </c>
      <c r="BX135" s="616">
        <f t="shared" si="298"/>
        <v>3472</v>
      </c>
      <c r="BY135" s="616">
        <f t="shared" si="299"/>
        <v>3480</v>
      </c>
      <c r="BZ135" s="616">
        <f t="shared" si="300"/>
        <v>324</v>
      </c>
      <c r="CA135" s="616">
        <f t="shared" si="301"/>
        <v>462</v>
      </c>
      <c r="CB135" s="616">
        <f t="shared" si="302"/>
        <v>48</v>
      </c>
      <c r="CC135" s="616">
        <f t="shared" si="303"/>
        <v>630</v>
      </c>
      <c r="CD135" s="616">
        <f t="shared" si="304"/>
        <v>24799</v>
      </c>
      <c r="CE135" s="618">
        <f t="shared" si="342"/>
        <v>19046.900000000001</v>
      </c>
      <c r="CF135" s="618">
        <f t="shared" si="343"/>
        <v>5752.1</v>
      </c>
      <c r="CG135" s="616">
        <f t="shared" si="305"/>
        <v>0</v>
      </c>
      <c r="CH135" s="621">
        <f t="shared" si="306"/>
        <v>154087</v>
      </c>
      <c r="CI135" s="88">
        <f t="shared" si="307"/>
        <v>16458.333299999998</v>
      </c>
      <c r="CJ135" s="90">
        <f t="shared" si="308"/>
        <v>12640.816699999999</v>
      </c>
      <c r="CK135" s="90">
        <f t="shared" si="309"/>
        <v>3817.5167000000001</v>
      </c>
      <c r="CL135" s="88">
        <f t="shared" si="310"/>
        <v>883</v>
      </c>
      <c r="CM135" s="88">
        <f t="shared" si="311"/>
        <v>177</v>
      </c>
      <c r="CN135" s="88">
        <f t="shared" si="312"/>
        <v>811</v>
      </c>
      <c r="CO135" s="88">
        <f t="shared" si="313"/>
        <v>1993</v>
      </c>
      <c r="CP135" s="88">
        <f t="shared" si="314"/>
        <v>104</v>
      </c>
      <c r="CQ135" s="88">
        <f t="shared" si="315"/>
        <v>1729</v>
      </c>
      <c r="CR135" s="88">
        <f t="shared" si="316"/>
        <v>72</v>
      </c>
      <c r="CS135" s="88">
        <f t="shared" si="317"/>
        <v>88</v>
      </c>
      <c r="CT135" s="88">
        <f t="shared" si="318"/>
        <v>578.66669999999999</v>
      </c>
      <c r="CU135" s="88">
        <f t="shared" si="319"/>
        <v>580</v>
      </c>
      <c r="CV135" s="88">
        <f t="shared" si="320"/>
        <v>54</v>
      </c>
      <c r="CW135" s="88">
        <f t="shared" si="321"/>
        <v>77</v>
      </c>
      <c r="CX135" s="88">
        <f t="shared" si="322"/>
        <v>8</v>
      </c>
      <c r="CY135" s="88">
        <f t="shared" si="323"/>
        <v>105</v>
      </c>
      <c r="CZ135" s="88">
        <f t="shared" si="324"/>
        <v>4133.1666999999998</v>
      </c>
      <c r="DA135" s="90">
        <f t="shared" si="325"/>
        <v>3174.4832999999999</v>
      </c>
      <c r="DB135" s="90">
        <f t="shared" si="326"/>
        <v>958.68330000000003</v>
      </c>
      <c r="DC135" s="88">
        <f t="shared" si="327"/>
        <v>0</v>
      </c>
      <c r="DD135" s="88">
        <f t="shared" si="328"/>
        <v>25681.166700000002</v>
      </c>
      <c r="AUV135" s="699">
        <f t="shared" si="409"/>
        <v>16458.330000000002</v>
      </c>
      <c r="AUW135" s="699">
        <f t="shared" si="410"/>
        <v>12640.81</v>
      </c>
      <c r="AUX135" s="699">
        <f t="shared" si="411"/>
        <v>3817.52</v>
      </c>
      <c r="AUY135" s="699">
        <f t="shared" si="392"/>
        <v>883</v>
      </c>
      <c r="AUZ135" s="699">
        <f t="shared" si="344"/>
        <v>491.89</v>
      </c>
      <c r="AVA135" s="699">
        <f t="shared" si="344"/>
        <v>0.38</v>
      </c>
      <c r="AVB135" s="699">
        <f t="shared" si="393"/>
        <v>1993</v>
      </c>
      <c r="AVC135" s="699">
        <f t="shared" si="394"/>
        <v>104</v>
      </c>
      <c r="AVD135" s="699">
        <f t="shared" si="395"/>
        <v>1729</v>
      </c>
      <c r="AVE135" s="699">
        <f t="shared" si="396"/>
        <v>72</v>
      </c>
      <c r="AVF135" s="699">
        <f t="shared" si="397"/>
        <v>88</v>
      </c>
      <c r="AVG135" s="699">
        <f t="shared" si="398"/>
        <v>578.66999999999996</v>
      </c>
      <c r="AVH135" s="699">
        <f t="shared" si="399"/>
        <v>580</v>
      </c>
      <c r="AVI135" s="699">
        <f t="shared" si="400"/>
        <v>54</v>
      </c>
      <c r="AVJ135" s="699">
        <f t="shared" si="401"/>
        <v>77</v>
      </c>
      <c r="AVK135" s="699">
        <f t="shared" si="402"/>
        <v>8</v>
      </c>
      <c r="AVL135" s="699">
        <f t="shared" si="403"/>
        <v>105</v>
      </c>
      <c r="AVM135" s="699">
        <f t="shared" si="404"/>
        <v>4133.17</v>
      </c>
      <c r="AVN135" s="699">
        <f t="shared" si="405"/>
        <v>3174.48</v>
      </c>
      <c r="AVO135" s="699">
        <f t="shared" si="406"/>
        <v>958.69</v>
      </c>
      <c r="AVP135" s="699">
        <f t="shared" si="407"/>
        <v>0</v>
      </c>
      <c r="AVQ135" s="699">
        <f t="shared" si="408"/>
        <v>25681.17</v>
      </c>
    </row>
    <row r="136" spans="1:108 1244:1265" ht="30" customHeight="1" x14ac:dyDescent="0.25">
      <c r="A136" s="643">
        <v>1</v>
      </c>
      <c r="B136" s="643">
        <v>3</v>
      </c>
      <c r="C136" s="664" t="s">
        <v>17</v>
      </c>
      <c r="D136" s="2"/>
      <c r="E136" s="101" t="s">
        <v>344</v>
      </c>
      <c r="F136" s="643" t="s">
        <v>31</v>
      </c>
      <c r="G136" s="643">
        <v>1</v>
      </c>
      <c r="H136" s="658" t="s">
        <v>10</v>
      </c>
      <c r="I136" s="643">
        <v>0</v>
      </c>
      <c r="J136" s="101" t="s">
        <v>357</v>
      </c>
      <c r="K136" s="643">
        <v>3</v>
      </c>
      <c r="L136" s="683" t="s">
        <v>349</v>
      </c>
      <c r="M136" s="11" t="s">
        <v>258</v>
      </c>
      <c r="N136" s="101" t="s">
        <v>387</v>
      </c>
      <c r="O136" s="643">
        <v>1</v>
      </c>
      <c r="P136" s="632">
        <v>39</v>
      </c>
      <c r="Q136" s="632">
        <v>39</v>
      </c>
      <c r="R136" s="632">
        <v>39</v>
      </c>
      <c r="S136" s="675">
        <f>SUMIF('Территориальный кк'!$A:$A,'2020'!$B136,'Территориальный кк'!D:D)</f>
        <v>1.282</v>
      </c>
      <c r="T136" s="676">
        <f>SUMIF('Территориальный кк'!$A:$A,'2020'!$B136,'Территориальный кк'!E:E)</f>
        <v>2.1589999999999998</v>
      </c>
      <c r="U136" s="618">
        <f>SUMIFS(Нормативы!G:G,Нормативы!$B:$B,$G136,Нормативы!$D:$D,'2020'!$I136,Нормативы!$F:$F,'2020'!$K136)*O136</f>
        <v>64190</v>
      </c>
      <c r="V136" s="618">
        <f t="shared" si="329"/>
        <v>49301.1</v>
      </c>
      <c r="W136" s="618">
        <f t="shared" si="330"/>
        <v>14888.9</v>
      </c>
      <c r="X136" s="618">
        <f>SUMIFS(Нормативы!J:J,Нормативы!$B:$B,$G136,Нормативы!$D:$D,'2020'!$I136,Нормативы!$F:$F,'2020'!$K136)</f>
        <v>8830</v>
      </c>
      <c r="Y136" s="618">
        <f>SUMIFS(Нормативы!K:K,Нормативы!$B:$B,$G136,Нормативы!$D:$D,'2020'!$I136,Нормативы!$F:$F,'2020'!$K136)</f>
        <v>1766</v>
      </c>
      <c r="Z136" s="618">
        <f>SUMIFS(Нормативы!L:L,Нормативы!$B:$B,$G136,Нормативы!$D:$D,'2020'!$I136,Нормативы!$F:$F,'2020'!$K136)</f>
        <v>8110</v>
      </c>
      <c r="AA136" s="618">
        <f t="shared" si="331"/>
        <v>19050</v>
      </c>
      <c r="AB136" s="618">
        <f>SUMIFS(Нормативы!N:N,Нормативы!$B:$B,$G136,Нормативы!$D:$D,'2020'!$I136,Нормативы!$F:$F,'2020'!$K136)*O136</f>
        <v>520</v>
      </c>
      <c r="AC136" s="618">
        <f>SUMIFS(Нормативы!O:O,Нормативы!$B:$B,$G136,Нормативы!$D:$D,'2020'!$I136,Нормативы!$F:$F,'2020'!$K136)</f>
        <v>17290</v>
      </c>
      <c r="AD136" s="618">
        <f>SUMIFS(Нормативы!P:P,Нормативы!$B:$B,$G136,Нормативы!$D:$D,'2020'!$I136,Нормативы!$F:$F,'2020'!$K136)*O136</f>
        <v>360</v>
      </c>
      <c r="AE136" s="618">
        <f>SUMIFS(Нормативы!Q:Q,Нормативы!$B:$B,$G136,Нормативы!$D:$D,'2020'!$I136,Нормативы!$F:$F,'2020'!$K136)</f>
        <v>880</v>
      </c>
      <c r="AF136" s="618">
        <f>SUMIFS(Нормативы!R:R,Нормативы!$B:$B,$G136,Нормативы!$D:$D,'2020'!$I136,Нормативы!$F:$F,'2020'!$K136)</f>
        <v>2680</v>
      </c>
      <c r="AG136" s="618">
        <f>SUMIFS(Нормативы!S:S,Нормативы!$B:$B,$G136,Нормативы!$D:$D,'2020'!$I136,Нормативы!$F:$F,'2020'!$K136)</f>
        <v>5800</v>
      </c>
      <c r="AH136" s="618">
        <f>SUMIFS(Нормативы!T:T,Нормативы!$B:$B,$G136,Нормативы!$D:$D,'2020'!$I136,Нормативы!$F:$F,'2020'!$K136)</f>
        <v>540</v>
      </c>
      <c r="AI136" s="618">
        <f>SUMIFS(Нормативы!U:U,Нормативы!$B:$B,$G136,Нормативы!$D:$D,'2020'!$I136,Нормативы!$F:$F,'2020'!$K136)</f>
        <v>770</v>
      </c>
      <c r="AJ136" s="618">
        <f>SUMIFS(Нормативы!V:V,Нормативы!$B:$B,$G136,Нормативы!$D:$D,'2020'!$I136,Нормативы!$F:$F,'2020'!$K136)</f>
        <v>80</v>
      </c>
      <c r="AK136" s="618">
        <f>SUMIFS(Нормативы!W:W,Нормативы!$B:$B,$G136,Нормативы!$D:$D,'2020'!$I136,Нормативы!$F:$F,'2020'!$K136)</f>
        <v>1050</v>
      </c>
      <c r="AL136" s="618">
        <f>SUMIFS(Нормативы!X:X,Нормативы!$B:$B,$G136,Нормативы!$D:$D,'2020'!$I136,Нормативы!$F:$F,'2020'!$K136)*O136</f>
        <v>16120</v>
      </c>
      <c r="AM136" s="618">
        <f t="shared" si="332"/>
        <v>12381</v>
      </c>
      <c r="AN136" s="618">
        <f t="shared" si="333"/>
        <v>3739</v>
      </c>
      <c r="AO136" s="618">
        <f>SUMIFS(Нормативы!AA:AA,Нормативы!$B:$B,$G136,Нормативы!$D:$D,'2020'!$I136,Нормативы!$F:$F,'2020'!$K136)</f>
        <v>3520</v>
      </c>
      <c r="AP136" s="619">
        <f t="shared" si="334"/>
        <v>130740</v>
      </c>
      <c r="AQ136" s="413">
        <f t="shared" si="272"/>
        <v>2503410</v>
      </c>
      <c r="AR136" s="618">
        <f t="shared" si="335"/>
        <v>1922741.9</v>
      </c>
      <c r="AS136" s="618">
        <f t="shared" si="336"/>
        <v>580668.1</v>
      </c>
      <c r="AT136" s="616">
        <f t="shared" si="273"/>
        <v>344370</v>
      </c>
      <c r="AU136" s="616">
        <f t="shared" si="274"/>
        <v>68874</v>
      </c>
      <c r="AV136" s="616">
        <f t="shared" si="275"/>
        <v>316290</v>
      </c>
      <c r="AW136" s="616">
        <f t="shared" si="276"/>
        <v>742950</v>
      </c>
      <c r="AX136" s="616">
        <f t="shared" si="277"/>
        <v>20280</v>
      </c>
      <c r="AY136" s="616">
        <f t="shared" si="278"/>
        <v>674310</v>
      </c>
      <c r="AZ136" s="616">
        <f t="shared" si="279"/>
        <v>14040</v>
      </c>
      <c r="BA136" s="616">
        <f t="shared" si="280"/>
        <v>34320</v>
      </c>
      <c r="BB136" s="616">
        <f t="shared" si="281"/>
        <v>104520</v>
      </c>
      <c r="BC136" s="616">
        <f t="shared" si="282"/>
        <v>226200</v>
      </c>
      <c r="BD136" s="616">
        <f t="shared" si="283"/>
        <v>21060</v>
      </c>
      <c r="BE136" s="616">
        <f t="shared" si="284"/>
        <v>30030</v>
      </c>
      <c r="BF136" s="616">
        <f t="shared" si="285"/>
        <v>3120</v>
      </c>
      <c r="BG136" s="616">
        <f t="shared" si="286"/>
        <v>40950</v>
      </c>
      <c r="BH136" s="616">
        <f t="shared" si="287"/>
        <v>628680</v>
      </c>
      <c r="BI136" s="618">
        <f t="shared" si="337"/>
        <v>482857.1</v>
      </c>
      <c r="BJ136" s="618">
        <f t="shared" si="338"/>
        <v>145822.9</v>
      </c>
      <c r="BK136" s="616">
        <f t="shared" si="288"/>
        <v>137280</v>
      </c>
      <c r="BL136" s="620">
        <f t="shared" si="289"/>
        <v>5098860</v>
      </c>
      <c r="BM136" s="616">
        <f t="shared" si="290"/>
        <v>3209372</v>
      </c>
      <c r="BN136" s="618">
        <f t="shared" si="291"/>
        <v>2464955.5</v>
      </c>
      <c r="BO136" s="618">
        <f t="shared" si="292"/>
        <v>744416.5</v>
      </c>
      <c r="BP136" s="616">
        <f t="shared" si="339"/>
        <v>344370</v>
      </c>
      <c r="BQ136" s="616">
        <f t="shared" si="340"/>
        <v>68874</v>
      </c>
      <c r="BR136" s="616">
        <f t="shared" si="341"/>
        <v>316290</v>
      </c>
      <c r="BS136" s="616">
        <f t="shared" si="293"/>
        <v>742950</v>
      </c>
      <c r="BT136" s="616">
        <f t="shared" si="294"/>
        <v>20280</v>
      </c>
      <c r="BU136" s="616">
        <f t="shared" si="295"/>
        <v>674310</v>
      </c>
      <c r="BV136" s="616">
        <f t="shared" si="296"/>
        <v>14040</v>
      </c>
      <c r="BW136" s="616">
        <f t="shared" si="297"/>
        <v>34320</v>
      </c>
      <c r="BX136" s="616">
        <f t="shared" si="298"/>
        <v>225659</v>
      </c>
      <c r="BY136" s="616">
        <f t="shared" si="299"/>
        <v>226200</v>
      </c>
      <c r="BZ136" s="616">
        <f t="shared" si="300"/>
        <v>21060</v>
      </c>
      <c r="CA136" s="616">
        <f t="shared" si="301"/>
        <v>30030</v>
      </c>
      <c r="CB136" s="616">
        <f t="shared" si="302"/>
        <v>3120</v>
      </c>
      <c r="CC136" s="616">
        <f t="shared" si="303"/>
        <v>40950</v>
      </c>
      <c r="CD136" s="616">
        <f t="shared" si="304"/>
        <v>805968</v>
      </c>
      <c r="CE136" s="618">
        <f t="shared" si="342"/>
        <v>619023</v>
      </c>
      <c r="CF136" s="618">
        <f t="shared" si="343"/>
        <v>186945</v>
      </c>
      <c r="CG136" s="616">
        <f t="shared" si="305"/>
        <v>137280</v>
      </c>
      <c r="CH136" s="621">
        <f t="shared" si="306"/>
        <v>6103249</v>
      </c>
      <c r="CI136" s="88">
        <f t="shared" si="307"/>
        <v>82291.589699999997</v>
      </c>
      <c r="CJ136" s="90">
        <f t="shared" si="308"/>
        <v>63203.987200000003</v>
      </c>
      <c r="CK136" s="90">
        <f t="shared" si="309"/>
        <v>19087.602599999998</v>
      </c>
      <c r="CL136" s="88">
        <f t="shared" si="310"/>
        <v>8830</v>
      </c>
      <c r="CM136" s="88">
        <f t="shared" si="311"/>
        <v>1766</v>
      </c>
      <c r="CN136" s="88">
        <f t="shared" si="312"/>
        <v>8110</v>
      </c>
      <c r="CO136" s="88">
        <f t="shared" si="313"/>
        <v>19050</v>
      </c>
      <c r="CP136" s="88">
        <f t="shared" si="314"/>
        <v>520</v>
      </c>
      <c r="CQ136" s="88">
        <f t="shared" si="315"/>
        <v>17290</v>
      </c>
      <c r="CR136" s="88">
        <f t="shared" si="316"/>
        <v>360</v>
      </c>
      <c r="CS136" s="88">
        <f t="shared" si="317"/>
        <v>880</v>
      </c>
      <c r="CT136" s="88">
        <f t="shared" si="318"/>
        <v>5786.1282000000001</v>
      </c>
      <c r="CU136" s="88">
        <f t="shared" si="319"/>
        <v>5800</v>
      </c>
      <c r="CV136" s="88">
        <f t="shared" si="320"/>
        <v>540</v>
      </c>
      <c r="CW136" s="88">
        <f t="shared" si="321"/>
        <v>770</v>
      </c>
      <c r="CX136" s="88">
        <f t="shared" si="322"/>
        <v>80</v>
      </c>
      <c r="CY136" s="88">
        <f t="shared" si="323"/>
        <v>1050</v>
      </c>
      <c r="CZ136" s="88">
        <f t="shared" si="324"/>
        <v>20665.8462</v>
      </c>
      <c r="DA136" s="90">
        <f t="shared" si="325"/>
        <v>15872.384599999999</v>
      </c>
      <c r="DB136" s="90">
        <f t="shared" si="326"/>
        <v>4793.4615000000003</v>
      </c>
      <c r="DC136" s="88">
        <f t="shared" si="327"/>
        <v>3520</v>
      </c>
      <c r="DD136" s="88">
        <f t="shared" si="328"/>
        <v>156493.56409999999</v>
      </c>
      <c r="AUV136" s="699">
        <f t="shared" si="409"/>
        <v>82291.59</v>
      </c>
      <c r="AUW136" s="699">
        <f t="shared" si="410"/>
        <v>63203.99</v>
      </c>
      <c r="AUX136" s="699">
        <f t="shared" si="411"/>
        <v>19087.599999999999</v>
      </c>
      <c r="AUY136" s="699">
        <f t="shared" si="392"/>
        <v>8830</v>
      </c>
      <c r="AUZ136" s="699">
        <f t="shared" si="344"/>
        <v>31900.880000000001</v>
      </c>
      <c r="AVA136" s="699">
        <f t="shared" si="344"/>
        <v>4.93</v>
      </c>
      <c r="AVB136" s="699">
        <f t="shared" si="393"/>
        <v>19050</v>
      </c>
      <c r="AVC136" s="699">
        <f t="shared" si="394"/>
        <v>520</v>
      </c>
      <c r="AVD136" s="699">
        <f t="shared" si="395"/>
        <v>17290</v>
      </c>
      <c r="AVE136" s="699">
        <f t="shared" si="396"/>
        <v>360</v>
      </c>
      <c r="AVF136" s="699">
        <f t="shared" si="397"/>
        <v>880</v>
      </c>
      <c r="AVG136" s="699">
        <f t="shared" si="398"/>
        <v>5786.13</v>
      </c>
      <c r="AVH136" s="699">
        <f t="shared" si="399"/>
        <v>5800</v>
      </c>
      <c r="AVI136" s="699">
        <f t="shared" si="400"/>
        <v>540</v>
      </c>
      <c r="AVJ136" s="699">
        <f t="shared" si="401"/>
        <v>770</v>
      </c>
      <c r="AVK136" s="699">
        <f t="shared" si="402"/>
        <v>80</v>
      </c>
      <c r="AVL136" s="699">
        <f t="shared" si="403"/>
        <v>1050</v>
      </c>
      <c r="AVM136" s="699">
        <f t="shared" si="404"/>
        <v>20665.849999999999</v>
      </c>
      <c r="AVN136" s="699">
        <f t="shared" si="405"/>
        <v>15872.39</v>
      </c>
      <c r="AVO136" s="699">
        <f t="shared" si="406"/>
        <v>4793.46</v>
      </c>
      <c r="AVP136" s="699">
        <f t="shared" si="407"/>
        <v>3520</v>
      </c>
      <c r="AVQ136" s="699">
        <f t="shared" si="408"/>
        <v>156493.56</v>
      </c>
    </row>
    <row r="137" spans="1:108 1244:1265" ht="30" customHeight="1" x14ac:dyDescent="0.25">
      <c r="A137" s="643">
        <v>1</v>
      </c>
      <c r="B137" s="643">
        <v>3</v>
      </c>
      <c r="C137" s="664" t="s">
        <v>17</v>
      </c>
      <c r="D137" s="2"/>
      <c r="E137" s="101" t="s">
        <v>344</v>
      </c>
      <c r="F137" s="643" t="s">
        <v>31</v>
      </c>
      <c r="G137" s="643">
        <v>1</v>
      </c>
      <c r="H137" s="658" t="s">
        <v>8</v>
      </c>
      <c r="I137" s="643">
        <v>3</v>
      </c>
      <c r="J137" s="101" t="s">
        <v>357</v>
      </c>
      <c r="K137" s="643">
        <v>3</v>
      </c>
      <c r="L137" s="683" t="s">
        <v>349</v>
      </c>
      <c r="M137" s="11" t="s">
        <v>260</v>
      </c>
      <c r="N137" s="101" t="s">
        <v>387</v>
      </c>
      <c r="O137" s="643">
        <v>1</v>
      </c>
      <c r="P137" s="632">
        <v>26</v>
      </c>
      <c r="Q137" s="632">
        <v>26</v>
      </c>
      <c r="R137" s="632">
        <v>26</v>
      </c>
      <c r="S137" s="675">
        <f>SUMIF('Территориальный кк'!$A:$A,'2020'!$B137,'Территориальный кк'!D:D)</f>
        <v>1.282</v>
      </c>
      <c r="T137" s="676">
        <f>SUMIF('Территориальный кк'!$A:$A,'2020'!$B137,'Территориальный кк'!E:E)</f>
        <v>2.1589999999999998</v>
      </c>
      <c r="U137" s="618">
        <f>SUMIFS(Нормативы!G:G,Нормативы!$B:$B,$G137,Нормативы!$D:$D,'2020'!$I137,Нормативы!$F:$F,'2020'!$K137)*O137</f>
        <v>6419</v>
      </c>
      <c r="V137" s="618">
        <f t="shared" si="329"/>
        <v>4930.1000000000004</v>
      </c>
      <c r="W137" s="618">
        <f t="shared" si="330"/>
        <v>1488.9</v>
      </c>
      <c r="X137" s="618">
        <f>SUMIFS(Нормативы!J:J,Нормативы!$B:$B,$G137,Нормативы!$D:$D,'2020'!$I137,Нормативы!$F:$F,'2020'!$K137)</f>
        <v>883</v>
      </c>
      <c r="Y137" s="618">
        <f>SUMIFS(Нормативы!K:K,Нормативы!$B:$B,$G137,Нормативы!$D:$D,'2020'!$I137,Нормативы!$F:$F,'2020'!$K137)</f>
        <v>177</v>
      </c>
      <c r="Z137" s="618">
        <f>SUMIFS(Нормативы!L:L,Нормативы!$B:$B,$G137,Нормативы!$D:$D,'2020'!$I137,Нормативы!$F:$F,'2020'!$K137)</f>
        <v>811</v>
      </c>
      <c r="AA137" s="618">
        <f t="shared" si="331"/>
        <v>1905</v>
      </c>
      <c r="AB137" s="618">
        <f>SUMIFS(Нормативы!N:N,Нормативы!$B:$B,$G137,Нормативы!$D:$D,'2020'!$I137,Нормативы!$F:$F,'2020'!$K137)*O137</f>
        <v>52</v>
      </c>
      <c r="AC137" s="618">
        <f>SUMIFS(Нормативы!O:O,Нормативы!$B:$B,$G137,Нормативы!$D:$D,'2020'!$I137,Нормативы!$F:$F,'2020'!$K137)</f>
        <v>1729</v>
      </c>
      <c r="AD137" s="618">
        <f>SUMIFS(Нормативы!P:P,Нормативы!$B:$B,$G137,Нормативы!$D:$D,'2020'!$I137,Нормативы!$F:$F,'2020'!$K137)*O137</f>
        <v>36</v>
      </c>
      <c r="AE137" s="618">
        <f>SUMIFS(Нормативы!Q:Q,Нормативы!$B:$B,$G137,Нормативы!$D:$D,'2020'!$I137,Нормативы!$F:$F,'2020'!$K137)</f>
        <v>88</v>
      </c>
      <c r="AF137" s="618">
        <f>SUMIFS(Нормативы!R:R,Нормативы!$B:$B,$G137,Нормативы!$D:$D,'2020'!$I137,Нормативы!$F:$F,'2020'!$K137)</f>
        <v>268</v>
      </c>
      <c r="AG137" s="618">
        <f>SUMIFS(Нормативы!S:S,Нормативы!$B:$B,$G137,Нормативы!$D:$D,'2020'!$I137,Нормативы!$F:$F,'2020'!$K137)</f>
        <v>580</v>
      </c>
      <c r="AH137" s="618">
        <f>SUMIFS(Нормативы!T:T,Нормативы!$B:$B,$G137,Нормативы!$D:$D,'2020'!$I137,Нормативы!$F:$F,'2020'!$K137)</f>
        <v>54</v>
      </c>
      <c r="AI137" s="618">
        <f>SUMIFS(Нормативы!U:U,Нормативы!$B:$B,$G137,Нормативы!$D:$D,'2020'!$I137,Нормативы!$F:$F,'2020'!$K137)</f>
        <v>77</v>
      </c>
      <c r="AJ137" s="618">
        <f>SUMIFS(Нормативы!V:V,Нормативы!$B:$B,$G137,Нормативы!$D:$D,'2020'!$I137,Нормативы!$F:$F,'2020'!$K137)</f>
        <v>8</v>
      </c>
      <c r="AK137" s="618">
        <f>SUMIFS(Нормативы!W:W,Нормативы!$B:$B,$G137,Нормативы!$D:$D,'2020'!$I137,Нормативы!$F:$F,'2020'!$K137)</f>
        <v>105</v>
      </c>
      <c r="AL137" s="618">
        <f>SUMIFS(Нормативы!X:X,Нормативы!$B:$B,$G137,Нормативы!$D:$D,'2020'!$I137,Нормативы!$F:$F,'2020'!$K137)*O137</f>
        <v>1612</v>
      </c>
      <c r="AM137" s="618">
        <f t="shared" si="332"/>
        <v>1238.0999999999999</v>
      </c>
      <c r="AN137" s="618">
        <f t="shared" si="333"/>
        <v>373.9</v>
      </c>
      <c r="AO137" s="618">
        <f>SUMIFS(Нормативы!AA:AA,Нормативы!$B:$B,$G137,Нормативы!$D:$D,'2020'!$I137,Нормативы!$F:$F,'2020'!$K137)</f>
        <v>0</v>
      </c>
      <c r="AP137" s="619">
        <f t="shared" si="334"/>
        <v>12722</v>
      </c>
      <c r="AQ137" s="413">
        <f t="shared" si="272"/>
        <v>166894</v>
      </c>
      <c r="AR137" s="618">
        <f t="shared" si="335"/>
        <v>128182.8</v>
      </c>
      <c r="AS137" s="618">
        <f t="shared" si="336"/>
        <v>38711.199999999997</v>
      </c>
      <c r="AT137" s="616">
        <f t="shared" si="273"/>
        <v>22958</v>
      </c>
      <c r="AU137" s="616">
        <f t="shared" si="274"/>
        <v>4602</v>
      </c>
      <c r="AV137" s="616">
        <f t="shared" si="275"/>
        <v>21086</v>
      </c>
      <c r="AW137" s="616">
        <f t="shared" si="276"/>
        <v>49530</v>
      </c>
      <c r="AX137" s="616">
        <f t="shared" si="277"/>
        <v>1352</v>
      </c>
      <c r="AY137" s="616">
        <f t="shared" si="278"/>
        <v>44954</v>
      </c>
      <c r="AZ137" s="616">
        <f t="shared" si="279"/>
        <v>936</v>
      </c>
      <c r="BA137" s="616">
        <f t="shared" si="280"/>
        <v>2288</v>
      </c>
      <c r="BB137" s="616">
        <f t="shared" si="281"/>
        <v>6968</v>
      </c>
      <c r="BC137" s="616">
        <f t="shared" si="282"/>
        <v>15080</v>
      </c>
      <c r="BD137" s="616">
        <f t="shared" si="283"/>
        <v>1404</v>
      </c>
      <c r="BE137" s="616">
        <f t="shared" si="284"/>
        <v>2002</v>
      </c>
      <c r="BF137" s="616">
        <f t="shared" si="285"/>
        <v>208</v>
      </c>
      <c r="BG137" s="616">
        <f t="shared" si="286"/>
        <v>2730</v>
      </c>
      <c r="BH137" s="616">
        <f t="shared" si="287"/>
        <v>41912</v>
      </c>
      <c r="BI137" s="618">
        <f t="shared" si="337"/>
        <v>32190.5</v>
      </c>
      <c r="BJ137" s="618">
        <f t="shared" si="338"/>
        <v>9721.5</v>
      </c>
      <c r="BK137" s="616">
        <f t="shared" si="288"/>
        <v>0</v>
      </c>
      <c r="BL137" s="620">
        <f t="shared" si="289"/>
        <v>330772</v>
      </c>
      <c r="BM137" s="616">
        <f t="shared" si="290"/>
        <v>213958</v>
      </c>
      <c r="BN137" s="618">
        <f t="shared" si="291"/>
        <v>164330.29999999999</v>
      </c>
      <c r="BO137" s="618">
        <f t="shared" si="292"/>
        <v>49627.7</v>
      </c>
      <c r="BP137" s="616">
        <f t="shared" si="339"/>
        <v>22958</v>
      </c>
      <c r="BQ137" s="616">
        <f t="shared" si="340"/>
        <v>4602</v>
      </c>
      <c r="BR137" s="616">
        <f t="shared" si="341"/>
        <v>21086</v>
      </c>
      <c r="BS137" s="616">
        <f t="shared" si="293"/>
        <v>49530</v>
      </c>
      <c r="BT137" s="616">
        <f t="shared" si="294"/>
        <v>1352</v>
      </c>
      <c r="BU137" s="616">
        <f t="shared" si="295"/>
        <v>44954</v>
      </c>
      <c r="BV137" s="616">
        <f t="shared" si="296"/>
        <v>936</v>
      </c>
      <c r="BW137" s="616">
        <f t="shared" si="297"/>
        <v>2288</v>
      </c>
      <c r="BX137" s="616">
        <f t="shared" si="298"/>
        <v>15044</v>
      </c>
      <c r="BY137" s="616">
        <f t="shared" si="299"/>
        <v>15080</v>
      </c>
      <c r="BZ137" s="616">
        <f t="shared" si="300"/>
        <v>1404</v>
      </c>
      <c r="CA137" s="616">
        <f t="shared" si="301"/>
        <v>2002</v>
      </c>
      <c r="CB137" s="616">
        <f t="shared" si="302"/>
        <v>208</v>
      </c>
      <c r="CC137" s="616">
        <f t="shared" si="303"/>
        <v>2730</v>
      </c>
      <c r="CD137" s="616">
        <f t="shared" si="304"/>
        <v>53731</v>
      </c>
      <c r="CE137" s="618">
        <f t="shared" si="342"/>
        <v>41268</v>
      </c>
      <c r="CF137" s="618">
        <f t="shared" si="343"/>
        <v>12463</v>
      </c>
      <c r="CG137" s="616">
        <f t="shared" si="305"/>
        <v>0</v>
      </c>
      <c r="CH137" s="621">
        <f t="shared" si="306"/>
        <v>397731</v>
      </c>
      <c r="CI137" s="88">
        <f t="shared" si="307"/>
        <v>8229.1538</v>
      </c>
      <c r="CJ137" s="90">
        <f t="shared" si="308"/>
        <v>6320.3962000000001</v>
      </c>
      <c r="CK137" s="90">
        <f t="shared" si="309"/>
        <v>1908.7577000000001</v>
      </c>
      <c r="CL137" s="88">
        <f t="shared" si="310"/>
        <v>883</v>
      </c>
      <c r="CM137" s="88">
        <f t="shared" si="311"/>
        <v>177</v>
      </c>
      <c r="CN137" s="88">
        <f t="shared" si="312"/>
        <v>811</v>
      </c>
      <c r="CO137" s="88">
        <f t="shared" si="313"/>
        <v>1905</v>
      </c>
      <c r="CP137" s="88">
        <f t="shared" si="314"/>
        <v>52</v>
      </c>
      <c r="CQ137" s="88">
        <f t="shared" si="315"/>
        <v>1729</v>
      </c>
      <c r="CR137" s="88">
        <f t="shared" si="316"/>
        <v>36</v>
      </c>
      <c r="CS137" s="88">
        <f t="shared" si="317"/>
        <v>88</v>
      </c>
      <c r="CT137" s="88">
        <f t="shared" si="318"/>
        <v>578.61540000000002</v>
      </c>
      <c r="CU137" s="88">
        <f t="shared" si="319"/>
        <v>580</v>
      </c>
      <c r="CV137" s="88">
        <f t="shared" si="320"/>
        <v>54</v>
      </c>
      <c r="CW137" s="88">
        <f t="shared" si="321"/>
        <v>77</v>
      </c>
      <c r="CX137" s="88">
        <f t="shared" si="322"/>
        <v>8</v>
      </c>
      <c r="CY137" s="88">
        <f t="shared" si="323"/>
        <v>105</v>
      </c>
      <c r="CZ137" s="88">
        <f t="shared" si="324"/>
        <v>2066.5769</v>
      </c>
      <c r="DA137" s="90">
        <f t="shared" si="325"/>
        <v>1587.2308</v>
      </c>
      <c r="DB137" s="90">
        <f t="shared" si="326"/>
        <v>479.34620000000001</v>
      </c>
      <c r="DC137" s="88">
        <f t="shared" si="327"/>
        <v>0</v>
      </c>
      <c r="DD137" s="88">
        <f t="shared" si="328"/>
        <v>15297.3462</v>
      </c>
      <c r="AUV137" s="699">
        <f t="shared" si="409"/>
        <v>8229.15</v>
      </c>
      <c r="AUW137" s="699">
        <f t="shared" si="410"/>
        <v>6320.39</v>
      </c>
      <c r="AUX137" s="699">
        <f t="shared" si="411"/>
        <v>1908.76</v>
      </c>
      <c r="AUY137" s="699">
        <f t="shared" si="392"/>
        <v>883</v>
      </c>
      <c r="AUZ137" s="699">
        <f t="shared" si="344"/>
        <v>2131.54</v>
      </c>
      <c r="AVA137" s="699">
        <f t="shared" si="344"/>
        <v>3.28</v>
      </c>
      <c r="AVB137" s="699">
        <f t="shared" si="393"/>
        <v>1905</v>
      </c>
      <c r="AVC137" s="699">
        <f t="shared" si="394"/>
        <v>52</v>
      </c>
      <c r="AVD137" s="699">
        <f t="shared" si="395"/>
        <v>1729</v>
      </c>
      <c r="AVE137" s="699">
        <f t="shared" si="396"/>
        <v>36</v>
      </c>
      <c r="AVF137" s="699">
        <f t="shared" si="397"/>
        <v>88</v>
      </c>
      <c r="AVG137" s="699">
        <f t="shared" si="398"/>
        <v>578.62</v>
      </c>
      <c r="AVH137" s="699">
        <f t="shared" si="399"/>
        <v>580</v>
      </c>
      <c r="AVI137" s="699">
        <f t="shared" si="400"/>
        <v>54</v>
      </c>
      <c r="AVJ137" s="699">
        <f t="shared" si="401"/>
        <v>77</v>
      </c>
      <c r="AVK137" s="699">
        <f t="shared" si="402"/>
        <v>8</v>
      </c>
      <c r="AVL137" s="699">
        <f t="shared" si="403"/>
        <v>105</v>
      </c>
      <c r="AVM137" s="699">
        <f t="shared" si="404"/>
        <v>2066.58</v>
      </c>
      <c r="AVN137" s="699">
        <f t="shared" si="405"/>
        <v>1587.24</v>
      </c>
      <c r="AVO137" s="699">
        <f t="shared" si="406"/>
        <v>479.34</v>
      </c>
      <c r="AVP137" s="699">
        <f t="shared" si="407"/>
        <v>0</v>
      </c>
      <c r="AVQ137" s="699">
        <f t="shared" si="408"/>
        <v>15297.35</v>
      </c>
    </row>
    <row r="138" spans="1:108 1244:1265" ht="30" customHeight="1" x14ac:dyDescent="0.25">
      <c r="A138" s="643">
        <v>1</v>
      </c>
      <c r="B138" s="643">
        <v>3</v>
      </c>
      <c r="C138" s="664" t="s">
        <v>17</v>
      </c>
      <c r="D138" s="2"/>
      <c r="E138" s="101" t="s">
        <v>344</v>
      </c>
      <c r="F138" s="643" t="s">
        <v>31</v>
      </c>
      <c r="G138" s="643">
        <v>1</v>
      </c>
      <c r="H138" s="658" t="s">
        <v>8</v>
      </c>
      <c r="I138" s="643">
        <v>3</v>
      </c>
      <c r="J138" s="101" t="s">
        <v>357</v>
      </c>
      <c r="K138" s="643">
        <v>3</v>
      </c>
      <c r="L138" s="683" t="s">
        <v>349</v>
      </c>
      <c r="M138" s="11" t="s">
        <v>261</v>
      </c>
      <c r="N138" s="101" t="s">
        <v>401</v>
      </c>
      <c r="O138" s="643">
        <v>2</v>
      </c>
      <c r="P138" s="632">
        <v>1</v>
      </c>
      <c r="Q138" s="632">
        <v>1</v>
      </c>
      <c r="R138" s="632">
        <v>1</v>
      </c>
      <c r="S138" s="675">
        <f>SUMIF('Территориальный кк'!$A:$A,'2020'!$B138,'Территориальный кк'!D:D)</f>
        <v>1.282</v>
      </c>
      <c r="T138" s="676">
        <f>SUMIF('Территориальный кк'!$A:$A,'2020'!$B138,'Территориальный кк'!E:E)</f>
        <v>2.1589999999999998</v>
      </c>
      <c r="U138" s="618">
        <f>SUMIFS(Нормативы!G:G,Нормативы!$B:$B,$G138,Нормативы!$D:$D,'2020'!$I138,Нормативы!$F:$F,'2020'!$K138)*O138</f>
        <v>12838</v>
      </c>
      <c r="V138" s="618">
        <f t="shared" si="329"/>
        <v>9860.2000000000007</v>
      </c>
      <c r="W138" s="618">
        <f t="shared" si="330"/>
        <v>2977.8</v>
      </c>
      <c r="X138" s="618">
        <f>SUMIFS(Нормативы!J:J,Нормативы!$B:$B,$G138,Нормативы!$D:$D,'2020'!$I138,Нормативы!$F:$F,'2020'!$K138)</f>
        <v>883</v>
      </c>
      <c r="Y138" s="618">
        <f>SUMIFS(Нормативы!K:K,Нормативы!$B:$B,$G138,Нормативы!$D:$D,'2020'!$I138,Нормативы!$F:$F,'2020'!$K138)</f>
        <v>177</v>
      </c>
      <c r="Z138" s="618">
        <f>SUMIFS(Нормативы!L:L,Нормативы!$B:$B,$G138,Нормативы!$D:$D,'2020'!$I138,Нормативы!$F:$F,'2020'!$K138)</f>
        <v>811</v>
      </c>
      <c r="AA138" s="618">
        <f t="shared" si="331"/>
        <v>1993</v>
      </c>
      <c r="AB138" s="618">
        <f>SUMIFS(Нормативы!N:N,Нормативы!$B:$B,$G138,Нормативы!$D:$D,'2020'!$I138,Нормативы!$F:$F,'2020'!$K138)*O138</f>
        <v>104</v>
      </c>
      <c r="AC138" s="618">
        <f>SUMIFS(Нормативы!O:O,Нормативы!$B:$B,$G138,Нормативы!$D:$D,'2020'!$I138,Нормативы!$F:$F,'2020'!$K138)</f>
        <v>1729</v>
      </c>
      <c r="AD138" s="618">
        <f>SUMIFS(Нормативы!P:P,Нормативы!$B:$B,$G138,Нормативы!$D:$D,'2020'!$I138,Нормативы!$F:$F,'2020'!$K138)*O138</f>
        <v>72</v>
      </c>
      <c r="AE138" s="618">
        <f>SUMIFS(Нормативы!Q:Q,Нормативы!$B:$B,$G138,Нормативы!$D:$D,'2020'!$I138,Нормативы!$F:$F,'2020'!$K138)</f>
        <v>88</v>
      </c>
      <c r="AF138" s="618">
        <f>SUMIFS(Нормативы!R:R,Нормативы!$B:$B,$G138,Нормативы!$D:$D,'2020'!$I138,Нормативы!$F:$F,'2020'!$K138)</f>
        <v>268</v>
      </c>
      <c r="AG138" s="618">
        <f>SUMIFS(Нормативы!S:S,Нормативы!$B:$B,$G138,Нормативы!$D:$D,'2020'!$I138,Нормативы!$F:$F,'2020'!$K138)</f>
        <v>580</v>
      </c>
      <c r="AH138" s="618">
        <f>SUMIFS(Нормативы!T:T,Нормативы!$B:$B,$G138,Нормативы!$D:$D,'2020'!$I138,Нормативы!$F:$F,'2020'!$K138)</f>
        <v>54</v>
      </c>
      <c r="AI138" s="618">
        <f>SUMIFS(Нормативы!U:U,Нормативы!$B:$B,$G138,Нормативы!$D:$D,'2020'!$I138,Нормативы!$F:$F,'2020'!$K138)</f>
        <v>77</v>
      </c>
      <c r="AJ138" s="618">
        <f>SUMIFS(Нормативы!V:V,Нормативы!$B:$B,$G138,Нормативы!$D:$D,'2020'!$I138,Нормативы!$F:$F,'2020'!$K138)</f>
        <v>8</v>
      </c>
      <c r="AK138" s="618">
        <f>SUMIFS(Нормативы!W:W,Нормативы!$B:$B,$G138,Нормативы!$D:$D,'2020'!$I138,Нормативы!$F:$F,'2020'!$K138)</f>
        <v>105</v>
      </c>
      <c r="AL138" s="618">
        <f>SUMIFS(Нормативы!X:X,Нормативы!$B:$B,$G138,Нормативы!$D:$D,'2020'!$I138,Нормативы!$F:$F,'2020'!$K138)*O138</f>
        <v>3224</v>
      </c>
      <c r="AM138" s="618">
        <f t="shared" si="332"/>
        <v>2476.1999999999998</v>
      </c>
      <c r="AN138" s="618">
        <f t="shared" si="333"/>
        <v>747.8</v>
      </c>
      <c r="AO138" s="618">
        <f>SUMIFS(Нормативы!AA:AA,Нормативы!$B:$B,$G138,Нормативы!$D:$D,'2020'!$I138,Нормативы!$F:$F,'2020'!$K138)</f>
        <v>0</v>
      </c>
      <c r="AP138" s="619">
        <f t="shared" si="334"/>
        <v>20841</v>
      </c>
      <c r="AQ138" s="413">
        <f t="shared" si="272"/>
        <v>12838</v>
      </c>
      <c r="AR138" s="618">
        <f t="shared" si="335"/>
        <v>9860.2000000000007</v>
      </c>
      <c r="AS138" s="618">
        <f t="shared" si="336"/>
        <v>2977.8</v>
      </c>
      <c r="AT138" s="616">
        <f t="shared" si="273"/>
        <v>883</v>
      </c>
      <c r="AU138" s="616">
        <f t="shared" si="274"/>
        <v>177</v>
      </c>
      <c r="AV138" s="616">
        <f t="shared" si="275"/>
        <v>811</v>
      </c>
      <c r="AW138" s="616">
        <f t="shared" si="276"/>
        <v>1993</v>
      </c>
      <c r="AX138" s="616">
        <f t="shared" si="277"/>
        <v>104</v>
      </c>
      <c r="AY138" s="616">
        <f t="shared" si="278"/>
        <v>1729</v>
      </c>
      <c r="AZ138" s="616">
        <f t="shared" si="279"/>
        <v>72</v>
      </c>
      <c r="BA138" s="616">
        <f t="shared" si="280"/>
        <v>88</v>
      </c>
      <c r="BB138" s="616">
        <f t="shared" si="281"/>
        <v>268</v>
      </c>
      <c r="BC138" s="616">
        <f t="shared" si="282"/>
        <v>580</v>
      </c>
      <c r="BD138" s="616">
        <f t="shared" si="283"/>
        <v>54</v>
      </c>
      <c r="BE138" s="616">
        <f t="shared" si="284"/>
        <v>77</v>
      </c>
      <c r="BF138" s="616">
        <f t="shared" si="285"/>
        <v>8</v>
      </c>
      <c r="BG138" s="616">
        <f t="shared" si="286"/>
        <v>105</v>
      </c>
      <c r="BH138" s="616">
        <f t="shared" si="287"/>
        <v>3224</v>
      </c>
      <c r="BI138" s="618">
        <f t="shared" si="337"/>
        <v>2476.1999999999998</v>
      </c>
      <c r="BJ138" s="618">
        <f t="shared" si="338"/>
        <v>747.8</v>
      </c>
      <c r="BK138" s="616">
        <f t="shared" si="288"/>
        <v>0</v>
      </c>
      <c r="BL138" s="620">
        <f t="shared" si="289"/>
        <v>20841</v>
      </c>
      <c r="BM138" s="616">
        <f t="shared" si="290"/>
        <v>16458</v>
      </c>
      <c r="BN138" s="618">
        <f t="shared" si="291"/>
        <v>12640.6</v>
      </c>
      <c r="BO138" s="618">
        <f t="shared" si="292"/>
        <v>3817.4</v>
      </c>
      <c r="BP138" s="616">
        <f t="shared" si="339"/>
        <v>883</v>
      </c>
      <c r="BQ138" s="616">
        <f t="shared" si="340"/>
        <v>177</v>
      </c>
      <c r="BR138" s="616">
        <f t="shared" si="341"/>
        <v>811</v>
      </c>
      <c r="BS138" s="616">
        <f t="shared" si="293"/>
        <v>1993</v>
      </c>
      <c r="BT138" s="616">
        <f t="shared" si="294"/>
        <v>104</v>
      </c>
      <c r="BU138" s="616">
        <f t="shared" si="295"/>
        <v>1729</v>
      </c>
      <c r="BV138" s="616">
        <f t="shared" si="296"/>
        <v>72</v>
      </c>
      <c r="BW138" s="616">
        <f t="shared" si="297"/>
        <v>88</v>
      </c>
      <c r="BX138" s="616">
        <f t="shared" si="298"/>
        <v>579</v>
      </c>
      <c r="BY138" s="616">
        <f t="shared" si="299"/>
        <v>580</v>
      </c>
      <c r="BZ138" s="616">
        <f t="shared" si="300"/>
        <v>54</v>
      </c>
      <c r="CA138" s="616">
        <f t="shared" si="301"/>
        <v>77</v>
      </c>
      <c r="CB138" s="616">
        <f t="shared" si="302"/>
        <v>8</v>
      </c>
      <c r="CC138" s="616">
        <f t="shared" si="303"/>
        <v>105</v>
      </c>
      <c r="CD138" s="616">
        <f t="shared" si="304"/>
        <v>4133</v>
      </c>
      <c r="CE138" s="618">
        <f t="shared" si="342"/>
        <v>3174.3</v>
      </c>
      <c r="CF138" s="618">
        <f t="shared" si="343"/>
        <v>958.7</v>
      </c>
      <c r="CG138" s="616">
        <f t="shared" si="305"/>
        <v>0</v>
      </c>
      <c r="CH138" s="621">
        <f t="shared" si="306"/>
        <v>25681</v>
      </c>
      <c r="CI138" s="88">
        <f t="shared" si="307"/>
        <v>16458</v>
      </c>
      <c r="CJ138" s="90">
        <f t="shared" si="308"/>
        <v>12640.6</v>
      </c>
      <c r="CK138" s="90">
        <f t="shared" si="309"/>
        <v>3817.4</v>
      </c>
      <c r="CL138" s="88">
        <f t="shared" si="310"/>
        <v>883</v>
      </c>
      <c r="CM138" s="88">
        <f t="shared" si="311"/>
        <v>177</v>
      </c>
      <c r="CN138" s="88">
        <f t="shared" si="312"/>
        <v>811</v>
      </c>
      <c r="CO138" s="88">
        <f t="shared" si="313"/>
        <v>1993</v>
      </c>
      <c r="CP138" s="88">
        <f t="shared" si="314"/>
        <v>104</v>
      </c>
      <c r="CQ138" s="88">
        <f t="shared" si="315"/>
        <v>1729</v>
      </c>
      <c r="CR138" s="88">
        <f t="shared" si="316"/>
        <v>72</v>
      </c>
      <c r="CS138" s="88">
        <f t="shared" si="317"/>
        <v>88</v>
      </c>
      <c r="CT138" s="88">
        <f t="shared" si="318"/>
        <v>579</v>
      </c>
      <c r="CU138" s="88">
        <f t="shared" si="319"/>
        <v>580</v>
      </c>
      <c r="CV138" s="88">
        <f t="shared" si="320"/>
        <v>54</v>
      </c>
      <c r="CW138" s="88">
        <f t="shared" si="321"/>
        <v>77</v>
      </c>
      <c r="CX138" s="88">
        <f t="shared" si="322"/>
        <v>8</v>
      </c>
      <c r="CY138" s="88">
        <f t="shared" si="323"/>
        <v>105</v>
      </c>
      <c r="CZ138" s="88">
        <f t="shared" si="324"/>
        <v>4133</v>
      </c>
      <c r="DA138" s="90">
        <f t="shared" si="325"/>
        <v>3174.3</v>
      </c>
      <c r="DB138" s="90">
        <f t="shared" si="326"/>
        <v>958.7</v>
      </c>
      <c r="DC138" s="88">
        <f t="shared" si="327"/>
        <v>0</v>
      </c>
      <c r="DD138" s="88">
        <f t="shared" si="328"/>
        <v>25681</v>
      </c>
      <c r="AUV138" s="699">
        <f t="shared" si="409"/>
        <v>16458</v>
      </c>
      <c r="AUW138" s="699">
        <f t="shared" si="410"/>
        <v>12640.55</v>
      </c>
      <c r="AUX138" s="699">
        <f t="shared" si="411"/>
        <v>3817.45</v>
      </c>
      <c r="AUY138" s="699">
        <f t="shared" si="392"/>
        <v>883</v>
      </c>
      <c r="AUZ138" s="699">
        <f t="shared" si="344"/>
        <v>81.98</v>
      </c>
      <c r="AVA138" s="699">
        <f t="shared" si="344"/>
        <v>0.06</v>
      </c>
      <c r="AVB138" s="699">
        <f t="shared" si="393"/>
        <v>1993</v>
      </c>
      <c r="AVC138" s="699">
        <f t="shared" si="394"/>
        <v>104</v>
      </c>
      <c r="AVD138" s="699">
        <f t="shared" si="395"/>
        <v>1729</v>
      </c>
      <c r="AVE138" s="699">
        <f t="shared" si="396"/>
        <v>72</v>
      </c>
      <c r="AVF138" s="699">
        <f t="shared" si="397"/>
        <v>88</v>
      </c>
      <c r="AVG138" s="699">
        <f t="shared" si="398"/>
        <v>579</v>
      </c>
      <c r="AVH138" s="699">
        <f t="shared" si="399"/>
        <v>580</v>
      </c>
      <c r="AVI138" s="699">
        <f t="shared" si="400"/>
        <v>54</v>
      </c>
      <c r="AVJ138" s="699">
        <f t="shared" si="401"/>
        <v>77</v>
      </c>
      <c r="AVK138" s="699">
        <f t="shared" si="402"/>
        <v>8</v>
      </c>
      <c r="AVL138" s="699">
        <f t="shared" si="403"/>
        <v>105</v>
      </c>
      <c r="AVM138" s="699">
        <f t="shared" si="404"/>
        <v>4133</v>
      </c>
      <c r="AVN138" s="699">
        <f t="shared" si="405"/>
        <v>3174.35</v>
      </c>
      <c r="AVO138" s="699">
        <f t="shared" si="406"/>
        <v>958.65</v>
      </c>
      <c r="AVP138" s="699">
        <f t="shared" si="407"/>
        <v>0</v>
      </c>
      <c r="AVQ138" s="699">
        <f t="shared" si="408"/>
        <v>25681</v>
      </c>
    </row>
    <row r="139" spans="1:108 1244:1265" ht="30" customHeight="1" x14ac:dyDescent="0.25">
      <c r="A139" s="643">
        <v>1</v>
      </c>
      <c r="B139" s="643">
        <v>3</v>
      </c>
      <c r="C139" s="664" t="s">
        <v>17</v>
      </c>
      <c r="D139" s="2"/>
      <c r="E139" s="101" t="s">
        <v>344</v>
      </c>
      <c r="F139" s="643" t="s">
        <v>31</v>
      </c>
      <c r="G139" s="643">
        <v>1</v>
      </c>
      <c r="H139" s="658" t="s">
        <v>10</v>
      </c>
      <c r="I139" s="643">
        <v>0</v>
      </c>
      <c r="J139" s="101" t="s">
        <v>360</v>
      </c>
      <c r="K139" s="643">
        <v>3</v>
      </c>
      <c r="L139" s="683" t="s">
        <v>349</v>
      </c>
      <c r="M139" s="11" t="s">
        <v>265</v>
      </c>
      <c r="N139" s="101" t="s">
        <v>387</v>
      </c>
      <c r="O139" s="643">
        <v>1</v>
      </c>
      <c r="P139" s="632">
        <v>153</v>
      </c>
      <c r="Q139" s="632">
        <v>153</v>
      </c>
      <c r="R139" s="632">
        <v>153</v>
      </c>
      <c r="S139" s="675">
        <f>SUMIF('Территориальный кк'!$A:$A,'2020'!$B139,'Территориальный кк'!D:D)</f>
        <v>1.282</v>
      </c>
      <c r="T139" s="676">
        <f>SUMIF('Территориальный кк'!$A:$A,'2020'!$B139,'Территориальный кк'!E:E)</f>
        <v>2.1589999999999998</v>
      </c>
      <c r="U139" s="618">
        <f>SUMIFS(Нормативы!G:G,Нормативы!$B:$B,$G139,Нормативы!$D:$D,'2020'!$I139,Нормативы!$F:$F,'2020'!$K139)*O139</f>
        <v>64190</v>
      </c>
      <c r="V139" s="618">
        <f t="shared" si="329"/>
        <v>49301.1</v>
      </c>
      <c r="W139" s="618">
        <f t="shared" si="330"/>
        <v>14888.9</v>
      </c>
      <c r="X139" s="618">
        <f>SUMIFS(Нормативы!J:J,Нормативы!$B:$B,$G139,Нормативы!$D:$D,'2020'!$I139,Нормативы!$F:$F,'2020'!$K139)</f>
        <v>8830</v>
      </c>
      <c r="Y139" s="618">
        <f>SUMIFS(Нормативы!K:K,Нормативы!$B:$B,$G139,Нормативы!$D:$D,'2020'!$I139,Нормативы!$F:$F,'2020'!$K139)</f>
        <v>1766</v>
      </c>
      <c r="Z139" s="618">
        <f>SUMIFS(Нормативы!L:L,Нормативы!$B:$B,$G139,Нормативы!$D:$D,'2020'!$I139,Нормативы!$F:$F,'2020'!$K139)</f>
        <v>8110</v>
      </c>
      <c r="AA139" s="618">
        <f t="shared" si="331"/>
        <v>19050</v>
      </c>
      <c r="AB139" s="618">
        <f>SUMIFS(Нормативы!N:N,Нормативы!$B:$B,$G139,Нормативы!$D:$D,'2020'!$I139,Нормативы!$F:$F,'2020'!$K139)*O139</f>
        <v>520</v>
      </c>
      <c r="AC139" s="618">
        <f>SUMIFS(Нормативы!O:O,Нормативы!$B:$B,$G139,Нормативы!$D:$D,'2020'!$I139,Нормативы!$F:$F,'2020'!$K139)</f>
        <v>17290</v>
      </c>
      <c r="AD139" s="618">
        <f>SUMIFS(Нормативы!P:P,Нормативы!$B:$B,$G139,Нормативы!$D:$D,'2020'!$I139,Нормативы!$F:$F,'2020'!$K139)*O139</f>
        <v>360</v>
      </c>
      <c r="AE139" s="618">
        <f>SUMIFS(Нормативы!Q:Q,Нормативы!$B:$B,$G139,Нормативы!$D:$D,'2020'!$I139,Нормативы!$F:$F,'2020'!$K139)</f>
        <v>880</v>
      </c>
      <c r="AF139" s="618">
        <f>SUMIFS(Нормативы!R:R,Нормативы!$B:$B,$G139,Нормативы!$D:$D,'2020'!$I139,Нормативы!$F:$F,'2020'!$K139)</f>
        <v>2680</v>
      </c>
      <c r="AG139" s="618">
        <f>SUMIFS(Нормативы!S:S,Нормативы!$B:$B,$G139,Нормативы!$D:$D,'2020'!$I139,Нормативы!$F:$F,'2020'!$K139)</f>
        <v>5800</v>
      </c>
      <c r="AH139" s="618">
        <f>SUMIFS(Нормативы!T:T,Нормативы!$B:$B,$G139,Нормативы!$D:$D,'2020'!$I139,Нормативы!$F:$F,'2020'!$K139)</f>
        <v>540</v>
      </c>
      <c r="AI139" s="618">
        <f>SUMIFS(Нормативы!U:U,Нормативы!$B:$B,$G139,Нормативы!$D:$D,'2020'!$I139,Нормативы!$F:$F,'2020'!$K139)</f>
        <v>770</v>
      </c>
      <c r="AJ139" s="618">
        <f>SUMIFS(Нормативы!V:V,Нормативы!$B:$B,$G139,Нормативы!$D:$D,'2020'!$I139,Нормативы!$F:$F,'2020'!$K139)</f>
        <v>80</v>
      </c>
      <c r="AK139" s="618">
        <f>SUMIFS(Нормативы!W:W,Нормативы!$B:$B,$G139,Нормативы!$D:$D,'2020'!$I139,Нормативы!$F:$F,'2020'!$K139)</f>
        <v>1050</v>
      </c>
      <c r="AL139" s="618">
        <f>SUMIFS(Нормативы!X:X,Нормативы!$B:$B,$G139,Нормативы!$D:$D,'2020'!$I139,Нормативы!$F:$F,'2020'!$K139)*O139</f>
        <v>16120</v>
      </c>
      <c r="AM139" s="618">
        <f t="shared" si="332"/>
        <v>12381</v>
      </c>
      <c r="AN139" s="618">
        <f t="shared" si="333"/>
        <v>3739</v>
      </c>
      <c r="AO139" s="618">
        <f>SUMIFS(Нормативы!AA:AA,Нормативы!$B:$B,$G139,Нормативы!$D:$D,'2020'!$I139,Нормативы!$F:$F,'2020'!$K139)</f>
        <v>3520</v>
      </c>
      <c r="AP139" s="619">
        <f t="shared" si="334"/>
        <v>130740</v>
      </c>
      <c r="AQ139" s="413">
        <f t="shared" si="272"/>
        <v>9821070</v>
      </c>
      <c r="AR139" s="618">
        <f t="shared" si="335"/>
        <v>7543064.5</v>
      </c>
      <c r="AS139" s="618">
        <f t="shared" si="336"/>
        <v>2278005.5</v>
      </c>
      <c r="AT139" s="616">
        <f t="shared" si="273"/>
        <v>1350990</v>
      </c>
      <c r="AU139" s="616">
        <f t="shared" si="274"/>
        <v>270198</v>
      </c>
      <c r="AV139" s="616">
        <f t="shared" si="275"/>
        <v>1240830</v>
      </c>
      <c r="AW139" s="616">
        <f t="shared" si="276"/>
        <v>2914650</v>
      </c>
      <c r="AX139" s="616">
        <f t="shared" si="277"/>
        <v>79560</v>
      </c>
      <c r="AY139" s="616">
        <f t="shared" si="278"/>
        <v>2645370</v>
      </c>
      <c r="AZ139" s="616">
        <f t="shared" si="279"/>
        <v>55080</v>
      </c>
      <c r="BA139" s="616">
        <f t="shared" si="280"/>
        <v>134640</v>
      </c>
      <c r="BB139" s="616">
        <f t="shared" si="281"/>
        <v>410040</v>
      </c>
      <c r="BC139" s="616">
        <f t="shared" si="282"/>
        <v>887400</v>
      </c>
      <c r="BD139" s="616">
        <f t="shared" si="283"/>
        <v>82620</v>
      </c>
      <c r="BE139" s="616">
        <f t="shared" si="284"/>
        <v>117810</v>
      </c>
      <c r="BF139" s="616">
        <f t="shared" si="285"/>
        <v>12240</v>
      </c>
      <c r="BG139" s="616">
        <f t="shared" si="286"/>
        <v>160650</v>
      </c>
      <c r="BH139" s="616">
        <f t="shared" si="287"/>
        <v>2466360</v>
      </c>
      <c r="BI139" s="618">
        <f t="shared" si="337"/>
        <v>1894285.7</v>
      </c>
      <c r="BJ139" s="618">
        <f t="shared" si="338"/>
        <v>572074.30000000005</v>
      </c>
      <c r="BK139" s="616">
        <f t="shared" si="288"/>
        <v>538560</v>
      </c>
      <c r="BL139" s="620">
        <f t="shared" si="289"/>
        <v>20003220</v>
      </c>
      <c r="BM139" s="616">
        <f t="shared" si="290"/>
        <v>12590612</v>
      </c>
      <c r="BN139" s="618">
        <f t="shared" si="291"/>
        <v>9670208.9000000004</v>
      </c>
      <c r="BO139" s="618">
        <f t="shared" si="292"/>
        <v>2920403.1</v>
      </c>
      <c r="BP139" s="616">
        <f t="shared" si="339"/>
        <v>1350990</v>
      </c>
      <c r="BQ139" s="616">
        <f t="shared" si="340"/>
        <v>270198</v>
      </c>
      <c r="BR139" s="616">
        <f t="shared" si="341"/>
        <v>1240830</v>
      </c>
      <c r="BS139" s="616">
        <f t="shared" si="293"/>
        <v>2914650</v>
      </c>
      <c r="BT139" s="616">
        <f t="shared" si="294"/>
        <v>79560</v>
      </c>
      <c r="BU139" s="616">
        <f t="shared" si="295"/>
        <v>2645370</v>
      </c>
      <c r="BV139" s="616">
        <f t="shared" si="296"/>
        <v>55080</v>
      </c>
      <c r="BW139" s="616">
        <f t="shared" si="297"/>
        <v>134640</v>
      </c>
      <c r="BX139" s="616">
        <f t="shared" si="298"/>
        <v>885276</v>
      </c>
      <c r="BY139" s="616">
        <f t="shared" si="299"/>
        <v>887400</v>
      </c>
      <c r="BZ139" s="616">
        <f t="shared" si="300"/>
        <v>82620</v>
      </c>
      <c r="CA139" s="616">
        <f t="shared" si="301"/>
        <v>117810</v>
      </c>
      <c r="CB139" s="616">
        <f t="shared" si="302"/>
        <v>12240</v>
      </c>
      <c r="CC139" s="616">
        <f t="shared" si="303"/>
        <v>160650</v>
      </c>
      <c r="CD139" s="616">
        <f t="shared" si="304"/>
        <v>3161874</v>
      </c>
      <c r="CE139" s="618">
        <f t="shared" si="342"/>
        <v>2428474.7000000002</v>
      </c>
      <c r="CF139" s="618">
        <f t="shared" si="343"/>
        <v>733399.3</v>
      </c>
      <c r="CG139" s="616">
        <f t="shared" si="305"/>
        <v>538560</v>
      </c>
      <c r="CH139" s="621">
        <f t="shared" si="306"/>
        <v>23943512</v>
      </c>
      <c r="CI139" s="88">
        <f t="shared" si="307"/>
        <v>82291.581699999995</v>
      </c>
      <c r="CJ139" s="90">
        <f t="shared" si="308"/>
        <v>63203.979700000004</v>
      </c>
      <c r="CK139" s="90">
        <f t="shared" si="309"/>
        <v>19087.601999999999</v>
      </c>
      <c r="CL139" s="88">
        <f t="shared" si="310"/>
        <v>8830</v>
      </c>
      <c r="CM139" s="88">
        <f t="shared" si="311"/>
        <v>1766</v>
      </c>
      <c r="CN139" s="88">
        <f t="shared" si="312"/>
        <v>8110</v>
      </c>
      <c r="CO139" s="88">
        <f t="shared" si="313"/>
        <v>19050</v>
      </c>
      <c r="CP139" s="88">
        <f t="shared" si="314"/>
        <v>520</v>
      </c>
      <c r="CQ139" s="88">
        <f t="shared" si="315"/>
        <v>17290</v>
      </c>
      <c r="CR139" s="88">
        <f t="shared" si="316"/>
        <v>360</v>
      </c>
      <c r="CS139" s="88">
        <f t="shared" si="317"/>
        <v>880</v>
      </c>
      <c r="CT139" s="88">
        <f t="shared" si="318"/>
        <v>5786.1175999999996</v>
      </c>
      <c r="CU139" s="88">
        <f t="shared" si="319"/>
        <v>5800</v>
      </c>
      <c r="CV139" s="88">
        <f t="shared" si="320"/>
        <v>540</v>
      </c>
      <c r="CW139" s="88">
        <f t="shared" si="321"/>
        <v>770</v>
      </c>
      <c r="CX139" s="88">
        <f t="shared" si="322"/>
        <v>80</v>
      </c>
      <c r="CY139" s="88">
        <f t="shared" si="323"/>
        <v>1050</v>
      </c>
      <c r="CZ139" s="88">
        <f t="shared" si="324"/>
        <v>20665.843099999998</v>
      </c>
      <c r="DA139" s="90">
        <f t="shared" si="325"/>
        <v>15872.3837</v>
      </c>
      <c r="DB139" s="90">
        <f t="shared" si="326"/>
        <v>4793.4594999999999</v>
      </c>
      <c r="DC139" s="88">
        <f t="shared" si="327"/>
        <v>3520</v>
      </c>
      <c r="DD139" s="88">
        <f t="shared" si="328"/>
        <v>156493.54250000001</v>
      </c>
      <c r="AUV139" s="699">
        <f t="shared" si="409"/>
        <v>82291.58</v>
      </c>
      <c r="AUW139" s="699">
        <f t="shared" si="410"/>
        <v>63203.98</v>
      </c>
      <c r="AUX139" s="699">
        <f t="shared" si="411"/>
        <v>19087.599999999999</v>
      </c>
      <c r="AUY139" s="699">
        <f t="shared" si="392"/>
        <v>8830</v>
      </c>
      <c r="AUZ139" s="699">
        <f t="shared" si="344"/>
        <v>125149.61</v>
      </c>
      <c r="AVA139" s="699">
        <f t="shared" si="344"/>
        <v>19.329999999999998</v>
      </c>
      <c r="AVB139" s="699">
        <f t="shared" si="393"/>
        <v>19050</v>
      </c>
      <c r="AVC139" s="699">
        <f t="shared" si="394"/>
        <v>520</v>
      </c>
      <c r="AVD139" s="699">
        <f t="shared" si="395"/>
        <v>17290</v>
      </c>
      <c r="AVE139" s="699">
        <f t="shared" si="396"/>
        <v>360</v>
      </c>
      <c r="AVF139" s="699">
        <f t="shared" si="397"/>
        <v>880</v>
      </c>
      <c r="AVG139" s="699">
        <f t="shared" si="398"/>
        <v>5786.12</v>
      </c>
      <c r="AVH139" s="699">
        <f t="shared" si="399"/>
        <v>5800</v>
      </c>
      <c r="AVI139" s="699">
        <f t="shared" si="400"/>
        <v>540</v>
      </c>
      <c r="AVJ139" s="699">
        <f t="shared" si="401"/>
        <v>770</v>
      </c>
      <c r="AVK139" s="699">
        <f t="shared" si="402"/>
        <v>80</v>
      </c>
      <c r="AVL139" s="699">
        <f t="shared" si="403"/>
        <v>1050</v>
      </c>
      <c r="AVM139" s="699">
        <f t="shared" si="404"/>
        <v>20665.84</v>
      </c>
      <c r="AVN139" s="699">
        <f t="shared" si="405"/>
        <v>15872.38</v>
      </c>
      <c r="AVO139" s="699">
        <f t="shared" si="406"/>
        <v>4793.46</v>
      </c>
      <c r="AVP139" s="699">
        <f t="shared" si="407"/>
        <v>3520</v>
      </c>
      <c r="AVQ139" s="699">
        <f t="shared" si="408"/>
        <v>156493.54</v>
      </c>
    </row>
    <row r="140" spans="1:108 1244:1265" ht="30" customHeight="1" x14ac:dyDescent="0.25">
      <c r="A140" s="643">
        <v>1</v>
      </c>
      <c r="B140" s="643">
        <v>3</v>
      </c>
      <c r="C140" s="664" t="s">
        <v>17</v>
      </c>
      <c r="D140" s="2"/>
      <c r="E140" s="101" t="s">
        <v>344</v>
      </c>
      <c r="F140" s="643" t="s">
        <v>31</v>
      </c>
      <c r="G140" s="643">
        <v>1</v>
      </c>
      <c r="H140" s="658" t="s">
        <v>8</v>
      </c>
      <c r="I140" s="643">
        <v>3</v>
      </c>
      <c r="J140" s="101" t="s">
        <v>360</v>
      </c>
      <c r="K140" s="643">
        <v>3</v>
      </c>
      <c r="L140" s="683" t="s">
        <v>349</v>
      </c>
      <c r="M140" s="11" t="s">
        <v>266</v>
      </c>
      <c r="N140" s="101" t="s">
        <v>387</v>
      </c>
      <c r="O140" s="643">
        <v>1</v>
      </c>
      <c r="P140" s="632">
        <v>108</v>
      </c>
      <c r="Q140" s="632">
        <v>108</v>
      </c>
      <c r="R140" s="632">
        <v>108</v>
      </c>
      <c r="S140" s="675">
        <f>SUMIF('Территориальный кк'!$A:$A,'2020'!$B140,'Территориальный кк'!D:D)</f>
        <v>1.282</v>
      </c>
      <c r="T140" s="676">
        <f>SUMIF('Территориальный кк'!$A:$A,'2020'!$B140,'Территориальный кк'!E:E)</f>
        <v>2.1589999999999998</v>
      </c>
      <c r="U140" s="618">
        <f>SUMIFS(Нормативы!G:G,Нормативы!$B:$B,$G140,Нормативы!$D:$D,'2020'!$I140,Нормативы!$F:$F,'2020'!$K140)*O140</f>
        <v>6419</v>
      </c>
      <c r="V140" s="618">
        <f t="shared" si="329"/>
        <v>4930.1000000000004</v>
      </c>
      <c r="W140" s="618">
        <f t="shared" si="330"/>
        <v>1488.9</v>
      </c>
      <c r="X140" s="618">
        <f>SUMIFS(Нормативы!J:J,Нормативы!$B:$B,$G140,Нормативы!$D:$D,'2020'!$I140,Нормативы!$F:$F,'2020'!$K140)</f>
        <v>883</v>
      </c>
      <c r="Y140" s="618">
        <f>SUMIFS(Нормативы!K:K,Нормативы!$B:$B,$G140,Нормативы!$D:$D,'2020'!$I140,Нормативы!$F:$F,'2020'!$K140)</f>
        <v>177</v>
      </c>
      <c r="Z140" s="618">
        <f>SUMIFS(Нормативы!L:L,Нормативы!$B:$B,$G140,Нормативы!$D:$D,'2020'!$I140,Нормативы!$F:$F,'2020'!$K140)</f>
        <v>811</v>
      </c>
      <c r="AA140" s="618">
        <f t="shared" si="331"/>
        <v>1905</v>
      </c>
      <c r="AB140" s="618">
        <f>SUMIFS(Нормативы!N:N,Нормативы!$B:$B,$G140,Нормативы!$D:$D,'2020'!$I140,Нормативы!$F:$F,'2020'!$K140)*O140</f>
        <v>52</v>
      </c>
      <c r="AC140" s="618">
        <f>SUMIFS(Нормативы!O:O,Нормативы!$B:$B,$G140,Нормативы!$D:$D,'2020'!$I140,Нормативы!$F:$F,'2020'!$K140)</f>
        <v>1729</v>
      </c>
      <c r="AD140" s="618">
        <f>SUMIFS(Нормативы!P:P,Нормативы!$B:$B,$G140,Нормативы!$D:$D,'2020'!$I140,Нормативы!$F:$F,'2020'!$K140)*O140</f>
        <v>36</v>
      </c>
      <c r="AE140" s="618">
        <f>SUMIFS(Нормативы!Q:Q,Нормативы!$B:$B,$G140,Нормативы!$D:$D,'2020'!$I140,Нормативы!$F:$F,'2020'!$K140)</f>
        <v>88</v>
      </c>
      <c r="AF140" s="618">
        <f>SUMIFS(Нормативы!R:R,Нормативы!$B:$B,$G140,Нормативы!$D:$D,'2020'!$I140,Нормативы!$F:$F,'2020'!$K140)</f>
        <v>268</v>
      </c>
      <c r="AG140" s="618">
        <f>SUMIFS(Нормативы!S:S,Нормативы!$B:$B,$G140,Нормативы!$D:$D,'2020'!$I140,Нормативы!$F:$F,'2020'!$K140)</f>
        <v>580</v>
      </c>
      <c r="AH140" s="618">
        <f>SUMIFS(Нормативы!T:T,Нормативы!$B:$B,$G140,Нормативы!$D:$D,'2020'!$I140,Нормативы!$F:$F,'2020'!$K140)</f>
        <v>54</v>
      </c>
      <c r="AI140" s="618">
        <f>SUMIFS(Нормативы!U:U,Нормативы!$B:$B,$G140,Нормативы!$D:$D,'2020'!$I140,Нормативы!$F:$F,'2020'!$K140)</f>
        <v>77</v>
      </c>
      <c r="AJ140" s="618">
        <f>SUMIFS(Нормативы!V:V,Нормативы!$B:$B,$G140,Нормативы!$D:$D,'2020'!$I140,Нормативы!$F:$F,'2020'!$K140)</f>
        <v>8</v>
      </c>
      <c r="AK140" s="618">
        <f>SUMIFS(Нормативы!W:W,Нормативы!$B:$B,$G140,Нормативы!$D:$D,'2020'!$I140,Нормативы!$F:$F,'2020'!$K140)</f>
        <v>105</v>
      </c>
      <c r="AL140" s="618">
        <f>SUMIFS(Нормативы!X:X,Нормативы!$B:$B,$G140,Нормативы!$D:$D,'2020'!$I140,Нормативы!$F:$F,'2020'!$K140)*O140</f>
        <v>1612</v>
      </c>
      <c r="AM140" s="618">
        <f t="shared" si="332"/>
        <v>1238.0999999999999</v>
      </c>
      <c r="AN140" s="618">
        <f t="shared" si="333"/>
        <v>373.9</v>
      </c>
      <c r="AO140" s="618">
        <f>SUMIFS(Нормативы!AA:AA,Нормативы!$B:$B,$G140,Нормативы!$D:$D,'2020'!$I140,Нормативы!$F:$F,'2020'!$K140)</f>
        <v>0</v>
      </c>
      <c r="AP140" s="619">
        <f t="shared" si="334"/>
        <v>12722</v>
      </c>
      <c r="AQ140" s="413">
        <f t="shared" si="272"/>
        <v>693252</v>
      </c>
      <c r="AR140" s="618">
        <f t="shared" si="335"/>
        <v>532451.6</v>
      </c>
      <c r="AS140" s="618">
        <f t="shared" si="336"/>
        <v>160800.4</v>
      </c>
      <c r="AT140" s="616">
        <f t="shared" si="273"/>
        <v>95364</v>
      </c>
      <c r="AU140" s="616">
        <f t="shared" si="274"/>
        <v>19116</v>
      </c>
      <c r="AV140" s="616">
        <f t="shared" si="275"/>
        <v>87588</v>
      </c>
      <c r="AW140" s="616">
        <f t="shared" si="276"/>
        <v>205740</v>
      </c>
      <c r="AX140" s="616">
        <f t="shared" si="277"/>
        <v>5616</v>
      </c>
      <c r="AY140" s="616">
        <f t="shared" si="278"/>
        <v>186732</v>
      </c>
      <c r="AZ140" s="616">
        <f t="shared" si="279"/>
        <v>3888</v>
      </c>
      <c r="BA140" s="616">
        <f t="shared" si="280"/>
        <v>9504</v>
      </c>
      <c r="BB140" s="616">
        <f t="shared" si="281"/>
        <v>28944</v>
      </c>
      <c r="BC140" s="616">
        <f t="shared" si="282"/>
        <v>62640</v>
      </c>
      <c r="BD140" s="616">
        <f t="shared" si="283"/>
        <v>5832</v>
      </c>
      <c r="BE140" s="616">
        <f t="shared" si="284"/>
        <v>8316</v>
      </c>
      <c r="BF140" s="616">
        <f t="shared" si="285"/>
        <v>864</v>
      </c>
      <c r="BG140" s="616">
        <f t="shared" si="286"/>
        <v>11340</v>
      </c>
      <c r="BH140" s="616">
        <f t="shared" si="287"/>
        <v>174096</v>
      </c>
      <c r="BI140" s="618">
        <f t="shared" si="337"/>
        <v>133714.29999999999</v>
      </c>
      <c r="BJ140" s="618">
        <f t="shared" si="338"/>
        <v>40381.699999999997</v>
      </c>
      <c r="BK140" s="616">
        <f t="shared" si="288"/>
        <v>0</v>
      </c>
      <c r="BL140" s="620">
        <f t="shared" si="289"/>
        <v>1373976</v>
      </c>
      <c r="BM140" s="616">
        <f t="shared" si="290"/>
        <v>888749</v>
      </c>
      <c r="BN140" s="618">
        <f t="shared" si="291"/>
        <v>682602.9</v>
      </c>
      <c r="BO140" s="618">
        <f t="shared" si="292"/>
        <v>206146.1</v>
      </c>
      <c r="BP140" s="616">
        <f t="shared" si="339"/>
        <v>95364</v>
      </c>
      <c r="BQ140" s="616">
        <f t="shared" si="340"/>
        <v>19116</v>
      </c>
      <c r="BR140" s="616">
        <f t="shared" si="341"/>
        <v>87588</v>
      </c>
      <c r="BS140" s="616">
        <f t="shared" si="293"/>
        <v>205740</v>
      </c>
      <c r="BT140" s="616">
        <f t="shared" si="294"/>
        <v>5616</v>
      </c>
      <c r="BU140" s="616">
        <f t="shared" si="295"/>
        <v>186732</v>
      </c>
      <c r="BV140" s="616">
        <f t="shared" si="296"/>
        <v>3888</v>
      </c>
      <c r="BW140" s="616">
        <f t="shared" si="297"/>
        <v>9504</v>
      </c>
      <c r="BX140" s="616">
        <f t="shared" si="298"/>
        <v>62490</v>
      </c>
      <c r="BY140" s="616">
        <f t="shared" si="299"/>
        <v>62640</v>
      </c>
      <c r="BZ140" s="616">
        <f t="shared" si="300"/>
        <v>5832</v>
      </c>
      <c r="CA140" s="616">
        <f t="shared" si="301"/>
        <v>8316</v>
      </c>
      <c r="CB140" s="616">
        <f t="shared" si="302"/>
        <v>864</v>
      </c>
      <c r="CC140" s="616">
        <f t="shared" si="303"/>
        <v>11340</v>
      </c>
      <c r="CD140" s="616">
        <f t="shared" si="304"/>
        <v>223191</v>
      </c>
      <c r="CE140" s="618">
        <f t="shared" si="342"/>
        <v>171421.7</v>
      </c>
      <c r="CF140" s="618">
        <f t="shared" si="343"/>
        <v>51769.3</v>
      </c>
      <c r="CG140" s="616">
        <f t="shared" si="305"/>
        <v>0</v>
      </c>
      <c r="CH140" s="621">
        <f t="shared" si="306"/>
        <v>1652114</v>
      </c>
      <c r="CI140" s="88">
        <f t="shared" si="307"/>
        <v>8229.1574000000001</v>
      </c>
      <c r="CJ140" s="90">
        <f t="shared" si="308"/>
        <v>6320.3972000000003</v>
      </c>
      <c r="CK140" s="90">
        <f t="shared" si="309"/>
        <v>1908.7601999999999</v>
      </c>
      <c r="CL140" s="88">
        <f t="shared" si="310"/>
        <v>883</v>
      </c>
      <c r="CM140" s="88">
        <f t="shared" si="311"/>
        <v>177</v>
      </c>
      <c r="CN140" s="88">
        <f t="shared" si="312"/>
        <v>811</v>
      </c>
      <c r="CO140" s="88">
        <f t="shared" si="313"/>
        <v>1905</v>
      </c>
      <c r="CP140" s="88">
        <f t="shared" si="314"/>
        <v>52</v>
      </c>
      <c r="CQ140" s="88">
        <f t="shared" si="315"/>
        <v>1729</v>
      </c>
      <c r="CR140" s="88">
        <f t="shared" si="316"/>
        <v>36</v>
      </c>
      <c r="CS140" s="88">
        <f t="shared" si="317"/>
        <v>88</v>
      </c>
      <c r="CT140" s="88">
        <f t="shared" si="318"/>
        <v>578.61109999999996</v>
      </c>
      <c r="CU140" s="88">
        <f t="shared" si="319"/>
        <v>580</v>
      </c>
      <c r="CV140" s="88">
        <f t="shared" si="320"/>
        <v>54</v>
      </c>
      <c r="CW140" s="88">
        <f t="shared" si="321"/>
        <v>77</v>
      </c>
      <c r="CX140" s="88">
        <f t="shared" si="322"/>
        <v>8</v>
      </c>
      <c r="CY140" s="88">
        <f t="shared" si="323"/>
        <v>105</v>
      </c>
      <c r="CZ140" s="88">
        <f t="shared" si="324"/>
        <v>2066.5832999999998</v>
      </c>
      <c r="DA140" s="90">
        <f t="shared" si="325"/>
        <v>1587.2380000000001</v>
      </c>
      <c r="DB140" s="90">
        <f t="shared" si="326"/>
        <v>479.34539999999998</v>
      </c>
      <c r="DC140" s="88">
        <f t="shared" si="327"/>
        <v>0</v>
      </c>
      <c r="DD140" s="88">
        <f t="shared" si="328"/>
        <v>15297.3519</v>
      </c>
      <c r="AUV140" s="699">
        <f t="shared" si="409"/>
        <v>8229.16</v>
      </c>
      <c r="AUW140" s="699">
        <f t="shared" si="410"/>
        <v>6320.4</v>
      </c>
      <c r="AUX140" s="699">
        <f t="shared" si="411"/>
        <v>1908.76</v>
      </c>
      <c r="AUY140" s="699">
        <f t="shared" si="392"/>
        <v>883</v>
      </c>
      <c r="AUZ140" s="699">
        <f t="shared" si="344"/>
        <v>8854.1</v>
      </c>
      <c r="AVA140" s="699">
        <f t="shared" si="344"/>
        <v>13.65</v>
      </c>
      <c r="AVB140" s="699">
        <f t="shared" si="393"/>
        <v>1905</v>
      </c>
      <c r="AVC140" s="699">
        <f t="shared" si="394"/>
        <v>52</v>
      </c>
      <c r="AVD140" s="699">
        <f t="shared" si="395"/>
        <v>1729</v>
      </c>
      <c r="AVE140" s="699">
        <f t="shared" si="396"/>
        <v>36</v>
      </c>
      <c r="AVF140" s="699">
        <f t="shared" si="397"/>
        <v>88</v>
      </c>
      <c r="AVG140" s="699">
        <f t="shared" si="398"/>
        <v>578.61</v>
      </c>
      <c r="AVH140" s="699">
        <f t="shared" si="399"/>
        <v>580</v>
      </c>
      <c r="AVI140" s="699">
        <f t="shared" si="400"/>
        <v>54</v>
      </c>
      <c r="AVJ140" s="699">
        <f t="shared" si="401"/>
        <v>77</v>
      </c>
      <c r="AVK140" s="699">
        <f t="shared" si="402"/>
        <v>8</v>
      </c>
      <c r="AVL140" s="699">
        <f t="shared" si="403"/>
        <v>105</v>
      </c>
      <c r="AVM140" s="699">
        <f t="shared" si="404"/>
        <v>2066.58</v>
      </c>
      <c r="AVN140" s="699">
        <f t="shared" si="405"/>
        <v>1587.24</v>
      </c>
      <c r="AVO140" s="699">
        <f t="shared" si="406"/>
        <v>479.34</v>
      </c>
      <c r="AVP140" s="699">
        <f t="shared" si="407"/>
        <v>0</v>
      </c>
      <c r="AVQ140" s="699">
        <f t="shared" si="408"/>
        <v>15297.35</v>
      </c>
    </row>
    <row r="141" spans="1:108 1244:1265" ht="30" customHeight="1" x14ac:dyDescent="0.25">
      <c r="A141" s="643">
        <v>1</v>
      </c>
      <c r="B141" s="643">
        <v>3</v>
      </c>
      <c r="C141" s="664" t="s">
        <v>17</v>
      </c>
      <c r="D141" s="2"/>
      <c r="E141" s="101" t="s">
        <v>345</v>
      </c>
      <c r="F141" s="643" t="s">
        <v>38</v>
      </c>
      <c r="G141" s="643">
        <v>2</v>
      </c>
      <c r="H141" s="658" t="s">
        <v>10</v>
      </c>
      <c r="I141" s="643">
        <v>0</v>
      </c>
      <c r="J141" s="101" t="s">
        <v>364</v>
      </c>
      <c r="K141" s="643">
        <v>3</v>
      </c>
      <c r="L141" s="683" t="s">
        <v>350</v>
      </c>
      <c r="M141" s="11" t="s">
        <v>270</v>
      </c>
      <c r="N141" s="101" t="s">
        <v>387</v>
      </c>
      <c r="O141" s="643">
        <v>1</v>
      </c>
      <c r="P141" s="632">
        <v>13</v>
      </c>
      <c r="Q141" s="632">
        <v>13</v>
      </c>
      <c r="R141" s="632">
        <v>13</v>
      </c>
      <c r="S141" s="675">
        <f>SUMIF('Территориальный кк'!$A:$A,'2020'!$B141,'Территориальный кк'!D:D)</f>
        <v>1.282</v>
      </c>
      <c r="T141" s="676">
        <f>SUMIF('Территориальный кк'!$A:$A,'2020'!$B141,'Территориальный кк'!E:E)</f>
        <v>2.1589999999999998</v>
      </c>
      <c r="U141" s="618">
        <f>SUMIFS(Нормативы!G:G,Нормативы!$B:$B,$G141,Нормативы!$D:$D,'2020'!$I141,Нормативы!$F:$F,'2020'!$K141)*O141</f>
        <v>70600</v>
      </c>
      <c r="V141" s="618">
        <f t="shared" si="329"/>
        <v>54224.3</v>
      </c>
      <c r="W141" s="618">
        <f t="shared" si="330"/>
        <v>16375.7</v>
      </c>
      <c r="X141" s="618">
        <f>SUMIFS(Нормативы!J:J,Нормативы!$B:$B,$G141,Нормативы!$D:$D,'2020'!$I141,Нормативы!$F:$F,'2020'!$K141)</f>
        <v>8860</v>
      </c>
      <c r="Y141" s="618">
        <f>SUMIFS(Нормативы!K:K,Нормативы!$B:$B,$G141,Нормативы!$D:$D,'2020'!$I141,Нормативы!$F:$F,'2020'!$K141)</f>
        <v>0</v>
      </c>
      <c r="Z141" s="618">
        <f>SUMIFS(Нормативы!L:L,Нормативы!$B:$B,$G141,Нормативы!$D:$D,'2020'!$I141,Нормативы!$F:$F,'2020'!$K141)</f>
        <v>8110</v>
      </c>
      <c r="AA141" s="618">
        <f t="shared" si="331"/>
        <v>21610</v>
      </c>
      <c r="AB141" s="618">
        <f>SUMIFS(Нормативы!N:N,Нормативы!$B:$B,$G141,Нормативы!$D:$D,'2020'!$I141,Нормативы!$F:$F,'2020'!$K141)*O141</f>
        <v>520</v>
      </c>
      <c r="AC141" s="618">
        <f>SUMIFS(Нормативы!O:O,Нормативы!$B:$B,$G141,Нормативы!$D:$D,'2020'!$I141,Нормативы!$F:$F,'2020'!$K141)</f>
        <v>19720</v>
      </c>
      <c r="AD141" s="618">
        <f>SUMIFS(Нормативы!P:P,Нормативы!$B:$B,$G141,Нормативы!$D:$D,'2020'!$I141,Нормативы!$F:$F,'2020'!$K141)*O141</f>
        <v>400</v>
      </c>
      <c r="AE141" s="618">
        <f>SUMIFS(Нормативы!Q:Q,Нормативы!$B:$B,$G141,Нормативы!$D:$D,'2020'!$I141,Нормативы!$F:$F,'2020'!$K141)</f>
        <v>970</v>
      </c>
      <c r="AF141" s="618">
        <f>SUMIFS(Нормативы!R:R,Нормативы!$B:$B,$G141,Нормативы!$D:$D,'2020'!$I141,Нормативы!$F:$F,'2020'!$K141)</f>
        <v>2680</v>
      </c>
      <c r="AG141" s="618">
        <f>SUMIFS(Нормативы!S:S,Нормативы!$B:$B,$G141,Нормативы!$D:$D,'2020'!$I141,Нормативы!$F:$F,'2020'!$K141)</f>
        <v>5800</v>
      </c>
      <c r="AH141" s="618">
        <f>SUMIFS(Нормативы!T:T,Нормативы!$B:$B,$G141,Нормативы!$D:$D,'2020'!$I141,Нормативы!$F:$F,'2020'!$K141)</f>
        <v>540</v>
      </c>
      <c r="AI141" s="618">
        <f>SUMIFS(Нормативы!U:U,Нормативы!$B:$B,$G141,Нормативы!$D:$D,'2020'!$I141,Нормативы!$F:$F,'2020'!$K141)</f>
        <v>770</v>
      </c>
      <c r="AJ141" s="618">
        <f>SUMIFS(Нормативы!V:V,Нормативы!$B:$B,$G141,Нормативы!$D:$D,'2020'!$I141,Нормативы!$F:$F,'2020'!$K141)</f>
        <v>80</v>
      </c>
      <c r="AK141" s="618">
        <f>SUMIFS(Нормативы!W:W,Нормативы!$B:$B,$G141,Нормативы!$D:$D,'2020'!$I141,Нормативы!$F:$F,'2020'!$K141)</f>
        <v>330</v>
      </c>
      <c r="AL141" s="618">
        <f>SUMIFS(Нормативы!X:X,Нормативы!$B:$B,$G141,Нормативы!$D:$D,'2020'!$I141,Нормативы!$F:$F,'2020'!$K141)*O141</f>
        <v>16120</v>
      </c>
      <c r="AM141" s="618">
        <f t="shared" si="332"/>
        <v>12381</v>
      </c>
      <c r="AN141" s="618">
        <f t="shared" si="333"/>
        <v>3739</v>
      </c>
      <c r="AO141" s="618">
        <f>SUMIFS(Нормативы!AA:AA,Нормативы!$B:$B,$G141,Нормативы!$D:$D,'2020'!$I141,Нормативы!$F:$F,'2020'!$K141)</f>
        <v>3520</v>
      </c>
      <c r="AP141" s="619">
        <f t="shared" si="334"/>
        <v>139020</v>
      </c>
      <c r="AQ141" s="413">
        <f t="shared" si="272"/>
        <v>917800</v>
      </c>
      <c r="AR141" s="618">
        <f t="shared" si="335"/>
        <v>704915.5</v>
      </c>
      <c r="AS141" s="618">
        <f t="shared" si="336"/>
        <v>212884.5</v>
      </c>
      <c r="AT141" s="616">
        <f t="shared" si="273"/>
        <v>115180</v>
      </c>
      <c r="AU141" s="616">
        <f t="shared" si="274"/>
        <v>0</v>
      </c>
      <c r="AV141" s="616">
        <f t="shared" si="275"/>
        <v>105430</v>
      </c>
      <c r="AW141" s="616">
        <f t="shared" si="276"/>
        <v>280930</v>
      </c>
      <c r="AX141" s="616">
        <f t="shared" si="277"/>
        <v>6760</v>
      </c>
      <c r="AY141" s="616">
        <f t="shared" si="278"/>
        <v>256360</v>
      </c>
      <c r="AZ141" s="616">
        <f t="shared" si="279"/>
        <v>5200</v>
      </c>
      <c r="BA141" s="616">
        <f t="shared" si="280"/>
        <v>12610</v>
      </c>
      <c r="BB141" s="616">
        <f t="shared" si="281"/>
        <v>34840</v>
      </c>
      <c r="BC141" s="616">
        <f t="shared" si="282"/>
        <v>75400</v>
      </c>
      <c r="BD141" s="616">
        <f t="shared" si="283"/>
        <v>7020</v>
      </c>
      <c r="BE141" s="616">
        <f t="shared" si="284"/>
        <v>10010</v>
      </c>
      <c r="BF141" s="616">
        <f t="shared" si="285"/>
        <v>1040</v>
      </c>
      <c r="BG141" s="616">
        <f t="shared" si="286"/>
        <v>4290</v>
      </c>
      <c r="BH141" s="616">
        <f t="shared" si="287"/>
        <v>209560</v>
      </c>
      <c r="BI141" s="618">
        <f t="shared" si="337"/>
        <v>160952.4</v>
      </c>
      <c r="BJ141" s="618">
        <f t="shared" si="338"/>
        <v>48607.6</v>
      </c>
      <c r="BK141" s="616">
        <f t="shared" si="288"/>
        <v>45760</v>
      </c>
      <c r="BL141" s="620">
        <f t="shared" si="289"/>
        <v>1807260</v>
      </c>
      <c r="BM141" s="616">
        <f t="shared" si="290"/>
        <v>1176620</v>
      </c>
      <c r="BN141" s="618">
        <f t="shared" si="291"/>
        <v>903702</v>
      </c>
      <c r="BO141" s="618">
        <f t="shared" si="292"/>
        <v>272918</v>
      </c>
      <c r="BP141" s="616">
        <f t="shared" si="339"/>
        <v>115180</v>
      </c>
      <c r="BQ141" s="616">
        <f t="shared" si="340"/>
        <v>0</v>
      </c>
      <c r="BR141" s="616">
        <f t="shared" si="341"/>
        <v>105430</v>
      </c>
      <c r="BS141" s="616">
        <f t="shared" si="293"/>
        <v>280930</v>
      </c>
      <c r="BT141" s="616">
        <f t="shared" si="294"/>
        <v>6760</v>
      </c>
      <c r="BU141" s="616">
        <f t="shared" si="295"/>
        <v>256360</v>
      </c>
      <c r="BV141" s="616">
        <f t="shared" si="296"/>
        <v>5200</v>
      </c>
      <c r="BW141" s="616">
        <f t="shared" si="297"/>
        <v>12610</v>
      </c>
      <c r="BX141" s="616">
        <f t="shared" si="298"/>
        <v>75220</v>
      </c>
      <c r="BY141" s="616">
        <f t="shared" si="299"/>
        <v>75400</v>
      </c>
      <c r="BZ141" s="616">
        <f t="shared" si="300"/>
        <v>7020</v>
      </c>
      <c r="CA141" s="616">
        <f t="shared" si="301"/>
        <v>10010</v>
      </c>
      <c r="CB141" s="616">
        <f t="shared" si="302"/>
        <v>1040</v>
      </c>
      <c r="CC141" s="616">
        <f t="shared" si="303"/>
        <v>4290</v>
      </c>
      <c r="CD141" s="616">
        <f t="shared" si="304"/>
        <v>268656</v>
      </c>
      <c r="CE141" s="618">
        <f t="shared" si="342"/>
        <v>206341</v>
      </c>
      <c r="CF141" s="618">
        <f t="shared" si="343"/>
        <v>62315</v>
      </c>
      <c r="CG141" s="616">
        <f t="shared" si="305"/>
        <v>45760</v>
      </c>
      <c r="CH141" s="621">
        <f t="shared" si="306"/>
        <v>2165556</v>
      </c>
      <c r="CI141" s="88">
        <f t="shared" si="307"/>
        <v>90509.230800000005</v>
      </c>
      <c r="CJ141" s="90">
        <f t="shared" si="308"/>
        <v>69515.538499999995</v>
      </c>
      <c r="CK141" s="90">
        <f t="shared" si="309"/>
        <v>20993.692299999999</v>
      </c>
      <c r="CL141" s="88">
        <f t="shared" si="310"/>
        <v>8860</v>
      </c>
      <c r="CM141" s="88">
        <f t="shared" si="311"/>
        <v>0</v>
      </c>
      <c r="CN141" s="88">
        <f t="shared" si="312"/>
        <v>8110</v>
      </c>
      <c r="CO141" s="88">
        <f t="shared" si="313"/>
        <v>21610</v>
      </c>
      <c r="CP141" s="88">
        <f t="shared" si="314"/>
        <v>520</v>
      </c>
      <c r="CQ141" s="88">
        <f t="shared" si="315"/>
        <v>19720</v>
      </c>
      <c r="CR141" s="88">
        <f t="shared" si="316"/>
        <v>400</v>
      </c>
      <c r="CS141" s="88">
        <f t="shared" si="317"/>
        <v>970</v>
      </c>
      <c r="CT141" s="88">
        <f t="shared" si="318"/>
        <v>5786.1538</v>
      </c>
      <c r="CU141" s="88">
        <f t="shared" si="319"/>
        <v>5800</v>
      </c>
      <c r="CV141" s="88">
        <f t="shared" si="320"/>
        <v>540</v>
      </c>
      <c r="CW141" s="88">
        <f t="shared" si="321"/>
        <v>770</v>
      </c>
      <c r="CX141" s="88">
        <f t="shared" si="322"/>
        <v>80</v>
      </c>
      <c r="CY141" s="88">
        <f t="shared" si="323"/>
        <v>330</v>
      </c>
      <c r="CZ141" s="88">
        <f t="shared" si="324"/>
        <v>20665.8462</v>
      </c>
      <c r="DA141" s="90">
        <f t="shared" si="325"/>
        <v>15872.384599999999</v>
      </c>
      <c r="DB141" s="90">
        <f t="shared" si="326"/>
        <v>4793.4615000000003</v>
      </c>
      <c r="DC141" s="88">
        <f t="shared" si="327"/>
        <v>3520</v>
      </c>
      <c r="DD141" s="88">
        <f t="shared" si="328"/>
        <v>166581.23079999999</v>
      </c>
      <c r="AUV141" s="699">
        <f t="shared" si="409"/>
        <v>90509.23</v>
      </c>
      <c r="AUW141" s="699">
        <f t="shared" si="410"/>
        <v>69515.539999999994</v>
      </c>
      <c r="AUX141" s="699">
        <f t="shared" si="411"/>
        <v>20993.69</v>
      </c>
      <c r="AUY141" s="699">
        <f t="shared" si="392"/>
        <v>8860</v>
      </c>
      <c r="AUZ141" s="699">
        <f t="shared" si="344"/>
        <v>0</v>
      </c>
      <c r="AVA141" s="699">
        <f t="shared" si="344"/>
        <v>1.49</v>
      </c>
      <c r="AVB141" s="699">
        <f t="shared" si="393"/>
        <v>21610</v>
      </c>
      <c r="AVC141" s="699">
        <f t="shared" si="394"/>
        <v>520</v>
      </c>
      <c r="AVD141" s="699">
        <f t="shared" si="395"/>
        <v>19720</v>
      </c>
      <c r="AVE141" s="699">
        <f t="shared" si="396"/>
        <v>400</v>
      </c>
      <c r="AVF141" s="699">
        <f t="shared" si="397"/>
        <v>970</v>
      </c>
      <c r="AVG141" s="699">
        <f t="shared" si="398"/>
        <v>5786.15</v>
      </c>
      <c r="AVH141" s="699">
        <f t="shared" si="399"/>
        <v>5800</v>
      </c>
      <c r="AVI141" s="699">
        <f t="shared" si="400"/>
        <v>540</v>
      </c>
      <c r="AVJ141" s="699">
        <f t="shared" si="401"/>
        <v>770</v>
      </c>
      <c r="AVK141" s="699">
        <f t="shared" si="402"/>
        <v>80</v>
      </c>
      <c r="AVL141" s="699">
        <f t="shared" si="403"/>
        <v>330</v>
      </c>
      <c r="AVM141" s="699">
        <f t="shared" si="404"/>
        <v>20665.849999999999</v>
      </c>
      <c r="AVN141" s="699">
        <f t="shared" si="405"/>
        <v>15872.39</v>
      </c>
      <c r="AVO141" s="699">
        <f t="shared" si="406"/>
        <v>4793.46</v>
      </c>
      <c r="AVP141" s="699">
        <f t="shared" si="407"/>
        <v>3520</v>
      </c>
      <c r="AVQ141" s="699">
        <f t="shared" si="408"/>
        <v>166581.23000000001</v>
      </c>
    </row>
    <row r="142" spans="1:108 1244:1265" ht="30" customHeight="1" x14ac:dyDescent="0.25">
      <c r="A142" s="643">
        <v>1</v>
      </c>
      <c r="B142" s="643">
        <v>3</v>
      </c>
      <c r="C142" s="664" t="s">
        <v>17</v>
      </c>
      <c r="D142" s="2"/>
      <c r="E142" s="101" t="s">
        <v>345</v>
      </c>
      <c r="F142" s="643" t="s">
        <v>38</v>
      </c>
      <c r="G142" s="643">
        <v>2</v>
      </c>
      <c r="H142" s="658" t="s">
        <v>8</v>
      </c>
      <c r="I142" s="643">
        <v>3</v>
      </c>
      <c r="J142" s="101" t="s">
        <v>364</v>
      </c>
      <c r="K142" s="643">
        <v>3</v>
      </c>
      <c r="L142" s="683" t="s">
        <v>350</v>
      </c>
      <c r="M142" s="11" t="s">
        <v>307</v>
      </c>
      <c r="N142" s="101" t="s">
        <v>387</v>
      </c>
      <c r="O142" s="643">
        <v>1</v>
      </c>
      <c r="P142" s="632">
        <v>40</v>
      </c>
      <c r="Q142" s="632">
        <v>40</v>
      </c>
      <c r="R142" s="632">
        <v>40</v>
      </c>
      <c r="S142" s="675">
        <f>SUMIF('Территориальный кк'!$A:$A,'2020'!$B142,'Территориальный кк'!D:D)</f>
        <v>1.282</v>
      </c>
      <c r="T142" s="676">
        <f>SUMIF('Территориальный кк'!$A:$A,'2020'!$B142,'Территориальный кк'!E:E)</f>
        <v>2.1589999999999998</v>
      </c>
      <c r="U142" s="618">
        <f>SUMIFS(Нормативы!G:G,Нормативы!$B:$B,$G142,Нормативы!$D:$D,'2020'!$I142,Нормативы!$F:$F,'2020'!$K142)*O142</f>
        <v>12944</v>
      </c>
      <c r="V142" s="618">
        <f t="shared" si="329"/>
        <v>9941.6</v>
      </c>
      <c r="W142" s="618">
        <f t="shared" si="330"/>
        <v>3002.4</v>
      </c>
      <c r="X142" s="618">
        <f>SUMIFS(Нормативы!J:J,Нормативы!$B:$B,$G142,Нормативы!$D:$D,'2020'!$I142,Нормативы!$F:$F,'2020'!$K142)</f>
        <v>486</v>
      </c>
      <c r="Y142" s="618">
        <f>SUMIFS(Нормативы!K:K,Нормативы!$B:$B,$G142,Нормативы!$D:$D,'2020'!$I142,Нормативы!$F:$F,'2020'!$K142)</f>
        <v>97</v>
      </c>
      <c r="Z142" s="618">
        <f>SUMIFS(Нормативы!L:L,Нормативы!$B:$B,$G142,Нормативы!$D:$D,'2020'!$I142,Нормативы!$F:$F,'2020'!$K142)</f>
        <v>348</v>
      </c>
      <c r="AA142" s="618">
        <f t="shared" si="331"/>
        <v>2031</v>
      </c>
      <c r="AB142" s="618">
        <f>SUMIFS(Нормативы!N:N,Нормативы!$B:$B,$G142,Нормативы!$D:$D,'2020'!$I142,Нормативы!$F:$F,'2020'!$K142)*O142</f>
        <v>52</v>
      </c>
      <c r="AC142" s="618">
        <f>SUMIFS(Нормативы!O:O,Нормативы!$B:$B,$G142,Нормативы!$D:$D,'2020'!$I142,Нормативы!$F:$F,'2020'!$K142)</f>
        <v>1728</v>
      </c>
      <c r="AD142" s="618">
        <f>SUMIFS(Нормативы!P:P,Нормативы!$B:$B,$G142,Нормативы!$D:$D,'2020'!$I142,Нормативы!$F:$F,'2020'!$K142)*O142</f>
        <v>73</v>
      </c>
      <c r="AE142" s="618">
        <f>SUMIFS(Нормативы!Q:Q,Нормативы!$B:$B,$G142,Нормативы!$D:$D,'2020'!$I142,Нормативы!$F:$F,'2020'!$K142)</f>
        <v>178</v>
      </c>
      <c r="AF142" s="618">
        <f>SUMIFS(Нормативы!R:R,Нормативы!$B:$B,$G142,Нормативы!$D:$D,'2020'!$I142,Нормативы!$F:$F,'2020'!$K142)</f>
        <v>275</v>
      </c>
      <c r="AG142" s="618">
        <f>SUMIFS(Нормативы!S:S,Нормативы!$B:$B,$G142,Нормативы!$D:$D,'2020'!$I142,Нормативы!$F:$F,'2020'!$K142)</f>
        <v>580</v>
      </c>
      <c r="AH142" s="618">
        <f>SUMIFS(Нормативы!T:T,Нормативы!$B:$B,$G142,Нормативы!$D:$D,'2020'!$I142,Нормативы!$F:$F,'2020'!$K142)</f>
        <v>54</v>
      </c>
      <c r="AI142" s="618">
        <f>SUMIFS(Нормативы!U:U,Нормативы!$B:$B,$G142,Нормативы!$D:$D,'2020'!$I142,Нормативы!$F:$F,'2020'!$K142)</f>
        <v>77</v>
      </c>
      <c r="AJ142" s="618">
        <f>SUMIFS(Нормативы!V:V,Нормативы!$B:$B,$G142,Нормативы!$D:$D,'2020'!$I142,Нормативы!$F:$F,'2020'!$K142)</f>
        <v>8</v>
      </c>
      <c r="AK142" s="618">
        <f>SUMIFS(Нормативы!W:W,Нормативы!$B:$B,$G142,Нормативы!$D:$D,'2020'!$I142,Нормативы!$F:$F,'2020'!$K142)</f>
        <v>39</v>
      </c>
      <c r="AL142" s="618">
        <f>SUMIFS(Нормативы!X:X,Нормативы!$B:$B,$G142,Нормативы!$D:$D,'2020'!$I142,Нормативы!$F:$F,'2020'!$K142)*O142</f>
        <v>1612</v>
      </c>
      <c r="AM142" s="618">
        <f t="shared" si="332"/>
        <v>1238.0999999999999</v>
      </c>
      <c r="AN142" s="618">
        <f t="shared" si="333"/>
        <v>373.9</v>
      </c>
      <c r="AO142" s="618">
        <f>SUMIFS(Нормативы!AA:AA,Нормативы!$B:$B,$G142,Нормативы!$D:$D,'2020'!$I142,Нормативы!$F:$F,'2020'!$K142)</f>
        <v>0</v>
      </c>
      <c r="AP142" s="619">
        <f t="shared" si="334"/>
        <v>18454</v>
      </c>
      <c r="AQ142" s="413">
        <f t="shared" si="272"/>
        <v>517760</v>
      </c>
      <c r="AR142" s="618">
        <f t="shared" si="335"/>
        <v>397665.1</v>
      </c>
      <c r="AS142" s="618">
        <f t="shared" si="336"/>
        <v>120094.9</v>
      </c>
      <c r="AT142" s="616">
        <f t="shared" si="273"/>
        <v>19440</v>
      </c>
      <c r="AU142" s="616">
        <f t="shared" si="274"/>
        <v>3880</v>
      </c>
      <c r="AV142" s="616">
        <f t="shared" si="275"/>
        <v>13920</v>
      </c>
      <c r="AW142" s="616">
        <f t="shared" si="276"/>
        <v>81240</v>
      </c>
      <c r="AX142" s="616">
        <f t="shared" si="277"/>
        <v>2080</v>
      </c>
      <c r="AY142" s="616">
        <f t="shared" si="278"/>
        <v>69120</v>
      </c>
      <c r="AZ142" s="616">
        <f t="shared" si="279"/>
        <v>2920</v>
      </c>
      <c r="BA142" s="616">
        <f t="shared" si="280"/>
        <v>7120</v>
      </c>
      <c r="BB142" s="616">
        <f t="shared" si="281"/>
        <v>11000</v>
      </c>
      <c r="BC142" s="616">
        <f t="shared" si="282"/>
        <v>23200</v>
      </c>
      <c r="BD142" s="616">
        <f t="shared" si="283"/>
        <v>2160</v>
      </c>
      <c r="BE142" s="616">
        <f t="shared" si="284"/>
        <v>3080</v>
      </c>
      <c r="BF142" s="616">
        <f t="shared" si="285"/>
        <v>320</v>
      </c>
      <c r="BG142" s="616">
        <f t="shared" si="286"/>
        <v>1560</v>
      </c>
      <c r="BH142" s="616">
        <f t="shared" si="287"/>
        <v>64480</v>
      </c>
      <c r="BI142" s="618">
        <f t="shared" si="337"/>
        <v>49523.8</v>
      </c>
      <c r="BJ142" s="618">
        <f t="shared" si="338"/>
        <v>14956.2</v>
      </c>
      <c r="BK142" s="616">
        <f t="shared" si="288"/>
        <v>0</v>
      </c>
      <c r="BL142" s="620">
        <f t="shared" si="289"/>
        <v>738160</v>
      </c>
      <c r="BM142" s="616">
        <f t="shared" si="290"/>
        <v>663768</v>
      </c>
      <c r="BN142" s="618">
        <f t="shared" si="291"/>
        <v>509806.5</v>
      </c>
      <c r="BO142" s="618">
        <f t="shared" si="292"/>
        <v>153961.5</v>
      </c>
      <c r="BP142" s="616">
        <f t="shared" si="339"/>
        <v>19440</v>
      </c>
      <c r="BQ142" s="616">
        <f t="shared" si="340"/>
        <v>3880</v>
      </c>
      <c r="BR142" s="616">
        <f t="shared" si="341"/>
        <v>13920</v>
      </c>
      <c r="BS142" s="616">
        <f t="shared" si="293"/>
        <v>81240</v>
      </c>
      <c r="BT142" s="616">
        <f t="shared" si="294"/>
        <v>2080</v>
      </c>
      <c r="BU142" s="616">
        <f t="shared" si="295"/>
        <v>69120</v>
      </c>
      <c r="BV142" s="616">
        <f t="shared" si="296"/>
        <v>2920</v>
      </c>
      <c r="BW142" s="616">
        <f t="shared" si="297"/>
        <v>7120</v>
      </c>
      <c r="BX142" s="616">
        <f t="shared" si="298"/>
        <v>23749</v>
      </c>
      <c r="BY142" s="616">
        <f t="shared" si="299"/>
        <v>23200</v>
      </c>
      <c r="BZ142" s="616">
        <f t="shared" si="300"/>
        <v>2160</v>
      </c>
      <c r="CA142" s="616">
        <f t="shared" si="301"/>
        <v>3080</v>
      </c>
      <c r="CB142" s="616">
        <f t="shared" si="302"/>
        <v>320</v>
      </c>
      <c r="CC142" s="616">
        <f t="shared" si="303"/>
        <v>1560</v>
      </c>
      <c r="CD142" s="616">
        <f t="shared" si="304"/>
        <v>82663</v>
      </c>
      <c r="CE142" s="618">
        <f t="shared" si="342"/>
        <v>63489.2</v>
      </c>
      <c r="CF142" s="618">
        <f t="shared" si="343"/>
        <v>19173.8</v>
      </c>
      <c r="CG142" s="616">
        <f t="shared" si="305"/>
        <v>0</v>
      </c>
      <c r="CH142" s="621">
        <f t="shared" si="306"/>
        <v>915100</v>
      </c>
      <c r="CI142" s="88">
        <f t="shared" si="307"/>
        <v>16594.2</v>
      </c>
      <c r="CJ142" s="90">
        <f t="shared" si="308"/>
        <v>12745.1625</v>
      </c>
      <c r="CK142" s="90">
        <f t="shared" si="309"/>
        <v>3849.0374999999999</v>
      </c>
      <c r="CL142" s="88">
        <f t="shared" si="310"/>
        <v>486</v>
      </c>
      <c r="CM142" s="88">
        <f t="shared" si="311"/>
        <v>97</v>
      </c>
      <c r="CN142" s="88">
        <f t="shared" si="312"/>
        <v>348</v>
      </c>
      <c r="CO142" s="88">
        <f t="shared" si="313"/>
        <v>2031</v>
      </c>
      <c r="CP142" s="88">
        <f t="shared" si="314"/>
        <v>52</v>
      </c>
      <c r="CQ142" s="88">
        <f t="shared" si="315"/>
        <v>1728</v>
      </c>
      <c r="CR142" s="88">
        <f t="shared" si="316"/>
        <v>73</v>
      </c>
      <c r="CS142" s="88">
        <f t="shared" si="317"/>
        <v>178</v>
      </c>
      <c r="CT142" s="88">
        <f t="shared" si="318"/>
        <v>593.72500000000002</v>
      </c>
      <c r="CU142" s="88">
        <f t="shared" si="319"/>
        <v>580</v>
      </c>
      <c r="CV142" s="88">
        <f t="shared" si="320"/>
        <v>54</v>
      </c>
      <c r="CW142" s="88">
        <f t="shared" si="321"/>
        <v>77</v>
      </c>
      <c r="CX142" s="88">
        <f t="shared" si="322"/>
        <v>8</v>
      </c>
      <c r="CY142" s="88">
        <f t="shared" si="323"/>
        <v>39</v>
      </c>
      <c r="CZ142" s="88">
        <f t="shared" si="324"/>
        <v>2066.5749999999998</v>
      </c>
      <c r="DA142" s="90">
        <f t="shared" si="325"/>
        <v>1587.23</v>
      </c>
      <c r="DB142" s="90">
        <f t="shared" si="326"/>
        <v>479.34500000000003</v>
      </c>
      <c r="DC142" s="88">
        <f t="shared" si="327"/>
        <v>0</v>
      </c>
      <c r="DD142" s="88">
        <f t="shared" si="328"/>
        <v>22877.5</v>
      </c>
      <c r="AUV142" s="699">
        <f t="shared" si="409"/>
        <v>16594.2</v>
      </c>
      <c r="AUW142" s="699">
        <f t="shared" si="410"/>
        <v>12745.16</v>
      </c>
      <c r="AUX142" s="699">
        <f t="shared" si="411"/>
        <v>3849.04</v>
      </c>
      <c r="AUY142" s="699">
        <f t="shared" si="392"/>
        <v>486</v>
      </c>
      <c r="AUZ142" s="699">
        <f t="shared" si="344"/>
        <v>1797.13</v>
      </c>
      <c r="AVA142" s="699">
        <f t="shared" si="344"/>
        <v>1.08</v>
      </c>
      <c r="AVB142" s="699">
        <f t="shared" si="393"/>
        <v>2031</v>
      </c>
      <c r="AVC142" s="699">
        <f t="shared" si="394"/>
        <v>52</v>
      </c>
      <c r="AVD142" s="699">
        <f t="shared" si="395"/>
        <v>1728</v>
      </c>
      <c r="AVE142" s="699">
        <f t="shared" si="396"/>
        <v>73</v>
      </c>
      <c r="AVF142" s="699">
        <f t="shared" si="397"/>
        <v>178</v>
      </c>
      <c r="AVG142" s="699">
        <f t="shared" si="398"/>
        <v>593.73</v>
      </c>
      <c r="AVH142" s="699">
        <f t="shared" si="399"/>
        <v>580</v>
      </c>
      <c r="AVI142" s="699">
        <f t="shared" si="400"/>
        <v>54</v>
      </c>
      <c r="AVJ142" s="699">
        <f t="shared" si="401"/>
        <v>77</v>
      </c>
      <c r="AVK142" s="699">
        <f t="shared" si="402"/>
        <v>8</v>
      </c>
      <c r="AVL142" s="699">
        <f t="shared" si="403"/>
        <v>39</v>
      </c>
      <c r="AVM142" s="699">
        <f t="shared" si="404"/>
        <v>2066.58</v>
      </c>
      <c r="AVN142" s="699">
        <f t="shared" si="405"/>
        <v>1587.24</v>
      </c>
      <c r="AVO142" s="699">
        <f t="shared" si="406"/>
        <v>479.34</v>
      </c>
      <c r="AVP142" s="699">
        <f t="shared" si="407"/>
        <v>0</v>
      </c>
      <c r="AVQ142" s="699">
        <f t="shared" si="408"/>
        <v>22877.5</v>
      </c>
    </row>
    <row r="143" spans="1:108 1244:1265" ht="30" customHeight="1" x14ac:dyDescent="0.25">
      <c r="A143" s="643">
        <v>1</v>
      </c>
      <c r="B143" s="643">
        <v>3</v>
      </c>
      <c r="C143" s="663" t="s">
        <v>17</v>
      </c>
      <c r="D143" s="2"/>
      <c r="E143" s="277" t="s">
        <v>348</v>
      </c>
      <c r="F143" s="642" t="s">
        <v>40</v>
      </c>
      <c r="G143" s="642">
        <v>4</v>
      </c>
      <c r="H143" s="657" t="s">
        <v>10</v>
      </c>
      <c r="I143" s="642">
        <v>0</v>
      </c>
      <c r="J143" s="277" t="s">
        <v>391</v>
      </c>
      <c r="K143" s="642">
        <v>3</v>
      </c>
      <c r="L143" s="682" t="s">
        <v>353</v>
      </c>
      <c r="M143" s="419" t="s">
        <v>317</v>
      </c>
      <c r="N143" s="277" t="s">
        <v>387</v>
      </c>
      <c r="O143" s="642">
        <v>1</v>
      </c>
      <c r="P143" s="632">
        <v>79</v>
      </c>
      <c r="Q143" s="632">
        <v>79</v>
      </c>
      <c r="R143" s="632">
        <v>79</v>
      </c>
      <c r="S143" s="673">
        <f>SUMIF('Территориальный кк'!$A:$A,'2020'!$B143,'Территориальный кк'!F:F)</f>
        <v>1.282</v>
      </c>
      <c r="T143" s="674">
        <f>'Территориальный кк'!G6</f>
        <v>2.1059999999999999</v>
      </c>
      <c r="U143" s="624">
        <f>SUMIFS(Нормативы!G:G,Нормативы!$B:$B,$G143,Нормативы!$D:$D,'2020'!$I143,Нормативы!$F:$F,'2020'!$K143)*O143</f>
        <v>22310</v>
      </c>
      <c r="V143" s="624">
        <f t="shared" si="329"/>
        <v>17135.2</v>
      </c>
      <c r="W143" s="624">
        <f t="shared" si="330"/>
        <v>5174.8</v>
      </c>
      <c r="X143" s="624">
        <f>SUMIFS(Нормативы!J:J,Нормативы!$B:$B,$G143,Нормативы!$D:$D,'2020'!$I143,Нормативы!$F:$F,'2020'!$K143)</f>
        <v>1910</v>
      </c>
      <c r="Y143" s="624">
        <f>SUMIFS(Нормативы!K:K,Нормативы!$B:$B,$G143,Нормативы!$D:$D,'2020'!$I143,Нормативы!$F:$F,'2020'!$K143)</f>
        <v>382</v>
      </c>
      <c r="Z143" s="624">
        <f>SUMIFS(Нормативы!L:L,Нормативы!$B:$B,$G143,Нормативы!$D:$D,'2020'!$I143,Нормативы!$F:$F,'2020'!$K143)</f>
        <v>3970</v>
      </c>
      <c r="AA143" s="624">
        <f t="shared" si="331"/>
        <v>13670</v>
      </c>
      <c r="AB143" s="624">
        <f>SUMIFS(Нормативы!N:N,Нормативы!$B:$B,$G143,Нормативы!$D:$D,'2020'!$I143,Нормативы!$F:$F,'2020'!$K143)*O143</f>
        <v>460</v>
      </c>
      <c r="AC143" s="624">
        <f>SUMIFS(Нормативы!O:O,Нормативы!$B:$B,$G143,Нормативы!$D:$D,'2020'!$I143,Нормативы!$F:$F,'2020'!$K143)</f>
        <v>9200</v>
      </c>
      <c r="AD143" s="624">
        <f>SUMIFS(Нормативы!P:P,Нормативы!$B:$B,$G143,Нормативы!$D:$D,'2020'!$I143,Нормативы!$F:$F,'2020'!$K143)*O143</f>
        <v>3270</v>
      </c>
      <c r="AE143" s="624">
        <f>SUMIFS(Нормативы!Q:Q,Нормативы!$B:$B,$G143,Нормативы!$D:$D,'2020'!$I143,Нормативы!$F:$F,'2020'!$K143)</f>
        <v>740</v>
      </c>
      <c r="AF143" s="624">
        <f>SUMIFS(Нормативы!R:R,Нормативы!$B:$B,$G143,Нормативы!$D:$D,'2020'!$I143,Нормативы!$F:$F,'2020'!$K143)</f>
        <v>2120</v>
      </c>
      <c r="AG143" s="624">
        <f>SUMIFS(Нормативы!S:S,Нормативы!$B:$B,$G143,Нормативы!$D:$D,'2020'!$I143,Нормативы!$F:$F,'2020'!$K143)</f>
        <v>8620</v>
      </c>
      <c r="AH143" s="624">
        <f>SUMIFS(Нормативы!T:T,Нормативы!$B:$B,$G143,Нормативы!$D:$D,'2020'!$I143,Нормативы!$F:$F,'2020'!$K143)</f>
        <v>310</v>
      </c>
      <c r="AI143" s="624">
        <f>SUMIFS(Нормативы!U:U,Нормативы!$B:$B,$G143,Нормативы!$D:$D,'2020'!$I143,Нормативы!$F:$F,'2020'!$K143)</f>
        <v>1240</v>
      </c>
      <c r="AJ143" s="624">
        <f>SUMIFS(Нормативы!V:V,Нормативы!$B:$B,$G143,Нормативы!$D:$D,'2020'!$I143,Нормативы!$F:$F,'2020'!$K143)</f>
        <v>50</v>
      </c>
      <c r="AK143" s="624">
        <f>SUMIFS(Нормативы!W:W,Нормативы!$B:$B,$G143,Нормативы!$D:$D,'2020'!$I143,Нормативы!$F:$F,'2020'!$K143)</f>
        <v>2570</v>
      </c>
      <c r="AL143" s="624">
        <f>SUMIFS(Нормативы!X:X,Нормативы!$B:$B,$G143,Нормативы!$D:$D,'2020'!$I143,Нормативы!$F:$F,'2020'!$K143)*O143</f>
        <v>17850</v>
      </c>
      <c r="AM143" s="624">
        <f t="shared" si="332"/>
        <v>13709.7</v>
      </c>
      <c r="AN143" s="624">
        <f t="shared" si="333"/>
        <v>4140.3</v>
      </c>
      <c r="AO143" s="624">
        <f>SUMIFS(Нормативы!AA:AA,Нормативы!$B:$B,$G143,Нормативы!$D:$D,'2020'!$I143,Нормативы!$F:$F,'2020'!$K143)</f>
        <v>650</v>
      </c>
      <c r="AP143" s="621">
        <f t="shared" si="334"/>
        <v>75270</v>
      </c>
      <c r="AQ143" s="610">
        <f t="shared" si="272"/>
        <v>1762490</v>
      </c>
      <c r="AR143" s="624">
        <f t="shared" si="335"/>
        <v>1353679</v>
      </c>
      <c r="AS143" s="624">
        <f t="shared" si="336"/>
        <v>408811</v>
      </c>
      <c r="AT143" s="615">
        <f t="shared" si="273"/>
        <v>150890</v>
      </c>
      <c r="AU143" s="615">
        <f t="shared" si="274"/>
        <v>30178</v>
      </c>
      <c r="AV143" s="615">
        <f t="shared" si="275"/>
        <v>313630</v>
      </c>
      <c r="AW143" s="615">
        <f t="shared" si="276"/>
        <v>1079930</v>
      </c>
      <c r="AX143" s="615">
        <f t="shared" si="277"/>
        <v>36340</v>
      </c>
      <c r="AY143" s="615">
        <f t="shared" si="278"/>
        <v>726800</v>
      </c>
      <c r="AZ143" s="615">
        <f t="shared" si="279"/>
        <v>258330</v>
      </c>
      <c r="BA143" s="615">
        <f t="shared" si="280"/>
        <v>58460</v>
      </c>
      <c r="BB143" s="615">
        <f t="shared" si="281"/>
        <v>167480</v>
      </c>
      <c r="BC143" s="615">
        <f t="shared" si="282"/>
        <v>680980</v>
      </c>
      <c r="BD143" s="615">
        <f t="shared" si="283"/>
        <v>24490</v>
      </c>
      <c r="BE143" s="615">
        <f t="shared" si="284"/>
        <v>97960</v>
      </c>
      <c r="BF143" s="615">
        <f t="shared" si="285"/>
        <v>3950</v>
      </c>
      <c r="BG143" s="615">
        <f t="shared" si="286"/>
        <v>203030</v>
      </c>
      <c r="BH143" s="615">
        <f t="shared" si="287"/>
        <v>1410150</v>
      </c>
      <c r="BI143" s="624">
        <f t="shared" si="337"/>
        <v>1083064.5</v>
      </c>
      <c r="BJ143" s="624">
        <f t="shared" si="338"/>
        <v>327085.5</v>
      </c>
      <c r="BK143" s="615">
        <f t="shared" si="288"/>
        <v>51350</v>
      </c>
      <c r="BL143" s="620">
        <f t="shared" si="289"/>
        <v>5946330</v>
      </c>
      <c r="BM143" s="615">
        <f t="shared" si="290"/>
        <v>2259512</v>
      </c>
      <c r="BN143" s="624">
        <f t="shared" si="291"/>
        <v>1735416.3</v>
      </c>
      <c r="BO143" s="624">
        <f t="shared" si="292"/>
        <v>524095.7</v>
      </c>
      <c r="BP143" s="615">
        <f t="shared" si="339"/>
        <v>150890</v>
      </c>
      <c r="BQ143" s="615">
        <f t="shared" si="340"/>
        <v>30178</v>
      </c>
      <c r="BR143" s="615">
        <f t="shared" si="341"/>
        <v>313630</v>
      </c>
      <c r="BS143" s="615">
        <f t="shared" si="293"/>
        <v>1079930</v>
      </c>
      <c r="BT143" s="616">
        <f t="shared" si="294"/>
        <v>36340</v>
      </c>
      <c r="BU143" s="616">
        <f t="shared" si="295"/>
        <v>726800</v>
      </c>
      <c r="BV143" s="616">
        <f t="shared" si="296"/>
        <v>258330</v>
      </c>
      <c r="BW143" s="616">
        <f t="shared" si="297"/>
        <v>58460</v>
      </c>
      <c r="BX143" s="615">
        <f t="shared" si="298"/>
        <v>352713</v>
      </c>
      <c r="BY143" s="615">
        <f t="shared" si="299"/>
        <v>680980</v>
      </c>
      <c r="BZ143" s="615">
        <f t="shared" si="300"/>
        <v>24490</v>
      </c>
      <c r="CA143" s="615">
        <f t="shared" si="301"/>
        <v>97960</v>
      </c>
      <c r="CB143" s="615">
        <f t="shared" si="302"/>
        <v>3950</v>
      </c>
      <c r="CC143" s="615">
        <f t="shared" si="303"/>
        <v>203030</v>
      </c>
      <c r="CD143" s="615">
        <f t="shared" si="304"/>
        <v>1807812</v>
      </c>
      <c r="CE143" s="624">
        <f t="shared" si="342"/>
        <v>1388488.5</v>
      </c>
      <c r="CF143" s="624">
        <f t="shared" si="343"/>
        <v>419323.5</v>
      </c>
      <c r="CG143" s="615">
        <f t="shared" si="305"/>
        <v>51350</v>
      </c>
      <c r="CH143" s="621">
        <f t="shared" si="306"/>
        <v>7026247</v>
      </c>
      <c r="CI143" s="88">
        <f t="shared" si="307"/>
        <v>28601.417700000002</v>
      </c>
      <c r="CJ143" s="90">
        <f t="shared" si="308"/>
        <v>21967.294900000001</v>
      </c>
      <c r="CK143" s="90">
        <f t="shared" si="309"/>
        <v>6634.1228000000001</v>
      </c>
      <c r="CL143" s="88">
        <f t="shared" si="310"/>
        <v>1910</v>
      </c>
      <c r="CM143" s="88">
        <f t="shared" si="311"/>
        <v>382</v>
      </c>
      <c r="CN143" s="88">
        <f t="shared" si="312"/>
        <v>3970</v>
      </c>
      <c r="CO143" s="88">
        <f t="shared" si="313"/>
        <v>13670</v>
      </c>
      <c r="CP143" s="88">
        <f t="shared" si="314"/>
        <v>460</v>
      </c>
      <c r="CQ143" s="88">
        <f t="shared" si="315"/>
        <v>9200</v>
      </c>
      <c r="CR143" s="88">
        <f t="shared" si="316"/>
        <v>3270</v>
      </c>
      <c r="CS143" s="88">
        <f t="shared" si="317"/>
        <v>740</v>
      </c>
      <c r="CT143" s="88">
        <f t="shared" si="318"/>
        <v>4464.7214999999997</v>
      </c>
      <c r="CU143" s="88">
        <f t="shared" si="319"/>
        <v>8620</v>
      </c>
      <c r="CV143" s="88">
        <f t="shared" si="320"/>
        <v>310</v>
      </c>
      <c r="CW143" s="88">
        <f t="shared" si="321"/>
        <v>1240</v>
      </c>
      <c r="CX143" s="88">
        <f t="shared" si="322"/>
        <v>50</v>
      </c>
      <c r="CY143" s="88">
        <f t="shared" si="323"/>
        <v>2570</v>
      </c>
      <c r="CZ143" s="88">
        <f t="shared" si="324"/>
        <v>22883.696199999998</v>
      </c>
      <c r="DA143" s="90">
        <f t="shared" si="325"/>
        <v>17575.803800000002</v>
      </c>
      <c r="DB143" s="90">
        <f t="shared" si="326"/>
        <v>5307.8923999999997</v>
      </c>
      <c r="DC143" s="88">
        <f t="shared" si="327"/>
        <v>650</v>
      </c>
      <c r="DD143" s="88">
        <f t="shared" si="328"/>
        <v>88939.835399999996</v>
      </c>
      <c r="AUV143" s="699">
        <f t="shared" si="409"/>
        <v>28601.42</v>
      </c>
      <c r="AUW143" s="699">
        <f t="shared" si="410"/>
        <v>21967.3</v>
      </c>
      <c r="AUX143" s="699">
        <f t="shared" si="411"/>
        <v>6634.12</v>
      </c>
      <c r="AUY143" s="699">
        <f t="shared" si="392"/>
        <v>1910</v>
      </c>
      <c r="AUZ143" s="699">
        <f t="shared" si="344"/>
        <v>14329.53</v>
      </c>
      <c r="AVA143" s="699">
        <f t="shared" si="344"/>
        <v>14.06</v>
      </c>
      <c r="AVB143" s="699">
        <f t="shared" si="393"/>
        <v>13670</v>
      </c>
      <c r="AVC143" s="699">
        <f t="shared" si="394"/>
        <v>460</v>
      </c>
      <c r="AVD143" s="699">
        <f t="shared" si="395"/>
        <v>9200</v>
      </c>
      <c r="AVE143" s="699">
        <f t="shared" si="396"/>
        <v>3270</v>
      </c>
      <c r="AVF143" s="699">
        <f t="shared" si="397"/>
        <v>740</v>
      </c>
      <c r="AVG143" s="699">
        <f t="shared" si="398"/>
        <v>4464.72</v>
      </c>
      <c r="AVH143" s="699">
        <f t="shared" si="399"/>
        <v>8620</v>
      </c>
      <c r="AVI143" s="699">
        <f t="shared" si="400"/>
        <v>310</v>
      </c>
      <c r="AVJ143" s="699">
        <f t="shared" si="401"/>
        <v>1240</v>
      </c>
      <c r="AVK143" s="699">
        <f t="shared" si="402"/>
        <v>50</v>
      </c>
      <c r="AVL143" s="699">
        <f t="shared" si="403"/>
        <v>2570</v>
      </c>
      <c r="AVM143" s="699">
        <f t="shared" si="404"/>
        <v>22883.7</v>
      </c>
      <c r="AVN143" s="699">
        <f t="shared" si="405"/>
        <v>17575.810000000001</v>
      </c>
      <c r="AVO143" s="699">
        <f t="shared" si="406"/>
        <v>5307.89</v>
      </c>
      <c r="AVP143" s="699">
        <f t="shared" si="407"/>
        <v>650</v>
      </c>
      <c r="AVQ143" s="699">
        <f t="shared" si="408"/>
        <v>88939.839999999997</v>
      </c>
    </row>
    <row r="144" spans="1:108 1244:1265" s="608" customFormat="1" ht="30" customHeight="1" x14ac:dyDescent="0.25">
      <c r="A144" s="634">
        <v>1</v>
      </c>
      <c r="B144" s="634">
        <v>3</v>
      </c>
      <c r="C144" s="633" t="s">
        <v>17</v>
      </c>
      <c r="D144" s="2"/>
      <c r="E144" s="602" t="s">
        <v>348</v>
      </c>
      <c r="F144" s="634" t="s">
        <v>40</v>
      </c>
      <c r="G144" s="634">
        <v>4</v>
      </c>
      <c r="H144" s="656" t="s">
        <v>10</v>
      </c>
      <c r="I144" s="634">
        <v>0</v>
      </c>
      <c r="J144" s="602" t="s">
        <v>392</v>
      </c>
      <c r="K144" s="634">
        <v>3</v>
      </c>
      <c r="L144" s="681" t="s">
        <v>353</v>
      </c>
      <c r="M144" s="601"/>
      <c r="N144" s="602" t="s">
        <v>401</v>
      </c>
      <c r="O144" s="634">
        <v>2</v>
      </c>
      <c r="P144" s="633">
        <v>2</v>
      </c>
      <c r="Q144" s="633">
        <v>2</v>
      </c>
      <c r="R144" s="633">
        <v>2</v>
      </c>
      <c r="S144" s="671">
        <f>SUMIF('Территориальный кк'!$A:$A,'2020'!$B144,'Территориальный кк'!F:F)</f>
        <v>1.282</v>
      </c>
      <c r="T144" s="672">
        <f>'[1]Территориальный кк'!$G$6</f>
        <v>2.1059999999999999</v>
      </c>
      <c r="U144" s="624">
        <f>SUMIFS(Нормативы!G:G,Нормативы!$B:$B,$G144,Нормативы!$D:$D,'2020'!$I144,Нормативы!$F:$F,'2020'!$K144)*O144</f>
        <v>44620</v>
      </c>
      <c r="V144" s="624">
        <f t="shared" ref="V144" si="412">ROUND(U144/1.302,1)</f>
        <v>34270.400000000001</v>
      </c>
      <c r="W144" s="624">
        <f t="shared" ref="W144" si="413">U144-V144</f>
        <v>10349.6</v>
      </c>
      <c r="X144" s="624">
        <f>SUMIFS(Нормативы!J:J,Нормативы!$B:$B,$G144,Нормативы!$D:$D,'2020'!$I144,Нормативы!$F:$F,'2020'!$K144)</f>
        <v>1910</v>
      </c>
      <c r="Y144" s="624">
        <f>SUMIFS(Нормативы!K:K,Нормативы!$B:$B,$G144,Нормативы!$D:$D,'2020'!$I144,Нормативы!$F:$F,'2020'!$K144)</f>
        <v>382</v>
      </c>
      <c r="Z144" s="624">
        <f>SUMIFS(Нормативы!L:L,Нормативы!$B:$B,$G144,Нормативы!$D:$D,'2020'!$I144,Нормативы!$F:$F,'2020'!$K144)</f>
        <v>3970</v>
      </c>
      <c r="AA144" s="624">
        <f t="shared" ref="AA144" si="414">AB144+AC144+AD144+AE144</f>
        <v>17400</v>
      </c>
      <c r="AB144" s="624">
        <f>SUMIFS(Нормативы!N:N,Нормативы!$B:$B,$G144,Нормативы!$D:$D,'2020'!$I144,Нормативы!$F:$F,'2020'!$K144)*O144</f>
        <v>920</v>
      </c>
      <c r="AC144" s="624">
        <f>SUMIFS(Нормативы!O:O,Нормативы!$B:$B,$G144,Нормативы!$D:$D,'2020'!$I144,Нормативы!$F:$F,'2020'!$K144)</f>
        <v>9200</v>
      </c>
      <c r="AD144" s="624">
        <f>SUMIFS(Нормативы!P:P,Нормативы!$B:$B,$G144,Нормативы!$D:$D,'2020'!$I144,Нормативы!$F:$F,'2020'!$K144)*O144</f>
        <v>6540</v>
      </c>
      <c r="AE144" s="624">
        <f>SUMIFS(Нормативы!Q:Q,Нормативы!$B:$B,$G144,Нормативы!$D:$D,'2020'!$I144,Нормативы!$F:$F,'2020'!$K144)</f>
        <v>740</v>
      </c>
      <c r="AF144" s="624">
        <f>SUMIFS(Нормативы!R:R,Нормативы!$B:$B,$G144,Нормативы!$D:$D,'2020'!$I144,Нормативы!$F:$F,'2020'!$K144)</f>
        <v>2120</v>
      </c>
      <c r="AG144" s="624">
        <f>SUMIFS(Нормативы!S:S,Нормативы!$B:$B,$G144,Нормативы!$D:$D,'2020'!$I144,Нормативы!$F:$F,'2020'!$K144)</f>
        <v>8620</v>
      </c>
      <c r="AH144" s="624">
        <f>SUMIFS(Нормативы!T:T,Нормативы!$B:$B,$G144,Нормативы!$D:$D,'2020'!$I144,Нормативы!$F:$F,'2020'!$K144)</f>
        <v>310</v>
      </c>
      <c r="AI144" s="624">
        <f>SUMIFS(Нормативы!U:U,Нормативы!$B:$B,$G144,Нормативы!$D:$D,'2020'!$I144,Нормативы!$F:$F,'2020'!$K144)</f>
        <v>1240</v>
      </c>
      <c r="AJ144" s="624">
        <f>SUMIFS(Нормативы!V:V,Нормативы!$B:$B,$G144,Нормативы!$D:$D,'2020'!$I144,Нормативы!$F:$F,'2020'!$K144)</f>
        <v>50</v>
      </c>
      <c r="AK144" s="624">
        <f>SUMIFS(Нормативы!W:W,Нормативы!$B:$B,$G144,Нормативы!$D:$D,'2020'!$I144,Нормативы!$F:$F,'2020'!$K144)</f>
        <v>2570</v>
      </c>
      <c r="AL144" s="624">
        <f>SUMIFS(Нормативы!X:X,Нормативы!$B:$B,$G144,Нормативы!$D:$D,'2020'!$I144,Нормативы!$F:$F,'2020'!$K144)*O144</f>
        <v>35700</v>
      </c>
      <c r="AM144" s="624">
        <f t="shared" ref="AM144" si="415">ROUND(AL144/1.302,1)</f>
        <v>27419.4</v>
      </c>
      <c r="AN144" s="624">
        <f t="shared" ref="AN144" si="416">AL144-AM144</f>
        <v>8280.6</v>
      </c>
      <c r="AO144" s="624">
        <f>SUMIFS(Нормативы!AA:AA,Нормативы!$B:$B,$G144,Нормативы!$D:$D,'2020'!$I144,Нормативы!$F:$F,'2020'!$K144)</f>
        <v>650</v>
      </c>
      <c r="AP144" s="621">
        <f t="shared" ref="AP144" si="417">U144+X144+Z144+AA144++AF144+AG144+AH144+AI144+AJ144+AK144+AL144+AO144</f>
        <v>119160</v>
      </c>
      <c r="AQ144" s="611">
        <f t="shared" si="272"/>
        <v>89240</v>
      </c>
      <c r="AR144" s="622">
        <f t="shared" si="335"/>
        <v>68540.7</v>
      </c>
      <c r="AS144" s="622">
        <f t="shared" si="336"/>
        <v>20699.3</v>
      </c>
      <c r="AT144" s="614">
        <f t="shared" si="273"/>
        <v>3820</v>
      </c>
      <c r="AU144" s="614">
        <f t="shared" si="274"/>
        <v>764</v>
      </c>
      <c r="AV144" s="614">
        <f t="shared" si="275"/>
        <v>7940</v>
      </c>
      <c r="AW144" s="614">
        <f t="shared" si="276"/>
        <v>34800</v>
      </c>
      <c r="AX144" s="614">
        <f t="shared" si="277"/>
        <v>1840</v>
      </c>
      <c r="AY144" s="614">
        <f t="shared" si="278"/>
        <v>18400</v>
      </c>
      <c r="AZ144" s="614">
        <f t="shared" si="279"/>
        <v>13080</v>
      </c>
      <c r="BA144" s="614">
        <f t="shared" si="280"/>
        <v>1480</v>
      </c>
      <c r="BB144" s="614">
        <f t="shared" si="281"/>
        <v>4240</v>
      </c>
      <c r="BC144" s="614">
        <f t="shared" si="282"/>
        <v>17240</v>
      </c>
      <c r="BD144" s="614">
        <f t="shared" si="283"/>
        <v>620</v>
      </c>
      <c r="BE144" s="614">
        <f t="shared" si="284"/>
        <v>2480</v>
      </c>
      <c r="BF144" s="614">
        <f t="shared" si="285"/>
        <v>100</v>
      </c>
      <c r="BG144" s="614">
        <f t="shared" si="286"/>
        <v>5140</v>
      </c>
      <c r="BH144" s="614">
        <f t="shared" si="287"/>
        <v>71400</v>
      </c>
      <c r="BI144" s="622">
        <f t="shared" si="337"/>
        <v>54838.7</v>
      </c>
      <c r="BJ144" s="622">
        <f t="shared" si="338"/>
        <v>16561.3</v>
      </c>
      <c r="BK144" s="614">
        <f t="shared" si="288"/>
        <v>1300</v>
      </c>
      <c r="BL144" s="623">
        <f t="shared" si="289"/>
        <v>238320</v>
      </c>
      <c r="BM144" s="614">
        <f t="shared" si="290"/>
        <v>114406</v>
      </c>
      <c r="BN144" s="622">
        <f t="shared" si="291"/>
        <v>87869.4</v>
      </c>
      <c r="BO144" s="622">
        <f t="shared" si="292"/>
        <v>26536.6</v>
      </c>
      <c r="BP144" s="614">
        <f t="shared" si="339"/>
        <v>3820</v>
      </c>
      <c r="BQ144" s="614">
        <f t="shared" si="340"/>
        <v>764</v>
      </c>
      <c r="BR144" s="614">
        <f t="shared" si="341"/>
        <v>7940</v>
      </c>
      <c r="BS144" s="614">
        <f t="shared" si="293"/>
        <v>34800</v>
      </c>
      <c r="BT144" s="614">
        <f t="shared" si="294"/>
        <v>1840</v>
      </c>
      <c r="BU144" s="614">
        <f t="shared" si="295"/>
        <v>18400</v>
      </c>
      <c r="BV144" s="614">
        <f t="shared" si="296"/>
        <v>13080</v>
      </c>
      <c r="BW144" s="614">
        <f t="shared" si="297"/>
        <v>1480</v>
      </c>
      <c r="BX144" s="614">
        <f t="shared" si="298"/>
        <v>8929</v>
      </c>
      <c r="BY144" s="614">
        <f t="shared" si="299"/>
        <v>17240</v>
      </c>
      <c r="BZ144" s="614">
        <f t="shared" si="300"/>
        <v>620</v>
      </c>
      <c r="CA144" s="614">
        <f t="shared" si="301"/>
        <v>2480</v>
      </c>
      <c r="CB144" s="614">
        <f t="shared" si="302"/>
        <v>100</v>
      </c>
      <c r="CC144" s="614">
        <f t="shared" si="303"/>
        <v>5140</v>
      </c>
      <c r="CD144" s="614">
        <f t="shared" si="304"/>
        <v>91535</v>
      </c>
      <c r="CE144" s="622">
        <f t="shared" si="342"/>
        <v>70303.399999999994</v>
      </c>
      <c r="CF144" s="622">
        <f t="shared" si="343"/>
        <v>21231.599999999999</v>
      </c>
      <c r="CG144" s="614">
        <f t="shared" si="305"/>
        <v>1300</v>
      </c>
      <c r="CH144" s="621">
        <f t="shared" si="306"/>
        <v>288310</v>
      </c>
      <c r="CI144" s="607"/>
      <c r="CJ144" s="607"/>
      <c r="CK144" s="607"/>
      <c r="CL144" s="607"/>
      <c r="CM144" s="607"/>
      <c r="CN144" s="607"/>
      <c r="CO144" s="607"/>
      <c r="CP144" s="607"/>
      <c r="CQ144" s="607"/>
      <c r="CR144" s="607"/>
      <c r="CS144" s="607"/>
      <c r="CT144" s="607"/>
      <c r="CU144" s="607"/>
      <c r="CV144" s="607"/>
      <c r="CW144" s="607"/>
      <c r="CX144" s="607"/>
      <c r="CY144" s="607"/>
      <c r="CZ144" s="607"/>
      <c r="DA144" s="607"/>
      <c r="DB144" s="607"/>
      <c r="DC144" s="607"/>
      <c r="DD144" s="607"/>
      <c r="AUV144" s="699">
        <f t="shared" si="409"/>
        <v>57203</v>
      </c>
      <c r="AUW144" s="699">
        <f t="shared" si="410"/>
        <v>43934.720000000001</v>
      </c>
      <c r="AUX144" s="699">
        <f t="shared" si="411"/>
        <v>13268.28</v>
      </c>
      <c r="AUY144" s="699">
        <f t="shared" si="392"/>
        <v>1910</v>
      </c>
      <c r="AUZ144" s="699">
        <f t="shared" si="344"/>
        <v>362.77</v>
      </c>
      <c r="AVA144" s="699">
        <f t="shared" si="344"/>
        <v>0.18</v>
      </c>
      <c r="AVB144" s="699">
        <f t="shared" si="393"/>
        <v>17400</v>
      </c>
      <c r="AVC144" s="699">
        <f t="shared" si="394"/>
        <v>920</v>
      </c>
      <c r="AVD144" s="699">
        <f t="shared" si="395"/>
        <v>9200</v>
      </c>
      <c r="AVE144" s="699">
        <f t="shared" si="396"/>
        <v>6540</v>
      </c>
      <c r="AVF144" s="699">
        <f t="shared" si="397"/>
        <v>740</v>
      </c>
      <c r="AVG144" s="699">
        <f t="shared" si="398"/>
        <v>4464.5</v>
      </c>
      <c r="AVH144" s="699">
        <f t="shared" si="399"/>
        <v>8620</v>
      </c>
      <c r="AVI144" s="699">
        <f t="shared" si="400"/>
        <v>310</v>
      </c>
      <c r="AVJ144" s="699">
        <f t="shared" si="401"/>
        <v>1240</v>
      </c>
      <c r="AVK144" s="699">
        <f t="shared" si="402"/>
        <v>50</v>
      </c>
      <c r="AVL144" s="699">
        <f t="shared" si="403"/>
        <v>2570</v>
      </c>
      <c r="AVM144" s="699">
        <f t="shared" si="404"/>
        <v>45767.5</v>
      </c>
      <c r="AVN144" s="699">
        <f t="shared" si="405"/>
        <v>35151.69</v>
      </c>
      <c r="AVO144" s="699">
        <f t="shared" si="406"/>
        <v>10615.81</v>
      </c>
      <c r="AVP144" s="699">
        <f t="shared" si="407"/>
        <v>650</v>
      </c>
      <c r="AVQ144" s="699">
        <f t="shared" si="408"/>
        <v>144155</v>
      </c>
    </row>
    <row r="145" spans="1:108 1244:1265" ht="30" customHeight="1" x14ac:dyDescent="0.25">
      <c r="A145" s="643">
        <v>1</v>
      </c>
      <c r="B145" s="643">
        <v>3</v>
      </c>
      <c r="C145" s="663" t="s">
        <v>17</v>
      </c>
      <c r="D145" s="2"/>
      <c r="E145" s="277" t="s">
        <v>348</v>
      </c>
      <c r="F145" s="642" t="s">
        <v>40</v>
      </c>
      <c r="G145" s="642">
        <v>4</v>
      </c>
      <c r="H145" s="657" t="s">
        <v>10</v>
      </c>
      <c r="I145" s="642">
        <v>0</v>
      </c>
      <c r="J145" s="277" t="s">
        <v>392</v>
      </c>
      <c r="K145" s="642">
        <v>3</v>
      </c>
      <c r="L145" s="682" t="s">
        <v>353</v>
      </c>
      <c r="M145" s="419" t="s">
        <v>319</v>
      </c>
      <c r="N145" s="277" t="s">
        <v>387</v>
      </c>
      <c r="O145" s="642">
        <v>1</v>
      </c>
      <c r="P145" s="632">
        <v>79</v>
      </c>
      <c r="Q145" s="632">
        <v>79</v>
      </c>
      <c r="R145" s="632">
        <v>79</v>
      </c>
      <c r="S145" s="673">
        <f>SUMIF('Территориальный кк'!$A:$A,'2020'!$B145,'Территориальный кк'!F:F)</f>
        <v>1.282</v>
      </c>
      <c r="T145" s="674">
        <f>'Территориальный кк'!G6</f>
        <v>2.1059999999999999</v>
      </c>
      <c r="U145" s="624">
        <f>SUMIFS(Нормативы!G:G,Нормативы!$B:$B,$G145,Нормативы!$D:$D,'2020'!$I145,Нормативы!$F:$F,'2020'!$K145)*O145</f>
        <v>22310</v>
      </c>
      <c r="V145" s="624">
        <f t="shared" si="329"/>
        <v>17135.2</v>
      </c>
      <c r="W145" s="624">
        <f t="shared" si="330"/>
        <v>5174.8</v>
      </c>
      <c r="X145" s="624">
        <f>SUMIFS(Нормативы!J:J,Нормативы!$B:$B,$G145,Нормативы!$D:$D,'2020'!$I145,Нормативы!$F:$F,'2020'!$K145)</f>
        <v>1910</v>
      </c>
      <c r="Y145" s="624">
        <f>SUMIFS(Нормативы!K:K,Нормативы!$B:$B,$G145,Нормативы!$D:$D,'2020'!$I145,Нормативы!$F:$F,'2020'!$K145)</f>
        <v>382</v>
      </c>
      <c r="Z145" s="624">
        <f>SUMIFS(Нормативы!L:L,Нормативы!$B:$B,$G145,Нормативы!$D:$D,'2020'!$I145,Нормативы!$F:$F,'2020'!$K145)</f>
        <v>3970</v>
      </c>
      <c r="AA145" s="624">
        <f t="shared" si="331"/>
        <v>13670</v>
      </c>
      <c r="AB145" s="624">
        <f>SUMIFS(Нормативы!N:N,Нормативы!$B:$B,$G145,Нормативы!$D:$D,'2020'!$I145,Нормативы!$F:$F,'2020'!$K145)*O145</f>
        <v>460</v>
      </c>
      <c r="AC145" s="624">
        <f>SUMIFS(Нормативы!O:O,Нормативы!$B:$B,$G145,Нормативы!$D:$D,'2020'!$I145,Нормативы!$F:$F,'2020'!$K145)</f>
        <v>9200</v>
      </c>
      <c r="AD145" s="624">
        <f>SUMIFS(Нормативы!P:P,Нормативы!$B:$B,$G145,Нормативы!$D:$D,'2020'!$I145,Нормативы!$F:$F,'2020'!$K145)*O145</f>
        <v>3270</v>
      </c>
      <c r="AE145" s="624">
        <f>SUMIFS(Нормативы!Q:Q,Нормативы!$B:$B,$G145,Нормативы!$D:$D,'2020'!$I145,Нормативы!$F:$F,'2020'!$K145)</f>
        <v>740</v>
      </c>
      <c r="AF145" s="624">
        <f>SUMIFS(Нормативы!R:R,Нормативы!$B:$B,$G145,Нормативы!$D:$D,'2020'!$I145,Нормативы!$F:$F,'2020'!$K145)</f>
        <v>2120</v>
      </c>
      <c r="AG145" s="624">
        <f>SUMIFS(Нормативы!S:S,Нормативы!$B:$B,$G145,Нормативы!$D:$D,'2020'!$I145,Нормативы!$F:$F,'2020'!$K145)</f>
        <v>8620</v>
      </c>
      <c r="AH145" s="624">
        <f>SUMIFS(Нормативы!T:T,Нормативы!$B:$B,$G145,Нормативы!$D:$D,'2020'!$I145,Нормативы!$F:$F,'2020'!$K145)</f>
        <v>310</v>
      </c>
      <c r="AI145" s="624">
        <f>SUMIFS(Нормативы!U:U,Нормативы!$B:$B,$G145,Нормативы!$D:$D,'2020'!$I145,Нормативы!$F:$F,'2020'!$K145)</f>
        <v>1240</v>
      </c>
      <c r="AJ145" s="624">
        <f>SUMIFS(Нормативы!V:V,Нормативы!$B:$B,$G145,Нормативы!$D:$D,'2020'!$I145,Нормативы!$F:$F,'2020'!$K145)</f>
        <v>50</v>
      </c>
      <c r="AK145" s="624">
        <f>SUMIFS(Нормативы!W:W,Нормативы!$B:$B,$G145,Нормативы!$D:$D,'2020'!$I145,Нормативы!$F:$F,'2020'!$K145)</f>
        <v>2570</v>
      </c>
      <c r="AL145" s="624">
        <f>SUMIFS(Нормативы!X:X,Нормативы!$B:$B,$G145,Нормативы!$D:$D,'2020'!$I145,Нормативы!$F:$F,'2020'!$K145)*O145</f>
        <v>17850</v>
      </c>
      <c r="AM145" s="624">
        <f t="shared" si="332"/>
        <v>13709.7</v>
      </c>
      <c r="AN145" s="624">
        <f t="shared" si="333"/>
        <v>4140.3</v>
      </c>
      <c r="AO145" s="624">
        <f>SUMIFS(Нормативы!AA:AA,Нормативы!$B:$B,$G145,Нормативы!$D:$D,'2020'!$I145,Нормативы!$F:$F,'2020'!$K145)</f>
        <v>650</v>
      </c>
      <c r="AP145" s="621">
        <f t="shared" si="334"/>
        <v>75270</v>
      </c>
      <c r="AQ145" s="610">
        <f t="shared" si="272"/>
        <v>1762490</v>
      </c>
      <c r="AR145" s="624">
        <f t="shared" si="335"/>
        <v>1353679</v>
      </c>
      <c r="AS145" s="624">
        <f t="shared" si="336"/>
        <v>408811</v>
      </c>
      <c r="AT145" s="615">
        <f t="shared" si="273"/>
        <v>150890</v>
      </c>
      <c r="AU145" s="615">
        <f t="shared" si="274"/>
        <v>30178</v>
      </c>
      <c r="AV145" s="615">
        <f t="shared" si="275"/>
        <v>313630</v>
      </c>
      <c r="AW145" s="615">
        <f t="shared" si="276"/>
        <v>1079930</v>
      </c>
      <c r="AX145" s="615">
        <f t="shared" si="277"/>
        <v>36340</v>
      </c>
      <c r="AY145" s="615">
        <f t="shared" si="278"/>
        <v>726800</v>
      </c>
      <c r="AZ145" s="615">
        <f t="shared" si="279"/>
        <v>258330</v>
      </c>
      <c r="BA145" s="615">
        <f t="shared" si="280"/>
        <v>58460</v>
      </c>
      <c r="BB145" s="615">
        <f t="shared" si="281"/>
        <v>167480</v>
      </c>
      <c r="BC145" s="615">
        <f t="shared" si="282"/>
        <v>680980</v>
      </c>
      <c r="BD145" s="615">
        <f t="shared" si="283"/>
        <v>24490</v>
      </c>
      <c r="BE145" s="615">
        <f t="shared" si="284"/>
        <v>97960</v>
      </c>
      <c r="BF145" s="615">
        <f t="shared" si="285"/>
        <v>3950</v>
      </c>
      <c r="BG145" s="615">
        <f t="shared" si="286"/>
        <v>203030</v>
      </c>
      <c r="BH145" s="615">
        <f t="shared" si="287"/>
        <v>1410150</v>
      </c>
      <c r="BI145" s="624">
        <f t="shared" si="337"/>
        <v>1083064.5</v>
      </c>
      <c r="BJ145" s="624">
        <f t="shared" si="338"/>
        <v>327085.5</v>
      </c>
      <c r="BK145" s="615">
        <f t="shared" si="288"/>
        <v>51350</v>
      </c>
      <c r="BL145" s="620">
        <f t="shared" si="289"/>
        <v>5946330</v>
      </c>
      <c r="BM145" s="615">
        <f t="shared" si="290"/>
        <v>2259512</v>
      </c>
      <c r="BN145" s="624">
        <f t="shared" si="291"/>
        <v>1735416.3</v>
      </c>
      <c r="BO145" s="624">
        <f t="shared" si="292"/>
        <v>524095.7</v>
      </c>
      <c r="BP145" s="615">
        <f t="shared" si="339"/>
        <v>150890</v>
      </c>
      <c r="BQ145" s="615">
        <f t="shared" si="340"/>
        <v>30178</v>
      </c>
      <c r="BR145" s="615">
        <f t="shared" si="341"/>
        <v>313630</v>
      </c>
      <c r="BS145" s="615">
        <f t="shared" si="293"/>
        <v>1079930</v>
      </c>
      <c r="BT145" s="616">
        <f t="shared" si="294"/>
        <v>36340</v>
      </c>
      <c r="BU145" s="616">
        <f t="shared" si="295"/>
        <v>726800</v>
      </c>
      <c r="BV145" s="616">
        <f t="shared" si="296"/>
        <v>258330</v>
      </c>
      <c r="BW145" s="616">
        <f t="shared" si="297"/>
        <v>58460</v>
      </c>
      <c r="BX145" s="615">
        <f t="shared" si="298"/>
        <v>352713</v>
      </c>
      <c r="BY145" s="615">
        <f t="shared" si="299"/>
        <v>680980</v>
      </c>
      <c r="BZ145" s="615">
        <f t="shared" si="300"/>
        <v>24490</v>
      </c>
      <c r="CA145" s="615">
        <f t="shared" si="301"/>
        <v>97960</v>
      </c>
      <c r="CB145" s="615">
        <f t="shared" si="302"/>
        <v>3950</v>
      </c>
      <c r="CC145" s="615">
        <f t="shared" si="303"/>
        <v>203030</v>
      </c>
      <c r="CD145" s="615">
        <f t="shared" si="304"/>
        <v>1807812</v>
      </c>
      <c r="CE145" s="624">
        <f t="shared" si="342"/>
        <v>1388488.5</v>
      </c>
      <c r="CF145" s="624">
        <f t="shared" si="343"/>
        <v>419323.5</v>
      </c>
      <c r="CG145" s="615">
        <f t="shared" si="305"/>
        <v>51350</v>
      </c>
      <c r="CH145" s="621">
        <f t="shared" si="306"/>
        <v>7026247</v>
      </c>
      <c r="CI145" s="88">
        <f t="shared" si="307"/>
        <v>28601.417700000002</v>
      </c>
      <c r="CJ145" s="90">
        <f t="shared" si="308"/>
        <v>21967.294900000001</v>
      </c>
      <c r="CK145" s="90">
        <f t="shared" si="309"/>
        <v>6634.1228000000001</v>
      </c>
      <c r="CL145" s="88">
        <f t="shared" si="310"/>
        <v>1910</v>
      </c>
      <c r="CM145" s="88">
        <f t="shared" si="311"/>
        <v>382</v>
      </c>
      <c r="CN145" s="88">
        <f t="shared" si="312"/>
        <v>3970</v>
      </c>
      <c r="CO145" s="88">
        <f t="shared" si="313"/>
        <v>13670</v>
      </c>
      <c r="CP145" s="88">
        <f t="shared" si="314"/>
        <v>460</v>
      </c>
      <c r="CQ145" s="88">
        <f t="shared" si="315"/>
        <v>9200</v>
      </c>
      <c r="CR145" s="88">
        <f t="shared" si="316"/>
        <v>3270</v>
      </c>
      <c r="CS145" s="88">
        <f t="shared" si="317"/>
        <v>740</v>
      </c>
      <c r="CT145" s="88">
        <f t="shared" si="318"/>
        <v>4464.7214999999997</v>
      </c>
      <c r="CU145" s="88">
        <f t="shared" si="319"/>
        <v>8620</v>
      </c>
      <c r="CV145" s="88">
        <f t="shared" si="320"/>
        <v>310</v>
      </c>
      <c r="CW145" s="88">
        <f t="shared" si="321"/>
        <v>1240</v>
      </c>
      <c r="CX145" s="88">
        <f t="shared" si="322"/>
        <v>50</v>
      </c>
      <c r="CY145" s="88">
        <f t="shared" si="323"/>
        <v>2570</v>
      </c>
      <c r="CZ145" s="88">
        <f t="shared" si="324"/>
        <v>22883.696199999998</v>
      </c>
      <c r="DA145" s="90">
        <f t="shared" si="325"/>
        <v>17575.803800000002</v>
      </c>
      <c r="DB145" s="90">
        <f t="shared" si="326"/>
        <v>5307.8923999999997</v>
      </c>
      <c r="DC145" s="88">
        <f t="shared" si="327"/>
        <v>650</v>
      </c>
      <c r="DD145" s="88">
        <f t="shared" si="328"/>
        <v>88939.835399999996</v>
      </c>
      <c r="AUV145" s="699">
        <f t="shared" si="409"/>
        <v>28601.42</v>
      </c>
      <c r="AUW145" s="699">
        <f t="shared" si="410"/>
        <v>21967.3</v>
      </c>
      <c r="AUX145" s="699">
        <f t="shared" si="411"/>
        <v>6634.12</v>
      </c>
      <c r="AUY145" s="699">
        <f t="shared" si="392"/>
        <v>1910</v>
      </c>
      <c r="AUZ145" s="699">
        <f t="shared" si="344"/>
        <v>14329.53</v>
      </c>
      <c r="AVA145" s="699">
        <f t="shared" si="344"/>
        <v>14.06</v>
      </c>
      <c r="AVB145" s="699">
        <f t="shared" si="393"/>
        <v>13670</v>
      </c>
      <c r="AVC145" s="699">
        <f t="shared" si="394"/>
        <v>460</v>
      </c>
      <c r="AVD145" s="699">
        <f t="shared" si="395"/>
        <v>9200</v>
      </c>
      <c r="AVE145" s="699">
        <f t="shared" si="396"/>
        <v>3270</v>
      </c>
      <c r="AVF145" s="699">
        <f t="shared" si="397"/>
        <v>740</v>
      </c>
      <c r="AVG145" s="699">
        <f t="shared" si="398"/>
        <v>4464.72</v>
      </c>
      <c r="AVH145" s="699">
        <f t="shared" si="399"/>
        <v>8620</v>
      </c>
      <c r="AVI145" s="699">
        <f t="shared" si="400"/>
        <v>310</v>
      </c>
      <c r="AVJ145" s="699">
        <f t="shared" si="401"/>
        <v>1240</v>
      </c>
      <c r="AVK145" s="699">
        <f t="shared" si="402"/>
        <v>50</v>
      </c>
      <c r="AVL145" s="699">
        <f t="shared" si="403"/>
        <v>2570</v>
      </c>
      <c r="AVM145" s="699">
        <f t="shared" si="404"/>
        <v>22883.7</v>
      </c>
      <c r="AVN145" s="699">
        <f t="shared" si="405"/>
        <v>17575.810000000001</v>
      </c>
      <c r="AVO145" s="699">
        <f t="shared" si="406"/>
        <v>5307.89</v>
      </c>
      <c r="AVP145" s="699">
        <f t="shared" si="407"/>
        <v>650</v>
      </c>
      <c r="AVQ145" s="699">
        <f t="shared" si="408"/>
        <v>88939.839999999997</v>
      </c>
    </row>
    <row r="146" spans="1:108 1244:1265" ht="30" customHeight="1" x14ac:dyDescent="0.25">
      <c r="A146" s="643">
        <v>1</v>
      </c>
      <c r="B146" s="643">
        <v>4</v>
      </c>
      <c r="C146" s="664" t="s">
        <v>18</v>
      </c>
      <c r="D146" s="2"/>
      <c r="E146" s="101" t="s">
        <v>344</v>
      </c>
      <c r="F146" s="643" t="s">
        <v>31</v>
      </c>
      <c r="G146" s="643">
        <v>1</v>
      </c>
      <c r="H146" s="658" t="s">
        <v>10</v>
      </c>
      <c r="I146" s="643">
        <v>0</v>
      </c>
      <c r="J146" s="101" t="s">
        <v>356</v>
      </c>
      <c r="K146" s="643">
        <v>3</v>
      </c>
      <c r="L146" s="683" t="s">
        <v>349</v>
      </c>
      <c r="M146" s="11" t="s">
        <v>255</v>
      </c>
      <c r="N146" s="101" t="s">
        <v>387</v>
      </c>
      <c r="O146" s="643">
        <v>1</v>
      </c>
      <c r="P146" s="632">
        <v>239</v>
      </c>
      <c r="Q146" s="632">
        <v>239</v>
      </c>
      <c r="R146" s="632">
        <v>239</v>
      </c>
      <c r="S146" s="675">
        <f>SUMIF('Территориальный кк'!$A:$A,'2020'!$B146,'Территориальный кк'!D:D)</f>
        <v>2.0270000000000001</v>
      </c>
      <c r="T146" s="676">
        <f>SUMIF('Территориальный кк'!$A:$A,'2020'!$B146,'Территориальный кк'!E:E)</f>
        <v>3.3260000000000001</v>
      </c>
      <c r="U146" s="618">
        <f>SUMIFS(Нормативы!G:G,Нормативы!$B:$B,$G146,Нормативы!$D:$D,'2020'!$I146,Нормативы!$F:$F,'2020'!$K146)*O146</f>
        <v>64190</v>
      </c>
      <c r="V146" s="618">
        <f t="shared" si="329"/>
        <v>49301.1</v>
      </c>
      <c r="W146" s="618">
        <f t="shared" si="330"/>
        <v>14888.9</v>
      </c>
      <c r="X146" s="618">
        <f>SUMIFS(Нормативы!J:J,Нормативы!$B:$B,$G146,Нормативы!$D:$D,'2020'!$I146,Нормативы!$F:$F,'2020'!$K146)</f>
        <v>8830</v>
      </c>
      <c r="Y146" s="618">
        <f>SUMIFS(Нормативы!K:K,Нормативы!$B:$B,$G146,Нормативы!$D:$D,'2020'!$I146,Нормативы!$F:$F,'2020'!$K146)</f>
        <v>1766</v>
      </c>
      <c r="Z146" s="618">
        <f>SUMIFS(Нормативы!L:L,Нормативы!$B:$B,$G146,Нормативы!$D:$D,'2020'!$I146,Нормативы!$F:$F,'2020'!$K146)</f>
        <v>8110</v>
      </c>
      <c r="AA146" s="618">
        <f t="shared" si="331"/>
        <v>19050</v>
      </c>
      <c r="AB146" s="618">
        <f>SUMIFS(Нормативы!N:N,Нормативы!$B:$B,$G146,Нормативы!$D:$D,'2020'!$I146,Нормативы!$F:$F,'2020'!$K146)*O146</f>
        <v>520</v>
      </c>
      <c r="AC146" s="618">
        <f>SUMIFS(Нормативы!O:O,Нормативы!$B:$B,$G146,Нормативы!$D:$D,'2020'!$I146,Нормативы!$F:$F,'2020'!$K146)</f>
        <v>17290</v>
      </c>
      <c r="AD146" s="618">
        <f>SUMIFS(Нормативы!P:P,Нормативы!$B:$B,$G146,Нормативы!$D:$D,'2020'!$I146,Нормативы!$F:$F,'2020'!$K146)*O146</f>
        <v>360</v>
      </c>
      <c r="AE146" s="618">
        <f>SUMIFS(Нормативы!Q:Q,Нормативы!$B:$B,$G146,Нормативы!$D:$D,'2020'!$I146,Нормативы!$F:$F,'2020'!$K146)</f>
        <v>880</v>
      </c>
      <c r="AF146" s="618">
        <f>SUMIFS(Нормативы!R:R,Нормативы!$B:$B,$G146,Нормативы!$D:$D,'2020'!$I146,Нормативы!$F:$F,'2020'!$K146)</f>
        <v>2680</v>
      </c>
      <c r="AG146" s="618">
        <f>SUMIFS(Нормативы!S:S,Нормативы!$B:$B,$G146,Нормативы!$D:$D,'2020'!$I146,Нормативы!$F:$F,'2020'!$K146)</f>
        <v>5800</v>
      </c>
      <c r="AH146" s="618">
        <f>SUMIFS(Нормативы!T:T,Нормативы!$B:$B,$G146,Нормативы!$D:$D,'2020'!$I146,Нормативы!$F:$F,'2020'!$K146)</f>
        <v>540</v>
      </c>
      <c r="AI146" s="618">
        <f>SUMIFS(Нормативы!U:U,Нормативы!$B:$B,$G146,Нормативы!$D:$D,'2020'!$I146,Нормативы!$F:$F,'2020'!$K146)</f>
        <v>770</v>
      </c>
      <c r="AJ146" s="618">
        <f>SUMIFS(Нормативы!V:V,Нормативы!$B:$B,$G146,Нормативы!$D:$D,'2020'!$I146,Нормативы!$F:$F,'2020'!$K146)</f>
        <v>80</v>
      </c>
      <c r="AK146" s="618">
        <f>SUMIFS(Нормативы!W:W,Нормативы!$B:$B,$G146,Нормативы!$D:$D,'2020'!$I146,Нормативы!$F:$F,'2020'!$K146)</f>
        <v>1050</v>
      </c>
      <c r="AL146" s="618">
        <f>SUMIFS(Нормативы!X:X,Нормативы!$B:$B,$G146,Нормативы!$D:$D,'2020'!$I146,Нормативы!$F:$F,'2020'!$K146)*O146</f>
        <v>16120</v>
      </c>
      <c r="AM146" s="618">
        <f t="shared" si="332"/>
        <v>12381</v>
      </c>
      <c r="AN146" s="618">
        <f t="shared" si="333"/>
        <v>3739</v>
      </c>
      <c r="AO146" s="618">
        <f>SUMIFS(Нормативы!AA:AA,Нормативы!$B:$B,$G146,Нормативы!$D:$D,'2020'!$I146,Нормативы!$F:$F,'2020'!$K146)</f>
        <v>3520</v>
      </c>
      <c r="AP146" s="619">
        <f t="shared" si="334"/>
        <v>130740</v>
      </c>
      <c r="AQ146" s="413">
        <f t="shared" si="272"/>
        <v>15341410</v>
      </c>
      <c r="AR146" s="618">
        <f t="shared" si="335"/>
        <v>11782957</v>
      </c>
      <c r="AS146" s="618">
        <f t="shared" si="336"/>
        <v>3558453</v>
      </c>
      <c r="AT146" s="616">
        <f t="shared" si="273"/>
        <v>2110370</v>
      </c>
      <c r="AU146" s="616">
        <f t="shared" si="274"/>
        <v>422074</v>
      </c>
      <c r="AV146" s="616">
        <f t="shared" si="275"/>
        <v>1938290</v>
      </c>
      <c r="AW146" s="616">
        <f t="shared" si="276"/>
        <v>4552950</v>
      </c>
      <c r="AX146" s="616">
        <f t="shared" si="277"/>
        <v>124280</v>
      </c>
      <c r="AY146" s="616">
        <f t="shared" si="278"/>
        <v>4132310</v>
      </c>
      <c r="AZ146" s="616">
        <f t="shared" si="279"/>
        <v>86040</v>
      </c>
      <c r="BA146" s="616">
        <f t="shared" si="280"/>
        <v>210320</v>
      </c>
      <c r="BB146" s="616">
        <f t="shared" si="281"/>
        <v>640520</v>
      </c>
      <c r="BC146" s="616">
        <f t="shared" si="282"/>
        <v>1386200</v>
      </c>
      <c r="BD146" s="616">
        <f t="shared" si="283"/>
        <v>129060</v>
      </c>
      <c r="BE146" s="616">
        <f t="shared" si="284"/>
        <v>184030</v>
      </c>
      <c r="BF146" s="616">
        <f t="shared" si="285"/>
        <v>19120</v>
      </c>
      <c r="BG146" s="616">
        <f t="shared" si="286"/>
        <v>250950</v>
      </c>
      <c r="BH146" s="616">
        <f t="shared" si="287"/>
        <v>3852680</v>
      </c>
      <c r="BI146" s="618">
        <f t="shared" si="337"/>
        <v>2959047.6</v>
      </c>
      <c r="BJ146" s="618">
        <f t="shared" si="338"/>
        <v>893632.4</v>
      </c>
      <c r="BK146" s="616">
        <f t="shared" si="288"/>
        <v>841280</v>
      </c>
      <c r="BL146" s="620">
        <f t="shared" si="289"/>
        <v>31246860</v>
      </c>
      <c r="BM146" s="616">
        <f t="shared" si="290"/>
        <v>31097038</v>
      </c>
      <c r="BN146" s="618">
        <f t="shared" si="291"/>
        <v>23884053.800000001</v>
      </c>
      <c r="BO146" s="618">
        <f t="shared" si="292"/>
        <v>7212984.2000000002</v>
      </c>
      <c r="BP146" s="616">
        <f t="shared" si="339"/>
        <v>2110370</v>
      </c>
      <c r="BQ146" s="616">
        <f t="shared" si="340"/>
        <v>422074</v>
      </c>
      <c r="BR146" s="616">
        <f t="shared" si="341"/>
        <v>1938290</v>
      </c>
      <c r="BS146" s="616">
        <f t="shared" si="293"/>
        <v>4552950</v>
      </c>
      <c r="BT146" s="616">
        <f t="shared" si="294"/>
        <v>124280</v>
      </c>
      <c r="BU146" s="616">
        <f t="shared" si="295"/>
        <v>4132310</v>
      </c>
      <c r="BV146" s="616">
        <f t="shared" si="296"/>
        <v>86040</v>
      </c>
      <c r="BW146" s="616">
        <f t="shared" si="297"/>
        <v>210320</v>
      </c>
      <c r="BX146" s="616">
        <f t="shared" si="298"/>
        <v>2130370</v>
      </c>
      <c r="BY146" s="616">
        <f t="shared" si="299"/>
        <v>1386200</v>
      </c>
      <c r="BZ146" s="616">
        <f t="shared" si="300"/>
        <v>129060</v>
      </c>
      <c r="CA146" s="616">
        <f t="shared" si="301"/>
        <v>184030</v>
      </c>
      <c r="CB146" s="616">
        <f t="shared" si="302"/>
        <v>19120</v>
      </c>
      <c r="CC146" s="616">
        <f t="shared" si="303"/>
        <v>250950</v>
      </c>
      <c r="CD146" s="616">
        <f t="shared" si="304"/>
        <v>7809382</v>
      </c>
      <c r="CE146" s="618">
        <f t="shared" si="342"/>
        <v>5997989.2000000002</v>
      </c>
      <c r="CF146" s="618">
        <f t="shared" si="343"/>
        <v>1811392.8</v>
      </c>
      <c r="CG146" s="616">
        <f t="shared" si="305"/>
        <v>841280</v>
      </c>
      <c r="CH146" s="621">
        <f t="shared" si="306"/>
        <v>52449040</v>
      </c>
      <c r="CI146" s="88">
        <f t="shared" si="307"/>
        <v>130113.1297</v>
      </c>
      <c r="CJ146" s="90">
        <f t="shared" si="308"/>
        <v>99933.279500000004</v>
      </c>
      <c r="CK146" s="90">
        <f t="shared" si="309"/>
        <v>30179.850200000001</v>
      </c>
      <c r="CL146" s="88">
        <f t="shared" si="310"/>
        <v>8830</v>
      </c>
      <c r="CM146" s="88">
        <f t="shared" si="311"/>
        <v>1766</v>
      </c>
      <c r="CN146" s="88">
        <f t="shared" si="312"/>
        <v>8110</v>
      </c>
      <c r="CO146" s="88">
        <f t="shared" si="313"/>
        <v>19050</v>
      </c>
      <c r="CP146" s="88">
        <f t="shared" si="314"/>
        <v>520</v>
      </c>
      <c r="CQ146" s="88">
        <f t="shared" si="315"/>
        <v>17290</v>
      </c>
      <c r="CR146" s="88">
        <f t="shared" si="316"/>
        <v>360</v>
      </c>
      <c r="CS146" s="88">
        <f t="shared" si="317"/>
        <v>880</v>
      </c>
      <c r="CT146" s="88">
        <f t="shared" si="318"/>
        <v>8913.6820000000007</v>
      </c>
      <c r="CU146" s="88">
        <f t="shared" si="319"/>
        <v>5800</v>
      </c>
      <c r="CV146" s="88">
        <f t="shared" si="320"/>
        <v>540</v>
      </c>
      <c r="CW146" s="88">
        <f t="shared" si="321"/>
        <v>770</v>
      </c>
      <c r="CX146" s="88">
        <f t="shared" si="322"/>
        <v>80</v>
      </c>
      <c r="CY146" s="88">
        <f t="shared" si="323"/>
        <v>1050</v>
      </c>
      <c r="CZ146" s="88">
        <f t="shared" si="324"/>
        <v>32675.238499999999</v>
      </c>
      <c r="DA146" s="90">
        <f t="shared" si="325"/>
        <v>25096.1891</v>
      </c>
      <c r="DB146" s="90">
        <f t="shared" si="326"/>
        <v>7579.0493999999999</v>
      </c>
      <c r="DC146" s="88">
        <f t="shared" si="327"/>
        <v>3520</v>
      </c>
      <c r="DD146" s="88">
        <f t="shared" si="328"/>
        <v>219452.0502</v>
      </c>
      <c r="AUV146" s="699">
        <f t="shared" si="409"/>
        <v>130113.13</v>
      </c>
      <c r="AUW146" s="699">
        <f t="shared" si="410"/>
        <v>99933.28</v>
      </c>
      <c r="AUX146" s="699">
        <f t="shared" si="411"/>
        <v>30179.85</v>
      </c>
      <c r="AUY146" s="699">
        <f t="shared" si="392"/>
        <v>8830</v>
      </c>
      <c r="AUZ146" s="699">
        <f t="shared" si="344"/>
        <v>126901.38</v>
      </c>
      <c r="AVA146" s="699">
        <f t="shared" si="344"/>
        <v>30.2</v>
      </c>
      <c r="AVB146" s="699">
        <f t="shared" si="393"/>
        <v>19050</v>
      </c>
      <c r="AVC146" s="699">
        <f t="shared" si="394"/>
        <v>520</v>
      </c>
      <c r="AVD146" s="699">
        <f t="shared" si="395"/>
        <v>17290</v>
      </c>
      <c r="AVE146" s="699">
        <f t="shared" si="396"/>
        <v>360</v>
      </c>
      <c r="AVF146" s="699">
        <f t="shared" si="397"/>
        <v>880</v>
      </c>
      <c r="AVG146" s="699">
        <f t="shared" si="398"/>
        <v>8913.68</v>
      </c>
      <c r="AVH146" s="699">
        <f t="shared" si="399"/>
        <v>5800</v>
      </c>
      <c r="AVI146" s="699">
        <f t="shared" si="400"/>
        <v>540</v>
      </c>
      <c r="AVJ146" s="699">
        <f t="shared" si="401"/>
        <v>770</v>
      </c>
      <c r="AVK146" s="699">
        <f t="shared" si="402"/>
        <v>80</v>
      </c>
      <c r="AVL146" s="699">
        <f t="shared" si="403"/>
        <v>1050</v>
      </c>
      <c r="AVM146" s="699">
        <f t="shared" si="404"/>
        <v>32675.24</v>
      </c>
      <c r="AVN146" s="699">
        <f t="shared" si="405"/>
        <v>25096.19</v>
      </c>
      <c r="AVO146" s="699">
        <f t="shared" si="406"/>
        <v>7579.05</v>
      </c>
      <c r="AVP146" s="699">
        <f t="shared" si="407"/>
        <v>3520</v>
      </c>
      <c r="AVQ146" s="699">
        <f t="shared" si="408"/>
        <v>219452.05</v>
      </c>
    </row>
    <row r="147" spans="1:108 1244:1265" ht="30" customHeight="1" x14ac:dyDescent="0.25">
      <c r="A147" s="643">
        <v>1</v>
      </c>
      <c r="B147" s="643">
        <v>4</v>
      </c>
      <c r="C147" s="664" t="s">
        <v>18</v>
      </c>
      <c r="D147" s="2"/>
      <c r="E147" s="101" t="s">
        <v>344</v>
      </c>
      <c r="F147" s="643" t="s">
        <v>31</v>
      </c>
      <c r="G147" s="643">
        <v>1</v>
      </c>
      <c r="H147" s="658" t="s">
        <v>10</v>
      </c>
      <c r="I147" s="643">
        <v>0</v>
      </c>
      <c r="J147" s="101" t="s">
        <v>356</v>
      </c>
      <c r="K147" s="643">
        <v>3</v>
      </c>
      <c r="L147" s="683" t="s">
        <v>349</v>
      </c>
      <c r="M147" s="11" t="s">
        <v>256</v>
      </c>
      <c r="N147" s="101" t="s">
        <v>401</v>
      </c>
      <c r="O147" s="643">
        <v>2</v>
      </c>
      <c r="P147" s="632">
        <v>3</v>
      </c>
      <c r="Q147" s="632">
        <v>3</v>
      </c>
      <c r="R147" s="632">
        <v>3</v>
      </c>
      <c r="S147" s="675">
        <f>SUMIF('Территориальный кк'!$A:$A,'2020'!$B147,'Территориальный кк'!D:D)</f>
        <v>2.0270000000000001</v>
      </c>
      <c r="T147" s="676">
        <f>SUMIF('Территориальный кк'!$A:$A,'2020'!$B147,'Территориальный кк'!E:E)</f>
        <v>3.3260000000000001</v>
      </c>
      <c r="U147" s="618">
        <f>SUMIFS(Нормативы!G:G,Нормативы!$B:$B,$G147,Нормативы!$D:$D,'2020'!$I147,Нормативы!$F:$F,'2020'!$K147)*O147</f>
        <v>128380</v>
      </c>
      <c r="V147" s="618">
        <f t="shared" si="329"/>
        <v>98602.2</v>
      </c>
      <c r="W147" s="618">
        <f t="shared" si="330"/>
        <v>29777.8</v>
      </c>
      <c r="X147" s="618">
        <f>SUMIFS(Нормативы!J:J,Нормативы!$B:$B,$G147,Нормативы!$D:$D,'2020'!$I147,Нормативы!$F:$F,'2020'!$K147)</f>
        <v>8830</v>
      </c>
      <c r="Y147" s="618">
        <f>SUMIFS(Нормативы!K:K,Нормативы!$B:$B,$G147,Нормативы!$D:$D,'2020'!$I147,Нормативы!$F:$F,'2020'!$K147)</f>
        <v>1766</v>
      </c>
      <c r="Z147" s="618">
        <f>SUMIFS(Нормативы!L:L,Нормативы!$B:$B,$G147,Нормативы!$D:$D,'2020'!$I147,Нормативы!$F:$F,'2020'!$K147)</f>
        <v>8110</v>
      </c>
      <c r="AA147" s="618">
        <f t="shared" si="331"/>
        <v>19930</v>
      </c>
      <c r="AB147" s="618">
        <f>SUMIFS(Нормативы!N:N,Нормативы!$B:$B,$G147,Нормативы!$D:$D,'2020'!$I147,Нормативы!$F:$F,'2020'!$K147)*O147</f>
        <v>1040</v>
      </c>
      <c r="AC147" s="618">
        <f>SUMIFS(Нормативы!O:O,Нормативы!$B:$B,$G147,Нормативы!$D:$D,'2020'!$I147,Нормативы!$F:$F,'2020'!$K147)</f>
        <v>17290</v>
      </c>
      <c r="AD147" s="618">
        <f>SUMIFS(Нормативы!P:P,Нормативы!$B:$B,$G147,Нормативы!$D:$D,'2020'!$I147,Нормативы!$F:$F,'2020'!$K147)*O147</f>
        <v>720</v>
      </c>
      <c r="AE147" s="618">
        <f>SUMIFS(Нормативы!Q:Q,Нормативы!$B:$B,$G147,Нормативы!$D:$D,'2020'!$I147,Нормативы!$F:$F,'2020'!$K147)</f>
        <v>880</v>
      </c>
      <c r="AF147" s="618">
        <f>SUMIFS(Нормативы!R:R,Нормативы!$B:$B,$G147,Нормативы!$D:$D,'2020'!$I147,Нормативы!$F:$F,'2020'!$K147)</f>
        <v>2680</v>
      </c>
      <c r="AG147" s="618">
        <f>SUMIFS(Нормативы!S:S,Нормативы!$B:$B,$G147,Нормативы!$D:$D,'2020'!$I147,Нормативы!$F:$F,'2020'!$K147)</f>
        <v>5800</v>
      </c>
      <c r="AH147" s="618">
        <f>SUMIFS(Нормативы!T:T,Нормативы!$B:$B,$G147,Нормативы!$D:$D,'2020'!$I147,Нормативы!$F:$F,'2020'!$K147)</f>
        <v>540</v>
      </c>
      <c r="AI147" s="618">
        <f>SUMIFS(Нормативы!U:U,Нормативы!$B:$B,$G147,Нормативы!$D:$D,'2020'!$I147,Нормативы!$F:$F,'2020'!$K147)</f>
        <v>770</v>
      </c>
      <c r="AJ147" s="618">
        <f>SUMIFS(Нормативы!V:V,Нормативы!$B:$B,$G147,Нормативы!$D:$D,'2020'!$I147,Нормативы!$F:$F,'2020'!$K147)</f>
        <v>80</v>
      </c>
      <c r="AK147" s="618">
        <f>SUMIFS(Нормативы!W:W,Нормативы!$B:$B,$G147,Нормативы!$D:$D,'2020'!$I147,Нормативы!$F:$F,'2020'!$K147)</f>
        <v>1050</v>
      </c>
      <c r="AL147" s="618">
        <f>SUMIFS(Нормативы!X:X,Нормативы!$B:$B,$G147,Нормативы!$D:$D,'2020'!$I147,Нормативы!$F:$F,'2020'!$K147)*O147</f>
        <v>32240</v>
      </c>
      <c r="AM147" s="618">
        <f t="shared" si="332"/>
        <v>24761.9</v>
      </c>
      <c r="AN147" s="618">
        <f t="shared" si="333"/>
        <v>7478.1</v>
      </c>
      <c r="AO147" s="618">
        <f>SUMIFS(Нормативы!AA:AA,Нормативы!$B:$B,$G147,Нормативы!$D:$D,'2020'!$I147,Нормативы!$F:$F,'2020'!$K147)</f>
        <v>3520</v>
      </c>
      <c r="AP147" s="619">
        <f t="shared" si="334"/>
        <v>211930</v>
      </c>
      <c r="AQ147" s="413">
        <f t="shared" si="272"/>
        <v>385140</v>
      </c>
      <c r="AR147" s="618">
        <f t="shared" si="335"/>
        <v>295806.5</v>
      </c>
      <c r="AS147" s="618">
        <f t="shared" si="336"/>
        <v>89333.5</v>
      </c>
      <c r="AT147" s="616">
        <f t="shared" si="273"/>
        <v>26490</v>
      </c>
      <c r="AU147" s="616">
        <f t="shared" si="274"/>
        <v>5298</v>
      </c>
      <c r="AV147" s="616">
        <f t="shared" si="275"/>
        <v>24330</v>
      </c>
      <c r="AW147" s="616">
        <f t="shared" si="276"/>
        <v>59790</v>
      </c>
      <c r="AX147" s="616">
        <f t="shared" si="277"/>
        <v>3120</v>
      </c>
      <c r="AY147" s="616">
        <f t="shared" si="278"/>
        <v>51870</v>
      </c>
      <c r="AZ147" s="616">
        <f t="shared" si="279"/>
        <v>2160</v>
      </c>
      <c r="BA147" s="616">
        <f t="shared" si="280"/>
        <v>2640</v>
      </c>
      <c r="BB147" s="616">
        <f t="shared" si="281"/>
        <v>8040</v>
      </c>
      <c r="BC147" s="616">
        <f t="shared" si="282"/>
        <v>17400</v>
      </c>
      <c r="BD147" s="616">
        <f t="shared" si="283"/>
        <v>1620</v>
      </c>
      <c r="BE147" s="616">
        <f t="shared" si="284"/>
        <v>2310</v>
      </c>
      <c r="BF147" s="616">
        <f t="shared" si="285"/>
        <v>240</v>
      </c>
      <c r="BG147" s="616">
        <f t="shared" si="286"/>
        <v>3150</v>
      </c>
      <c r="BH147" s="616">
        <f t="shared" si="287"/>
        <v>96720</v>
      </c>
      <c r="BI147" s="618">
        <f t="shared" si="337"/>
        <v>74285.7</v>
      </c>
      <c r="BJ147" s="618">
        <f t="shared" si="338"/>
        <v>22434.3</v>
      </c>
      <c r="BK147" s="616">
        <f t="shared" si="288"/>
        <v>10560</v>
      </c>
      <c r="BL147" s="620">
        <f t="shared" si="289"/>
        <v>635790</v>
      </c>
      <c r="BM147" s="616">
        <f t="shared" si="290"/>
        <v>780679</v>
      </c>
      <c r="BN147" s="618">
        <f t="shared" si="291"/>
        <v>599599.80000000005</v>
      </c>
      <c r="BO147" s="618">
        <f t="shared" si="292"/>
        <v>181079.2</v>
      </c>
      <c r="BP147" s="616">
        <f t="shared" si="339"/>
        <v>26490</v>
      </c>
      <c r="BQ147" s="616">
        <f t="shared" si="340"/>
        <v>5298</v>
      </c>
      <c r="BR147" s="616">
        <f t="shared" si="341"/>
        <v>24330</v>
      </c>
      <c r="BS147" s="616">
        <f t="shared" si="293"/>
        <v>59790</v>
      </c>
      <c r="BT147" s="616">
        <f t="shared" si="294"/>
        <v>3120</v>
      </c>
      <c r="BU147" s="616">
        <f t="shared" si="295"/>
        <v>51870</v>
      </c>
      <c r="BV147" s="616">
        <f t="shared" si="296"/>
        <v>2160</v>
      </c>
      <c r="BW147" s="616">
        <f t="shared" si="297"/>
        <v>2640</v>
      </c>
      <c r="BX147" s="616">
        <f t="shared" si="298"/>
        <v>26741</v>
      </c>
      <c r="BY147" s="616">
        <f t="shared" si="299"/>
        <v>17400</v>
      </c>
      <c r="BZ147" s="616">
        <f t="shared" si="300"/>
        <v>1620</v>
      </c>
      <c r="CA147" s="616">
        <f t="shared" si="301"/>
        <v>2310</v>
      </c>
      <c r="CB147" s="616">
        <f t="shared" si="302"/>
        <v>240</v>
      </c>
      <c r="CC147" s="616">
        <f t="shared" si="303"/>
        <v>3150</v>
      </c>
      <c r="CD147" s="616">
        <f t="shared" si="304"/>
        <v>196051</v>
      </c>
      <c r="CE147" s="618">
        <f t="shared" si="342"/>
        <v>150576.79999999999</v>
      </c>
      <c r="CF147" s="618">
        <f t="shared" si="343"/>
        <v>45474.2</v>
      </c>
      <c r="CG147" s="616">
        <f t="shared" si="305"/>
        <v>10560</v>
      </c>
      <c r="CH147" s="621">
        <f t="shared" si="306"/>
        <v>1149361</v>
      </c>
      <c r="CI147" s="88">
        <f t="shared" si="307"/>
        <v>260226.3333</v>
      </c>
      <c r="CJ147" s="90">
        <f t="shared" si="308"/>
        <v>199866.6</v>
      </c>
      <c r="CK147" s="90">
        <f t="shared" si="309"/>
        <v>60359.7333</v>
      </c>
      <c r="CL147" s="88">
        <f t="shared" si="310"/>
        <v>8830</v>
      </c>
      <c r="CM147" s="88">
        <f t="shared" si="311"/>
        <v>1766</v>
      </c>
      <c r="CN147" s="88">
        <f t="shared" si="312"/>
        <v>8110</v>
      </c>
      <c r="CO147" s="88">
        <f t="shared" si="313"/>
        <v>19930</v>
      </c>
      <c r="CP147" s="88">
        <f t="shared" si="314"/>
        <v>1040</v>
      </c>
      <c r="CQ147" s="88">
        <f t="shared" si="315"/>
        <v>17290</v>
      </c>
      <c r="CR147" s="88">
        <f t="shared" si="316"/>
        <v>720</v>
      </c>
      <c r="CS147" s="88">
        <f t="shared" si="317"/>
        <v>880</v>
      </c>
      <c r="CT147" s="88">
        <f t="shared" si="318"/>
        <v>8913.6666999999998</v>
      </c>
      <c r="CU147" s="88">
        <f t="shared" si="319"/>
        <v>5800</v>
      </c>
      <c r="CV147" s="88">
        <f t="shared" si="320"/>
        <v>540</v>
      </c>
      <c r="CW147" s="88">
        <f t="shared" si="321"/>
        <v>770</v>
      </c>
      <c r="CX147" s="88">
        <f t="shared" si="322"/>
        <v>80</v>
      </c>
      <c r="CY147" s="88">
        <f t="shared" si="323"/>
        <v>1050</v>
      </c>
      <c r="CZ147" s="88">
        <f t="shared" si="324"/>
        <v>65350.333299999998</v>
      </c>
      <c r="DA147" s="90">
        <f t="shared" si="325"/>
        <v>50192.2667</v>
      </c>
      <c r="DB147" s="90">
        <f t="shared" si="326"/>
        <v>15158.066699999999</v>
      </c>
      <c r="DC147" s="88">
        <f t="shared" si="327"/>
        <v>3520</v>
      </c>
      <c r="DD147" s="88">
        <f t="shared" si="328"/>
        <v>383120.3333</v>
      </c>
      <c r="AUV147" s="699">
        <f t="shared" si="409"/>
        <v>260226.33</v>
      </c>
      <c r="AUW147" s="699">
        <f t="shared" si="410"/>
        <v>199866.61</v>
      </c>
      <c r="AUX147" s="699">
        <f t="shared" si="411"/>
        <v>60359.72</v>
      </c>
      <c r="AUY147" s="699">
        <f t="shared" si="392"/>
        <v>8830</v>
      </c>
      <c r="AUZ147" s="699">
        <f t="shared" si="344"/>
        <v>1592.9</v>
      </c>
      <c r="AVA147" s="699">
        <f t="shared" si="344"/>
        <v>0.19</v>
      </c>
      <c r="AVB147" s="699">
        <f t="shared" si="393"/>
        <v>19930</v>
      </c>
      <c r="AVC147" s="699">
        <f t="shared" si="394"/>
        <v>1040</v>
      </c>
      <c r="AVD147" s="699">
        <f t="shared" si="395"/>
        <v>17290</v>
      </c>
      <c r="AVE147" s="699">
        <f t="shared" si="396"/>
        <v>720</v>
      </c>
      <c r="AVF147" s="699">
        <f t="shared" si="397"/>
        <v>880</v>
      </c>
      <c r="AVG147" s="699">
        <f t="shared" si="398"/>
        <v>8913.67</v>
      </c>
      <c r="AVH147" s="699">
        <f t="shared" si="399"/>
        <v>5800</v>
      </c>
      <c r="AVI147" s="699">
        <f t="shared" si="400"/>
        <v>540</v>
      </c>
      <c r="AVJ147" s="699">
        <f t="shared" si="401"/>
        <v>770</v>
      </c>
      <c r="AVK147" s="699">
        <f t="shared" si="402"/>
        <v>80</v>
      </c>
      <c r="AVL147" s="699">
        <f t="shared" si="403"/>
        <v>1050</v>
      </c>
      <c r="AVM147" s="699">
        <f t="shared" si="404"/>
        <v>65350.33</v>
      </c>
      <c r="AVN147" s="699">
        <f t="shared" si="405"/>
        <v>50192.27</v>
      </c>
      <c r="AVO147" s="699">
        <f t="shared" si="406"/>
        <v>15158.06</v>
      </c>
      <c r="AVP147" s="699">
        <f t="shared" si="407"/>
        <v>3520</v>
      </c>
      <c r="AVQ147" s="699">
        <f t="shared" si="408"/>
        <v>383120.33</v>
      </c>
    </row>
    <row r="148" spans="1:108 1244:1265" ht="30" customHeight="1" x14ac:dyDescent="0.25">
      <c r="A148" s="643">
        <v>1</v>
      </c>
      <c r="B148" s="643">
        <v>4</v>
      </c>
      <c r="C148" s="664" t="s">
        <v>18</v>
      </c>
      <c r="D148" s="2"/>
      <c r="E148" s="101" t="s">
        <v>344</v>
      </c>
      <c r="F148" s="643" t="s">
        <v>31</v>
      </c>
      <c r="G148" s="643">
        <v>1</v>
      </c>
      <c r="H148" s="658" t="s">
        <v>8</v>
      </c>
      <c r="I148" s="643">
        <v>3</v>
      </c>
      <c r="J148" s="101" t="s">
        <v>356</v>
      </c>
      <c r="K148" s="643">
        <v>3</v>
      </c>
      <c r="L148" s="683" t="s">
        <v>349</v>
      </c>
      <c r="M148" s="11" t="s">
        <v>257</v>
      </c>
      <c r="N148" s="101" t="s">
        <v>387</v>
      </c>
      <c r="O148" s="643">
        <v>1</v>
      </c>
      <c r="P148" s="632">
        <v>87</v>
      </c>
      <c r="Q148" s="632">
        <v>87</v>
      </c>
      <c r="R148" s="632">
        <v>87</v>
      </c>
      <c r="S148" s="675">
        <f>SUMIF('Территориальный кк'!$A:$A,'2020'!$B148,'Территориальный кк'!D:D)</f>
        <v>2.0270000000000001</v>
      </c>
      <c r="T148" s="676">
        <f>SUMIF('Территориальный кк'!$A:$A,'2020'!$B148,'Территориальный кк'!E:E)</f>
        <v>3.3260000000000001</v>
      </c>
      <c r="U148" s="618">
        <f>SUMIFS(Нормативы!G:G,Нормативы!$B:$B,$G148,Нормативы!$D:$D,'2020'!$I148,Нормативы!$F:$F,'2020'!$K148)*O148</f>
        <v>6419</v>
      </c>
      <c r="V148" s="618">
        <f t="shared" si="329"/>
        <v>4930.1000000000004</v>
      </c>
      <c r="W148" s="618">
        <f t="shared" si="330"/>
        <v>1488.9</v>
      </c>
      <c r="X148" s="618">
        <f>SUMIFS(Нормативы!J:J,Нормативы!$B:$B,$G148,Нормативы!$D:$D,'2020'!$I148,Нормативы!$F:$F,'2020'!$K148)</f>
        <v>883</v>
      </c>
      <c r="Y148" s="618">
        <f>SUMIFS(Нормативы!K:K,Нормативы!$B:$B,$G148,Нормативы!$D:$D,'2020'!$I148,Нормативы!$F:$F,'2020'!$K148)</f>
        <v>177</v>
      </c>
      <c r="Z148" s="618">
        <f>SUMIFS(Нормативы!L:L,Нормативы!$B:$B,$G148,Нормативы!$D:$D,'2020'!$I148,Нормативы!$F:$F,'2020'!$K148)</f>
        <v>811</v>
      </c>
      <c r="AA148" s="618">
        <f t="shared" si="331"/>
        <v>1905</v>
      </c>
      <c r="AB148" s="618">
        <f>SUMIFS(Нормативы!N:N,Нормативы!$B:$B,$G148,Нормативы!$D:$D,'2020'!$I148,Нормативы!$F:$F,'2020'!$K148)*O148</f>
        <v>52</v>
      </c>
      <c r="AC148" s="618">
        <f>SUMIFS(Нормативы!O:O,Нормативы!$B:$B,$G148,Нормативы!$D:$D,'2020'!$I148,Нормативы!$F:$F,'2020'!$K148)</f>
        <v>1729</v>
      </c>
      <c r="AD148" s="618">
        <f>SUMIFS(Нормативы!P:P,Нормативы!$B:$B,$G148,Нормативы!$D:$D,'2020'!$I148,Нормативы!$F:$F,'2020'!$K148)*O148</f>
        <v>36</v>
      </c>
      <c r="AE148" s="618">
        <f>SUMIFS(Нормативы!Q:Q,Нормативы!$B:$B,$G148,Нормативы!$D:$D,'2020'!$I148,Нормативы!$F:$F,'2020'!$K148)</f>
        <v>88</v>
      </c>
      <c r="AF148" s="618">
        <f>SUMIFS(Нормативы!R:R,Нормативы!$B:$B,$G148,Нормативы!$D:$D,'2020'!$I148,Нормативы!$F:$F,'2020'!$K148)</f>
        <v>268</v>
      </c>
      <c r="AG148" s="618">
        <f>SUMIFS(Нормативы!S:S,Нормативы!$B:$B,$G148,Нормативы!$D:$D,'2020'!$I148,Нормативы!$F:$F,'2020'!$K148)</f>
        <v>580</v>
      </c>
      <c r="AH148" s="618">
        <f>SUMIFS(Нормативы!T:T,Нормативы!$B:$B,$G148,Нормативы!$D:$D,'2020'!$I148,Нормативы!$F:$F,'2020'!$K148)</f>
        <v>54</v>
      </c>
      <c r="AI148" s="618">
        <f>SUMIFS(Нормативы!U:U,Нормативы!$B:$B,$G148,Нормативы!$D:$D,'2020'!$I148,Нормативы!$F:$F,'2020'!$K148)</f>
        <v>77</v>
      </c>
      <c r="AJ148" s="618">
        <f>SUMIFS(Нормативы!V:V,Нормативы!$B:$B,$G148,Нормативы!$D:$D,'2020'!$I148,Нормативы!$F:$F,'2020'!$K148)</f>
        <v>8</v>
      </c>
      <c r="AK148" s="618">
        <f>SUMIFS(Нормативы!W:W,Нормативы!$B:$B,$G148,Нормативы!$D:$D,'2020'!$I148,Нормативы!$F:$F,'2020'!$K148)</f>
        <v>105</v>
      </c>
      <c r="AL148" s="618">
        <f>SUMIFS(Нормативы!X:X,Нормативы!$B:$B,$G148,Нормативы!$D:$D,'2020'!$I148,Нормативы!$F:$F,'2020'!$K148)*O148</f>
        <v>1612</v>
      </c>
      <c r="AM148" s="618">
        <f t="shared" si="332"/>
        <v>1238.0999999999999</v>
      </c>
      <c r="AN148" s="618">
        <f t="shared" si="333"/>
        <v>373.9</v>
      </c>
      <c r="AO148" s="618">
        <f>SUMIFS(Нормативы!AA:AA,Нормативы!$B:$B,$G148,Нормативы!$D:$D,'2020'!$I148,Нормативы!$F:$F,'2020'!$K148)</f>
        <v>0</v>
      </c>
      <c r="AP148" s="619">
        <f t="shared" si="334"/>
        <v>12722</v>
      </c>
      <c r="AQ148" s="413">
        <f t="shared" si="272"/>
        <v>558453</v>
      </c>
      <c r="AR148" s="618">
        <f t="shared" si="335"/>
        <v>428919.4</v>
      </c>
      <c r="AS148" s="618">
        <f t="shared" si="336"/>
        <v>129533.6</v>
      </c>
      <c r="AT148" s="616">
        <f t="shared" si="273"/>
        <v>76821</v>
      </c>
      <c r="AU148" s="616">
        <f t="shared" si="274"/>
        <v>15399</v>
      </c>
      <c r="AV148" s="616">
        <f t="shared" si="275"/>
        <v>70557</v>
      </c>
      <c r="AW148" s="616">
        <f t="shared" si="276"/>
        <v>165735</v>
      </c>
      <c r="AX148" s="616">
        <f t="shared" si="277"/>
        <v>4524</v>
      </c>
      <c r="AY148" s="616">
        <f t="shared" si="278"/>
        <v>150423</v>
      </c>
      <c r="AZ148" s="616">
        <f t="shared" si="279"/>
        <v>3132</v>
      </c>
      <c r="BA148" s="616">
        <f t="shared" si="280"/>
        <v>7656</v>
      </c>
      <c r="BB148" s="616">
        <f t="shared" si="281"/>
        <v>23316</v>
      </c>
      <c r="BC148" s="616">
        <f t="shared" si="282"/>
        <v>50460</v>
      </c>
      <c r="BD148" s="616">
        <f t="shared" si="283"/>
        <v>4698</v>
      </c>
      <c r="BE148" s="616">
        <f t="shared" si="284"/>
        <v>6699</v>
      </c>
      <c r="BF148" s="616">
        <f t="shared" si="285"/>
        <v>696</v>
      </c>
      <c r="BG148" s="616">
        <f t="shared" si="286"/>
        <v>9135</v>
      </c>
      <c r="BH148" s="616">
        <f t="shared" si="287"/>
        <v>140244</v>
      </c>
      <c r="BI148" s="618">
        <f t="shared" si="337"/>
        <v>107714.3</v>
      </c>
      <c r="BJ148" s="618">
        <f t="shared" si="338"/>
        <v>32529.7</v>
      </c>
      <c r="BK148" s="616">
        <f t="shared" si="288"/>
        <v>0</v>
      </c>
      <c r="BL148" s="620">
        <f t="shared" si="289"/>
        <v>1106814</v>
      </c>
      <c r="BM148" s="616">
        <f t="shared" si="290"/>
        <v>1131984</v>
      </c>
      <c r="BN148" s="618">
        <f t="shared" si="291"/>
        <v>869419.4</v>
      </c>
      <c r="BO148" s="618">
        <f t="shared" si="292"/>
        <v>262564.59999999998</v>
      </c>
      <c r="BP148" s="616">
        <f t="shared" si="339"/>
        <v>76821</v>
      </c>
      <c r="BQ148" s="616">
        <f t="shared" si="340"/>
        <v>15399</v>
      </c>
      <c r="BR148" s="616">
        <f t="shared" si="341"/>
        <v>70557</v>
      </c>
      <c r="BS148" s="616">
        <f t="shared" si="293"/>
        <v>165735</v>
      </c>
      <c r="BT148" s="616">
        <f t="shared" si="294"/>
        <v>4524</v>
      </c>
      <c r="BU148" s="616">
        <f t="shared" si="295"/>
        <v>150423</v>
      </c>
      <c r="BV148" s="616">
        <f t="shared" si="296"/>
        <v>3132</v>
      </c>
      <c r="BW148" s="616">
        <f t="shared" si="297"/>
        <v>7656</v>
      </c>
      <c r="BX148" s="616">
        <f t="shared" si="298"/>
        <v>77549</v>
      </c>
      <c r="BY148" s="616">
        <f t="shared" si="299"/>
        <v>50460</v>
      </c>
      <c r="BZ148" s="616">
        <f t="shared" si="300"/>
        <v>4698</v>
      </c>
      <c r="CA148" s="616">
        <f t="shared" si="301"/>
        <v>6699</v>
      </c>
      <c r="CB148" s="616">
        <f t="shared" si="302"/>
        <v>696</v>
      </c>
      <c r="CC148" s="616">
        <f t="shared" si="303"/>
        <v>9135</v>
      </c>
      <c r="CD148" s="616">
        <f t="shared" si="304"/>
        <v>284275</v>
      </c>
      <c r="CE148" s="618">
        <f t="shared" si="342"/>
        <v>218337.2</v>
      </c>
      <c r="CF148" s="618">
        <f t="shared" si="343"/>
        <v>65937.8</v>
      </c>
      <c r="CG148" s="616">
        <f t="shared" si="305"/>
        <v>0</v>
      </c>
      <c r="CH148" s="621">
        <f t="shared" si="306"/>
        <v>1878609</v>
      </c>
      <c r="CI148" s="88">
        <f t="shared" si="307"/>
        <v>13011.310299999999</v>
      </c>
      <c r="CJ148" s="90">
        <f t="shared" si="308"/>
        <v>9993.3263999999999</v>
      </c>
      <c r="CK148" s="90">
        <f t="shared" si="309"/>
        <v>3017.9839000000002</v>
      </c>
      <c r="CL148" s="88">
        <f t="shared" si="310"/>
        <v>883</v>
      </c>
      <c r="CM148" s="88">
        <f t="shared" si="311"/>
        <v>177</v>
      </c>
      <c r="CN148" s="88">
        <f t="shared" si="312"/>
        <v>811</v>
      </c>
      <c r="CO148" s="88">
        <f t="shared" si="313"/>
        <v>1905</v>
      </c>
      <c r="CP148" s="88">
        <f t="shared" si="314"/>
        <v>52</v>
      </c>
      <c r="CQ148" s="88">
        <f t="shared" si="315"/>
        <v>1729</v>
      </c>
      <c r="CR148" s="88">
        <f t="shared" si="316"/>
        <v>36</v>
      </c>
      <c r="CS148" s="88">
        <f t="shared" si="317"/>
        <v>88</v>
      </c>
      <c r="CT148" s="88">
        <f t="shared" si="318"/>
        <v>891.36779999999999</v>
      </c>
      <c r="CU148" s="88">
        <f t="shared" si="319"/>
        <v>580</v>
      </c>
      <c r="CV148" s="88">
        <f t="shared" si="320"/>
        <v>54</v>
      </c>
      <c r="CW148" s="88">
        <f t="shared" si="321"/>
        <v>77</v>
      </c>
      <c r="CX148" s="88">
        <f t="shared" si="322"/>
        <v>8</v>
      </c>
      <c r="CY148" s="88">
        <f t="shared" si="323"/>
        <v>105</v>
      </c>
      <c r="CZ148" s="88">
        <f t="shared" si="324"/>
        <v>3267.5286999999998</v>
      </c>
      <c r="DA148" s="90">
        <f t="shared" si="325"/>
        <v>2509.623</v>
      </c>
      <c r="DB148" s="90">
        <f t="shared" si="326"/>
        <v>757.90570000000002</v>
      </c>
      <c r="DC148" s="88">
        <f t="shared" si="327"/>
        <v>0</v>
      </c>
      <c r="DD148" s="88">
        <f t="shared" si="328"/>
        <v>21593.206900000001</v>
      </c>
      <c r="AUV148" s="699">
        <f t="shared" si="409"/>
        <v>13011.31</v>
      </c>
      <c r="AUW148" s="699">
        <f t="shared" si="410"/>
        <v>9993.33</v>
      </c>
      <c r="AUX148" s="699">
        <f t="shared" si="411"/>
        <v>3017.98</v>
      </c>
      <c r="AUY148" s="699">
        <f t="shared" si="392"/>
        <v>883</v>
      </c>
      <c r="AUZ148" s="699">
        <f t="shared" si="344"/>
        <v>4629.8900000000003</v>
      </c>
      <c r="AVA148" s="699">
        <f t="shared" si="344"/>
        <v>10.99</v>
      </c>
      <c r="AVB148" s="699">
        <f t="shared" si="393"/>
        <v>1905</v>
      </c>
      <c r="AVC148" s="699">
        <f t="shared" si="394"/>
        <v>52</v>
      </c>
      <c r="AVD148" s="699">
        <f t="shared" si="395"/>
        <v>1729</v>
      </c>
      <c r="AVE148" s="699">
        <f t="shared" si="396"/>
        <v>36</v>
      </c>
      <c r="AVF148" s="699">
        <f t="shared" si="397"/>
        <v>88</v>
      </c>
      <c r="AVG148" s="699">
        <f t="shared" si="398"/>
        <v>891.37</v>
      </c>
      <c r="AVH148" s="699">
        <f t="shared" si="399"/>
        <v>580</v>
      </c>
      <c r="AVI148" s="699">
        <f t="shared" si="400"/>
        <v>54</v>
      </c>
      <c r="AVJ148" s="699">
        <f t="shared" si="401"/>
        <v>77</v>
      </c>
      <c r="AVK148" s="699">
        <f t="shared" si="402"/>
        <v>8</v>
      </c>
      <c r="AVL148" s="699">
        <f t="shared" si="403"/>
        <v>105</v>
      </c>
      <c r="AVM148" s="699">
        <f t="shared" si="404"/>
        <v>3267.53</v>
      </c>
      <c r="AVN148" s="699">
        <f t="shared" si="405"/>
        <v>2509.62</v>
      </c>
      <c r="AVO148" s="699">
        <f t="shared" si="406"/>
        <v>757.91</v>
      </c>
      <c r="AVP148" s="699">
        <f t="shared" si="407"/>
        <v>0</v>
      </c>
      <c r="AVQ148" s="699">
        <f t="shared" si="408"/>
        <v>21593.21</v>
      </c>
    </row>
    <row r="149" spans="1:108 1244:1265" ht="30" customHeight="1" x14ac:dyDescent="0.25">
      <c r="A149" s="643">
        <v>1</v>
      </c>
      <c r="B149" s="643">
        <v>4</v>
      </c>
      <c r="C149" s="664" t="s">
        <v>18</v>
      </c>
      <c r="D149" s="2"/>
      <c r="E149" s="101" t="s">
        <v>344</v>
      </c>
      <c r="F149" s="643" t="s">
        <v>31</v>
      </c>
      <c r="G149" s="643">
        <v>1</v>
      </c>
      <c r="H149" s="658" t="s">
        <v>8</v>
      </c>
      <c r="I149" s="643">
        <v>3</v>
      </c>
      <c r="J149" s="101" t="s">
        <v>356</v>
      </c>
      <c r="K149" s="643">
        <v>3</v>
      </c>
      <c r="L149" s="683" t="s">
        <v>349</v>
      </c>
      <c r="M149" s="11" t="s">
        <v>280</v>
      </c>
      <c r="N149" s="101" t="s">
        <v>401</v>
      </c>
      <c r="O149" s="643">
        <v>2</v>
      </c>
      <c r="P149" s="632">
        <v>1</v>
      </c>
      <c r="Q149" s="632">
        <v>1</v>
      </c>
      <c r="R149" s="632">
        <v>1</v>
      </c>
      <c r="S149" s="675">
        <f>SUMIF('Территориальный кк'!$A:$A,'2020'!$B149,'Территориальный кк'!D:D)</f>
        <v>2.0270000000000001</v>
      </c>
      <c r="T149" s="676">
        <f>SUMIF('Территориальный кк'!$A:$A,'2020'!$B149,'Территориальный кк'!E:E)</f>
        <v>3.3260000000000001</v>
      </c>
      <c r="U149" s="618">
        <f>SUMIFS(Нормативы!G:G,Нормативы!$B:$B,$G149,Нормативы!$D:$D,'2020'!$I149,Нормативы!$F:$F,'2020'!$K149)*O149</f>
        <v>12838</v>
      </c>
      <c r="V149" s="618">
        <f t="shared" si="329"/>
        <v>9860.2000000000007</v>
      </c>
      <c r="W149" s="618">
        <f t="shared" si="330"/>
        <v>2977.8</v>
      </c>
      <c r="X149" s="618">
        <f>SUMIFS(Нормативы!J:J,Нормативы!$B:$B,$G149,Нормативы!$D:$D,'2020'!$I149,Нормативы!$F:$F,'2020'!$K149)</f>
        <v>883</v>
      </c>
      <c r="Y149" s="618">
        <f>SUMIFS(Нормативы!K:K,Нормативы!$B:$B,$G149,Нормативы!$D:$D,'2020'!$I149,Нормативы!$F:$F,'2020'!$K149)</f>
        <v>177</v>
      </c>
      <c r="Z149" s="618">
        <f>SUMIFS(Нормативы!L:L,Нормативы!$B:$B,$G149,Нормативы!$D:$D,'2020'!$I149,Нормативы!$F:$F,'2020'!$K149)</f>
        <v>811</v>
      </c>
      <c r="AA149" s="618">
        <f t="shared" si="331"/>
        <v>1993</v>
      </c>
      <c r="AB149" s="618">
        <f>SUMIFS(Нормативы!N:N,Нормативы!$B:$B,$G149,Нормативы!$D:$D,'2020'!$I149,Нормативы!$F:$F,'2020'!$K149)*O149</f>
        <v>104</v>
      </c>
      <c r="AC149" s="618">
        <f>SUMIFS(Нормативы!O:O,Нормативы!$B:$B,$G149,Нормативы!$D:$D,'2020'!$I149,Нормативы!$F:$F,'2020'!$K149)</f>
        <v>1729</v>
      </c>
      <c r="AD149" s="618">
        <f>SUMIFS(Нормативы!P:P,Нормативы!$B:$B,$G149,Нормативы!$D:$D,'2020'!$I149,Нормативы!$F:$F,'2020'!$K149)*O149</f>
        <v>72</v>
      </c>
      <c r="AE149" s="618">
        <f>SUMIFS(Нормативы!Q:Q,Нормативы!$B:$B,$G149,Нормативы!$D:$D,'2020'!$I149,Нормативы!$F:$F,'2020'!$K149)</f>
        <v>88</v>
      </c>
      <c r="AF149" s="618">
        <f>SUMIFS(Нормативы!R:R,Нормативы!$B:$B,$G149,Нормативы!$D:$D,'2020'!$I149,Нормативы!$F:$F,'2020'!$K149)</f>
        <v>268</v>
      </c>
      <c r="AG149" s="618">
        <f>SUMIFS(Нормативы!S:S,Нормативы!$B:$B,$G149,Нормативы!$D:$D,'2020'!$I149,Нормативы!$F:$F,'2020'!$K149)</f>
        <v>580</v>
      </c>
      <c r="AH149" s="618">
        <f>SUMIFS(Нормативы!T:T,Нормативы!$B:$B,$G149,Нормативы!$D:$D,'2020'!$I149,Нормативы!$F:$F,'2020'!$K149)</f>
        <v>54</v>
      </c>
      <c r="AI149" s="618">
        <f>SUMIFS(Нормативы!U:U,Нормативы!$B:$B,$G149,Нормативы!$D:$D,'2020'!$I149,Нормативы!$F:$F,'2020'!$K149)</f>
        <v>77</v>
      </c>
      <c r="AJ149" s="618">
        <f>SUMIFS(Нормативы!V:V,Нормативы!$B:$B,$G149,Нормативы!$D:$D,'2020'!$I149,Нормативы!$F:$F,'2020'!$K149)</f>
        <v>8</v>
      </c>
      <c r="AK149" s="618">
        <f>SUMIFS(Нормативы!W:W,Нормативы!$B:$B,$G149,Нормативы!$D:$D,'2020'!$I149,Нормативы!$F:$F,'2020'!$K149)</f>
        <v>105</v>
      </c>
      <c r="AL149" s="618">
        <f>SUMIFS(Нормативы!X:X,Нормативы!$B:$B,$G149,Нормативы!$D:$D,'2020'!$I149,Нормативы!$F:$F,'2020'!$K149)*O149</f>
        <v>3224</v>
      </c>
      <c r="AM149" s="618">
        <f t="shared" si="332"/>
        <v>2476.1999999999998</v>
      </c>
      <c r="AN149" s="618">
        <f t="shared" si="333"/>
        <v>747.8</v>
      </c>
      <c r="AO149" s="618">
        <f>SUMIFS(Нормативы!AA:AA,Нормативы!$B:$B,$G149,Нормативы!$D:$D,'2020'!$I149,Нормативы!$F:$F,'2020'!$K149)</f>
        <v>0</v>
      </c>
      <c r="AP149" s="619">
        <f t="shared" si="334"/>
        <v>20841</v>
      </c>
      <c r="AQ149" s="413">
        <f t="shared" ref="AQ149:AQ218" si="418">ROUND($P149*U149,0)</f>
        <v>12838</v>
      </c>
      <c r="AR149" s="618">
        <f t="shared" si="335"/>
        <v>9860.2000000000007</v>
      </c>
      <c r="AS149" s="618">
        <f t="shared" si="336"/>
        <v>2977.8</v>
      </c>
      <c r="AT149" s="616">
        <f t="shared" ref="AT149:AT218" si="419">ROUND($P149*X149,0)</f>
        <v>883</v>
      </c>
      <c r="AU149" s="616">
        <f t="shared" ref="AU149:AU218" si="420">ROUND($P149*Y149,0)</f>
        <v>177</v>
      </c>
      <c r="AV149" s="616">
        <f t="shared" ref="AV149:AV218" si="421">ROUND($P149*Z149,0)</f>
        <v>811</v>
      </c>
      <c r="AW149" s="616">
        <f t="shared" ref="AW149:AW218" si="422">ROUND($P149*AA149,0)</f>
        <v>1993</v>
      </c>
      <c r="AX149" s="616">
        <f t="shared" ref="AX149:AX218" si="423">ROUND($P149*AB149,0)</f>
        <v>104</v>
      </c>
      <c r="AY149" s="616">
        <f t="shared" ref="AY149:AY218" si="424">ROUND($P149*AC149,0)</f>
        <v>1729</v>
      </c>
      <c r="AZ149" s="616">
        <f t="shared" ref="AZ149:AZ218" si="425">ROUND($P149*AD149,0)</f>
        <v>72</v>
      </c>
      <c r="BA149" s="616">
        <f t="shared" ref="BA149:BA218" si="426">ROUND($P149*AE149,0)</f>
        <v>88</v>
      </c>
      <c r="BB149" s="616">
        <f t="shared" ref="BB149:BB218" si="427">ROUND($P149*AF149,0)</f>
        <v>268</v>
      </c>
      <c r="BC149" s="616">
        <f t="shared" ref="BC149:BC218" si="428">ROUND($P149*AG149,0)</f>
        <v>580</v>
      </c>
      <c r="BD149" s="616">
        <f t="shared" ref="BD149:BD218" si="429">ROUND($P149*AH149,0)</f>
        <v>54</v>
      </c>
      <c r="BE149" s="616">
        <f t="shared" ref="BE149:BE218" si="430">ROUND($P149*AI149,0)</f>
        <v>77</v>
      </c>
      <c r="BF149" s="616">
        <f t="shared" ref="BF149:BF218" si="431">ROUND($P149*AJ149,0)</f>
        <v>8</v>
      </c>
      <c r="BG149" s="616">
        <f t="shared" ref="BG149:BG218" si="432">ROUND($P149*AK149,0)</f>
        <v>105</v>
      </c>
      <c r="BH149" s="616">
        <f t="shared" ref="BH149:BH218" si="433">ROUND($P149*AL149,0)</f>
        <v>3224</v>
      </c>
      <c r="BI149" s="618">
        <f t="shared" si="337"/>
        <v>2476.1999999999998</v>
      </c>
      <c r="BJ149" s="618">
        <f t="shared" si="338"/>
        <v>747.8</v>
      </c>
      <c r="BK149" s="616">
        <f t="shared" ref="BK149:BK218" si="434">ROUND($P149*AO149,0)</f>
        <v>0</v>
      </c>
      <c r="BL149" s="620">
        <f t="shared" ref="BL149:BL218" si="435">AQ149+AT149+AV149+AW149++BB149+BC149+BD149+BE149+BF149+BG149+BH149+BK149</f>
        <v>20841</v>
      </c>
      <c r="BM149" s="616">
        <f t="shared" ref="BM149:BM218" si="436">ROUND(AQ149*S149,0)</f>
        <v>26023</v>
      </c>
      <c r="BN149" s="618">
        <f t="shared" ref="BN149:BN218" si="437">ROUND(BM149/1.302,1)</f>
        <v>19986.900000000001</v>
      </c>
      <c r="BO149" s="618">
        <f t="shared" ref="BO149:BO218" si="438">BM149-BN149</f>
        <v>6036.1</v>
      </c>
      <c r="BP149" s="616">
        <f t="shared" si="339"/>
        <v>883</v>
      </c>
      <c r="BQ149" s="616">
        <f t="shared" si="340"/>
        <v>177</v>
      </c>
      <c r="BR149" s="616">
        <f t="shared" si="341"/>
        <v>811</v>
      </c>
      <c r="BS149" s="616">
        <f t="shared" ref="BS149:BS218" si="439">AW149</f>
        <v>1993</v>
      </c>
      <c r="BT149" s="616">
        <f t="shared" ref="BT149:BT218" si="440">AX149</f>
        <v>104</v>
      </c>
      <c r="BU149" s="616">
        <f t="shared" ref="BU149:BU218" si="441">AY149</f>
        <v>1729</v>
      </c>
      <c r="BV149" s="616">
        <f t="shared" ref="BV149:BV218" si="442">AZ149</f>
        <v>72</v>
      </c>
      <c r="BW149" s="616">
        <f t="shared" ref="BW149:BW218" si="443">BA149</f>
        <v>88</v>
      </c>
      <c r="BX149" s="616">
        <f t="shared" ref="BX149:BX218" si="444">ROUND(BB149*T149,0)</f>
        <v>891</v>
      </c>
      <c r="BY149" s="616">
        <f t="shared" ref="BY149:BY218" si="445">BC149</f>
        <v>580</v>
      </c>
      <c r="BZ149" s="616">
        <f t="shared" ref="BZ149:BZ218" si="446">BD149</f>
        <v>54</v>
      </c>
      <c r="CA149" s="616">
        <f t="shared" ref="CA149:CA218" si="447">BE149</f>
        <v>77</v>
      </c>
      <c r="CB149" s="616">
        <f t="shared" ref="CB149:CB218" si="448">BF149</f>
        <v>8</v>
      </c>
      <c r="CC149" s="616">
        <f t="shared" ref="CC149:CC218" si="449">BG149</f>
        <v>105</v>
      </c>
      <c r="CD149" s="616">
        <f t="shared" ref="CD149:CD218" si="450">ROUND(BH149*S149,0)</f>
        <v>6535</v>
      </c>
      <c r="CE149" s="618">
        <f t="shared" si="342"/>
        <v>5019.2</v>
      </c>
      <c r="CF149" s="618">
        <f t="shared" si="343"/>
        <v>1515.8</v>
      </c>
      <c r="CG149" s="616">
        <f t="shared" ref="CG149:CG218" si="451">BK149</f>
        <v>0</v>
      </c>
      <c r="CH149" s="621">
        <f t="shared" ref="CH149:CH218" si="452">BM149+BP149+BR149+BS149++BX149+BY149+BZ149+CA149+CB149+CC149+CD149+CG149</f>
        <v>37960</v>
      </c>
      <c r="CI149" s="88">
        <f t="shared" ref="CI149:CI218" si="453">ROUND(BM149/$P149,4)</f>
        <v>26023</v>
      </c>
      <c r="CJ149" s="90">
        <f t="shared" ref="CJ149:CJ218" si="454">ROUND(BN149/$P149,4)</f>
        <v>19986.900000000001</v>
      </c>
      <c r="CK149" s="90">
        <f t="shared" ref="CK149:CK218" si="455">ROUND(BO149/$P149,4)</f>
        <v>6036.1</v>
      </c>
      <c r="CL149" s="88">
        <f t="shared" ref="CL149:CL218" si="456">ROUND(BP149/$P149,4)</f>
        <v>883</v>
      </c>
      <c r="CM149" s="88">
        <f t="shared" ref="CM149:CM218" si="457">ROUND(BQ149/$P149,4)</f>
        <v>177</v>
      </c>
      <c r="CN149" s="88">
        <f t="shared" ref="CN149:CN218" si="458">ROUND(BR149/$P149,4)</f>
        <v>811</v>
      </c>
      <c r="CO149" s="88">
        <f t="shared" ref="CO149:CO218" si="459">ROUND(BS149/$P149,4)</f>
        <v>1993</v>
      </c>
      <c r="CP149" s="88">
        <f t="shared" ref="CP149:CP218" si="460">ROUND(BT149/$P149,4)</f>
        <v>104</v>
      </c>
      <c r="CQ149" s="88">
        <f t="shared" ref="CQ149:CQ218" si="461">ROUND(BU149/$P149,4)</f>
        <v>1729</v>
      </c>
      <c r="CR149" s="88">
        <f t="shared" ref="CR149:CR218" si="462">ROUND(BV149/$P149,4)</f>
        <v>72</v>
      </c>
      <c r="CS149" s="88">
        <f t="shared" ref="CS149:CS218" si="463">ROUND(BW149/$P149,4)</f>
        <v>88</v>
      </c>
      <c r="CT149" s="88">
        <f t="shared" ref="CT149:CT218" si="464">ROUND(BX149/$P149,4)</f>
        <v>891</v>
      </c>
      <c r="CU149" s="88">
        <f t="shared" ref="CU149:CU218" si="465">ROUND(BY149/$P149,4)</f>
        <v>580</v>
      </c>
      <c r="CV149" s="88">
        <f t="shared" ref="CV149:CV218" si="466">ROUND(BZ149/$P149,4)</f>
        <v>54</v>
      </c>
      <c r="CW149" s="88">
        <f t="shared" ref="CW149:CW218" si="467">ROUND(CA149/$P149,4)</f>
        <v>77</v>
      </c>
      <c r="CX149" s="88">
        <f t="shared" ref="CX149:CX218" si="468">ROUND(CB149/$P149,4)</f>
        <v>8</v>
      </c>
      <c r="CY149" s="88">
        <f t="shared" ref="CY149:CY218" si="469">ROUND(CC149/$P149,4)</f>
        <v>105</v>
      </c>
      <c r="CZ149" s="88">
        <f t="shared" ref="CZ149:CZ218" si="470">ROUND(CD149/$P149,4)</f>
        <v>6535</v>
      </c>
      <c r="DA149" s="90">
        <f t="shared" ref="DA149:DA218" si="471">ROUND(CE149/$P149,4)</f>
        <v>5019.2</v>
      </c>
      <c r="DB149" s="90">
        <f t="shared" ref="DB149:DB218" si="472">ROUND(CF149/$P149,4)</f>
        <v>1515.8</v>
      </c>
      <c r="DC149" s="88">
        <f t="shared" ref="DC149:DC218" si="473">ROUND(CG149/$P149,4)</f>
        <v>0</v>
      </c>
      <c r="DD149" s="88">
        <f t="shared" ref="DD149:DD218" si="474">ROUND(CH149/$P149,4)</f>
        <v>37960</v>
      </c>
      <c r="AUV149" s="699">
        <f t="shared" si="409"/>
        <v>26023</v>
      </c>
      <c r="AUW149" s="699">
        <f t="shared" si="410"/>
        <v>19986.939999999999</v>
      </c>
      <c r="AUX149" s="699">
        <f t="shared" si="411"/>
        <v>6036.06</v>
      </c>
      <c r="AUY149" s="699">
        <f t="shared" si="392"/>
        <v>883</v>
      </c>
      <c r="AUZ149" s="699">
        <f t="shared" ref="AUY149:AVB212" si="475">BQ149/T149</f>
        <v>53.22</v>
      </c>
      <c r="AVA149" s="699">
        <f t="shared" si="475"/>
        <v>0.06</v>
      </c>
      <c r="AVB149" s="699">
        <f t="shared" si="393"/>
        <v>1993</v>
      </c>
      <c r="AVC149" s="699">
        <f t="shared" si="394"/>
        <v>104</v>
      </c>
      <c r="AVD149" s="699">
        <f t="shared" si="395"/>
        <v>1729</v>
      </c>
      <c r="AVE149" s="699">
        <f t="shared" si="396"/>
        <v>72</v>
      </c>
      <c r="AVF149" s="699">
        <f t="shared" si="397"/>
        <v>88</v>
      </c>
      <c r="AVG149" s="699">
        <f t="shared" si="398"/>
        <v>891</v>
      </c>
      <c r="AVH149" s="699">
        <f t="shared" si="399"/>
        <v>580</v>
      </c>
      <c r="AVI149" s="699">
        <f t="shared" si="400"/>
        <v>54</v>
      </c>
      <c r="AVJ149" s="699">
        <f t="shared" si="401"/>
        <v>77</v>
      </c>
      <c r="AVK149" s="699">
        <f t="shared" si="402"/>
        <v>8</v>
      </c>
      <c r="AVL149" s="699">
        <f t="shared" si="403"/>
        <v>105</v>
      </c>
      <c r="AVM149" s="699">
        <f t="shared" si="404"/>
        <v>6535</v>
      </c>
      <c r="AVN149" s="699">
        <f t="shared" si="405"/>
        <v>5019.2</v>
      </c>
      <c r="AVO149" s="699">
        <f t="shared" si="406"/>
        <v>1515.8</v>
      </c>
      <c r="AVP149" s="699">
        <f t="shared" si="407"/>
        <v>0</v>
      </c>
      <c r="AVQ149" s="699">
        <f t="shared" si="408"/>
        <v>37960</v>
      </c>
    </row>
    <row r="150" spans="1:108 1244:1265" ht="30" customHeight="1" x14ac:dyDescent="0.25">
      <c r="A150" s="643">
        <v>1</v>
      </c>
      <c r="B150" s="643">
        <v>4</v>
      </c>
      <c r="C150" s="664" t="s">
        <v>18</v>
      </c>
      <c r="D150" s="2"/>
      <c r="E150" s="101" t="s">
        <v>344</v>
      </c>
      <c r="F150" s="643" t="s">
        <v>31</v>
      </c>
      <c r="G150" s="643">
        <v>1</v>
      </c>
      <c r="H150" s="658" t="s">
        <v>10</v>
      </c>
      <c r="I150" s="643">
        <v>0</v>
      </c>
      <c r="J150" s="101" t="s">
        <v>357</v>
      </c>
      <c r="K150" s="643">
        <v>3</v>
      </c>
      <c r="L150" s="683" t="s">
        <v>349</v>
      </c>
      <c r="M150" s="11" t="s">
        <v>258</v>
      </c>
      <c r="N150" s="101" t="s">
        <v>387</v>
      </c>
      <c r="O150" s="643">
        <v>1</v>
      </c>
      <c r="P150" s="632">
        <v>24</v>
      </c>
      <c r="Q150" s="632">
        <v>24</v>
      </c>
      <c r="R150" s="632">
        <v>24</v>
      </c>
      <c r="S150" s="675">
        <f>SUMIF('Территориальный кк'!$A:$A,'2020'!$B150,'Территориальный кк'!D:D)</f>
        <v>2.0270000000000001</v>
      </c>
      <c r="T150" s="676">
        <f>SUMIF('Территориальный кк'!$A:$A,'2020'!$B150,'Территориальный кк'!E:E)</f>
        <v>3.3260000000000001</v>
      </c>
      <c r="U150" s="618">
        <f>SUMIFS(Нормативы!G:G,Нормативы!$B:$B,$G150,Нормативы!$D:$D,'2020'!$I150,Нормативы!$F:$F,'2020'!$K150)*O150</f>
        <v>64190</v>
      </c>
      <c r="V150" s="618">
        <f t="shared" ref="V150:V219" si="476">ROUND(U150/1.302,1)</f>
        <v>49301.1</v>
      </c>
      <c r="W150" s="618">
        <f t="shared" ref="W150:W219" si="477">U150-V150</f>
        <v>14888.9</v>
      </c>
      <c r="X150" s="618">
        <f>SUMIFS(Нормативы!J:J,Нормативы!$B:$B,$G150,Нормативы!$D:$D,'2020'!$I150,Нормативы!$F:$F,'2020'!$K150)</f>
        <v>8830</v>
      </c>
      <c r="Y150" s="618">
        <f>SUMIFS(Нормативы!K:K,Нормативы!$B:$B,$G150,Нормативы!$D:$D,'2020'!$I150,Нормативы!$F:$F,'2020'!$K150)</f>
        <v>1766</v>
      </c>
      <c r="Z150" s="618">
        <f>SUMIFS(Нормативы!L:L,Нормативы!$B:$B,$G150,Нормативы!$D:$D,'2020'!$I150,Нормативы!$F:$F,'2020'!$K150)</f>
        <v>8110</v>
      </c>
      <c r="AA150" s="618">
        <f t="shared" ref="AA150:AA219" si="478">AB150+AC150+AD150+AE150</f>
        <v>19050</v>
      </c>
      <c r="AB150" s="618">
        <f>SUMIFS(Нормативы!N:N,Нормативы!$B:$B,$G150,Нормативы!$D:$D,'2020'!$I150,Нормативы!$F:$F,'2020'!$K150)*O150</f>
        <v>520</v>
      </c>
      <c r="AC150" s="618">
        <f>SUMIFS(Нормативы!O:O,Нормативы!$B:$B,$G150,Нормативы!$D:$D,'2020'!$I150,Нормативы!$F:$F,'2020'!$K150)</f>
        <v>17290</v>
      </c>
      <c r="AD150" s="618">
        <f>SUMIFS(Нормативы!P:P,Нормативы!$B:$B,$G150,Нормативы!$D:$D,'2020'!$I150,Нормативы!$F:$F,'2020'!$K150)*O150</f>
        <v>360</v>
      </c>
      <c r="AE150" s="618">
        <f>SUMIFS(Нормативы!Q:Q,Нормативы!$B:$B,$G150,Нормативы!$D:$D,'2020'!$I150,Нормативы!$F:$F,'2020'!$K150)</f>
        <v>880</v>
      </c>
      <c r="AF150" s="618">
        <f>SUMIFS(Нормативы!R:R,Нормативы!$B:$B,$G150,Нормативы!$D:$D,'2020'!$I150,Нормативы!$F:$F,'2020'!$K150)</f>
        <v>2680</v>
      </c>
      <c r="AG150" s="618">
        <f>SUMIFS(Нормативы!S:S,Нормативы!$B:$B,$G150,Нормативы!$D:$D,'2020'!$I150,Нормативы!$F:$F,'2020'!$K150)</f>
        <v>5800</v>
      </c>
      <c r="AH150" s="618">
        <f>SUMIFS(Нормативы!T:T,Нормативы!$B:$B,$G150,Нормативы!$D:$D,'2020'!$I150,Нормативы!$F:$F,'2020'!$K150)</f>
        <v>540</v>
      </c>
      <c r="AI150" s="618">
        <f>SUMIFS(Нормативы!U:U,Нормативы!$B:$B,$G150,Нормативы!$D:$D,'2020'!$I150,Нормативы!$F:$F,'2020'!$K150)</f>
        <v>770</v>
      </c>
      <c r="AJ150" s="618">
        <f>SUMIFS(Нормативы!V:V,Нормативы!$B:$B,$G150,Нормативы!$D:$D,'2020'!$I150,Нормативы!$F:$F,'2020'!$K150)</f>
        <v>80</v>
      </c>
      <c r="AK150" s="618">
        <f>SUMIFS(Нормативы!W:W,Нормативы!$B:$B,$G150,Нормативы!$D:$D,'2020'!$I150,Нормативы!$F:$F,'2020'!$K150)</f>
        <v>1050</v>
      </c>
      <c r="AL150" s="618">
        <f>SUMIFS(Нормативы!X:X,Нормативы!$B:$B,$G150,Нормативы!$D:$D,'2020'!$I150,Нормативы!$F:$F,'2020'!$K150)*O150</f>
        <v>16120</v>
      </c>
      <c r="AM150" s="618">
        <f t="shared" ref="AM150:AM219" si="479">ROUND(AL150/1.302,1)</f>
        <v>12381</v>
      </c>
      <c r="AN150" s="618">
        <f t="shared" ref="AN150:AN219" si="480">AL150-AM150</f>
        <v>3739</v>
      </c>
      <c r="AO150" s="618">
        <f>SUMIFS(Нормативы!AA:AA,Нормативы!$B:$B,$G150,Нормативы!$D:$D,'2020'!$I150,Нормативы!$F:$F,'2020'!$K150)</f>
        <v>3520</v>
      </c>
      <c r="AP150" s="619">
        <f t="shared" ref="AP150:AP219" si="481">U150+X150+Z150+AA150++AF150+AG150+AH150+AI150+AJ150+AK150+AL150+AO150</f>
        <v>130740</v>
      </c>
      <c r="AQ150" s="413">
        <f t="shared" si="418"/>
        <v>1540560</v>
      </c>
      <c r="AR150" s="618">
        <f t="shared" ref="AR150:AR219" si="482">ROUND(AQ150/1.302,1)</f>
        <v>1183225.8</v>
      </c>
      <c r="AS150" s="618">
        <f t="shared" ref="AS150:AS219" si="483">AQ150-AR150</f>
        <v>357334.2</v>
      </c>
      <c r="AT150" s="616">
        <f t="shared" si="419"/>
        <v>211920</v>
      </c>
      <c r="AU150" s="616">
        <f t="shared" si="420"/>
        <v>42384</v>
      </c>
      <c r="AV150" s="616">
        <f t="shared" si="421"/>
        <v>194640</v>
      </c>
      <c r="AW150" s="616">
        <f t="shared" si="422"/>
        <v>457200</v>
      </c>
      <c r="AX150" s="616">
        <f t="shared" si="423"/>
        <v>12480</v>
      </c>
      <c r="AY150" s="616">
        <f t="shared" si="424"/>
        <v>414960</v>
      </c>
      <c r="AZ150" s="616">
        <f t="shared" si="425"/>
        <v>8640</v>
      </c>
      <c r="BA150" s="616">
        <f t="shared" si="426"/>
        <v>21120</v>
      </c>
      <c r="BB150" s="616">
        <f t="shared" si="427"/>
        <v>64320</v>
      </c>
      <c r="BC150" s="616">
        <f t="shared" si="428"/>
        <v>139200</v>
      </c>
      <c r="BD150" s="616">
        <f t="shared" si="429"/>
        <v>12960</v>
      </c>
      <c r="BE150" s="616">
        <f t="shared" si="430"/>
        <v>18480</v>
      </c>
      <c r="BF150" s="616">
        <f t="shared" si="431"/>
        <v>1920</v>
      </c>
      <c r="BG150" s="616">
        <f t="shared" si="432"/>
        <v>25200</v>
      </c>
      <c r="BH150" s="616">
        <f t="shared" si="433"/>
        <v>386880</v>
      </c>
      <c r="BI150" s="618">
        <f t="shared" ref="BI150:BI219" si="484">ROUND(BH150/1.302,1)</f>
        <v>297142.90000000002</v>
      </c>
      <c r="BJ150" s="618">
        <f t="shared" ref="BJ150:BJ219" si="485">BH150-BI150</f>
        <v>89737.1</v>
      </c>
      <c r="BK150" s="616">
        <f t="shared" si="434"/>
        <v>84480</v>
      </c>
      <c r="BL150" s="620">
        <f t="shared" si="435"/>
        <v>3137760</v>
      </c>
      <c r="BM150" s="616">
        <f t="shared" si="436"/>
        <v>3122715</v>
      </c>
      <c r="BN150" s="618">
        <f t="shared" si="437"/>
        <v>2398398.6</v>
      </c>
      <c r="BO150" s="618">
        <f t="shared" si="438"/>
        <v>724316.4</v>
      </c>
      <c r="BP150" s="616">
        <f t="shared" ref="BP150:BP219" si="486">AT150</f>
        <v>211920</v>
      </c>
      <c r="BQ150" s="616">
        <f t="shared" ref="BQ150:BQ219" si="487">AU150</f>
        <v>42384</v>
      </c>
      <c r="BR150" s="616">
        <f t="shared" ref="BR150:BR219" si="488">AV150</f>
        <v>194640</v>
      </c>
      <c r="BS150" s="616">
        <f t="shared" si="439"/>
        <v>457200</v>
      </c>
      <c r="BT150" s="616">
        <f t="shared" si="440"/>
        <v>12480</v>
      </c>
      <c r="BU150" s="616">
        <f t="shared" si="441"/>
        <v>414960</v>
      </c>
      <c r="BV150" s="616">
        <f t="shared" si="442"/>
        <v>8640</v>
      </c>
      <c r="BW150" s="616">
        <f t="shared" si="443"/>
        <v>21120</v>
      </c>
      <c r="BX150" s="616">
        <f t="shared" si="444"/>
        <v>213928</v>
      </c>
      <c r="BY150" s="616">
        <f t="shared" si="445"/>
        <v>139200</v>
      </c>
      <c r="BZ150" s="616">
        <f t="shared" si="446"/>
        <v>12960</v>
      </c>
      <c r="CA150" s="616">
        <f t="shared" si="447"/>
        <v>18480</v>
      </c>
      <c r="CB150" s="616">
        <f t="shared" si="448"/>
        <v>1920</v>
      </c>
      <c r="CC150" s="616">
        <f t="shared" si="449"/>
        <v>25200</v>
      </c>
      <c r="CD150" s="616">
        <f t="shared" si="450"/>
        <v>784206</v>
      </c>
      <c r="CE150" s="618">
        <f t="shared" ref="CE150:CE219" si="489">ROUND(CD150/1.302,1)</f>
        <v>602308.80000000005</v>
      </c>
      <c r="CF150" s="618">
        <f t="shared" ref="CF150:CF219" si="490">CD150-CE150</f>
        <v>181897.2</v>
      </c>
      <c r="CG150" s="616">
        <f t="shared" si="451"/>
        <v>84480</v>
      </c>
      <c r="CH150" s="621">
        <f t="shared" si="452"/>
        <v>5266849</v>
      </c>
      <c r="CI150" s="88">
        <f t="shared" si="453"/>
        <v>130113.125</v>
      </c>
      <c r="CJ150" s="90">
        <f t="shared" si="454"/>
        <v>99933.274999999994</v>
      </c>
      <c r="CK150" s="90">
        <f t="shared" si="455"/>
        <v>30179.85</v>
      </c>
      <c r="CL150" s="88">
        <f t="shared" si="456"/>
        <v>8830</v>
      </c>
      <c r="CM150" s="88">
        <f t="shared" si="457"/>
        <v>1766</v>
      </c>
      <c r="CN150" s="88">
        <f t="shared" si="458"/>
        <v>8110</v>
      </c>
      <c r="CO150" s="88">
        <f t="shared" si="459"/>
        <v>19050</v>
      </c>
      <c r="CP150" s="88">
        <f t="shared" si="460"/>
        <v>520</v>
      </c>
      <c r="CQ150" s="88">
        <f t="shared" si="461"/>
        <v>17290</v>
      </c>
      <c r="CR150" s="88">
        <f t="shared" si="462"/>
        <v>360</v>
      </c>
      <c r="CS150" s="88">
        <f t="shared" si="463"/>
        <v>880</v>
      </c>
      <c r="CT150" s="88">
        <f t="shared" si="464"/>
        <v>8913.6666999999998</v>
      </c>
      <c r="CU150" s="88">
        <f t="shared" si="465"/>
        <v>5800</v>
      </c>
      <c r="CV150" s="88">
        <f t="shared" si="466"/>
        <v>540</v>
      </c>
      <c r="CW150" s="88">
        <f t="shared" si="467"/>
        <v>770</v>
      </c>
      <c r="CX150" s="88">
        <f t="shared" si="468"/>
        <v>80</v>
      </c>
      <c r="CY150" s="88">
        <f t="shared" si="469"/>
        <v>1050</v>
      </c>
      <c r="CZ150" s="88">
        <f t="shared" si="470"/>
        <v>32675.25</v>
      </c>
      <c r="DA150" s="90">
        <f t="shared" si="471"/>
        <v>25096.2</v>
      </c>
      <c r="DB150" s="90">
        <f t="shared" si="472"/>
        <v>7579.05</v>
      </c>
      <c r="DC150" s="88">
        <f t="shared" si="473"/>
        <v>3520</v>
      </c>
      <c r="DD150" s="211">
        <f t="shared" si="474"/>
        <v>219452.0417</v>
      </c>
      <c r="AUV150" s="699">
        <f t="shared" si="409"/>
        <v>130113.13</v>
      </c>
      <c r="AUW150" s="699">
        <f t="shared" si="410"/>
        <v>99933.28</v>
      </c>
      <c r="AUX150" s="699">
        <f t="shared" si="411"/>
        <v>30179.85</v>
      </c>
      <c r="AUY150" s="699">
        <f t="shared" si="392"/>
        <v>8830</v>
      </c>
      <c r="AUZ150" s="699">
        <f t="shared" si="475"/>
        <v>12743.24</v>
      </c>
      <c r="AVA150" s="699">
        <f t="shared" si="475"/>
        <v>3.03</v>
      </c>
      <c r="AVB150" s="699">
        <f t="shared" si="393"/>
        <v>19050</v>
      </c>
      <c r="AVC150" s="699">
        <f t="shared" si="394"/>
        <v>520</v>
      </c>
      <c r="AVD150" s="699">
        <f t="shared" si="395"/>
        <v>17290</v>
      </c>
      <c r="AVE150" s="699">
        <f t="shared" si="396"/>
        <v>360</v>
      </c>
      <c r="AVF150" s="699">
        <f t="shared" si="397"/>
        <v>880</v>
      </c>
      <c r="AVG150" s="699">
        <f t="shared" si="398"/>
        <v>8913.67</v>
      </c>
      <c r="AVH150" s="699">
        <f t="shared" si="399"/>
        <v>5800</v>
      </c>
      <c r="AVI150" s="699">
        <f t="shared" si="400"/>
        <v>540</v>
      </c>
      <c r="AVJ150" s="699">
        <f t="shared" si="401"/>
        <v>770</v>
      </c>
      <c r="AVK150" s="699">
        <f t="shared" si="402"/>
        <v>80</v>
      </c>
      <c r="AVL150" s="699">
        <f t="shared" si="403"/>
        <v>1050</v>
      </c>
      <c r="AVM150" s="699">
        <f t="shared" si="404"/>
        <v>32675.25</v>
      </c>
      <c r="AVN150" s="699">
        <f t="shared" si="405"/>
        <v>25096.2</v>
      </c>
      <c r="AVO150" s="699">
        <f t="shared" si="406"/>
        <v>7579.05</v>
      </c>
      <c r="AVP150" s="699">
        <f t="shared" si="407"/>
        <v>3520</v>
      </c>
      <c r="AVQ150" s="699">
        <f t="shared" si="408"/>
        <v>219452.04</v>
      </c>
    </row>
    <row r="151" spans="1:108 1244:1265" ht="30" customHeight="1" x14ac:dyDescent="0.25">
      <c r="A151" s="643">
        <v>1</v>
      </c>
      <c r="B151" s="643">
        <v>4</v>
      </c>
      <c r="C151" s="664" t="s">
        <v>18</v>
      </c>
      <c r="D151" s="2"/>
      <c r="E151" s="101" t="s">
        <v>344</v>
      </c>
      <c r="F151" s="643" t="s">
        <v>31</v>
      </c>
      <c r="G151" s="643">
        <v>1</v>
      </c>
      <c r="H151" s="658" t="s">
        <v>10</v>
      </c>
      <c r="I151" s="643">
        <v>0</v>
      </c>
      <c r="J151" s="101" t="s">
        <v>357</v>
      </c>
      <c r="K151" s="643">
        <v>3</v>
      </c>
      <c r="L151" s="683" t="s">
        <v>349</v>
      </c>
      <c r="M151" s="11" t="s">
        <v>259</v>
      </c>
      <c r="N151" s="101" t="s">
        <v>401</v>
      </c>
      <c r="O151" s="643">
        <v>2</v>
      </c>
      <c r="P151" s="632">
        <v>3</v>
      </c>
      <c r="Q151" s="632">
        <v>3</v>
      </c>
      <c r="R151" s="632">
        <v>3</v>
      </c>
      <c r="S151" s="675">
        <f>SUMIF('Территориальный кк'!$A:$A,'2020'!$B151,'Территориальный кк'!D:D)</f>
        <v>2.0270000000000001</v>
      </c>
      <c r="T151" s="676">
        <f>SUMIF('Территориальный кк'!$A:$A,'2020'!$B151,'Территориальный кк'!E:E)</f>
        <v>3.3260000000000001</v>
      </c>
      <c r="U151" s="618">
        <f>SUMIFS(Нормативы!G:G,Нормативы!$B:$B,$G151,Нормативы!$D:$D,'2020'!$I151,Нормативы!$F:$F,'2020'!$K151)*O151</f>
        <v>128380</v>
      </c>
      <c r="V151" s="618">
        <f t="shared" si="476"/>
        <v>98602.2</v>
      </c>
      <c r="W151" s="618">
        <f t="shared" si="477"/>
        <v>29777.8</v>
      </c>
      <c r="X151" s="618">
        <f>SUMIFS(Нормативы!J:J,Нормативы!$B:$B,$G151,Нормативы!$D:$D,'2020'!$I151,Нормативы!$F:$F,'2020'!$K151)</f>
        <v>8830</v>
      </c>
      <c r="Y151" s="618">
        <f>SUMIFS(Нормативы!K:K,Нормативы!$B:$B,$G151,Нормативы!$D:$D,'2020'!$I151,Нормативы!$F:$F,'2020'!$K151)</f>
        <v>1766</v>
      </c>
      <c r="Z151" s="618">
        <f>SUMIFS(Нормативы!L:L,Нормативы!$B:$B,$G151,Нормативы!$D:$D,'2020'!$I151,Нормативы!$F:$F,'2020'!$K151)</f>
        <v>8110</v>
      </c>
      <c r="AA151" s="618">
        <f t="shared" si="478"/>
        <v>19930</v>
      </c>
      <c r="AB151" s="618">
        <f>SUMIFS(Нормативы!N:N,Нормативы!$B:$B,$G151,Нормативы!$D:$D,'2020'!$I151,Нормативы!$F:$F,'2020'!$K151)*O151</f>
        <v>1040</v>
      </c>
      <c r="AC151" s="618">
        <f>SUMIFS(Нормативы!O:O,Нормативы!$B:$B,$G151,Нормативы!$D:$D,'2020'!$I151,Нормативы!$F:$F,'2020'!$K151)</f>
        <v>17290</v>
      </c>
      <c r="AD151" s="618">
        <f>SUMIFS(Нормативы!P:P,Нормативы!$B:$B,$G151,Нормативы!$D:$D,'2020'!$I151,Нормативы!$F:$F,'2020'!$K151)*O151</f>
        <v>720</v>
      </c>
      <c r="AE151" s="618">
        <f>SUMIFS(Нормативы!Q:Q,Нормативы!$B:$B,$G151,Нормативы!$D:$D,'2020'!$I151,Нормативы!$F:$F,'2020'!$K151)</f>
        <v>880</v>
      </c>
      <c r="AF151" s="618">
        <f>SUMIFS(Нормативы!R:R,Нормативы!$B:$B,$G151,Нормативы!$D:$D,'2020'!$I151,Нормативы!$F:$F,'2020'!$K151)</f>
        <v>2680</v>
      </c>
      <c r="AG151" s="618">
        <f>SUMIFS(Нормативы!S:S,Нормативы!$B:$B,$G151,Нормативы!$D:$D,'2020'!$I151,Нормативы!$F:$F,'2020'!$K151)</f>
        <v>5800</v>
      </c>
      <c r="AH151" s="618">
        <f>SUMIFS(Нормативы!T:T,Нормативы!$B:$B,$G151,Нормативы!$D:$D,'2020'!$I151,Нормативы!$F:$F,'2020'!$K151)</f>
        <v>540</v>
      </c>
      <c r="AI151" s="618">
        <f>SUMIFS(Нормативы!U:U,Нормативы!$B:$B,$G151,Нормативы!$D:$D,'2020'!$I151,Нормативы!$F:$F,'2020'!$K151)</f>
        <v>770</v>
      </c>
      <c r="AJ151" s="618">
        <f>SUMIFS(Нормативы!V:V,Нормативы!$B:$B,$G151,Нормативы!$D:$D,'2020'!$I151,Нормативы!$F:$F,'2020'!$K151)</f>
        <v>80</v>
      </c>
      <c r="AK151" s="618">
        <f>SUMIFS(Нормативы!W:W,Нормативы!$B:$B,$G151,Нормативы!$D:$D,'2020'!$I151,Нормативы!$F:$F,'2020'!$K151)</f>
        <v>1050</v>
      </c>
      <c r="AL151" s="618">
        <f>SUMIFS(Нормативы!X:X,Нормативы!$B:$B,$G151,Нормативы!$D:$D,'2020'!$I151,Нормативы!$F:$F,'2020'!$K151)*O151</f>
        <v>32240</v>
      </c>
      <c r="AM151" s="618">
        <f t="shared" si="479"/>
        <v>24761.9</v>
      </c>
      <c r="AN151" s="618">
        <f t="shared" si="480"/>
        <v>7478.1</v>
      </c>
      <c r="AO151" s="618">
        <f>SUMIFS(Нормативы!AA:AA,Нормативы!$B:$B,$G151,Нормативы!$D:$D,'2020'!$I151,Нормативы!$F:$F,'2020'!$K151)</f>
        <v>3520</v>
      </c>
      <c r="AP151" s="619">
        <f t="shared" si="481"/>
        <v>211930</v>
      </c>
      <c r="AQ151" s="413">
        <f t="shared" si="418"/>
        <v>385140</v>
      </c>
      <c r="AR151" s="618">
        <f t="shared" si="482"/>
        <v>295806.5</v>
      </c>
      <c r="AS151" s="618">
        <f t="shared" si="483"/>
        <v>89333.5</v>
      </c>
      <c r="AT151" s="616">
        <f t="shared" si="419"/>
        <v>26490</v>
      </c>
      <c r="AU151" s="616">
        <f t="shared" si="420"/>
        <v>5298</v>
      </c>
      <c r="AV151" s="616">
        <f t="shared" si="421"/>
        <v>24330</v>
      </c>
      <c r="AW151" s="616">
        <f t="shared" si="422"/>
        <v>59790</v>
      </c>
      <c r="AX151" s="616">
        <f t="shared" si="423"/>
        <v>3120</v>
      </c>
      <c r="AY151" s="616">
        <f t="shared" si="424"/>
        <v>51870</v>
      </c>
      <c r="AZ151" s="616">
        <f t="shared" si="425"/>
        <v>2160</v>
      </c>
      <c r="BA151" s="616">
        <f t="shared" si="426"/>
        <v>2640</v>
      </c>
      <c r="BB151" s="616">
        <f t="shared" si="427"/>
        <v>8040</v>
      </c>
      <c r="BC151" s="616">
        <f t="shared" si="428"/>
        <v>17400</v>
      </c>
      <c r="BD151" s="616">
        <f t="shared" si="429"/>
        <v>1620</v>
      </c>
      <c r="BE151" s="616">
        <f t="shared" si="430"/>
        <v>2310</v>
      </c>
      <c r="BF151" s="616">
        <f t="shared" si="431"/>
        <v>240</v>
      </c>
      <c r="BG151" s="616">
        <f t="shared" si="432"/>
        <v>3150</v>
      </c>
      <c r="BH151" s="616">
        <f t="shared" si="433"/>
        <v>96720</v>
      </c>
      <c r="BI151" s="618">
        <f t="shared" si="484"/>
        <v>74285.7</v>
      </c>
      <c r="BJ151" s="618">
        <f t="shared" si="485"/>
        <v>22434.3</v>
      </c>
      <c r="BK151" s="616">
        <f t="shared" si="434"/>
        <v>10560</v>
      </c>
      <c r="BL151" s="620">
        <f t="shared" si="435"/>
        <v>635790</v>
      </c>
      <c r="BM151" s="616">
        <f t="shared" si="436"/>
        <v>780679</v>
      </c>
      <c r="BN151" s="618">
        <f t="shared" si="437"/>
        <v>599599.80000000005</v>
      </c>
      <c r="BO151" s="618">
        <f t="shared" si="438"/>
        <v>181079.2</v>
      </c>
      <c r="BP151" s="616">
        <f t="shared" si="486"/>
        <v>26490</v>
      </c>
      <c r="BQ151" s="616">
        <f t="shared" si="487"/>
        <v>5298</v>
      </c>
      <c r="BR151" s="616">
        <f t="shared" si="488"/>
        <v>24330</v>
      </c>
      <c r="BS151" s="616">
        <f t="shared" si="439"/>
        <v>59790</v>
      </c>
      <c r="BT151" s="616">
        <f t="shared" si="440"/>
        <v>3120</v>
      </c>
      <c r="BU151" s="616">
        <f t="shared" si="441"/>
        <v>51870</v>
      </c>
      <c r="BV151" s="616">
        <f t="shared" si="442"/>
        <v>2160</v>
      </c>
      <c r="BW151" s="616">
        <f t="shared" si="443"/>
        <v>2640</v>
      </c>
      <c r="BX151" s="616">
        <f t="shared" si="444"/>
        <v>26741</v>
      </c>
      <c r="BY151" s="616">
        <f t="shared" si="445"/>
        <v>17400</v>
      </c>
      <c r="BZ151" s="616">
        <f t="shared" si="446"/>
        <v>1620</v>
      </c>
      <c r="CA151" s="616">
        <f t="shared" si="447"/>
        <v>2310</v>
      </c>
      <c r="CB151" s="616">
        <f t="shared" si="448"/>
        <v>240</v>
      </c>
      <c r="CC151" s="616">
        <f t="shared" si="449"/>
        <v>3150</v>
      </c>
      <c r="CD151" s="616">
        <f t="shared" si="450"/>
        <v>196051</v>
      </c>
      <c r="CE151" s="618">
        <f t="shared" si="489"/>
        <v>150576.79999999999</v>
      </c>
      <c r="CF151" s="618">
        <f t="shared" si="490"/>
        <v>45474.2</v>
      </c>
      <c r="CG151" s="616">
        <f t="shared" si="451"/>
        <v>10560</v>
      </c>
      <c r="CH151" s="621">
        <f t="shared" si="452"/>
        <v>1149361</v>
      </c>
      <c r="CI151" s="88">
        <f t="shared" si="453"/>
        <v>260226.3333</v>
      </c>
      <c r="CJ151" s="90">
        <f t="shared" si="454"/>
        <v>199866.6</v>
      </c>
      <c r="CK151" s="90">
        <f t="shared" si="455"/>
        <v>60359.7333</v>
      </c>
      <c r="CL151" s="88">
        <f t="shared" si="456"/>
        <v>8830</v>
      </c>
      <c r="CM151" s="88">
        <f t="shared" si="457"/>
        <v>1766</v>
      </c>
      <c r="CN151" s="88">
        <f t="shared" si="458"/>
        <v>8110</v>
      </c>
      <c r="CO151" s="88">
        <f t="shared" si="459"/>
        <v>19930</v>
      </c>
      <c r="CP151" s="88">
        <f t="shared" si="460"/>
        <v>1040</v>
      </c>
      <c r="CQ151" s="88">
        <f t="shared" si="461"/>
        <v>17290</v>
      </c>
      <c r="CR151" s="88">
        <f t="shared" si="462"/>
        <v>720</v>
      </c>
      <c r="CS151" s="88">
        <f t="shared" si="463"/>
        <v>880</v>
      </c>
      <c r="CT151" s="88">
        <f t="shared" si="464"/>
        <v>8913.6666999999998</v>
      </c>
      <c r="CU151" s="88">
        <f t="shared" si="465"/>
        <v>5800</v>
      </c>
      <c r="CV151" s="88">
        <f t="shared" si="466"/>
        <v>540</v>
      </c>
      <c r="CW151" s="88">
        <f t="shared" si="467"/>
        <v>770</v>
      </c>
      <c r="CX151" s="88">
        <f t="shared" si="468"/>
        <v>80</v>
      </c>
      <c r="CY151" s="88">
        <f t="shared" si="469"/>
        <v>1050</v>
      </c>
      <c r="CZ151" s="88">
        <f t="shared" si="470"/>
        <v>65350.333299999998</v>
      </c>
      <c r="DA151" s="90">
        <f t="shared" si="471"/>
        <v>50192.2667</v>
      </c>
      <c r="DB151" s="90">
        <f t="shared" si="472"/>
        <v>15158.066699999999</v>
      </c>
      <c r="DC151" s="88">
        <f t="shared" si="473"/>
        <v>3520</v>
      </c>
      <c r="DD151" s="211">
        <f t="shared" si="474"/>
        <v>383120.3333</v>
      </c>
      <c r="AUV151" s="699">
        <f t="shared" si="409"/>
        <v>260226.33</v>
      </c>
      <c r="AUW151" s="699">
        <f t="shared" si="410"/>
        <v>199866.61</v>
      </c>
      <c r="AUX151" s="699">
        <f t="shared" si="411"/>
        <v>60359.72</v>
      </c>
      <c r="AUY151" s="699">
        <f t="shared" si="392"/>
        <v>8830</v>
      </c>
      <c r="AUZ151" s="699">
        <f t="shared" si="475"/>
        <v>1592.9</v>
      </c>
      <c r="AVA151" s="699">
        <f t="shared" si="475"/>
        <v>0.19</v>
      </c>
      <c r="AVB151" s="699">
        <f t="shared" si="393"/>
        <v>19930</v>
      </c>
      <c r="AVC151" s="699">
        <f t="shared" si="394"/>
        <v>1040</v>
      </c>
      <c r="AVD151" s="699">
        <f t="shared" si="395"/>
        <v>17290</v>
      </c>
      <c r="AVE151" s="699">
        <f t="shared" si="396"/>
        <v>720</v>
      </c>
      <c r="AVF151" s="699">
        <f t="shared" si="397"/>
        <v>880</v>
      </c>
      <c r="AVG151" s="699">
        <f t="shared" si="398"/>
        <v>8913.67</v>
      </c>
      <c r="AVH151" s="699">
        <f t="shared" si="399"/>
        <v>5800</v>
      </c>
      <c r="AVI151" s="699">
        <f t="shared" si="400"/>
        <v>540</v>
      </c>
      <c r="AVJ151" s="699">
        <f t="shared" si="401"/>
        <v>770</v>
      </c>
      <c r="AVK151" s="699">
        <f t="shared" si="402"/>
        <v>80</v>
      </c>
      <c r="AVL151" s="699">
        <f t="shared" si="403"/>
        <v>1050</v>
      </c>
      <c r="AVM151" s="699">
        <f t="shared" si="404"/>
        <v>65350.33</v>
      </c>
      <c r="AVN151" s="699">
        <f t="shared" si="405"/>
        <v>50192.27</v>
      </c>
      <c r="AVO151" s="699">
        <f t="shared" si="406"/>
        <v>15158.06</v>
      </c>
      <c r="AVP151" s="699">
        <f t="shared" si="407"/>
        <v>3520</v>
      </c>
      <c r="AVQ151" s="699">
        <f t="shared" si="408"/>
        <v>383120.33</v>
      </c>
    </row>
    <row r="152" spans="1:108 1244:1265" ht="30" customHeight="1" x14ac:dyDescent="0.25">
      <c r="A152" s="643">
        <v>1</v>
      </c>
      <c r="B152" s="643">
        <v>4</v>
      </c>
      <c r="C152" s="664" t="s">
        <v>18</v>
      </c>
      <c r="D152" s="2"/>
      <c r="E152" s="101" t="s">
        <v>344</v>
      </c>
      <c r="F152" s="643" t="s">
        <v>31</v>
      </c>
      <c r="G152" s="643">
        <v>1</v>
      </c>
      <c r="H152" s="658" t="s">
        <v>8</v>
      </c>
      <c r="I152" s="643">
        <v>3</v>
      </c>
      <c r="J152" s="101" t="s">
        <v>357</v>
      </c>
      <c r="K152" s="643">
        <v>3</v>
      </c>
      <c r="L152" s="683" t="s">
        <v>349</v>
      </c>
      <c r="M152" s="11" t="s">
        <v>260</v>
      </c>
      <c r="N152" s="101" t="s">
        <v>387</v>
      </c>
      <c r="O152" s="643">
        <v>1</v>
      </c>
      <c r="P152" s="632">
        <v>25</v>
      </c>
      <c r="Q152" s="632">
        <v>25</v>
      </c>
      <c r="R152" s="632">
        <v>25</v>
      </c>
      <c r="S152" s="675">
        <f>SUMIF('Территориальный кк'!$A:$A,'2020'!$B152,'Территориальный кк'!D:D)</f>
        <v>2.0270000000000001</v>
      </c>
      <c r="T152" s="676">
        <f>SUMIF('Территориальный кк'!$A:$A,'2020'!$B152,'Территориальный кк'!E:E)</f>
        <v>3.3260000000000001</v>
      </c>
      <c r="U152" s="618">
        <f>SUMIFS(Нормативы!G:G,Нормативы!$B:$B,$G152,Нормативы!$D:$D,'2020'!$I152,Нормативы!$F:$F,'2020'!$K152)*O152</f>
        <v>6419</v>
      </c>
      <c r="V152" s="618">
        <f t="shared" si="476"/>
        <v>4930.1000000000004</v>
      </c>
      <c r="W152" s="618">
        <f t="shared" si="477"/>
        <v>1488.9</v>
      </c>
      <c r="X152" s="618">
        <f>SUMIFS(Нормативы!J:J,Нормативы!$B:$B,$G152,Нормативы!$D:$D,'2020'!$I152,Нормативы!$F:$F,'2020'!$K152)</f>
        <v>883</v>
      </c>
      <c r="Y152" s="618">
        <f>SUMIFS(Нормативы!K:K,Нормативы!$B:$B,$G152,Нормативы!$D:$D,'2020'!$I152,Нормативы!$F:$F,'2020'!$K152)</f>
        <v>177</v>
      </c>
      <c r="Z152" s="618">
        <f>SUMIFS(Нормативы!L:L,Нормативы!$B:$B,$G152,Нормативы!$D:$D,'2020'!$I152,Нормативы!$F:$F,'2020'!$K152)</f>
        <v>811</v>
      </c>
      <c r="AA152" s="618">
        <f t="shared" si="478"/>
        <v>1905</v>
      </c>
      <c r="AB152" s="618">
        <f>SUMIFS(Нормативы!N:N,Нормативы!$B:$B,$G152,Нормативы!$D:$D,'2020'!$I152,Нормативы!$F:$F,'2020'!$K152)*O152</f>
        <v>52</v>
      </c>
      <c r="AC152" s="618">
        <f>SUMIFS(Нормативы!O:O,Нормативы!$B:$B,$G152,Нормативы!$D:$D,'2020'!$I152,Нормативы!$F:$F,'2020'!$K152)</f>
        <v>1729</v>
      </c>
      <c r="AD152" s="618">
        <f>SUMIFS(Нормативы!P:P,Нормативы!$B:$B,$G152,Нормативы!$D:$D,'2020'!$I152,Нормативы!$F:$F,'2020'!$K152)*O152</f>
        <v>36</v>
      </c>
      <c r="AE152" s="618">
        <f>SUMIFS(Нормативы!Q:Q,Нормативы!$B:$B,$G152,Нормативы!$D:$D,'2020'!$I152,Нормативы!$F:$F,'2020'!$K152)</f>
        <v>88</v>
      </c>
      <c r="AF152" s="618">
        <f>SUMIFS(Нормативы!R:R,Нормативы!$B:$B,$G152,Нормативы!$D:$D,'2020'!$I152,Нормативы!$F:$F,'2020'!$K152)</f>
        <v>268</v>
      </c>
      <c r="AG152" s="618">
        <f>SUMIFS(Нормативы!S:S,Нормативы!$B:$B,$G152,Нормативы!$D:$D,'2020'!$I152,Нормативы!$F:$F,'2020'!$K152)</f>
        <v>580</v>
      </c>
      <c r="AH152" s="618">
        <f>SUMIFS(Нормативы!T:T,Нормативы!$B:$B,$G152,Нормативы!$D:$D,'2020'!$I152,Нормативы!$F:$F,'2020'!$K152)</f>
        <v>54</v>
      </c>
      <c r="AI152" s="618">
        <f>SUMIFS(Нормативы!U:U,Нормативы!$B:$B,$G152,Нормативы!$D:$D,'2020'!$I152,Нормативы!$F:$F,'2020'!$K152)</f>
        <v>77</v>
      </c>
      <c r="AJ152" s="618">
        <f>SUMIFS(Нормативы!V:V,Нормативы!$B:$B,$G152,Нормативы!$D:$D,'2020'!$I152,Нормативы!$F:$F,'2020'!$K152)</f>
        <v>8</v>
      </c>
      <c r="AK152" s="618">
        <f>SUMIFS(Нормативы!W:W,Нормативы!$B:$B,$G152,Нормативы!$D:$D,'2020'!$I152,Нормативы!$F:$F,'2020'!$K152)</f>
        <v>105</v>
      </c>
      <c r="AL152" s="618">
        <f>SUMIFS(Нормативы!X:X,Нормативы!$B:$B,$G152,Нормативы!$D:$D,'2020'!$I152,Нормативы!$F:$F,'2020'!$K152)*O152</f>
        <v>1612</v>
      </c>
      <c r="AM152" s="618">
        <f t="shared" si="479"/>
        <v>1238.0999999999999</v>
      </c>
      <c r="AN152" s="618">
        <f t="shared" si="480"/>
        <v>373.9</v>
      </c>
      <c r="AO152" s="618">
        <f>SUMIFS(Нормативы!AA:AA,Нормативы!$B:$B,$G152,Нормативы!$D:$D,'2020'!$I152,Нормативы!$F:$F,'2020'!$K152)</f>
        <v>0</v>
      </c>
      <c r="AP152" s="619">
        <f t="shared" si="481"/>
        <v>12722</v>
      </c>
      <c r="AQ152" s="413">
        <f t="shared" si="418"/>
        <v>160475</v>
      </c>
      <c r="AR152" s="618">
        <f t="shared" si="482"/>
        <v>123252.7</v>
      </c>
      <c r="AS152" s="618">
        <f t="shared" si="483"/>
        <v>37222.300000000003</v>
      </c>
      <c r="AT152" s="616">
        <f t="shared" si="419"/>
        <v>22075</v>
      </c>
      <c r="AU152" s="616">
        <f t="shared" si="420"/>
        <v>4425</v>
      </c>
      <c r="AV152" s="616">
        <f t="shared" si="421"/>
        <v>20275</v>
      </c>
      <c r="AW152" s="616">
        <f t="shared" si="422"/>
        <v>47625</v>
      </c>
      <c r="AX152" s="616">
        <f t="shared" si="423"/>
        <v>1300</v>
      </c>
      <c r="AY152" s="616">
        <f t="shared" si="424"/>
        <v>43225</v>
      </c>
      <c r="AZ152" s="616">
        <f t="shared" si="425"/>
        <v>900</v>
      </c>
      <c r="BA152" s="616">
        <f t="shared" si="426"/>
        <v>2200</v>
      </c>
      <c r="BB152" s="616">
        <f t="shared" si="427"/>
        <v>6700</v>
      </c>
      <c r="BC152" s="616">
        <f t="shared" si="428"/>
        <v>14500</v>
      </c>
      <c r="BD152" s="616">
        <f t="shared" si="429"/>
        <v>1350</v>
      </c>
      <c r="BE152" s="616">
        <f t="shared" si="430"/>
        <v>1925</v>
      </c>
      <c r="BF152" s="616">
        <f t="shared" si="431"/>
        <v>200</v>
      </c>
      <c r="BG152" s="616">
        <f t="shared" si="432"/>
        <v>2625</v>
      </c>
      <c r="BH152" s="616">
        <f t="shared" si="433"/>
        <v>40300</v>
      </c>
      <c r="BI152" s="618">
        <f t="shared" si="484"/>
        <v>30952.400000000001</v>
      </c>
      <c r="BJ152" s="618">
        <f t="shared" si="485"/>
        <v>9347.6</v>
      </c>
      <c r="BK152" s="616">
        <f t="shared" si="434"/>
        <v>0</v>
      </c>
      <c r="BL152" s="620">
        <f t="shared" si="435"/>
        <v>318050</v>
      </c>
      <c r="BM152" s="616">
        <f t="shared" si="436"/>
        <v>325283</v>
      </c>
      <c r="BN152" s="618">
        <f t="shared" si="437"/>
        <v>249833.3</v>
      </c>
      <c r="BO152" s="618">
        <f t="shared" si="438"/>
        <v>75449.7</v>
      </c>
      <c r="BP152" s="616">
        <f t="shared" si="486"/>
        <v>22075</v>
      </c>
      <c r="BQ152" s="616">
        <f t="shared" si="487"/>
        <v>4425</v>
      </c>
      <c r="BR152" s="616">
        <f t="shared" si="488"/>
        <v>20275</v>
      </c>
      <c r="BS152" s="616">
        <f t="shared" si="439"/>
        <v>47625</v>
      </c>
      <c r="BT152" s="616">
        <f t="shared" si="440"/>
        <v>1300</v>
      </c>
      <c r="BU152" s="616">
        <f t="shared" si="441"/>
        <v>43225</v>
      </c>
      <c r="BV152" s="616">
        <f t="shared" si="442"/>
        <v>900</v>
      </c>
      <c r="BW152" s="616">
        <f t="shared" si="443"/>
        <v>2200</v>
      </c>
      <c r="BX152" s="616">
        <f t="shared" si="444"/>
        <v>22284</v>
      </c>
      <c r="BY152" s="616">
        <f t="shared" si="445"/>
        <v>14500</v>
      </c>
      <c r="BZ152" s="616">
        <f t="shared" si="446"/>
        <v>1350</v>
      </c>
      <c r="CA152" s="616">
        <f t="shared" si="447"/>
        <v>1925</v>
      </c>
      <c r="CB152" s="616">
        <f t="shared" si="448"/>
        <v>200</v>
      </c>
      <c r="CC152" s="616">
        <f t="shared" si="449"/>
        <v>2625</v>
      </c>
      <c r="CD152" s="616">
        <f t="shared" si="450"/>
        <v>81688</v>
      </c>
      <c r="CE152" s="618">
        <f t="shared" si="489"/>
        <v>62740.4</v>
      </c>
      <c r="CF152" s="618">
        <f t="shared" si="490"/>
        <v>18947.599999999999</v>
      </c>
      <c r="CG152" s="616">
        <f t="shared" si="451"/>
        <v>0</v>
      </c>
      <c r="CH152" s="621">
        <f t="shared" si="452"/>
        <v>539830</v>
      </c>
      <c r="CI152" s="88">
        <f t="shared" si="453"/>
        <v>13011.32</v>
      </c>
      <c r="CJ152" s="90">
        <f t="shared" si="454"/>
        <v>9993.3320000000003</v>
      </c>
      <c r="CK152" s="90">
        <f t="shared" si="455"/>
        <v>3017.9879999999998</v>
      </c>
      <c r="CL152" s="88">
        <f t="shared" si="456"/>
        <v>883</v>
      </c>
      <c r="CM152" s="88">
        <f t="shared" si="457"/>
        <v>177</v>
      </c>
      <c r="CN152" s="88">
        <f t="shared" si="458"/>
        <v>811</v>
      </c>
      <c r="CO152" s="88">
        <f t="shared" si="459"/>
        <v>1905</v>
      </c>
      <c r="CP152" s="88">
        <f t="shared" si="460"/>
        <v>52</v>
      </c>
      <c r="CQ152" s="88">
        <f t="shared" si="461"/>
        <v>1729</v>
      </c>
      <c r="CR152" s="88">
        <f t="shared" si="462"/>
        <v>36</v>
      </c>
      <c r="CS152" s="88">
        <f t="shared" si="463"/>
        <v>88</v>
      </c>
      <c r="CT152" s="88">
        <f t="shared" si="464"/>
        <v>891.36</v>
      </c>
      <c r="CU152" s="88">
        <f t="shared" si="465"/>
        <v>580</v>
      </c>
      <c r="CV152" s="88">
        <f t="shared" si="466"/>
        <v>54</v>
      </c>
      <c r="CW152" s="88">
        <f t="shared" si="467"/>
        <v>77</v>
      </c>
      <c r="CX152" s="88">
        <f t="shared" si="468"/>
        <v>8</v>
      </c>
      <c r="CY152" s="88">
        <f t="shared" si="469"/>
        <v>105</v>
      </c>
      <c r="CZ152" s="88">
        <f t="shared" si="470"/>
        <v>3267.52</v>
      </c>
      <c r="DA152" s="90">
        <f t="shared" si="471"/>
        <v>2509.616</v>
      </c>
      <c r="DB152" s="90">
        <f t="shared" si="472"/>
        <v>757.904</v>
      </c>
      <c r="DC152" s="88">
        <f t="shared" si="473"/>
        <v>0</v>
      </c>
      <c r="DD152" s="211">
        <f t="shared" si="474"/>
        <v>21593.200000000001</v>
      </c>
      <c r="AUV152" s="699">
        <f t="shared" si="409"/>
        <v>13011.32</v>
      </c>
      <c r="AUW152" s="699">
        <f t="shared" si="410"/>
        <v>9993.33</v>
      </c>
      <c r="AUX152" s="699">
        <f t="shared" si="411"/>
        <v>3017.99</v>
      </c>
      <c r="AUY152" s="699">
        <f t="shared" si="392"/>
        <v>883</v>
      </c>
      <c r="AUZ152" s="699">
        <f t="shared" si="475"/>
        <v>1330.43</v>
      </c>
      <c r="AVA152" s="699">
        <f t="shared" si="475"/>
        <v>3.16</v>
      </c>
      <c r="AVB152" s="699">
        <f t="shared" si="393"/>
        <v>1905</v>
      </c>
      <c r="AVC152" s="699">
        <f t="shared" si="394"/>
        <v>52</v>
      </c>
      <c r="AVD152" s="699">
        <f t="shared" si="395"/>
        <v>1729</v>
      </c>
      <c r="AVE152" s="699">
        <f t="shared" si="396"/>
        <v>36</v>
      </c>
      <c r="AVF152" s="699">
        <f t="shared" si="397"/>
        <v>88</v>
      </c>
      <c r="AVG152" s="699">
        <f t="shared" si="398"/>
        <v>891.36</v>
      </c>
      <c r="AVH152" s="699">
        <f t="shared" si="399"/>
        <v>580</v>
      </c>
      <c r="AVI152" s="699">
        <f t="shared" si="400"/>
        <v>54</v>
      </c>
      <c r="AVJ152" s="699">
        <f t="shared" si="401"/>
        <v>77</v>
      </c>
      <c r="AVK152" s="699">
        <f t="shared" si="402"/>
        <v>8</v>
      </c>
      <c r="AVL152" s="699">
        <f t="shared" si="403"/>
        <v>105</v>
      </c>
      <c r="AVM152" s="699">
        <f t="shared" si="404"/>
        <v>3267.52</v>
      </c>
      <c r="AVN152" s="699">
        <f t="shared" si="405"/>
        <v>2509.62</v>
      </c>
      <c r="AVO152" s="699">
        <f t="shared" si="406"/>
        <v>757.9</v>
      </c>
      <c r="AVP152" s="699">
        <f t="shared" si="407"/>
        <v>0</v>
      </c>
      <c r="AVQ152" s="699">
        <f t="shared" si="408"/>
        <v>21593.200000000001</v>
      </c>
    </row>
    <row r="153" spans="1:108 1244:1265" ht="30" customHeight="1" x14ac:dyDescent="0.25">
      <c r="A153" s="643">
        <v>1</v>
      </c>
      <c r="B153" s="643">
        <v>4</v>
      </c>
      <c r="C153" s="664" t="s">
        <v>18</v>
      </c>
      <c r="D153" s="2"/>
      <c r="E153" s="101" t="s">
        <v>344</v>
      </c>
      <c r="F153" s="643" t="s">
        <v>31</v>
      </c>
      <c r="G153" s="643">
        <v>1</v>
      </c>
      <c r="H153" s="658" t="s">
        <v>8</v>
      </c>
      <c r="I153" s="643">
        <v>3</v>
      </c>
      <c r="J153" s="101" t="s">
        <v>357</v>
      </c>
      <c r="K153" s="643">
        <v>3</v>
      </c>
      <c r="L153" s="683" t="s">
        <v>349</v>
      </c>
      <c r="M153" s="11" t="s">
        <v>261</v>
      </c>
      <c r="N153" s="101" t="s">
        <v>401</v>
      </c>
      <c r="O153" s="643">
        <v>2</v>
      </c>
      <c r="P153" s="632">
        <v>2</v>
      </c>
      <c r="Q153" s="632">
        <v>2</v>
      </c>
      <c r="R153" s="632">
        <v>2</v>
      </c>
      <c r="S153" s="675">
        <f>SUMIF('Территориальный кк'!$A:$A,'2020'!$B153,'Территориальный кк'!D:D)</f>
        <v>2.0270000000000001</v>
      </c>
      <c r="T153" s="676">
        <f>SUMIF('Территориальный кк'!$A:$A,'2020'!$B153,'Территориальный кк'!E:E)</f>
        <v>3.3260000000000001</v>
      </c>
      <c r="U153" s="618">
        <f>SUMIFS(Нормативы!G:G,Нормативы!$B:$B,$G153,Нормативы!$D:$D,'2020'!$I153,Нормативы!$F:$F,'2020'!$K153)*O153</f>
        <v>12838</v>
      </c>
      <c r="V153" s="618">
        <f t="shared" si="476"/>
        <v>9860.2000000000007</v>
      </c>
      <c r="W153" s="618">
        <f t="shared" si="477"/>
        <v>2977.8</v>
      </c>
      <c r="X153" s="618">
        <f>SUMIFS(Нормативы!J:J,Нормативы!$B:$B,$G153,Нормативы!$D:$D,'2020'!$I153,Нормативы!$F:$F,'2020'!$K153)</f>
        <v>883</v>
      </c>
      <c r="Y153" s="618">
        <f>SUMIFS(Нормативы!K:K,Нормативы!$B:$B,$G153,Нормативы!$D:$D,'2020'!$I153,Нормативы!$F:$F,'2020'!$K153)</f>
        <v>177</v>
      </c>
      <c r="Z153" s="618">
        <f>SUMIFS(Нормативы!L:L,Нормативы!$B:$B,$G153,Нормативы!$D:$D,'2020'!$I153,Нормативы!$F:$F,'2020'!$K153)</f>
        <v>811</v>
      </c>
      <c r="AA153" s="618">
        <f t="shared" si="478"/>
        <v>1993</v>
      </c>
      <c r="AB153" s="618">
        <f>SUMIFS(Нормативы!N:N,Нормативы!$B:$B,$G153,Нормативы!$D:$D,'2020'!$I153,Нормативы!$F:$F,'2020'!$K153)*O153</f>
        <v>104</v>
      </c>
      <c r="AC153" s="618">
        <f>SUMIFS(Нормативы!O:O,Нормативы!$B:$B,$G153,Нормативы!$D:$D,'2020'!$I153,Нормативы!$F:$F,'2020'!$K153)</f>
        <v>1729</v>
      </c>
      <c r="AD153" s="618">
        <f>SUMIFS(Нормативы!P:P,Нормативы!$B:$B,$G153,Нормативы!$D:$D,'2020'!$I153,Нормативы!$F:$F,'2020'!$K153)*O153</f>
        <v>72</v>
      </c>
      <c r="AE153" s="618">
        <f>SUMIFS(Нормативы!Q:Q,Нормативы!$B:$B,$G153,Нормативы!$D:$D,'2020'!$I153,Нормативы!$F:$F,'2020'!$K153)</f>
        <v>88</v>
      </c>
      <c r="AF153" s="618">
        <f>SUMIFS(Нормативы!R:R,Нормативы!$B:$B,$G153,Нормативы!$D:$D,'2020'!$I153,Нормативы!$F:$F,'2020'!$K153)</f>
        <v>268</v>
      </c>
      <c r="AG153" s="618">
        <f>SUMIFS(Нормативы!S:S,Нормативы!$B:$B,$G153,Нормативы!$D:$D,'2020'!$I153,Нормативы!$F:$F,'2020'!$K153)</f>
        <v>580</v>
      </c>
      <c r="AH153" s="618">
        <f>SUMIFS(Нормативы!T:T,Нормативы!$B:$B,$G153,Нормативы!$D:$D,'2020'!$I153,Нормативы!$F:$F,'2020'!$K153)</f>
        <v>54</v>
      </c>
      <c r="AI153" s="618">
        <f>SUMIFS(Нормативы!U:U,Нормативы!$B:$B,$G153,Нормативы!$D:$D,'2020'!$I153,Нормативы!$F:$F,'2020'!$K153)</f>
        <v>77</v>
      </c>
      <c r="AJ153" s="618">
        <f>SUMIFS(Нормативы!V:V,Нормативы!$B:$B,$G153,Нормативы!$D:$D,'2020'!$I153,Нормативы!$F:$F,'2020'!$K153)</f>
        <v>8</v>
      </c>
      <c r="AK153" s="618">
        <f>SUMIFS(Нормативы!W:W,Нормативы!$B:$B,$G153,Нормативы!$D:$D,'2020'!$I153,Нормативы!$F:$F,'2020'!$K153)</f>
        <v>105</v>
      </c>
      <c r="AL153" s="618">
        <f>SUMIFS(Нормативы!X:X,Нормативы!$B:$B,$G153,Нормативы!$D:$D,'2020'!$I153,Нормативы!$F:$F,'2020'!$K153)*O153</f>
        <v>3224</v>
      </c>
      <c r="AM153" s="618">
        <f t="shared" si="479"/>
        <v>2476.1999999999998</v>
      </c>
      <c r="AN153" s="618">
        <f t="shared" si="480"/>
        <v>747.8</v>
      </c>
      <c r="AO153" s="618">
        <f>SUMIFS(Нормативы!AA:AA,Нормативы!$B:$B,$G153,Нормативы!$D:$D,'2020'!$I153,Нормативы!$F:$F,'2020'!$K153)</f>
        <v>0</v>
      </c>
      <c r="AP153" s="619">
        <f t="shared" si="481"/>
        <v>20841</v>
      </c>
      <c r="AQ153" s="413">
        <f t="shared" si="418"/>
        <v>25676</v>
      </c>
      <c r="AR153" s="618">
        <f t="shared" si="482"/>
        <v>19720.400000000001</v>
      </c>
      <c r="AS153" s="618">
        <f t="shared" si="483"/>
        <v>5955.6</v>
      </c>
      <c r="AT153" s="616">
        <f t="shared" si="419"/>
        <v>1766</v>
      </c>
      <c r="AU153" s="616">
        <f t="shared" si="420"/>
        <v>354</v>
      </c>
      <c r="AV153" s="616">
        <f t="shared" si="421"/>
        <v>1622</v>
      </c>
      <c r="AW153" s="616">
        <f t="shared" si="422"/>
        <v>3986</v>
      </c>
      <c r="AX153" s="616">
        <f t="shared" si="423"/>
        <v>208</v>
      </c>
      <c r="AY153" s="616">
        <f t="shared" si="424"/>
        <v>3458</v>
      </c>
      <c r="AZ153" s="616">
        <f t="shared" si="425"/>
        <v>144</v>
      </c>
      <c r="BA153" s="616">
        <f t="shared" si="426"/>
        <v>176</v>
      </c>
      <c r="BB153" s="616">
        <f t="shared" si="427"/>
        <v>536</v>
      </c>
      <c r="BC153" s="616">
        <f t="shared" si="428"/>
        <v>1160</v>
      </c>
      <c r="BD153" s="616">
        <f t="shared" si="429"/>
        <v>108</v>
      </c>
      <c r="BE153" s="616">
        <f t="shared" si="430"/>
        <v>154</v>
      </c>
      <c r="BF153" s="616">
        <f t="shared" si="431"/>
        <v>16</v>
      </c>
      <c r="BG153" s="616">
        <f t="shared" si="432"/>
        <v>210</v>
      </c>
      <c r="BH153" s="616">
        <f t="shared" si="433"/>
        <v>6448</v>
      </c>
      <c r="BI153" s="618">
        <f t="shared" si="484"/>
        <v>4952.3999999999996</v>
      </c>
      <c r="BJ153" s="618">
        <f t="shared" si="485"/>
        <v>1495.6</v>
      </c>
      <c r="BK153" s="616">
        <f t="shared" si="434"/>
        <v>0</v>
      </c>
      <c r="BL153" s="620">
        <f t="shared" si="435"/>
        <v>41682</v>
      </c>
      <c r="BM153" s="616">
        <f t="shared" si="436"/>
        <v>52045</v>
      </c>
      <c r="BN153" s="618">
        <f t="shared" si="437"/>
        <v>39973.1</v>
      </c>
      <c r="BO153" s="618">
        <f t="shared" si="438"/>
        <v>12071.9</v>
      </c>
      <c r="BP153" s="616">
        <f t="shared" si="486"/>
        <v>1766</v>
      </c>
      <c r="BQ153" s="616">
        <f t="shared" si="487"/>
        <v>354</v>
      </c>
      <c r="BR153" s="616">
        <f t="shared" si="488"/>
        <v>1622</v>
      </c>
      <c r="BS153" s="616">
        <f t="shared" si="439"/>
        <v>3986</v>
      </c>
      <c r="BT153" s="616">
        <f t="shared" si="440"/>
        <v>208</v>
      </c>
      <c r="BU153" s="616">
        <f t="shared" si="441"/>
        <v>3458</v>
      </c>
      <c r="BV153" s="616">
        <f t="shared" si="442"/>
        <v>144</v>
      </c>
      <c r="BW153" s="616">
        <f t="shared" si="443"/>
        <v>176</v>
      </c>
      <c r="BX153" s="616">
        <f t="shared" si="444"/>
        <v>1783</v>
      </c>
      <c r="BY153" s="616">
        <f t="shared" si="445"/>
        <v>1160</v>
      </c>
      <c r="BZ153" s="616">
        <f t="shared" si="446"/>
        <v>108</v>
      </c>
      <c r="CA153" s="616">
        <f t="shared" si="447"/>
        <v>154</v>
      </c>
      <c r="CB153" s="616">
        <f t="shared" si="448"/>
        <v>16</v>
      </c>
      <c r="CC153" s="616">
        <f t="shared" si="449"/>
        <v>210</v>
      </c>
      <c r="CD153" s="616">
        <f t="shared" si="450"/>
        <v>13070</v>
      </c>
      <c r="CE153" s="618">
        <f t="shared" si="489"/>
        <v>10038.4</v>
      </c>
      <c r="CF153" s="618">
        <f t="shared" si="490"/>
        <v>3031.6</v>
      </c>
      <c r="CG153" s="616">
        <f t="shared" si="451"/>
        <v>0</v>
      </c>
      <c r="CH153" s="621">
        <f t="shared" si="452"/>
        <v>75920</v>
      </c>
      <c r="CI153" s="88">
        <f t="shared" si="453"/>
        <v>26022.5</v>
      </c>
      <c r="CJ153" s="90">
        <f t="shared" si="454"/>
        <v>19986.55</v>
      </c>
      <c r="CK153" s="90">
        <f t="shared" si="455"/>
        <v>6035.95</v>
      </c>
      <c r="CL153" s="88">
        <f t="shared" si="456"/>
        <v>883</v>
      </c>
      <c r="CM153" s="88">
        <f t="shared" si="457"/>
        <v>177</v>
      </c>
      <c r="CN153" s="88">
        <f t="shared" si="458"/>
        <v>811</v>
      </c>
      <c r="CO153" s="88">
        <f t="shared" si="459"/>
        <v>1993</v>
      </c>
      <c r="CP153" s="88">
        <f t="shared" si="460"/>
        <v>104</v>
      </c>
      <c r="CQ153" s="88">
        <f t="shared" si="461"/>
        <v>1729</v>
      </c>
      <c r="CR153" s="88">
        <f t="shared" si="462"/>
        <v>72</v>
      </c>
      <c r="CS153" s="88">
        <f t="shared" si="463"/>
        <v>88</v>
      </c>
      <c r="CT153" s="88">
        <f t="shared" si="464"/>
        <v>891.5</v>
      </c>
      <c r="CU153" s="88">
        <f t="shared" si="465"/>
        <v>580</v>
      </c>
      <c r="CV153" s="88">
        <f t="shared" si="466"/>
        <v>54</v>
      </c>
      <c r="CW153" s="88">
        <f t="shared" si="467"/>
        <v>77</v>
      </c>
      <c r="CX153" s="88">
        <f t="shared" si="468"/>
        <v>8</v>
      </c>
      <c r="CY153" s="88">
        <f t="shared" si="469"/>
        <v>105</v>
      </c>
      <c r="CZ153" s="88">
        <f t="shared" si="470"/>
        <v>6535</v>
      </c>
      <c r="DA153" s="90">
        <f t="shared" si="471"/>
        <v>5019.2</v>
      </c>
      <c r="DB153" s="90">
        <f t="shared" si="472"/>
        <v>1515.8</v>
      </c>
      <c r="DC153" s="88">
        <f t="shared" si="473"/>
        <v>0</v>
      </c>
      <c r="DD153" s="211">
        <f t="shared" si="474"/>
        <v>37960</v>
      </c>
      <c r="AUV153" s="699">
        <f t="shared" si="409"/>
        <v>26022.5</v>
      </c>
      <c r="AUW153" s="699">
        <f t="shared" si="410"/>
        <v>19986.560000000001</v>
      </c>
      <c r="AUX153" s="699">
        <f t="shared" si="411"/>
        <v>6035.94</v>
      </c>
      <c r="AUY153" s="699">
        <f t="shared" si="392"/>
        <v>883</v>
      </c>
      <c r="AUZ153" s="699">
        <f t="shared" si="475"/>
        <v>106.43</v>
      </c>
      <c r="AVA153" s="699">
        <f t="shared" si="475"/>
        <v>0.13</v>
      </c>
      <c r="AVB153" s="699">
        <f t="shared" si="393"/>
        <v>1993</v>
      </c>
      <c r="AVC153" s="699">
        <f t="shared" si="394"/>
        <v>104</v>
      </c>
      <c r="AVD153" s="699">
        <f t="shared" si="395"/>
        <v>1729</v>
      </c>
      <c r="AVE153" s="699">
        <f t="shared" si="396"/>
        <v>72</v>
      </c>
      <c r="AVF153" s="699">
        <f t="shared" si="397"/>
        <v>88</v>
      </c>
      <c r="AVG153" s="699">
        <f t="shared" si="398"/>
        <v>891.5</v>
      </c>
      <c r="AVH153" s="699">
        <f t="shared" si="399"/>
        <v>580</v>
      </c>
      <c r="AVI153" s="699">
        <f t="shared" si="400"/>
        <v>54</v>
      </c>
      <c r="AVJ153" s="699">
        <f t="shared" si="401"/>
        <v>77</v>
      </c>
      <c r="AVK153" s="699">
        <f t="shared" si="402"/>
        <v>8</v>
      </c>
      <c r="AVL153" s="699">
        <f t="shared" si="403"/>
        <v>105</v>
      </c>
      <c r="AVM153" s="699">
        <f t="shared" si="404"/>
        <v>6535</v>
      </c>
      <c r="AVN153" s="699">
        <f t="shared" si="405"/>
        <v>5019.2</v>
      </c>
      <c r="AVO153" s="699">
        <f t="shared" si="406"/>
        <v>1515.8</v>
      </c>
      <c r="AVP153" s="699">
        <f t="shared" si="407"/>
        <v>0</v>
      </c>
      <c r="AVQ153" s="699">
        <f t="shared" si="408"/>
        <v>37960</v>
      </c>
    </row>
    <row r="154" spans="1:108 1244:1265" ht="30" customHeight="1" x14ac:dyDescent="0.25">
      <c r="A154" s="643">
        <v>1</v>
      </c>
      <c r="B154" s="643">
        <v>4</v>
      </c>
      <c r="C154" s="664" t="s">
        <v>18</v>
      </c>
      <c r="D154" s="2"/>
      <c r="E154" s="101" t="s">
        <v>344</v>
      </c>
      <c r="F154" s="643" t="s">
        <v>31</v>
      </c>
      <c r="G154" s="643">
        <v>1</v>
      </c>
      <c r="H154" s="658" t="s">
        <v>10</v>
      </c>
      <c r="I154" s="643">
        <v>0</v>
      </c>
      <c r="J154" s="101" t="s">
        <v>373</v>
      </c>
      <c r="K154" s="643">
        <v>3</v>
      </c>
      <c r="L154" s="683" t="s">
        <v>349</v>
      </c>
      <c r="M154" s="11" t="s">
        <v>281</v>
      </c>
      <c r="N154" s="101" t="s">
        <v>387</v>
      </c>
      <c r="O154" s="643">
        <v>1</v>
      </c>
      <c r="P154" s="632">
        <v>23</v>
      </c>
      <c r="Q154" s="632">
        <v>23</v>
      </c>
      <c r="R154" s="632">
        <v>23</v>
      </c>
      <c r="S154" s="675">
        <f>SUMIF('Территориальный кк'!$A:$A,'2020'!$B154,'Территориальный кк'!D:D)</f>
        <v>2.0270000000000001</v>
      </c>
      <c r="T154" s="676">
        <f>SUMIF('Территориальный кк'!$A:$A,'2020'!$B154,'Территориальный кк'!E:E)</f>
        <v>3.3260000000000001</v>
      </c>
      <c r="U154" s="618">
        <f>SUMIFS(Нормативы!G:G,Нормативы!$B:$B,$G154,Нормативы!$D:$D,'2020'!$I154,Нормативы!$F:$F,'2020'!$K154)*O154</f>
        <v>64190</v>
      </c>
      <c r="V154" s="618">
        <f t="shared" si="476"/>
        <v>49301.1</v>
      </c>
      <c r="W154" s="618">
        <f t="shared" si="477"/>
        <v>14888.9</v>
      </c>
      <c r="X154" s="618">
        <f>SUMIFS(Нормативы!J:J,Нормативы!$B:$B,$G154,Нормативы!$D:$D,'2020'!$I154,Нормативы!$F:$F,'2020'!$K154)</f>
        <v>8830</v>
      </c>
      <c r="Y154" s="618">
        <f>SUMIFS(Нормативы!K:K,Нормативы!$B:$B,$G154,Нормативы!$D:$D,'2020'!$I154,Нормативы!$F:$F,'2020'!$K154)</f>
        <v>1766</v>
      </c>
      <c r="Z154" s="618">
        <f>SUMIFS(Нормативы!L:L,Нормативы!$B:$B,$G154,Нормативы!$D:$D,'2020'!$I154,Нормативы!$F:$F,'2020'!$K154)</f>
        <v>8110</v>
      </c>
      <c r="AA154" s="618">
        <f t="shared" si="478"/>
        <v>19050</v>
      </c>
      <c r="AB154" s="618">
        <f>SUMIFS(Нормативы!N:N,Нормативы!$B:$B,$G154,Нормативы!$D:$D,'2020'!$I154,Нормативы!$F:$F,'2020'!$K154)*O154</f>
        <v>520</v>
      </c>
      <c r="AC154" s="618">
        <f>SUMIFS(Нормативы!O:O,Нормативы!$B:$B,$G154,Нормативы!$D:$D,'2020'!$I154,Нормативы!$F:$F,'2020'!$K154)</f>
        <v>17290</v>
      </c>
      <c r="AD154" s="618">
        <f>SUMIFS(Нормативы!P:P,Нормативы!$B:$B,$G154,Нормативы!$D:$D,'2020'!$I154,Нормативы!$F:$F,'2020'!$K154)*O154</f>
        <v>360</v>
      </c>
      <c r="AE154" s="618">
        <f>SUMIFS(Нормативы!Q:Q,Нормативы!$B:$B,$G154,Нормативы!$D:$D,'2020'!$I154,Нормативы!$F:$F,'2020'!$K154)</f>
        <v>880</v>
      </c>
      <c r="AF154" s="618">
        <f>SUMIFS(Нормативы!R:R,Нормативы!$B:$B,$G154,Нормативы!$D:$D,'2020'!$I154,Нормативы!$F:$F,'2020'!$K154)</f>
        <v>2680</v>
      </c>
      <c r="AG154" s="618">
        <f>SUMIFS(Нормативы!S:S,Нормативы!$B:$B,$G154,Нормативы!$D:$D,'2020'!$I154,Нормативы!$F:$F,'2020'!$K154)</f>
        <v>5800</v>
      </c>
      <c r="AH154" s="618">
        <f>SUMIFS(Нормативы!T:T,Нормативы!$B:$B,$G154,Нормативы!$D:$D,'2020'!$I154,Нормативы!$F:$F,'2020'!$K154)</f>
        <v>540</v>
      </c>
      <c r="AI154" s="618">
        <f>SUMIFS(Нормативы!U:U,Нормативы!$B:$B,$G154,Нормативы!$D:$D,'2020'!$I154,Нормативы!$F:$F,'2020'!$K154)</f>
        <v>770</v>
      </c>
      <c r="AJ154" s="618">
        <f>SUMIFS(Нормативы!V:V,Нормативы!$B:$B,$G154,Нормативы!$D:$D,'2020'!$I154,Нормативы!$F:$F,'2020'!$K154)</f>
        <v>80</v>
      </c>
      <c r="AK154" s="618">
        <f>SUMIFS(Нормативы!W:W,Нормативы!$B:$B,$G154,Нормативы!$D:$D,'2020'!$I154,Нормативы!$F:$F,'2020'!$K154)</f>
        <v>1050</v>
      </c>
      <c r="AL154" s="618">
        <f>SUMIFS(Нормативы!X:X,Нормативы!$B:$B,$G154,Нормативы!$D:$D,'2020'!$I154,Нормативы!$F:$F,'2020'!$K154)*O154</f>
        <v>16120</v>
      </c>
      <c r="AM154" s="618">
        <f t="shared" si="479"/>
        <v>12381</v>
      </c>
      <c r="AN154" s="618">
        <f t="shared" si="480"/>
        <v>3739</v>
      </c>
      <c r="AO154" s="618">
        <f>SUMIFS(Нормативы!AA:AA,Нормативы!$B:$B,$G154,Нормативы!$D:$D,'2020'!$I154,Нормативы!$F:$F,'2020'!$K154)</f>
        <v>3520</v>
      </c>
      <c r="AP154" s="619">
        <f t="shared" si="481"/>
        <v>130740</v>
      </c>
      <c r="AQ154" s="413">
        <f t="shared" si="418"/>
        <v>1476370</v>
      </c>
      <c r="AR154" s="618">
        <f t="shared" si="482"/>
        <v>1133924.7</v>
      </c>
      <c r="AS154" s="618">
        <f t="shared" si="483"/>
        <v>342445.3</v>
      </c>
      <c r="AT154" s="616">
        <f t="shared" si="419"/>
        <v>203090</v>
      </c>
      <c r="AU154" s="616">
        <f t="shared" si="420"/>
        <v>40618</v>
      </c>
      <c r="AV154" s="616">
        <f t="shared" si="421"/>
        <v>186530</v>
      </c>
      <c r="AW154" s="616">
        <f t="shared" si="422"/>
        <v>438150</v>
      </c>
      <c r="AX154" s="616">
        <f t="shared" si="423"/>
        <v>11960</v>
      </c>
      <c r="AY154" s="616">
        <f t="shared" si="424"/>
        <v>397670</v>
      </c>
      <c r="AZ154" s="616">
        <f t="shared" si="425"/>
        <v>8280</v>
      </c>
      <c r="BA154" s="616">
        <f t="shared" si="426"/>
        <v>20240</v>
      </c>
      <c r="BB154" s="616">
        <f t="shared" si="427"/>
        <v>61640</v>
      </c>
      <c r="BC154" s="616">
        <f t="shared" si="428"/>
        <v>133400</v>
      </c>
      <c r="BD154" s="616">
        <f t="shared" si="429"/>
        <v>12420</v>
      </c>
      <c r="BE154" s="616">
        <f t="shared" si="430"/>
        <v>17710</v>
      </c>
      <c r="BF154" s="616">
        <f t="shared" si="431"/>
        <v>1840</v>
      </c>
      <c r="BG154" s="616">
        <f t="shared" si="432"/>
        <v>24150</v>
      </c>
      <c r="BH154" s="616">
        <f t="shared" si="433"/>
        <v>370760</v>
      </c>
      <c r="BI154" s="618">
        <f t="shared" si="484"/>
        <v>284761.90000000002</v>
      </c>
      <c r="BJ154" s="618">
        <f t="shared" si="485"/>
        <v>85998.1</v>
      </c>
      <c r="BK154" s="616">
        <f t="shared" si="434"/>
        <v>80960</v>
      </c>
      <c r="BL154" s="620">
        <f t="shared" si="435"/>
        <v>3007020</v>
      </c>
      <c r="BM154" s="616">
        <f t="shared" si="436"/>
        <v>2992602</v>
      </c>
      <c r="BN154" s="618">
        <f t="shared" si="437"/>
        <v>2298465.4</v>
      </c>
      <c r="BO154" s="618">
        <f t="shared" si="438"/>
        <v>694136.6</v>
      </c>
      <c r="BP154" s="616">
        <f t="shared" si="486"/>
        <v>203090</v>
      </c>
      <c r="BQ154" s="616">
        <f t="shared" si="487"/>
        <v>40618</v>
      </c>
      <c r="BR154" s="616">
        <f t="shared" si="488"/>
        <v>186530</v>
      </c>
      <c r="BS154" s="616">
        <f t="shared" si="439"/>
        <v>438150</v>
      </c>
      <c r="BT154" s="616">
        <f t="shared" si="440"/>
        <v>11960</v>
      </c>
      <c r="BU154" s="616">
        <f t="shared" si="441"/>
        <v>397670</v>
      </c>
      <c r="BV154" s="616">
        <f t="shared" si="442"/>
        <v>8280</v>
      </c>
      <c r="BW154" s="616">
        <f t="shared" si="443"/>
        <v>20240</v>
      </c>
      <c r="BX154" s="616">
        <f t="shared" si="444"/>
        <v>205015</v>
      </c>
      <c r="BY154" s="616">
        <f t="shared" si="445"/>
        <v>133400</v>
      </c>
      <c r="BZ154" s="616">
        <f t="shared" si="446"/>
        <v>12420</v>
      </c>
      <c r="CA154" s="616">
        <f t="shared" si="447"/>
        <v>17710</v>
      </c>
      <c r="CB154" s="616">
        <f t="shared" si="448"/>
        <v>1840</v>
      </c>
      <c r="CC154" s="616">
        <f t="shared" si="449"/>
        <v>24150</v>
      </c>
      <c r="CD154" s="616">
        <f t="shared" si="450"/>
        <v>751531</v>
      </c>
      <c r="CE154" s="618">
        <f t="shared" si="489"/>
        <v>577212.69999999995</v>
      </c>
      <c r="CF154" s="618">
        <f t="shared" si="490"/>
        <v>174318.3</v>
      </c>
      <c r="CG154" s="616">
        <f t="shared" si="451"/>
        <v>80960</v>
      </c>
      <c r="CH154" s="621">
        <f t="shared" si="452"/>
        <v>5047398</v>
      </c>
      <c r="CI154" s="88">
        <f t="shared" si="453"/>
        <v>130113.13039999999</v>
      </c>
      <c r="CJ154" s="90">
        <f t="shared" si="454"/>
        <v>99933.278300000005</v>
      </c>
      <c r="CK154" s="90">
        <f t="shared" si="455"/>
        <v>30179.852200000001</v>
      </c>
      <c r="CL154" s="88">
        <f t="shared" si="456"/>
        <v>8830</v>
      </c>
      <c r="CM154" s="88">
        <f t="shared" si="457"/>
        <v>1766</v>
      </c>
      <c r="CN154" s="88">
        <f t="shared" si="458"/>
        <v>8110</v>
      </c>
      <c r="CO154" s="88">
        <f t="shared" si="459"/>
        <v>19050</v>
      </c>
      <c r="CP154" s="88">
        <f t="shared" si="460"/>
        <v>520</v>
      </c>
      <c r="CQ154" s="88">
        <f t="shared" si="461"/>
        <v>17290</v>
      </c>
      <c r="CR154" s="88">
        <f t="shared" si="462"/>
        <v>360</v>
      </c>
      <c r="CS154" s="88">
        <f t="shared" si="463"/>
        <v>880</v>
      </c>
      <c r="CT154" s="88">
        <f t="shared" si="464"/>
        <v>8913.6957000000002</v>
      </c>
      <c r="CU154" s="88">
        <f t="shared" si="465"/>
        <v>5800</v>
      </c>
      <c r="CV154" s="88">
        <f t="shared" si="466"/>
        <v>540</v>
      </c>
      <c r="CW154" s="88">
        <f t="shared" si="467"/>
        <v>770</v>
      </c>
      <c r="CX154" s="88">
        <f t="shared" si="468"/>
        <v>80</v>
      </c>
      <c r="CY154" s="88">
        <f t="shared" si="469"/>
        <v>1050</v>
      </c>
      <c r="CZ154" s="88">
        <f t="shared" si="470"/>
        <v>32675.260900000001</v>
      </c>
      <c r="DA154" s="90">
        <f t="shared" si="471"/>
        <v>25096.204300000001</v>
      </c>
      <c r="DB154" s="90">
        <f t="shared" si="472"/>
        <v>7579.0564999999997</v>
      </c>
      <c r="DC154" s="88">
        <f t="shared" si="473"/>
        <v>3520</v>
      </c>
      <c r="DD154" s="211">
        <f t="shared" si="474"/>
        <v>219452.087</v>
      </c>
      <c r="AUV154" s="699">
        <f t="shared" si="409"/>
        <v>130113.13</v>
      </c>
      <c r="AUW154" s="699">
        <f t="shared" si="410"/>
        <v>99933.28</v>
      </c>
      <c r="AUX154" s="699">
        <f t="shared" si="411"/>
        <v>30179.85</v>
      </c>
      <c r="AUY154" s="699">
        <f t="shared" si="392"/>
        <v>8830</v>
      </c>
      <c r="AUZ154" s="699">
        <f t="shared" si="475"/>
        <v>12212.27</v>
      </c>
      <c r="AVA154" s="699">
        <f t="shared" si="475"/>
        <v>2.91</v>
      </c>
      <c r="AVB154" s="699">
        <f t="shared" si="393"/>
        <v>19050</v>
      </c>
      <c r="AVC154" s="699">
        <f t="shared" si="394"/>
        <v>520</v>
      </c>
      <c r="AVD154" s="699">
        <f t="shared" si="395"/>
        <v>17290</v>
      </c>
      <c r="AVE154" s="699">
        <f t="shared" si="396"/>
        <v>360</v>
      </c>
      <c r="AVF154" s="699">
        <f t="shared" si="397"/>
        <v>880</v>
      </c>
      <c r="AVG154" s="699">
        <f t="shared" si="398"/>
        <v>8913.7000000000007</v>
      </c>
      <c r="AVH154" s="699">
        <f t="shared" si="399"/>
        <v>5800</v>
      </c>
      <c r="AVI154" s="699">
        <f t="shared" si="400"/>
        <v>540</v>
      </c>
      <c r="AVJ154" s="699">
        <f t="shared" si="401"/>
        <v>770</v>
      </c>
      <c r="AVK154" s="699">
        <f t="shared" si="402"/>
        <v>80</v>
      </c>
      <c r="AVL154" s="699">
        <f t="shared" si="403"/>
        <v>1050</v>
      </c>
      <c r="AVM154" s="699">
        <f t="shared" si="404"/>
        <v>32675.26</v>
      </c>
      <c r="AVN154" s="699">
        <f t="shared" si="405"/>
        <v>25096.21</v>
      </c>
      <c r="AVO154" s="699">
        <f t="shared" si="406"/>
        <v>7579.05</v>
      </c>
      <c r="AVP154" s="699">
        <f t="shared" si="407"/>
        <v>3520</v>
      </c>
      <c r="AVQ154" s="699">
        <f t="shared" si="408"/>
        <v>219452.09</v>
      </c>
    </row>
    <row r="155" spans="1:108 1244:1265" ht="30" customHeight="1" x14ac:dyDescent="0.25">
      <c r="A155" s="643">
        <v>1</v>
      </c>
      <c r="B155" s="643">
        <v>4</v>
      </c>
      <c r="C155" s="664" t="s">
        <v>18</v>
      </c>
      <c r="D155" s="2"/>
      <c r="E155" s="101" t="s">
        <v>344</v>
      </c>
      <c r="F155" s="643" t="s">
        <v>31</v>
      </c>
      <c r="G155" s="643">
        <v>1</v>
      </c>
      <c r="H155" s="658" t="s">
        <v>8</v>
      </c>
      <c r="I155" s="643">
        <v>3</v>
      </c>
      <c r="J155" s="101" t="s">
        <v>373</v>
      </c>
      <c r="K155" s="643">
        <v>3</v>
      </c>
      <c r="L155" s="683" t="s">
        <v>349</v>
      </c>
      <c r="M155" s="11" t="s">
        <v>282</v>
      </c>
      <c r="N155" s="101" t="s">
        <v>387</v>
      </c>
      <c r="O155" s="643">
        <v>1</v>
      </c>
      <c r="P155" s="632">
        <v>23</v>
      </c>
      <c r="Q155" s="632">
        <v>23</v>
      </c>
      <c r="R155" s="632">
        <v>23</v>
      </c>
      <c r="S155" s="675">
        <f>SUMIF('Территориальный кк'!$A:$A,'2020'!$B155,'Территориальный кк'!D:D)</f>
        <v>2.0270000000000001</v>
      </c>
      <c r="T155" s="676">
        <f>SUMIF('Территориальный кк'!$A:$A,'2020'!$B155,'Территориальный кк'!E:E)</f>
        <v>3.3260000000000001</v>
      </c>
      <c r="U155" s="618">
        <f>SUMIFS(Нормативы!G:G,Нормативы!$B:$B,$G155,Нормативы!$D:$D,'2020'!$I155,Нормативы!$F:$F,'2020'!$K155)*O155</f>
        <v>6419</v>
      </c>
      <c r="V155" s="618">
        <f t="shared" si="476"/>
        <v>4930.1000000000004</v>
      </c>
      <c r="W155" s="618">
        <f t="shared" si="477"/>
        <v>1488.9</v>
      </c>
      <c r="X155" s="618">
        <f>SUMIFS(Нормативы!J:J,Нормативы!$B:$B,$G155,Нормативы!$D:$D,'2020'!$I155,Нормативы!$F:$F,'2020'!$K155)</f>
        <v>883</v>
      </c>
      <c r="Y155" s="618">
        <f>SUMIFS(Нормативы!K:K,Нормативы!$B:$B,$G155,Нормативы!$D:$D,'2020'!$I155,Нормативы!$F:$F,'2020'!$K155)</f>
        <v>177</v>
      </c>
      <c r="Z155" s="618">
        <f>SUMIFS(Нормативы!L:L,Нормативы!$B:$B,$G155,Нормативы!$D:$D,'2020'!$I155,Нормативы!$F:$F,'2020'!$K155)</f>
        <v>811</v>
      </c>
      <c r="AA155" s="618">
        <f t="shared" si="478"/>
        <v>1905</v>
      </c>
      <c r="AB155" s="618">
        <f>SUMIFS(Нормативы!N:N,Нормативы!$B:$B,$G155,Нормативы!$D:$D,'2020'!$I155,Нормативы!$F:$F,'2020'!$K155)*O155</f>
        <v>52</v>
      </c>
      <c r="AC155" s="618">
        <f>SUMIFS(Нормативы!O:O,Нормативы!$B:$B,$G155,Нормативы!$D:$D,'2020'!$I155,Нормативы!$F:$F,'2020'!$K155)</f>
        <v>1729</v>
      </c>
      <c r="AD155" s="618">
        <f>SUMIFS(Нормативы!P:P,Нормативы!$B:$B,$G155,Нормативы!$D:$D,'2020'!$I155,Нормативы!$F:$F,'2020'!$K155)*O155</f>
        <v>36</v>
      </c>
      <c r="AE155" s="618">
        <f>SUMIFS(Нормативы!Q:Q,Нормативы!$B:$B,$G155,Нормативы!$D:$D,'2020'!$I155,Нормативы!$F:$F,'2020'!$K155)</f>
        <v>88</v>
      </c>
      <c r="AF155" s="618">
        <f>SUMIFS(Нормативы!R:R,Нормативы!$B:$B,$G155,Нормативы!$D:$D,'2020'!$I155,Нормативы!$F:$F,'2020'!$K155)</f>
        <v>268</v>
      </c>
      <c r="AG155" s="618">
        <f>SUMIFS(Нормативы!S:S,Нормативы!$B:$B,$G155,Нормативы!$D:$D,'2020'!$I155,Нормативы!$F:$F,'2020'!$K155)</f>
        <v>580</v>
      </c>
      <c r="AH155" s="618">
        <f>SUMIFS(Нормативы!T:T,Нормативы!$B:$B,$G155,Нормативы!$D:$D,'2020'!$I155,Нормативы!$F:$F,'2020'!$K155)</f>
        <v>54</v>
      </c>
      <c r="AI155" s="618">
        <f>SUMIFS(Нормативы!U:U,Нормативы!$B:$B,$G155,Нормативы!$D:$D,'2020'!$I155,Нормативы!$F:$F,'2020'!$K155)</f>
        <v>77</v>
      </c>
      <c r="AJ155" s="618">
        <f>SUMIFS(Нормативы!V:V,Нормативы!$B:$B,$G155,Нормативы!$D:$D,'2020'!$I155,Нормативы!$F:$F,'2020'!$K155)</f>
        <v>8</v>
      </c>
      <c r="AK155" s="618">
        <f>SUMIFS(Нормативы!W:W,Нормативы!$B:$B,$G155,Нормативы!$D:$D,'2020'!$I155,Нормативы!$F:$F,'2020'!$K155)</f>
        <v>105</v>
      </c>
      <c r="AL155" s="618">
        <f>SUMIFS(Нормативы!X:X,Нормативы!$B:$B,$G155,Нормативы!$D:$D,'2020'!$I155,Нормативы!$F:$F,'2020'!$K155)*O155</f>
        <v>1612</v>
      </c>
      <c r="AM155" s="618">
        <f t="shared" si="479"/>
        <v>1238.0999999999999</v>
      </c>
      <c r="AN155" s="618">
        <f t="shared" si="480"/>
        <v>373.9</v>
      </c>
      <c r="AO155" s="618">
        <f>SUMIFS(Нормативы!AA:AA,Нормативы!$B:$B,$G155,Нормативы!$D:$D,'2020'!$I155,Нормативы!$F:$F,'2020'!$K155)</f>
        <v>0</v>
      </c>
      <c r="AP155" s="619">
        <f t="shared" si="481"/>
        <v>12722</v>
      </c>
      <c r="AQ155" s="413">
        <f t="shared" si="418"/>
        <v>147637</v>
      </c>
      <c r="AR155" s="618">
        <f t="shared" si="482"/>
        <v>113392.5</v>
      </c>
      <c r="AS155" s="618">
        <f t="shared" si="483"/>
        <v>34244.5</v>
      </c>
      <c r="AT155" s="616">
        <f t="shared" si="419"/>
        <v>20309</v>
      </c>
      <c r="AU155" s="616">
        <f t="shared" si="420"/>
        <v>4071</v>
      </c>
      <c r="AV155" s="616">
        <f t="shared" si="421"/>
        <v>18653</v>
      </c>
      <c r="AW155" s="616">
        <f t="shared" si="422"/>
        <v>43815</v>
      </c>
      <c r="AX155" s="616">
        <f t="shared" si="423"/>
        <v>1196</v>
      </c>
      <c r="AY155" s="616">
        <f t="shared" si="424"/>
        <v>39767</v>
      </c>
      <c r="AZ155" s="616">
        <f t="shared" si="425"/>
        <v>828</v>
      </c>
      <c r="BA155" s="616">
        <f t="shared" si="426"/>
        <v>2024</v>
      </c>
      <c r="BB155" s="616">
        <f t="shared" si="427"/>
        <v>6164</v>
      </c>
      <c r="BC155" s="616">
        <f t="shared" si="428"/>
        <v>13340</v>
      </c>
      <c r="BD155" s="616">
        <f t="shared" si="429"/>
        <v>1242</v>
      </c>
      <c r="BE155" s="616">
        <f t="shared" si="430"/>
        <v>1771</v>
      </c>
      <c r="BF155" s="616">
        <f t="shared" si="431"/>
        <v>184</v>
      </c>
      <c r="BG155" s="616">
        <f t="shared" si="432"/>
        <v>2415</v>
      </c>
      <c r="BH155" s="616">
        <f t="shared" si="433"/>
        <v>37076</v>
      </c>
      <c r="BI155" s="618">
        <f t="shared" si="484"/>
        <v>28476.2</v>
      </c>
      <c r="BJ155" s="618">
        <f t="shared" si="485"/>
        <v>8599.7999999999993</v>
      </c>
      <c r="BK155" s="616">
        <f t="shared" si="434"/>
        <v>0</v>
      </c>
      <c r="BL155" s="620">
        <f t="shared" si="435"/>
        <v>292606</v>
      </c>
      <c r="BM155" s="616">
        <f t="shared" si="436"/>
        <v>299260</v>
      </c>
      <c r="BN155" s="618">
        <f t="shared" si="437"/>
        <v>229846.39999999999</v>
      </c>
      <c r="BO155" s="618">
        <f t="shared" si="438"/>
        <v>69413.600000000006</v>
      </c>
      <c r="BP155" s="616">
        <f t="shared" si="486"/>
        <v>20309</v>
      </c>
      <c r="BQ155" s="616">
        <f t="shared" si="487"/>
        <v>4071</v>
      </c>
      <c r="BR155" s="616">
        <f t="shared" si="488"/>
        <v>18653</v>
      </c>
      <c r="BS155" s="616">
        <f t="shared" si="439"/>
        <v>43815</v>
      </c>
      <c r="BT155" s="616">
        <f t="shared" si="440"/>
        <v>1196</v>
      </c>
      <c r="BU155" s="616">
        <f t="shared" si="441"/>
        <v>39767</v>
      </c>
      <c r="BV155" s="616">
        <f t="shared" si="442"/>
        <v>828</v>
      </c>
      <c r="BW155" s="616">
        <f t="shared" si="443"/>
        <v>2024</v>
      </c>
      <c r="BX155" s="616">
        <f t="shared" si="444"/>
        <v>20501</v>
      </c>
      <c r="BY155" s="616">
        <f t="shared" si="445"/>
        <v>13340</v>
      </c>
      <c r="BZ155" s="616">
        <f t="shared" si="446"/>
        <v>1242</v>
      </c>
      <c r="CA155" s="616">
        <f t="shared" si="447"/>
        <v>1771</v>
      </c>
      <c r="CB155" s="616">
        <f t="shared" si="448"/>
        <v>184</v>
      </c>
      <c r="CC155" s="616">
        <f t="shared" si="449"/>
        <v>2415</v>
      </c>
      <c r="CD155" s="616">
        <f t="shared" si="450"/>
        <v>75153</v>
      </c>
      <c r="CE155" s="618">
        <f t="shared" si="489"/>
        <v>57721.2</v>
      </c>
      <c r="CF155" s="618">
        <f t="shared" si="490"/>
        <v>17431.8</v>
      </c>
      <c r="CG155" s="616">
        <f t="shared" si="451"/>
        <v>0</v>
      </c>
      <c r="CH155" s="621">
        <f t="shared" si="452"/>
        <v>496643</v>
      </c>
      <c r="CI155" s="88">
        <f t="shared" si="453"/>
        <v>13011.3043</v>
      </c>
      <c r="CJ155" s="90">
        <f t="shared" si="454"/>
        <v>9993.3217000000004</v>
      </c>
      <c r="CK155" s="90">
        <f t="shared" si="455"/>
        <v>3017.9825999999998</v>
      </c>
      <c r="CL155" s="88">
        <f t="shared" si="456"/>
        <v>883</v>
      </c>
      <c r="CM155" s="88">
        <f t="shared" si="457"/>
        <v>177</v>
      </c>
      <c r="CN155" s="88">
        <f t="shared" si="458"/>
        <v>811</v>
      </c>
      <c r="CO155" s="88">
        <f t="shared" si="459"/>
        <v>1905</v>
      </c>
      <c r="CP155" s="88">
        <f t="shared" si="460"/>
        <v>52</v>
      </c>
      <c r="CQ155" s="88">
        <f t="shared" si="461"/>
        <v>1729</v>
      </c>
      <c r="CR155" s="88">
        <f t="shared" si="462"/>
        <v>36</v>
      </c>
      <c r="CS155" s="88">
        <f t="shared" si="463"/>
        <v>88</v>
      </c>
      <c r="CT155" s="88">
        <f t="shared" si="464"/>
        <v>891.34780000000001</v>
      </c>
      <c r="CU155" s="88">
        <f t="shared" si="465"/>
        <v>580</v>
      </c>
      <c r="CV155" s="88">
        <f t="shared" si="466"/>
        <v>54</v>
      </c>
      <c r="CW155" s="88">
        <f t="shared" si="467"/>
        <v>77</v>
      </c>
      <c r="CX155" s="88">
        <f t="shared" si="468"/>
        <v>8</v>
      </c>
      <c r="CY155" s="88">
        <f t="shared" si="469"/>
        <v>105</v>
      </c>
      <c r="CZ155" s="88">
        <f t="shared" si="470"/>
        <v>3267.5216999999998</v>
      </c>
      <c r="DA155" s="90">
        <f t="shared" si="471"/>
        <v>2509.6174000000001</v>
      </c>
      <c r="DB155" s="90">
        <f t="shared" si="472"/>
        <v>757.90430000000003</v>
      </c>
      <c r="DC155" s="88">
        <f t="shared" si="473"/>
        <v>0</v>
      </c>
      <c r="DD155" s="211">
        <f t="shared" si="474"/>
        <v>21593.173900000002</v>
      </c>
      <c r="AUV155" s="699">
        <f t="shared" si="409"/>
        <v>13011.3</v>
      </c>
      <c r="AUW155" s="699">
        <f t="shared" si="410"/>
        <v>9993.32</v>
      </c>
      <c r="AUX155" s="699">
        <f t="shared" si="411"/>
        <v>3017.98</v>
      </c>
      <c r="AUY155" s="699">
        <f t="shared" si="392"/>
        <v>883</v>
      </c>
      <c r="AUZ155" s="699">
        <f t="shared" si="475"/>
        <v>1223.99</v>
      </c>
      <c r="AVA155" s="699">
        <f t="shared" si="475"/>
        <v>2.91</v>
      </c>
      <c r="AVB155" s="699">
        <f t="shared" si="393"/>
        <v>1905</v>
      </c>
      <c r="AVC155" s="699">
        <f t="shared" si="394"/>
        <v>52</v>
      </c>
      <c r="AVD155" s="699">
        <f t="shared" si="395"/>
        <v>1729</v>
      </c>
      <c r="AVE155" s="699">
        <f t="shared" si="396"/>
        <v>36</v>
      </c>
      <c r="AVF155" s="699">
        <f t="shared" si="397"/>
        <v>88</v>
      </c>
      <c r="AVG155" s="699">
        <f t="shared" si="398"/>
        <v>891.35</v>
      </c>
      <c r="AVH155" s="699">
        <f t="shared" si="399"/>
        <v>580</v>
      </c>
      <c r="AVI155" s="699">
        <f t="shared" si="400"/>
        <v>54</v>
      </c>
      <c r="AVJ155" s="699">
        <f t="shared" si="401"/>
        <v>77</v>
      </c>
      <c r="AVK155" s="699">
        <f t="shared" si="402"/>
        <v>8</v>
      </c>
      <c r="AVL155" s="699">
        <f t="shared" si="403"/>
        <v>105</v>
      </c>
      <c r="AVM155" s="699">
        <f t="shared" si="404"/>
        <v>3267.52</v>
      </c>
      <c r="AVN155" s="699">
        <f t="shared" si="405"/>
        <v>2509.62</v>
      </c>
      <c r="AVO155" s="699">
        <f t="shared" si="406"/>
        <v>757.9</v>
      </c>
      <c r="AVP155" s="699">
        <f t="shared" si="407"/>
        <v>0</v>
      </c>
      <c r="AVQ155" s="699">
        <f t="shared" si="408"/>
        <v>21593.17</v>
      </c>
    </row>
    <row r="156" spans="1:108 1244:1265" ht="30" customHeight="1" x14ac:dyDescent="0.25">
      <c r="A156" s="643">
        <v>1</v>
      </c>
      <c r="B156" s="643">
        <v>4</v>
      </c>
      <c r="C156" s="664" t="s">
        <v>18</v>
      </c>
      <c r="D156" s="2"/>
      <c r="E156" s="101" t="s">
        <v>344</v>
      </c>
      <c r="F156" s="643" t="s">
        <v>31</v>
      </c>
      <c r="G156" s="643">
        <v>1</v>
      </c>
      <c r="H156" s="658" t="s">
        <v>8</v>
      </c>
      <c r="I156" s="643">
        <v>3</v>
      </c>
      <c r="J156" s="101" t="s">
        <v>373</v>
      </c>
      <c r="K156" s="643">
        <v>3</v>
      </c>
      <c r="L156" s="683" t="s">
        <v>349</v>
      </c>
      <c r="M156" s="11" t="s">
        <v>322</v>
      </c>
      <c r="N156" s="101" t="s">
        <v>401</v>
      </c>
      <c r="O156" s="643">
        <v>2</v>
      </c>
      <c r="P156" s="632">
        <v>1</v>
      </c>
      <c r="Q156" s="632">
        <v>1</v>
      </c>
      <c r="R156" s="632">
        <v>1</v>
      </c>
      <c r="S156" s="675">
        <f>SUMIF('Территориальный кк'!$A:$A,'2020'!$B156,'Территориальный кк'!D:D)</f>
        <v>2.0270000000000001</v>
      </c>
      <c r="T156" s="676">
        <f>SUMIF('Территориальный кк'!$A:$A,'2020'!$B156,'Территориальный кк'!E:E)</f>
        <v>3.3260000000000001</v>
      </c>
      <c r="U156" s="618">
        <f>SUMIFS(Нормативы!G:G,Нормативы!$B:$B,$G156,Нормативы!$D:$D,'2020'!$I156,Нормативы!$F:$F,'2020'!$K156)*O156</f>
        <v>12838</v>
      </c>
      <c r="V156" s="618">
        <f t="shared" si="476"/>
        <v>9860.2000000000007</v>
      </c>
      <c r="W156" s="618">
        <f t="shared" si="477"/>
        <v>2977.8</v>
      </c>
      <c r="X156" s="618">
        <f>SUMIFS(Нормативы!J:J,Нормативы!$B:$B,$G156,Нормативы!$D:$D,'2020'!$I156,Нормативы!$F:$F,'2020'!$K156)</f>
        <v>883</v>
      </c>
      <c r="Y156" s="618">
        <f>SUMIFS(Нормативы!K:K,Нормативы!$B:$B,$G156,Нормативы!$D:$D,'2020'!$I156,Нормативы!$F:$F,'2020'!$K156)</f>
        <v>177</v>
      </c>
      <c r="Z156" s="618">
        <f>SUMIFS(Нормативы!L:L,Нормативы!$B:$B,$G156,Нормативы!$D:$D,'2020'!$I156,Нормативы!$F:$F,'2020'!$K156)</f>
        <v>811</v>
      </c>
      <c r="AA156" s="618">
        <f t="shared" si="478"/>
        <v>1993</v>
      </c>
      <c r="AB156" s="618">
        <f>SUMIFS(Нормативы!N:N,Нормативы!$B:$B,$G156,Нормативы!$D:$D,'2020'!$I156,Нормативы!$F:$F,'2020'!$K156)*O156</f>
        <v>104</v>
      </c>
      <c r="AC156" s="618">
        <f>SUMIFS(Нормативы!O:O,Нормативы!$B:$B,$G156,Нормативы!$D:$D,'2020'!$I156,Нормативы!$F:$F,'2020'!$K156)</f>
        <v>1729</v>
      </c>
      <c r="AD156" s="618">
        <f>SUMIFS(Нормативы!P:P,Нормативы!$B:$B,$G156,Нормативы!$D:$D,'2020'!$I156,Нормативы!$F:$F,'2020'!$K156)*O156</f>
        <v>72</v>
      </c>
      <c r="AE156" s="618">
        <f>SUMIFS(Нормативы!Q:Q,Нормативы!$B:$B,$G156,Нормативы!$D:$D,'2020'!$I156,Нормативы!$F:$F,'2020'!$K156)</f>
        <v>88</v>
      </c>
      <c r="AF156" s="618">
        <f>SUMIFS(Нормативы!R:R,Нормативы!$B:$B,$G156,Нормативы!$D:$D,'2020'!$I156,Нормативы!$F:$F,'2020'!$K156)</f>
        <v>268</v>
      </c>
      <c r="AG156" s="618">
        <f>SUMIFS(Нормативы!S:S,Нормативы!$B:$B,$G156,Нормативы!$D:$D,'2020'!$I156,Нормативы!$F:$F,'2020'!$K156)</f>
        <v>580</v>
      </c>
      <c r="AH156" s="618">
        <f>SUMIFS(Нормативы!T:T,Нормативы!$B:$B,$G156,Нормативы!$D:$D,'2020'!$I156,Нормативы!$F:$F,'2020'!$K156)</f>
        <v>54</v>
      </c>
      <c r="AI156" s="618">
        <f>SUMIFS(Нормативы!U:U,Нормативы!$B:$B,$G156,Нормативы!$D:$D,'2020'!$I156,Нормативы!$F:$F,'2020'!$K156)</f>
        <v>77</v>
      </c>
      <c r="AJ156" s="618">
        <f>SUMIFS(Нормативы!V:V,Нормативы!$B:$B,$G156,Нормативы!$D:$D,'2020'!$I156,Нормативы!$F:$F,'2020'!$K156)</f>
        <v>8</v>
      </c>
      <c r="AK156" s="618">
        <f>SUMIFS(Нормативы!W:W,Нормативы!$B:$B,$G156,Нормативы!$D:$D,'2020'!$I156,Нормативы!$F:$F,'2020'!$K156)</f>
        <v>105</v>
      </c>
      <c r="AL156" s="618">
        <f>SUMIFS(Нормативы!X:X,Нормативы!$B:$B,$G156,Нормативы!$D:$D,'2020'!$I156,Нормативы!$F:$F,'2020'!$K156)*O156</f>
        <v>3224</v>
      </c>
      <c r="AM156" s="618">
        <f t="shared" si="479"/>
        <v>2476.1999999999998</v>
      </c>
      <c r="AN156" s="618">
        <f t="shared" si="480"/>
        <v>747.8</v>
      </c>
      <c r="AO156" s="618">
        <f>SUMIFS(Нормативы!AA:AA,Нормативы!$B:$B,$G156,Нормативы!$D:$D,'2020'!$I156,Нормативы!$F:$F,'2020'!$K156)</f>
        <v>0</v>
      </c>
      <c r="AP156" s="619">
        <f t="shared" si="481"/>
        <v>20841</v>
      </c>
      <c r="AQ156" s="413">
        <f t="shared" si="418"/>
        <v>12838</v>
      </c>
      <c r="AR156" s="618">
        <f t="shared" si="482"/>
        <v>9860.2000000000007</v>
      </c>
      <c r="AS156" s="618">
        <f t="shared" si="483"/>
        <v>2977.8</v>
      </c>
      <c r="AT156" s="616">
        <f t="shared" si="419"/>
        <v>883</v>
      </c>
      <c r="AU156" s="616">
        <f t="shared" si="420"/>
        <v>177</v>
      </c>
      <c r="AV156" s="616">
        <f t="shared" si="421"/>
        <v>811</v>
      </c>
      <c r="AW156" s="616">
        <f t="shared" si="422"/>
        <v>1993</v>
      </c>
      <c r="AX156" s="616">
        <f t="shared" si="423"/>
        <v>104</v>
      </c>
      <c r="AY156" s="616">
        <f t="shared" si="424"/>
        <v>1729</v>
      </c>
      <c r="AZ156" s="616">
        <f t="shared" si="425"/>
        <v>72</v>
      </c>
      <c r="BA156" s="616">
        <f t="shared" si="426"/>
        <v>88</v>
      </c>
      <c r="BB156" s="616">
        <f t="shared" si="427"/>
        <v>268</v>
      </c>
      <c r="BC156" s="616">
        <f t="shared" si="428"/>
        <v>580</v>
      </c>
      <c r="BD156" s="616">
        <f t="shared" si="429"/>
        <v>54</v>
      </c>
      <c r="BE156" s="616">
        <f t="shared" si="430"/>
        <v>77</v>
      </c>
      <c r="BF156" s="616">
        <f t="shared" si="431"/>
        <v>8</v>
      </c>
      <c r="BG156" s="616">
        <f t="shared" si="432"/>
        <v>105</v>
      </c>
      <c r="BH156" s="616">
        <f t="shared" si="433"/>
        <v>3224</v>
      </c>
      <c r="BI156" s="618">
        <f t="shared" si="484"/>
        <v>2476.1999999999998</v>
      </c>
      <c r="BJ156" s="618">
        <f t="shared" si="485"/>
        <v>747.8</v>
      </c>
      <c r="BK156" s="616">
        <f t="shared" si="434"/>
        <v>0</v>
      </c>
      <c r="BL156" s="620">
        <f t="shared" si="435"/>
        <v>20841</v>
      </c>
      <c r="BM156" s="616">
        <f t="shared" si="436"/>
        <v>26023</v>
      </c>
      <c r="BN156" s="618">
        <f t="shared" si="437"/>
        <v>19986.900000000001</v>
      </c>
      <c r="BO156" s="618">
        <f t="shared" si="438"/>
        <v>6036.1</v>
      </c>
      <c r="BP156" s="616">
        <f t="shared" si="486"/>
        <v>883</v>
      </c>
      <c r="BQ156" s="616">
        <f t="shared" si="487"/>
        <v>177</v>
      </c>
      <c r="BR156" s="616">
        <f t="shared" si="488"/>
        <v>811</v>
      </c>
      <c r="BS156" s="616">
        <f t="shared" si="439"/>
        <v>1993</v>
      </c>
      <c r="BT156" s="616">
        <f t="shared" si="440"/>
        <v>104</v>
      </c>
      <c r="BU156" s="616">
        <f t="shared" si="441"/>
        <v>1729</v>
      </c>
      <c r="BV156" s="616">
        <f t="shared" si="442"/>
        <v>72</v>
      </c>
      <c r="BW156" s="616">
        <f t="shared" si="443"/>
        <v>88</v>
      </c>
      <c r="BX156" s="616">
        <f t="shared" si="444"/>
        <v>891</v>
      </c>
      <c r="BY156" s="616">
        <f t="shared" si="445"/>
        <v>580</v>
      </c>
      <c r="BZ156" s="616">
        <f t="shared" si="446"/>
        <v>54</v>
      </c>
      <c r="CA156" s="616">
        <f t="shared" si="447"/>
        <v>77</v>
      </c>
      <c r="CB156" s="616">
        <f t="shared" si="448"/>
        <v>8</v>
      </c>
      <c r="CC156" s="616">
        <f t="shared" si="449"/>
        <v>105</v>
      </c>
      <c r="CD156" s="616">
        <f t="shared" si="450"/>
        <v>6535</v>
      </c>
      <c r="CE156" s="618">
        <f t="shared" si="489"/>
        <v>5019.2</v>
      </c>
      <c r="CF156" s="618">
        <f t="shared" si="490"/>
        <v>1515.8</v>
      </c>
      <c r="CG156" s="616">
        <f t="shared" si="451"/>
        <v>0</v>
      </c>
      <c r="CH156" s="621">
        <f t="shared" si="452"/>
        <v>37960</v>
      </c>
      <c r="CI156" s="88">
        <f t="shared" si="453"/>
        <v>26023</v>
      </c>
      <c r="CJ156" s="90">
        <f t="shared" si="454"/>
        <v>19986.900000000001</v>
      </c>
      <c r="CK156" s="90">
        <f t="shared" si="455"/>
        <v>6036.1</v>
      </c>
      <c r="CL156" s="88">
        <f t="shared" si="456"/>
        <v>883</v>
      </c>
      <c r="CM156" s="88">
        <f t="shared" si="457"/>
        <v>177</v>
      </c>
      <c r="CN156" s="88">
        <f t="shared" si="458"/>
        <v>811</v>
      </c>
      <c r="CO156" s="88">
        <f t="shared" si="459"/>
        <v>1993</v>
      </c>
      <c r="CP156" s="88">
        <f t="shared" si="460"/>
        <v>104</v>
      </c>
      <c r="CQ156" s="88">
        <f t="shared" si="461"/>
        <v>1729</v>
      </c>
      <c r="CR156" s="88">
        <f t="shared" si="462"/>
        <v>72</v>
      </c>
      <c r="CS156" s="88">
        <f t="shared" si="463"/>
        <v>88</v>
      </c>
      <c r="CT156" s="88">
        <f t="shared" si="464"/>
        <v>891</v>
      </c>
      <c r="CU156" s="88">
        <f t="shared" si="465"/>
        <v>580</v>
      </c>
      <c r="CV156" s="88">
        <f t="shared" si="466"/>
        <v>54</v>
      </c>
      <c r="CW156" s="88">
        <f t="shared" si="467"/>
        <v>77</v>
      </c>
      <c r="CX156" s="88">
        <f t="shared" si="468"/>
        <v>8</v>
      </c>
      <c r="CY156" s="88">
        <f t="shared" si="469"/>
        <v>105</v>
      </c>
      <c r="CZ156" s="88">
        <f t="shared" si="470"/>
        <v>6535</v>
      </c>
      <c r="DA156" s="90">
        <f t="shared" si="471"/>
        <v>5019.2</v>
      </c>
      <c r="DB156" s="90">
        <f t="shared" si="472"/>
        <v>1515.8</v>
      </c>
      <c r="DC156" s="88">
        <f t="shared" si="473"/>
        <v>0</v>
      </c>
      <c r="DD156" s="211">
        <f t="shared" si="474"/>
        <v>37960</v>
      </c>
      <c r="AUV156" s="699">
        <f t="shared" si="409"/>
        <v>26023</v>
      </c>
      <c r="AUW156" s="699">
        <f t="shared" si="410"/>
        <v>19986.939999999999</v>
      </c>
      <c r="AUX156" s="699">
        <f t="shared" si="411"/>
        <v>6036.06</v>
      </c>
      <c r="AUY156" s="699">
        <f t="shared" si="392"/>
        <v>883</v>
      </c>
      <c r="AUZ156" s="699">
        <f t="shared" si="475"/>
        <v>53.22</v>
      </c>
      <c r="AVA156" s="699">
        <f t="shared" si="475"/>
        <v>0.06</v>
      </c>
      <c r="AVB156" s="699">
        <f t="shared" si="393"/>
        <v>1993</v>
      </c>
      <c r="AVC156" s="699">
        <f t="shared" si="394"/>
        <v>104</v>
      </c>
      <c r="AVD156" s="699">
        <f t="shared" si="395"/>
        <v>1729</v>
      </c>
      <c r="AVE156" s="699">
        <f t="shared" si="396"/>
        <v>72</v>
      </c>
      <c r="AVF156" s="699">
        <f t="shared" si="397"/>
        <v>88</v>
      </c>
      <c r="AVG156" s="699">
        <f t="shared" si="398"/>
        <v>891</v>
      </c>
      <c r="AVH156" s="699">
        <f t="shared" si="399"/>
        <v>580</v>
      </c>
      <c r="AVI156" s="699">
        <f t="shared" si="400"/>
        <v>54</v>
      </c>
      <c r="AVJ156" s="699">
        <f t="shared" si="401"/>
        <v>77</v>
      </c>
      <c r="AVK156" s="699">
        <f t="shared" si="402"/>
        <v>8</v>
      </c>
      <c r="AVL156" s="699">
        <f t="shared" si="403"/>
        <v>105</v>
      </c>
      <c r="AVM156" s="699">
        <f t="shared" si="404"/>
        <v>6535</v>
      </c>
      <c r="AVN156" s="699">
        <f t="shared" si="405"/>
        <v>5019.2</v>
      </c>
      <c r="AVO156" s="699">
        <f t="shared" si="406"/>
        <v>1515.8</v>
      </c>
      <c r="AVP156" s="699">
        <f t="shared" si="407"/>
        <v>0</v>
      </c>
      <c r="AVQ156" s="699">
        <f t="shared" si="408"/>
        <v>37960</v>
      </c>
    </row>
    <row r="157" spans="1:108 1244:1265" ht="30" customHeight="1" x14ac:dyDescent="0.25">
      <c r="A157" s="643">
        <v>1</v>
      </c>
      <c r="B157" s="643">
        <v>4</v>
      </c>
      <c r="C157" s="664" t="s">
        <v>18</v>
      </c>
      <c r="D157" s="2"/>
      <c r="E157" s="101" t="s">
        <v>344</v>
      </c>
      <c r="F157" s="643" t="s">
        <v>31</v>
      </c>
      <c r="G157" s="643">
        <v>1</v>
      </c>
      <c r="H157" s="658" t="s">
        <v>10</v>
      </c>
      <c r="I157" s="643">
        <v>0</v>
      </c>
      <c r="J157" s="101" t="s">
        <v>360</v>
      </c>
      <c r="K157" s="643">
        <v>3</v>
      </c>
      <c r="L157" s="683" t="s">
        <v>349</v>
      </c>
      <c r="M157" s="11" t="s">
        <v>265</v>
      </c>
      <c r="N157" s="101" t="s">
        <v>387</v>
      </c>
      <c r="O157" s="643">
        <v>1</v>
      </c>
      <c r="P157" s="632">
        <v>145</v>
      </c>
      <c r="Q157" s="632">
        <v>145</v>
      </c>
      <c r="R157" s="632">
        <v>145</v>
      </c>
      <c r="S157" s="675">
        <f>SUMIF('Территориальный кк'!$A:$A,'2020'!$B157,'Территориальный кк'!D:D)</f>
        <v>2.0270000000000001</v>
      </c>
      <c r="T157" s="676">
        <f>SUMIF('Территориальный кк'!$A:$A,'2020'!$B157,'Территориальный кк'!E:E)</f>
        <v>3.3260000000000001</v>
      </c>
      <c r="U157" s="618">
        <f>SUMIFS(Нормативы!G:G,Нормативы!$B:$B,$G157,Нормативы!$D:$D,'2020'!$I157,Нормативы!$F:$F,'2020'!$K157)*O157</f>
        <v>64190</v>
      </c>
      <c r="V157" s="618">
        <f t="shared" si="476"/>
        <v>49301.1</v>
      </c>
      <c r="W157" s="618">
        <f t="shared" si="477"/>
        <v>14888.9</v>
      </c>
      <c r="X157" s="618">
        <f>SUMIFS(Нормативы!J:J,Нормативы!$B:$B,$G157,Нормативы!$D:$D,'2020'!$I157,Нормативы!$F:$F,'2020'!$K157)</f>
        <v>8830</v>
      </c>
      <c r="Y157" s="618">
        <f>SUMIFS(Нормативы!K:K,Нормативы!$B:$B,$G157,Нормативы!$D:$D,'2020'!$I157,Нормативы!$F:$F,'2020'!$K157)</f>
        <v>1766</v>
      </c>
      <c r="Z157" s="618">
        <f>SUMIFS(Нормативы!L:L,Нормативы!$B:$B,$G157,Нормативы!$D:$D,'2020'!$I157,Нормативы!$F:$F,'2020'!$K157)</f>
        <v>8110</v>
      </c>
      <c r="AA157" s="618">
        <f t="shared" si="478"/>
        <v>19050</v>
      </c>
      <c r="AB157" s="618">
        <f>SUMIFS(Нормативы!N:N,Нормативы!$B:$B,$G157,Нормативы!$D:$D,'2020'!$I157,Нормативы!$F:$F,'2020'!$K157)*O157</f>
        <v>520</v>
      </c>
      <c r="AC157" s="618">
        <f>SUMIFS(Нормативы!O:O,Нормативы!$B:$B,$G157,Нормативы!$D:$D,'2020'!$I157,Нормативы!$F:$F,'2020'!$K157)</f>
        <v>17290</v>
      </c>
      <c r="AD157" s="618">
        <f>SUMIFS(Нормативы!P:P,Нормативы!$B:$B,$G157,Нормативы!$D:$D,'2020'!$I157,Нормативы!$F:$F,'2020'!$K157)*O157</f>
        <v>360</v>
      </c>
      <c r="AE157" s="618">
        <f>SUMIFS(Нормативы!Q:Q,Нормативы!$B:$B,$G157,Нормативы!$D:$D,'2020'!$I157,Нормативы!$F:$F,'2020'!$K157)</f>
        <v>880</v>
      </c>
      <c r="AF157" s="618">
        <f>SUMIFS(Нормативы!R:R,Нормативы!$B:$B,$G157,Нормативы!$D:$D,'2020'!$I157,Нормативы!$F:$F,'2020'!$K157)</f>
        <v>2680</v>
      </c>
      <c r="AG157" s="618">
        <f>SUMIFS(Нормативы!S:S,Нормативы!$B:$B,$G157,Нормативы!$D:$D,'2020'!$I157,Нормативы!$F:$F,'2020'!$K157)</f>
        <v>5800</v>
      </c>
      <c r="AH157" s="618">
        <f>SUMIFS(Нормативы!T:T,Нормативы!$B:$B,$G157,Нормативы!$D:$D,'2020'!$I157,Нормативы!$F:$F,'2020'!$K157)</f>
        <v>540</v>
      </c>
      <c r="AI157" s="618">
        <f>SUMIFS(Нормативы!U:U,Нормативы!$B:$B,$G157,Нормативы!$D:$D,'2020'!$I157,Нормативы!$F:$F,'2020'!$K157)</f>
        <v>770</v>
      </c>
      <c r="AJ157" s="618">
        <f>SUMIFS(Нормативы!V:V,Нормативы!$B:$B,$G157,Нормативы!$D:$D,'2020'!$I157,Нормативы!$F:$F,'2020'!$K157)</f>
        <v>80</v>
      </c>
      <c r="AK157" s="618">
        <f>SUMIFS(Нормативы!W:W,Нормативы!$B:$B,$G157,Нормативы!$D:$D,'2020'!$I157,Нормативы!$F:$F,'2020'!$K157)</f>
        <v>1050</v>
      </c>
      <c r="AL157" s="618">
        <f>SUMIFS(Нормативы!X:X,Нормативы!$B:$B,$G157,Нормативы!$D:$D,'2020'!$I157,Нормативы!$F:$F,'2020'!$K157)*O157</f>
        <v>16120</v>
      </c>
      <c r="AM157" s="618">
        <f t="shared" si="479"/>
        <v>12381</v>
      </c>
      <c r="AN157" s="618">
        <f t="shared" si="480"/>
        <v>3739</v>
      </c>
      <c r="AO157" s="618">
        <f>SUMIFS(Нормативы!AA:AA,Нормативы!$B:$B,$G157,Нормативы!$D:$D,'2020'!$I157,Нормативы!$F:$F,'2020'!$K157)</f>
        <v>3520</v>
      </c>
      <c r="AP157" s="619">
        <f t="shared" si="481"/>
        <v>130740</v>
      </c>
      <c r="AQ157" s="413">
        <f t="shared" si="418"/>
        <v>9307550</v>
      </c>
      <c r="AR157" s="618">
        <f t="shared" si="482"/>
        <v>7148655.9000000004</v>
      </c>
      <c r="AS157" s="618">
        <f t="shared" si="483"/>
        <v>2158894.1</v>
      </c>
      <c r="AT157" s="616">
        <f t="shared" si="419"/>
        <v>1280350</v>
      </c>
      <c r="AU157" s="616">
        <f t="shared" si="420"/>
        <v>256070</v>
      </c>
      <c r="AV157" s="616">
        <f t="shared" si="421"/>
        <v>1175950</v>
      </c>
      <c r="AW157" s="616">
        <f t="shared" si="422"/>
        <v>2762250</v>
      </c>
      <c r="AX157" s="616">
        <f t="shared" si="423"/>
        <v>75400</v>
      </c>
      <c r="AY157" s="616">
        <f t="shared" si="424"/>
        <v>2507050</v>
      </c>
      <c r="AZ157" s="616">
        <f t="shared" si="425"/>
        <v>52200</v>
      </c>
      <c r="BA157" s="616">
        <f t="shared" si="426"/>
        <v>127600</v>
      </c>
      <c r="BB157" s="616">
        <f t="shared" si="427"/>
        <v>388600</v>
      </c>
      <c r="BC157" s="616">
        <f t="shared" si="428"/>
        <v>841000</v>
      </c>
      <c r="BD157" s="616">
        <f t="shared" si="429"/>
        <v>78300</v>
      </c>
      <c r="BE157" s="616">
        <f t="shared" si="430"/>
        <v>111650</v>
      </c>
      <c r="BF157" s="616">
        <f t="shared" si="431"/>
        <v>11600</v>
      </c>
      <c r="BG157" s="616">
        <f t="shared" si="432"/>
        <v>152250</v>
      </c>
      <c r="BH157" s="616">
        <f t="shared" si="433"/>
        <v>2337400</v>
      </c>
      <c r="BI157" s="618">
        <f t="shared" si="484"/>
        <v>1795238.1</v>
      </c>
      <c r="BJ157" s="618">
        <f t="shared" si="485"/>
        <v>542161.9</v>
      </c>
      <c r="BK157" s="616">
        <f t="shared" si="434"/>
        <v>510400</v>
      </c>
      <c r="BL157" s="620">
        <f t="shared" si="435"/>
        <v>18957300</v>
      </c>
      <c r="BM157" s="616">
        <f t="shared" si="436"/>
        <v>18866404</v>
      </c>
      <c r="BN157" s="618">
        <f t="shared" si="437"/>
        <v>14490325.699999999</v>
      </c>
      <c r="BO157" s="618">
        <f t="shared" si="438"/>
        <v>4376078.3</v>
      </c>
      <c r="BP157" s="616">
        <f t="shared" si="486"/>
        <v>1280350</v>
      </c>
      <c r="BQ157" s="616">
        <f t="shared" si="487"/>
        <v>256070</v>
      </c>
      <c r="BR157" s="616">
        <f t="shared" si="488"/>
        <v>1175950</v>
      </c>
      <c r="BS157" s="616">
        <f t="shared" si="439"/>
        <v>2762250</v>
      </c>
      <c r="BT157" s="616">
        <f t="shared" si="440"/>
        <v>75400</v>
      </c>
      <c r="BU157" s="616">
        <f t="shared" si="441"/>
        <v>2507050</v>
      </c>
      <c r="BV157" s="616">
        <f t="shared" si="442"/>
        <v>52200</v>
      </c>
      <c r="BW157" s="616">
        <f t="shared" si="443"/>
        <v>127600</v>
      </c>
      <c r="BX157" s="616">
        <f t="shared" si="444"/>
        <v>1292484</v>
      </c>
      <c r="BY157" s="616">
        <f t="shared" si="445"/>
        <v>841000</v>
      </c>
      <c r="BZ157" s="616">
        <f t="shared" si="446"/>
        <v>78300</v>
      </c>
      <c r="CA157" s="616">
        <f t="shared" si="447"/>
        <v>111650</v>
      </c>
      <c r="CB157" s="616">
        <f t="shared" si="448"/>
        <v>11600</v>
      </c>
      <c r="CC157" s="616">
        <f t="shared" si="449"/>
        <v>152250</v>
      </c>
      <c r="CD157" s="616">
        <f t="shared" si="450"/>
        <v>4737910</v>
      </c>
      <c r="CE157" s="618">
        <f t="shared" si="489"/>
        <v>3638947.8</v>
      </c>
      <c r="CF157" s="618">
        <f t="shared" si="490"/>
        <v>1098962.2</v>
      </c>
      <c r="CG157" s="616">
        <f t="shared" si="451"/>
        <v>510400</v>
      </c>
      <c r="CH157" s="621">
        <f t="shared" si="452"/>
        <v>31820548</v>
      </c>
      <c r="CI157" s="88">
        <f t="shared" si="453"/>
        <v>130113.13099999999</v>
      </c>
      <c r="CJ157" s="90">
        <f t="shared" si="454"/>
        <v>99933.280700000003</v>
      </c>
      <c r="CK157" s="90">
        <f t="shared" si="455"/>
        <v>30179.850299999998</v>
      </c>
      <c r="CL157" s="88">
        <f t="shared" si="456"/>
        <v>8830</v>
      </c>
      <c r="CM157" s="88">
        <f t="shared" si="457"/>
        <v>1766</v>
      </c>
      <c r="CN157" s="88">
        <f t="shared" si="458"/>
        <v>8110</v>
      </c>
      <c r="CO157" s="88">
        <f t="shared" si="459"/>
        <v>19050</v>
      </c>
      <c r="CP157" s="88">
        <f t="shared" si="460"/>
        <v>520</v>
      </c>
      <c r="CQ157" s="88">
        <f t="shared" si="461"/>
        <v>17290</v>
      </c>
      <c r="CR157" s="88">
        <f t="shared" si="462"/>
        <v>360</v>
      </c>
      <c r="CS157" s="88">
        <f t="shared" si="463"/>
        <v>880</v>
      </c>
      <c r="CT157" s="88">
        <f t="shared" si="464"/>
        <v>8913.6828000000005</v>
      </c>
      <c r="CU157" s="88">
        <f t="shared" si="465"/>
        <v>5800</v>
      </c>
      <c r="CV157" s="88">
        <f t="shared" si="466"/>
        <v>540</v>
      </c>
      <c r="CW157" s="88">
        <f t="shared" si="467"/>
        <v>770</v>
      </c>
      <c r="CX157" s="88">
        <f t="shared" si="468"/>
        <v>80</v>
      </c>
      <c r="CY157" s="88">
        <f t="shared" si="469"/>
        <v>1050</v>
      </c>
      <c r="CZ157" s="88">
        <f t="shared" si="470"/>
        <v>32675.241399999999</v>
      </c>
      <c r="DA157" s="90">
        <f t="shared" si="471"/>
        <v>25096.191699999999</v>
      </c>
      <c r="DB157" s="90">
        <f t="shared" si="472"/>
        <v>7579.0496999999996</v>
      </c>
      <c r="DC157" s="88">
        <f t="shared" si="473"/>
        <v>3520</v>
      </c>
      <c r="DD157" s="211">
        <f t="shared" si="474"/>
        <v>219452.0552</v>
      </c>
      <c r="AUV157" s="699">
        <f t="shared" si="409"/>
        <v>130113.13</v>
      </c>
      <c r="AUW157" s="699">
        <f t="shared" si="410"/>
        <v>99933.28</v>
      </c>
      <c r="AUX157" s="699">
        <f t="shared" si="411"/>
        <v>30179.85</v>
      </c>
      <c r="AUY157" s="699">
        <f t="shared" si="392"/>
        <v>8830</v>
      </c>
      <c r="AUZ157" s="699">
        <f t="shared" si="475"/>
        <v>76990.38</v>
      </c>
      <c r="AVA157" s="699">
        <f t="shared" si="475"/>
        <v>18.32</v>
      </c>
      <c r="AVB157" s="699">
        <f t="shared" si="393"/>
        <v>19050</v>
      </c>
      <c r="AVC157" s="699">
        <f t="shared" si="394"/>
        <v>520</v>
      </c>
      <c r="AVD157" s="699">
        <f t="shared" si="395"/>
        <v>17290</v>
      </c>
      <c r="AVE157" s="699">
        <f t="shared" si="396"/>
        <v>360</v>
      </c>
      <c r="AVF157" s="699">
        <f t="shared" si="397"/>
        <v>880</v>
      </c>
      <c r="AVG157" s="699">
        <f t="shared" si="398"/>
        <v>8913.68</v>
      </c>
      <c r="AVH157" s="699">
        <f t="shared" si="399"/>
        <v>5800</v>
      </c>
      <c r="AVI157" s="699">
        <f t="shared" si="400"/>
        <v>540</v>
      </c>
      <c r="AVJ157" s="699">
        <f t="shared" si="401"/>
        <v>770</v>
      </c>
      <c r="AVK157" s="699">
        <f t="shared" si="402"/>
        <v>80</v>
      </c>
      <c r="AVL157" s="699">
        <f t="shared" si="403"/>
        <v>1050</v>
      </c>
      <c r="AVM157" s="699">
        <f t="shared" si="404"/>
        <v>32675.24</v>
      </c>
      <c r="AVN157" s="699">
        <f t="shared" si="405"/>
        <v>25096.19</v>
      </c>
      <c r="AVO157" s="699">
        <f t="shared" si="406"/>
        <v>7579.05</v>
      </c>
      <c r="AVP157" s="699">
        <f t="shared" si="407"/>
        <v>3520</v>
      </c>
      <c r="AVQ157" s="699">
        <f t="shared" si="408"/>
        <v>219452.06</v>
      </c>
    </row>
    <row r="158" spans="1:108 1244:1265" ht="30" customHeight="1" x14ac:dyDescent="0.25">
      <c r="A158" s="643">
        <v>1</v>
      </c>
      <c r="B158" s="643">
        <v>4</v>
      </c>
      <c r="C158" s="664" t="s">
        <v>18</v>
      </c>
      <c r="D158" s="2"/>
      <c r="E158" s="101" t="s">
        <v>344</v>
      </c>
      <c r="F158" s="643" t="s">
        <v>31</v>
      </c>
      <c r="G158" s="643">
        <v>1</v>
      </c>
      <c r="H158" s="658" t="s">
        <v>8</v>
      </c>
      <c r="I158" s="643">
        <v>3</v>
      </c>
      <c r="J158" s="101" t="s">
        <v>360</v>
      </c>
      <c r="K158" s="643">
        <v>3</v>
      </c>
      <c r="L158" s="683" t="s">
        <v>349</v>
      </c>
      <c r="M158" s="11" t="s">
        <v>266</v>
      </c>
      <c r="N158" s="101" t="s">
        <v>387</v>
      </c>
      <c r="O158" s="643">
        <v>1</v>
      </c>
      <c r="P158" s="632">
        <v>66</v>
      </c>
      <c r="Q158" s="632">
        <v>66</v>
      </c>
      <c r="R158" s="632">
        <v>66</v>
      </c>
      <c r="S158" s="675">
        <f>SUMIF('Территориальный кк'!$A:$A,'2020'!$B158,'Территориальный кк'!D:D)</f>
        <v>2.0270000000000001</v>
      </c>
      <c r="T158" s="676">
        <f>SUMIF('Территориальный кк'!$A:$A,'2020'!$B158,'Территориальный кк'!E:E)</f>
        <v>3.3260000000000001</v>
      </c>
      <c r="U158" s="618">
        <f>SUMIFS(Нормативы!G:G,Нормативы!$B:$B,$G158,Нормативы!$D:$D,'2020'!$I158,Нормативы!$F:$F,'2020'!$K158)*O158</f>
        <v>6419</v>
      </c>
      <c r="V158" s="618">
        <f t="shared" si="476"/>
        <v>4930.1000000000004</v>
      </c>
      <c r="W158" s="618">
        <f t="shared" si="477"/>
        <v>1488.9</v>
      </c>
      <c r="X158" s="618">
        <f>SUMIFS(Нормативы!J:J,Нормативы!$B:$B,$G158,Нормативы!$D:$D,'2020'!$I158,Нормативы!$F:$F,'2020'!$K158)</f>
        <v>883</v>
      </c>
      <c r="Y158" s="618">
        <f>SUMIFS(Нормативы!K:K,Нормативы!$B:$B,$G158,Нормативы!$D:$D,'2020'!$I158,Нормативы!$F:$F,'2020'!$K158)</f>
        <v>177</v>
      </c>
      <c r="Z158" s="618">
        <f>SUMIFS(Нормативы!L:L,Нормативы!$B:$B,$G158,Нормативы!$D:$D,'2020'!$I158,Нормативы!$F:$F,'2020'!$K158)</f>
        <v>811</v>
      </c>
      <c r="AA158" s="618">
        <f t="shared" si="478"/>
        <v>1905</v>
      </c>
      <c r="AB158" s="618">
        <f>SUMIFS(Нормативы!N:N,Нормативы!$B:$B,$G158,Нормативы!$D:$D,'2020'!$I158,Нормативы!$F:$F,'2020'!$K158)*O158</f>
        <v>52</v>
      </c>
      <c r="AC158" s="618">
        <f>SUMIFS(Нормативы!O:O,Нормативы!$B:$B,$G158,Нормативы!$D:$D,'2020'!$I158,Нормативы!$F:$F,'2020'!$K158)</f>
        <v>1729</v>
      </c>
      <c r="AD158" s="618">
        <f>SUMIFS(Нормативы!P:P,Нормативы!$B:$B,$G158,Нормативы!$D:$D,'2020'!$I158,Нормативы!$F:$F,'2020'!$K158)*O158</f>
        <v>36</v>
      </c>
      <c r="AE158" s="618">
        <f>SUMIFS(Нормативы!Q:Q,Нормативы!$B:$B,$G158,Нормативы!$D:$D,'2020'!$I158,Нормативы!$F:$F,'2020'!$K158)</f>
        <v>88</v>
      </c>
      <c r="AF158" s="618">
        <f>SUMIFS(Нормативы!R:R,Нормативы!$B:$B,$G158,Нормативы!$D:$D,'2020'!$I158,Нормативы!$F:$F,'2020'!$K158)</f>
        <v>268</v>
      </c>
      <c r="AG158" s="618">
        <f>SUMIFS(Нормативы!S:S,Нормативы!$B:$B,$G158,Нормативы!$D:$D,'2020'!$I158,Нормативы!$F:$F,'2020'!$K158)</f>
        <v>580</v>
      </c>
      <c r="AH158" s="618">
        <f>SUMIFS(Нормативы!T:T,Нормативы!$B:$B,$G158,Нормативы!$D:$D,'2020'!$I158,Нормативы!$F:$F,'2020'!$K158)</f>
        <v>54</v>
      </c>
      <c r="AI158" s="618">
        <f>SUMIFS(Нормативы!U:U,Нормативы!$B:$B,$G158,Нормативы!$D:$D,'2020'!$I158,Нормативы!$F:$F,'2020'!$K158)</f>
        <v>77</v>
      </c>
      <c r="AJ158" s="618">
        <f>SUMIFS(Нормативы!V:V,Нормативы!$B:$B,$G158,Нормативы!$D:$D,'2020'!$I158,Нормативы!$F:$F,'2020'!$K158)</f>
        <v>8</v>
      </c>
      <c r="AK158" s="618">
        <f>SUMIFS(Нормативы!W:W,Нормативы!$B:$B,$G158,Нормативы!$D:$D,'2020'!$I158,Нормативы!$F:$F,'2020'!$K158)</f>
        <v>105</v>
      </c>
      <c r="AL158" s="618">
        <f>SUMIFS(Нормативы!X:X,Нормативы!$B:$B,$G158,Нормативы!$D:$D,'2020'!$I158,Нормативы!$F:$F,'2020'!$K158)*O158</f>
        <v>1612</v>
      </c>
      <c r="AM158" s="618">
        <f t="shared" si="479"/>
        <v>1238.0999999999999</v>
      </c>
      <c r="AN158" s="618">
        <f t="shared" si="480"/>
        <v>373.9</v>
      </c>
      <c r="AO158" s="618">
        <f>SUMIFS(Нормативы!AA:AA,Нормативы!$B:$B,$G158,Нормативы!$D:$D,'2020'!$I158,Нормативы!$F:$F,'2020'!$K158)</f>
        <v>0</v>
      </c>
      <c r="AP158" s="619">
        <f t="shared" si="481"/>
        <v>12722</v>
      </c>
      <c r="AQ158" s="413">
        <f t="shared" si="418"/>
        <v>423654</v>
      </c>
      <c r="AR158" s="618">
        <f t="shared" si="482"/>
        <v>325387.09999999998</v>
      </c>
      <c r="AS158" s="618">
        <f t="shared" si="483"/>
        <v>98266.9</v>
      </c>
      <c r="AT158" s="616">
        <f t="shared" si="419"/>
        <v>58278</v>
      </c>
      <c r="AU158" s="616">
        <f t="shared" si="420"/>
        <v>11682</v>
      </c>
      <c r="AV158" s="616">
        <f t="shared" si="421"/>
        <v>53526</v>
      </c>
      <c r="AW158" s="616">
        <f t="shared" si="422"/>
        <v>125730</v>
      </c>
      <c r="AX158" s="616">
        <f t="shared" si="423"/>
        <v>3432</v>
      </c>
      <c r="AY158" s="616">
        <f t="shared" si="424"/>
        <v>114114</v>
      </c>
      <c r="AZ158" s="616">
        <f t="shared" si="425"/>
        <v>2376</v>
      </c>
      <c r="BA158" s="616">
        <f t="shared" si="426"/>
        <v>5808</v>
      </c>
      <c r="BB158" s="616">
        <f t="shared" si="427"/>
        <v>17688</v>
      </c>
      <c r="BC158" s="616">
        <f t="shared" si="428"/>
        <v>38280</v>
      </c>
      <c r="BD158" s="616">
        <f t="shared" si="429"/>
        <v>3564</v>
      </c>
      <c r="BE158" s="616">
        <f t="shared" si="430"/>
        <v>5082</v>
      </c>
      <c r="BF158" s="616">
        <f t="shared" si="431"/>
        <v>528</v>
      </c>
      <c r="BG158" s="616">
        <f t="shared" si="432"/>
        <v>6930</v>
      </c>
      <c r="BH158" s="616">
        <f t="shared" si="433"/>
        <v>106392</v>
      </c>
      <c r="BI158" s="618">
        <f t="shared" si="484"/>
        <v>81714.3</v>
      </c>
      <c r="BJ158" s="618">
        <f t="shared" si="485"/>
        <v>24677.7</v>
      </c>
      <c r="BK158" s="616">
        <f t="shared" si="434"/>
        <v>0</v>
      </c>
      <c r="BL158" s="620">
        <f t="shared" si="435"/>
        <v>839652</v>
      </c>
      <c r="BM158" s="616">
        <f t="shared" si="436"/>
        <v>858747</v>
      </c>
      <c r="BN158" s="618">
        <f t="shared" si="437"/>
        <v>659559.9</v>
      </c>
      <c r="BO158" s="618">
        <f t="shared" si="438"/>
        <v>199187.1</v>
      </c>
      <c r="BP158" s="616">
        <f t="shared" si="486"/>
        <v>58278</v>
      </c>
      <c r="BQ158" s="616">
        <f t="shared" si="487"/>
        <v>11682</v>
      </c>
      <c r="BR158" s="616">
        <f t="shared" si="488"/>
        <v>53526</v>
      </c>
      <c r="BS158" s="616">
        <f t="shared" si="439"/>
        <v>125730</v>
      </c>
      <c r="BT158" s="616">
        <f t="shared" si="440"/>
        <v>3432</v>
      </c>
      <c r="BU158" s="616">
        <f t="shared" si="441"/>
        <v>114114</v>
      </c>
      <c r="BV158" s="616">
        <f t="shared" si="442"/>
        <v>2376</v>
      </c>
      <c r="BW158" s="616">
        <f t="shared" si="443"/>
        <v>5808</v>
      </c>
      <c r="BX158" s="616">
        <f t="shared" si="444"/>
        <v>58830</v>
      </c>
      <c r="BY158" s="616">
        <f t="shared" si="445"/>
        <v>38280</v>
      </c>
      <c r="BZ158" s="616">
        <f t="shared" si="446"/>
        <v>3564</v>
      </c>
      <c r="CA158" s="616">
        <f t="shared" si="447"/>
        <v>5082</v>
      </c>
      <c r="CB158" s="616">
        <f t="shared" si="448"/>
        <v>528</v>
      </c>
      <c r="CC158" s="616">
        <f t="shared" si="449"/>
        <v>6930</v>
      </c>
      <c r="CD158" s="616">
        <f t="shared" si="450"/>
        <v>215657</v>
      </c>
      <c r="CE158" s="618">
        <f t="shared" si="489"/>
        <v>165635.20000000001</v>
      </c>
      <c r="CF158" s="618">
        <f t="shared" si="490"/>
        <v>50021.8</v>
      </c>
      <c r="CG158" s="616">
        <f t="shared" si="451"/>
        <v>0</v>
      </c>
      <c r="CH158" s="621">
        <f t="shared" si="452"/>
        <v>1425152</v>
      </c>
      <c r="CI158" s="88">
        <f t="shared" si="453"/>
        <v>13011.3182</v>
      </c>
      <c r="CJ158" s="90">
        <f t="shared" si="454"/>
        <v>9993.3317999999999</v>
      </c>
      <c r="CK158" s="90">
        <f t="shared" si="455"/>
        <v>3017.9863999999998</v>
      </c>
      <c r="CL158" s="88">
        <f t="shared" si="456"/>
        <v>883</v>
      </c>
      <c r="CM158" s="88">
        <f t="shared" si="457"/>
        <v>177</v>
      </c>
      <c r="CN158" s="88">
        <f t="shared" si="458"/>
        <v>811</v>
      </c>
      <c r="CO158" s="88">
        <f t="shared" si="459"/>
        <v>1905</v>
      </c>
      <c r="CP158" s="88">
        <f t="shared" si="460"/>
        <v>52</v>
      </c>
      <c r="CQ158" s="88">
        <f t="shared" si="461"/>
        <v>1729</v>
      </c>
      <c r="CR158" s="88">
        <f t="shared" si="462"/>
        <v>36</v>
      </c>
      <c r="CS158" s="88">
        <f t="shared" si="463"/>
        <v>88</v>
      </c>
      <c r="CT158" s="88">
        <f t="shared" si="464"/>
        <v>891.36360000000002</v>
      </c>
      <c r="CU158" s="88">
        <f t="shared" si="465"/>
        <v>580</v>
      </c>
      <c r="CV158" s="88">
        <f t="shared" si="466"/>
        <v>54</v>
      </c>
      <c r="CW158" s="88">
        <f t="shared" si="467"/>
        <v>77</v>
      </c>
      <c r="CX158" s="88">
        <f t="shared" si="468"/>
        <v>8</v>
      </c>
      <c r="CY158" s="88">
        <f t="shared" si="469"/>
        <v>105</v>
      </c>
      <c r="CZ158" s="88">
        <f t="shared" si="470"/>
        <v>3267.5302999999999</v>
      </c>
      <c r="DA158" s="90">
        <f t="shared" si="471"/>
        <v>2509.6242000000002</v>
      </c>
      <c r="DB158" s="90">
        <f t="shared" si="472"/>
        <v>757.90610000000004</v>
      </c>
      <c r="DC158" s="88">
        <f t="shared" si="473"/>
        <v>0</v>
      </c>
      <c r="DD158" s="211">
        <f t="shared" si="474"/>
        <v>21593.212100000001</v>
      </c>
      <c r="AUV158" s="699">
        <f t="shared" si="409"/>
        <v>13011.32</v>
      </c>
      <c r="AUW158" s="699">
        <f t="shared" si="410"/>
        <v>9993.33</v>
      </c>
      <c r="AUX158" s="699">
        <f t="shared" si="411"/>
        <v>3017.99</v>
      </c>
      <c r="AUY158" s="699">
        <f t="shared" si="392"/>
        <v>883</v>
      </c>
      <c r="AUZ158" s="699">
        <f t="shared" si="475"/>
        <v>3512.33</v>
      </c>
      <c r="AVA158" s="699">
        <f t="shared" si="475"/>
        <v>8.34</v>
      </c>
      <c r="AVB158" s="699">
        <f t="shared" si="393"/>
        <v>1905</v>
      </c>
      <c r="AVC158" s="699">
        <f t="shared" si="394"/>
        <v>52</v>
      </c>
      <c r="AVD158" s="699">
        <f t="shared" si="395"/>
        <v>1729</v>
      </c>
      <c r="AVE158" s="699">
        <f t="shared" si="396"/>
        <v>36</v>
      </c>
      <c r="AVF158" s="699">
        <f t="shared" si="397"/>
        <v>88</v>
      </c>
      <c r="AVG158" s="699">
        <f t="shared" si="398"/>
        <v>891.36</v>
      </c>
      <c r="AVH158" s="699">
        <f t="shared" si="399"/>
        <v>580</v>
      </c>
      <c r="AVI158" s="699">
        <f t="shared" si="400"/>
        <v>54</v>
      </c>
      <c r="AVJ158" s="699">
        <f t="shared" si="401"/>
        <v>77</v>
      </c>
      <c r="AVK158" s="699">
        <f t="shared" si="402"/>
        <v>8</v>
      </c>
      <c r="AVL158" s="699">
        <f t="shared" si="403"/>
        <v>105</v>
      </c>
      <c r="AVM158" s="699">
        <f t="shared" si="404"/>
        <v>3267.53</v>
      </c>
      <c r="AVN158" s="699">
        <f t="shared" si="405"/>
        <v>2509.62</v>
      </c>
      <c r="AVO158" s="699">
        <f t="shared" si="406"/>
        <v>757.91</v>
      </c>
      <c r="AVP158" s="699">
        <f t="shared" si="407"/>
        <v>0</v>
      </c>
      <c r="AVQ158" s="699">
        <f t="shared" si="408"/>
        <v>21593.21</v>
      </c>
    </row>
    <row r="159" spans="1:108 1244:1265" ht="30" customHeight="1" x14ac:dyDescent="0.25">
      <c r="A159" s="643">
        <v>1</v>
      </c>
      <c r="B159" s="643">
        <v>4</v>
      </c>
      <c r="C159" s="664" t="s">
        <v>18</v>
      </c>
      <c r="D159" s="2"/>
      <c r="E159" s="101" t="s">
        <v>345</v>
      </c>
      <c r="F159" s="643" t="s">
        <v>38</v>
      </c>
      <c r="G159" s="643">
        <v>2</v>
      </c>
      <c r="H159" s="658" t="s">
        <v>10</v>
      </c>
      <c r="I159" s="643">
        <v>0</v>
      </c>
      <c r="J159" s="101" t="s">
        <v>361</v>
      </c>
      <c r="K159" s="643">
        <v>3</v>
      </c>
      <c r="L159" s="683" t="s">
        <v>350</v>
      </c>
      <c r="M159" s="11" t="s">
        <v>267</v>
      </c>
      <c r="N159" s="101" t="s">
        <v>387</v>
      </c>
      <c r="O159" s="643">
        <v>1</v>
      </c>
      <c r="P159" s="632">
        <v>10</v>
      </c>
      <c r="Q159" s="632">
        <v>10</v>
      </c>
      <c r="R159" s="632">
        <v>10</v>
      </c>
      <c r="S159" s="675">
        <f>SUMIF('Территориальный кк'!$A:$A,'2020'!$B159,'Территориальный кк'!D:D)</f>
        <v>2.0270000000000001</v>
      </c>
      <c r="T159" s="676">
        <f>SUMIF('Территориальный кк'!$A:$A,'2020'!$B159,'Территориальный кк'!E:E)</f>
        <v>3.3260000000000001</v>
      </c>
      <c r="U159" s="618">
        <f>SUMIFS(Нормативы!G:G,Нормативы!$B:$B,$G159,Нормативы!$D:$D,'2020'!$I159,Нормативы!$F:$F,'2020'!$K159)*O159</f>
        <v>70600</v>
      </c>
      <c r="V159" s="618">
        <f t="shared" si="476"/>
        <v>54224.3</v>
      </c>
      <c r="W159" s="618">
        <f t="shared" si="477"/>
        <v>16375.7</v>
      </c>
      <c r="X159" s="618">
        <f>SUMIFS(Нормативы!J:J,Нормативы!$B:$B,$G159,Нормативы!$D:$D,'2020'!$I159,Нормативы!$F:$F,'2020'!$K159)</f>
        <v>8860</v>
      </c>
      <c r="Y159" s="618">
        <f>SUMIFS(Нормативы!K:K,Нормативы!$B:$B,$G159,Нормативы!$D:$D,'2020'!$I159,Нормативы!$F:$F,'2020'!$K159)</f>
        <v>0</v>
      </c>
      <c r="Z159" s="618">
        <f>SUMIFS(Нормативы!L:L,Нормативы!$B:$B,$G159,Нормативы!$D:$D,'2020'!$I159,Нормативы!$F:$F,'2020'!$K159)</f>
        <v>8110</v>
      </c>
      <c r="AA159" s="618">
        <f t="shared" si="478"/>
        <v>21610</v>
      </c>
      <c r="AB159" s="618">
        <f>SUMIFS(Нормативы!N:N,Нормативы!$B:$B,$G159,Нормативы!$D:$D,'2020'!$I159,Нормативы!$F:$F,'2020'!$K159)*O159</f>
        <v>520</v>
      </c>
      <c r="AC159" s="618">
        <f>SUMIFS(Нормативы!O:O,Нормативы!$B:$B,$G159,Нормативы!$D:$D,'2020'!$I159,Нормативы!$F:$F,'2020'!$K159)</f>
        <v>19720</v>
      </c>
      <c r="AD159" s="618">
        <f>SUMIFS(Нормативы!P:P,Нормативы!$B:$B,$G159,Нормативы!$D:$D,'2020'!$I159,Нормативы!$F:$F,'2020'!$K159)*O159</f>
        <v>400</v>
      </c>
      <c r="AE159" s="618">
        <f>SUMIFS(Нормативы!Q:Q,Нормативы!$B:$B,$G159,Нормативы!$D:$D,'2020'!$I159,Нормативы!$F:$F,'2020'!$K159)</f>
        <v>970</v>
      </c>
      <c r="AF159" s="618">
        <f>SUMIFS(Нормативы!R:R,Нормативы!$B:$B,$G159,Нормативы!$D:$D,'2020'!$I159,Нормативы!$F:$F,'2020'!$K159)</f>
        <v>2680</v>
      </c>
      <c r="AG159" s="618">
        <f>SUMIFS(Нормативы!S:S,Нормативы!$B:$B,$G159,Нормативы!$D:$D,'2020'!$I159,Нормативы!$F:$F,'2020'!$K159)</f>
        <v>5800</v>
      </c>
      <c r="AH159" s="618">
        <f>SUMIFS(Нормативы!T:T,Нормативы!$B:$B,$G159,Нормативы!$D:$D,'2020'!$I159,Нормативы!$F:$F,'2020'!$K159)</f>
        <v>540</v>
      </c>
      <c r="AI159" s="618">
        <f>SUMIFS(Нормативы!U:U,Нормативы!$B:$B,$G159,Нормативы!$D:$D,'2020'!$I159,Нормативы!$F:$F,'2020'!$K159)</f>
        <v>770</v>
      </c>
      <c r="AJ159" s="618">
        <f>SUMIFS(Нормативы!V:V,Нормативы!$B:$B,$G159,Нормативы!$D:$D,'2020'!$I159,Нормативы!$F:$F,'2020'!$K159)</f>
        <v>80</v>
      </c>
      <c r="AK159" s="618">
        <f>SUMIFS(Нормативы!W:W,Нормативы!$B:$B,$G159,Нормативы!$D:$D,'2020'!$I159,Нормативы!$F:$F,'2020'!$K159)</f>
        <v>330</v>
      </c>
      <c r="AL159" s="618">
        <f>SUMIFS(Нормативы!X:X,Нормативы!$B:$B,$G159,Нормативы!$D:$D,'2020'!$I159,Нормативы!$F:$F,'2020'!$K159)*O159</f>
        <v>16120</v>
      </c>
      <c r="AM159" s="618">
        <f t="shared" si="479"/>
        <v>12381</v>
      </c>
      <c r="AN159" s="618">
        <f t="shared" si="480"/>
        <v>3739</v>
      </c>
      <c r="AO159" s="618">
        <f>SUMIFS(Нормативы!AA:AA,Нормативы!$B:$B,$G159,Нормативы!$D:$D,'2020'!$I159,Нормативы!$F:$F,'2020'!$K159)</f>
        <v>3520</v>
      </c>
      <c r="AP159" s="619">
        <f t="shared" si="481"/>
        <v>139020</v>
      </c>
      <c r="AQ159" s="413">
        <f t="shared" si="418"/>
        <v>706000</v>
      </c>
      <c r="AR159" s="618">
        <f t="shared" si="482"/>
        <v>542242.69999999995</v>
      </c>
      <c r="AS159" s="618">
        <f t="shared" si="483"/>
        <v>163757.29999999999</v>
      </c>
      <c r="AT159" s="616">
        <f t="shared" si="419"/>
        <v>88600</v>
      </c>
      <c r="AU159" s="616">
        <f t="shared" si="420"/>
        <v>0</v>
      </c>
      <c r="AV159" s="616">
        <f t="shared" si="421"/>
        <v>81100</v>
      </c>
      <c r="AW159" s="616">
        <f t="shared" si="422"/>
        <v>216100</v>
      </c>
      <c r="AX159" s="616">
        <f t="shared" si="423"/>
        <v>5200</v>
      </c>
      <c r="AY159" s="616">
        <f t="shared" si="424"/>
        <v>197200</v>
      </c>
      <c r="AZ159" s="616">
        <f t="shared" si="425"/>
        <v>4000</v>
      </c>
      <c r="BA159" s="616">
        <f>ROUND($P159*AE159,0)</f>
        <v>9700</v>
      </c>
      <c r="BB159" s="616">
        <f t="shared" si="427"/>
        <v>26800</v>
      </c>
      <c r="BC159" s="616">
        <f t="shared" si="428"/>
        <v>58000</v>
      </c>
      <c r="BD159" s="616">
        <f t="shared" si="429"/>
        <v>5400</v>
      </c>
      <c r="BE159" s="616">
        <f t="shared" si="430"/>
        <v>7700</v>
      </c>
      <c r="BF159" s="616">
        <f t="shared" si="431"/>
        <v>800</v>
      </c>
      <c r="BG159" s="616">
        <f t="shared" si="432"/>
        <v>3300</v>
      </c>
      <c r="BH159" s="616">
        <f t="shared" si="433"/>
        <v>161200</v>
      </c>
      <c r="BI159" s="618">
        <f t="shared" si="484"/>
        <v>123809.5</v>
      </c>
      <c r="BJ159" s="618">
        <f t="shared" si="485"/>
        <v>37390.5</v>
      </c>
      <c r="BK159" s="616">
        <f t="shared" si="434"/>
        <v>35200</v>
      </c>
      <c r="BL159" s="620">
        <f t="shared" si="435"/>
        <v>1390200</v>
      </c>
      <c r="BM159" s="616">
        <f t="shared" si="436"/>
        <v>1431062</v>
      </c>
      <c r="BN159" s="618">
        <f t="shared" si="437"/>
        <v>1099126</v>
      </c>
      <c r="BO159" s="618">
        <f t="shared" si="438"/>
        <v>331936</v>
      </c>
      <c r="BP159" s="616">
        <f t="shared" si="486"/>
        <v>88600</v>
      </c>
      <c r="BQ159" s="616">
        <f t="shared" si="487"/>
        <v>0</v>
      </c>
      <c r="BR159" s="616">
        <f t="shared" si="488"/>
        <v>81100</v>
      </c>
      <c r="BS159" s="616">
        <f t="shared" si="439"/>
        <v>216100</v>
      </c>
      <c r="BT159" s="616">
        <f t="shared" si="440"/>
        <v>5200</v>
      </c>
      <c r="BU159" s="616">
        <f t="shared" si="441"/>
        <v>197200</v>
      </c>
      <c r="BV159" s="616">
        <f t="shared" si="442"/>
        <v>4000</v>
      </c>
      <c r="BW159" s="616">
        <f>BA159</f>
        <v>9700</v>
      </c>
      <c r="BX159" s="616">
        <f t="shared" si="444"/>
        <v>89137</v>
      </c>
      <c r="BY159" s="616">
        <f t="shared" si="445"/>
        <v>58000</v>
      </c>
      <c r="BZ159" s="616">
        <f t="shared" si="446"/>
        <v>5400</v>
      </c>
      <c r="CA159" s="616">
        <f t="shared" si="447"/>
        <v>7700</v>
      </c>
      <c r="CB159" s="616">
        <f t="shared" si="448"/>
        <v>800</v>
      </c>
      <c r="CC159" s="616">
        <f t="shared" si="449"/>
        <v>3300</v>
      </c>
      <c r="CD159" s="616">
        <f t="shared" si="450"/>
        <v>326752</v>
      </c>
      <c r="CE159" s="618">
        <f t="shared" si="489"/>
        <v>250961.6</v>
      </c>
      <c r="CF159" s="618">
        <f t="shared" si="490"/>
        <v>75790.399999999994</v>
      </c>
      <c r="CG159" s="616">
        <f t="shared" si="451"/>
        <v>35200</v>
      </c>
      <c r="CH159" s="621">
        <f t="shared" si="452"/>
        <v>2343151</v>
      </c>
      <c r="CI159" s="88">
        <f t="shared" si="453"/>
        <v>143106.20000000001</v>
      </c>
      <c r="CJ159" s="90">
        <f t="shared" si="454"/>
        <v>109912.6</v>
      </c>
      <c r="CK159" s="90">
        <f t="shared" si="455"/>
        <v>33193.599999999999</v>
      </c>
      <c r="CL159" s="88">
        <f t="shared" si="456"/>
        <v>8860</v>
      </c>
      <c r="CM159" s="88">
        <f t="shared" si="457"/>
        <v>0</v>
      </c>
      <c r="CN159" s="88">
        <f t="shared" si="458"/>
        <v>8110</v>
      </c>
      <c r="CO159" s="88">
        <f t="shared" si="459"/>
        <v>21610</v>
      </c>
      <c r="CP159" s="88">
        <f t="shared" si="460"/>
        <v>520</v>
      </c>
      <c r="CQ159" s="88">
        <f t="shared" si="461"/>
        <v>19720</v>
      </c>
      <c r="CR159" s="88">
        <f t="shared" si="462"/>
        <v>400</v>
      </c>
      <c r="CS159" s="88">
        <f t="shared" si="463"/>
        <v>970</v>
      </c>
      <c r="CT159" s="88">
        <f t="shared" si="464"/>
        <v>8913.7000000000007</v>
      </c>
      <c r="CU159" s="88">
        <f t="shared" si="465"/>
        <v>5800</v>
      </c>
      <c r="CV159" s="88">
        <f t="shared" si="466"/>
        <v>540</v>
      </c>
      <c r="CW159" s="88">
        <f t="shared" si="467"/>
        <v>770</v>
      </c>
      <c r="CX159" s="88">
        <f t="shared" si="468"/>
        <v>80</v>
      </c>
      <c r="CY159" s="88">
        <f t="shared" si="469"/>
        <v>330</v>
      </c>
      <c r="CZ159" s="88">
        <f t="shared" si="470"/>
        <v>32675.200000000001</v>
      </c>
      <c r="DA159" s="90">
        <f t="shared" si="471"/>
        <v>25096.16</v>
      </c>
      <c r="DB159" s="90">
        <f t="shared" si="472"/>
        <v>7579.04</v>
      </c>
      <c r="DC159" s="88">
        <f t="shared" si="473"/>
        <v>3520</v>
      </c>
      <c r="DD159" s="88">
        <f t="shared" si="474"/>
        <v>234315.1</v>
      </c>
      <c r="AUV159" s="699">
        <f t="shared" si="409"/>
        <v>143106.20000000001</v>
      </c>
      <c r="AUW159" s="699">
        <f t="shared" si="410"/>
        <v>109912.6</v>
      </c>
      <c r="AUX159" s="699">
        <f t="shared" si="411"/>
        <v>33193.599999999999</v>
      </c>
      <c r="AUY159" s="699">
        <f t="shared" si="392"/>
        <v>8860</v>
      </c>
      <c r="AUZ159" s="699">
        <f t="shared" si="475"/>
        <v>0</v>
      </c>
      <c r="AVA159" s="699">
        <f t="shared" si="475"/>
        <v>1.1499999999999999</v>
      </c>
      <c r="AVB159" s="699">
        <f t="shared" si="393"/>
        <v>21610</v>
      </c>
      <c r="AVC159" s="699">
        <f t="shared" si="394"/>
        <v>520</v>
      </c>
      <c r="AVD159" s="699">
        <f t="shared" si="395"/>
        <v>19720</v>
      </c>
      <c r="AVE159" s="699">
        <f t="shared" si="396"/>
        <v>400</v>
      </c>
      <c r="AVF159" s="699">
        <f t="shared" si="397"/>
        <v>970</v>
      </c>
      <c r="AVG159" s="699">
        <f t="shared" si="398"/>
        <v>8913.7000000000007</v>
      </c>
      <c r="AVH159" s="699">
        <f t="shared" si="399"/>
        <v>5800</v>
      </c>
      <c r="AVI159" s="699">
        <f t="shared" si="400"/>
        <v>540</v>
      </c>
      <c r="AVJ159" s="699">
        <f t="shared" si="401"/>
        <v>770</v>
      </c>
      <c r="AVK159" s="699">
        <f t="shared" si="402"/>
        <v>80</v>
      </c>
      <c r="AVL159" s="699">
        <f t="shared" si="403"/>
        <v>330</v>
      </c>
      <c r="AVM159" s="699">
        <f t="shared" si="404"/>
        <v>32675.200000000001</v>
      </c>
      <c r="AVN159" s="699">
        <f t="shared" si="405"/>
        <v>25096.16</v>
      </c>
      <c r="AVO159" s="699">
        <f t="shared" si="406"/>
        <v>7579.04</v>
      </c>
      <c r="AVP159" s="699">
        <f t="shared" si="407"/>
        <v>3520</v>
      </c>
      <c r="AVQ159" s="699">
        <f t="shared" si="408"/>
        <v>234315.1</v>
      </c>
    </row>
    <row r="160" spans="1:108 1244:1265" s="608" customFormat="1" ht="30" customHeight="1" x14ac:dyDescent="0.25">
      <c r="A160" s="634">
        <v>1</v>
      </c>
      <c r="B160" s="634">
        <v>4</v>
      </c>
      <c r="C160" s="633" t="s">
        <v>18</v>
      </c>
      <c r="D160" s="2"/>
      <c r="E160" s="602" t="s">
        <v>345</v>
      </c>
      <c r="F160" s="634" t="s">
        <v>38</v>
      </c>
      <c r="G160" s="634">
        <v>2</v>
      </c>
      <c r="H160" s="656" t="s">
        <v>10</v>
      </c>
      <c r="I160" s="634">
        <v>0</v>
      </c>
      <c r="J160" s="602" t="s">
        <v>361</v>
      </c>
      <c r="K160" s="634">
        <v>3</v>
      </c>
      <c r="L160" s="681" t="s">
        <v>350</v>
      </c>
      <c r="M160" s="601"/>
      <c r="N160" s="602" t="s">
        <v>401</v>
      </c>
      <c r="O160" s="634">
        <v>2</v>
      </c>
      <c r="P160" s="633">
        <v>1</v>
      </c>
      <c r="Q160" s="633">
        <v>1</v>
      </c>
      <c r="R160" s="633">
        <v>1</v>
      </c>
      <c r="S160" s="671">
        <f>'Территориальный кк'!D7</f>
        <v>2.0270000000000001</v>
      </c>
      <c r="T160" s="672">
        <f>'Территориальный кк'!E7</f>
        <v>3.3260000000000001</v>
      </c>
      <c r="U160" s="618">
        <f>SUMIFS(Нормативы!G:G,Нормативы!$B:$B,$G160,Нормативы!$D:$D,'2020'!$I160,Нормативы!$F:$F,'2020'!$K160)*O160</f>
        <v>141200</v>
      </c>
      <c r="V160" s="618">
        <f t="shared" ref="V160" si="491">ROUND(U160/1.302,1)</f>
        <v>108448.5</v>
      </c>
      <c r="W160" s="618">
        <f t="shared" ref="W160" si="492">U160-V160</f>
        <v>32751.5</v>
      </c>
      <c r="X160" s="618">
        <f>SUMIFS(Нормативы!J:J,Нормативы!$B:$B,$G160,Нормативы!$D:$D,'2020'!$I160,Нормативы!$F:$F,'2020'!$K160)</f>
        <v>8860</v>
      </c>
      <c r="Y160" s="618">
        <f>SUMIFS(Нормативы!K:K,Нормативы!$B:$B,$G160,Нормативы!$D:$D,'2020'!$I160,Нормативы!$F:$F,'2020'!$K160)</f>
        <v>0</v>
      </c>
      <c r="Z160" s="618">
        <f>SUMIFS(Нормативы!L:L,Нормативы!$B:$B,$G160,Нормативы!$D:$D,'2020'!$I160,Нормативы!$F:$F,'2020'!$K160)</f>
        <v>8110</v>
      </c>
      <c r="AA160" s="618">
        <f t="shared" ref="AA160" si="493">AB160+AC160+AD160+AE160</f>
        <v>22530</v>
      </c>
      <c r="AB160" s="618">
        <f>SUMIFS(Нормативы!N:N,Нормативы!$B:$B,$G160,Нормативы!$D:$D,'2020'!$I160,Нормативы!$F:$F,'2020'!$K160)*O160</f>
        <v>1040</v>
      </c>
      <c r="AC160" s="618">
        <f>SUMIFS(Нормативы!O:O,Нормативы!$B:$B,$G160,Нормативы!$D:$D,'2020'!$I160,Нормативы!$F:$F,'2020'!$K160)</f>
        <v>19720</v>
      </c>
      <c r="AD160" s="618">
        <f>SUMIFS(Нормативы!P:P,Нормативы!$B:$B,$G160,Нормативы!$D:$D,'2020'!$I160,Нормативы!$F:$F,'2020'!$K160)*O160</f>
        <v>800</v>
      </c>
      <c r="AE160" s="618">
        <f>SUMIFS(Нормативы!Q:Q,Нормативы!$B:$B,$G160,Нормативы!$D:$D,'2020'!$I160,Нормативы!$F:$F,'2020'!$K160)</f>
        <v>970</v>
      </c>
      <c r="AF160" s="618">
        <f>SUMIFS(Нормативы!R:R,Нормативы!$B:$B,$G160,Нормативы!$D:$D,'2020'!$I160,Нормативы!$F:$F,'2020'!$K160)</f>
        <v>2680</v>
      </c>
      <c r="AG160" s="618">
        <f>SUMIFS(Нормативы!S:S,Нормативы!$B:$B,$G160,Нормативы!$D:$D,'2020'!$I160,Нормативы!$F:$F,'2020'!$K160)</f>
        <v>5800</v>
      </c>
      <c r="AH160" s="618">
        <f>SUMIFS(Нормативы!T:T,Нормативы!$B:$B,$G160,Нормативы!$D:$D,'2020'!$I160,Нормативы!$F:$F,'2020'!$K160)</f>
        <v>540</v>
      </c>
      <c r="AI160" s="618">
        <f>SUMIFS(Нормативы!U:U,Нормативы!$B:$B,$G160,Нормативы!$D:$D,'2020'!$I160,Нормативы!$F:$F,'2020'!$K160)</f>
        <v>770</v>
      </c>
      <c r="AJ160" s="618">
        <f>SUMIFS(Нормативы!V:V,Нормативы!$B:$B,$G160,Нормативы!$D:$D,'2020'!$I160,Нормативы!$F:$F,'2020'!$K160)</f>
        <v>80</v>
      </c>
      <c r="AK160" s="618">
        <f>SUMIFS(Нормативы!W:W,Нормативы!$B:$B,$G160,Нормативы!$D:$D,'2020'!$I160,Нормативы!$F:$F,'2020'!$K160)</f>
        <v>330</v>
      </c>
      <c r="AL160" s="618">
        <f>SUMIFS(Нормативы!X:X,Нормативы!$B:$B,$G160,Нормативы!$D:$D,'2020'!$I160,Нормативы!$F:$F,'2020'!$K160)*O160</f>
        <v>32240</v>
      </c>
      <c r="AM160" s="618">
        <f t="shared" ref="AM160" si="494">ROUND(AL160/1.302,1)</f>
        <v>24761.9</v>
      </c>
      <c r="AN160" s="618">
        <f t="shared" ref="AN160" si="495">AL160-AM160</f>
        <v>7478.1</v>
      </c>
      <c r="AO160" s="618">
        <f>SUMIFS(Нормативы!AA:AA,Нормативы!$B:$B,$G160,Нормативы!$D:$D,'2020'!$I160,Нормативы!$F:$F,'2020'!$K160)</f>
        <v>3520</v>
      </c>
      <c r="AP160" s="619">
        <f t="shared" ref="AP160" si="496">U160+X160+Z160+AA160++AF160+AG160+AH160+AI160+AJ160+AK160+AL160+AO160</f>
        <v>226660</v>
      </c>
      <c r="AQ160" s="611">
        <f t="shared" si="418"/>
        <v>141200</v>
      </c>
      <c r="AR160" s="622">
        <f t="shared" si="482"/>
        <v>108448.5</v>
      </c>
      <c r="AS160" s="622">
        <f t="shared" si="483"/>
        <v>32751.5</v>
      </c>
      <c r="AT160" s="614">
        <f t="shared" si="419"/>
        <v>8860</v>
      </c>
      <c r="AU160" s="614">
        <f t="shared" si="420"/>
        <v>0</v>
      </c>
      <c r="AV160" s="614">
        <f t="shared" si="421"/>
        <v>8110</v>
      </c>
      <c r="AW160" s="614">
        <f t="shared" si="422"/>
        <v>22530</v>
      </c>
      <c r="AX160" s="614">
        <f t="shared" si="423"/>
        <v>1040</v>
      </c>
      <c r="AY160" s="614">
        <f t="shared" si="424"/>
        <v>19720</v>
      </c>
      <c r="AZ160" s="614">
        <f t="shared" si="425"/>
        <v>800</v>
      </c>
      <c r="BA160" s="614">
        <f>ROUND($P160*AE160,0)</f>
        <v>970</v>
      </c>
      <c r="BB160" s="614">
        <f t="shared" si="427"/>
        <v>2680</v>
      </c>
      <c r="BC160" s="614">
        <f t="shared" si="428"/>
        <v>5800</v>
      </c>
      <c r="BD160" s="614">
        <f t="shared" si="429"/>
        <v>540</v>
      </c>
      <c r="BE160" s="614">
        <f t="shared" si="430"/>
        <v>770</v>
      </c>
      <c r="BF160" s="614">
        <f t="shared" si="431"/>
        <v>80</v>
      </c>
      <c r="BG160" s="614">
        <f t="shared" si="432"/>
        <v>330</v>
      </c>
      <c r="BH160" s="614">
        <f t="shared" si="433"/>
        <v>32240</v>
      </c>
      <c r="BI160" s="622">
        <f t="shared" si="484"/>
        <v>24761.9</v>
      </c>
      <c r="BJ160" s="622">
        <f t="shared" si="485"/>
        <v>7478.1</v>
      </c>
      <c r="BK160" s="614">
        <f t="shared" si="434"/>
        <v>3520</v>
      </c>
      <c r="BL160" s="623">
        <f t="shared" si="435"/>
        <v>226660</v>
      </c>
      <c r="BM160" s="614">
        <f t="shared" si="436"/>
        <v>286212</v>
      </c>
      <c r="BN160" s="622">
        <f t="shared" si="437"/>
        <v>219824.9</v>
      </c>
      <c r="BO160" s="622">
        <f t="shared" si="438"/>
        <v>66387.100000000006</v>
      </c>
      <c r="BP160" s="614">
        <f t="shared" si="486"/>
        <v>8860</v>
      </c>
      <c r="BQ160" s="614">
        <f t="shared" si="487"/>
        <v>0</v>
      </c>
      <c r="BR160" s="614">
        <f t="shared" si="488"/>
        <v>8110</v>
      </c>
      <c r="BS160" s="614">
        <f t="shared" si="439"/>
        <v>22530</v>
      </c>
      <c r="BT160" s="614">
        <f t="shared" si="440"/>
        <v>1040</v>
      </c>
      <c r="BU160" s="614">
        <f t="shared" si="441"/>
        <v>19720</v>
      </c>
      <c r="BV160" s="614">
        <f t="shared" si="442"/>
        <v>800</v>
      </c>
      <c r="BW160" s="614">
        <f>BA160</f>
        <v>970</v>
      </c>
      <c r="BX160" s="614">
        <f t="shared" si="444"/>
        <v>8914</v>
      </c>
      <c r="BY160" s="614">
        <f t="shared" si="445"/>
        <v>5800</v>
      </c>
      <c r="BZ160" s="614">
        <f t="shared" si="446"/>
        <v>540</v>
      </c>
      <c r="CA160" s="614">
        <f t="shared" si="447"/>
        <v>770</v>
      </c>
      <c r="CB160" s="614">
        <f t="shared" si="448"/>
        <v>80</v>
      </c>
      <c r="CC160" s="614">
        <f t="shared" si="449"/>
        <v>330</v>
      </c>
      <c r="CD160" s="614">
        <f t="shared" si="450"/>
        <v>65350</v>
      </c>
      <c r="CE160" s="622">
        <f t="shared" si="489"/>
        <v>50192</v>
      </c>
      <c r="CF160" s="622">
        <f t="shared" si="490"/>
        <v>15158</v>
      </c>
      <c r="CG160" s="614">
        <f t="shared" si="451"/>
        <v>3520</v>
      </c>
      <c r="CH160" s="621">
        <f t="shared" si="452"/>
        <v>411016</v>
      </c>
      <c r="CI160" s="607"/>
      <c r="CJ160" s="607"/>
      <c r="CK160" s="607"/>
      <c r="CL160" s="607"/>
      <c r="CM160" s="607"/>
      <c r="CN160" s="607"/>
      <c r="CO160" s="607"/>
      <c r="CP160" s="607"/>
      <c r="CQ160" s="607"/>
      <c r="CR160" s="607"/>
      <c r="CS160" s="607"/>
      <c r="CT160" s="607"/>
      <c r="CU160" s="607"/>
      <c r="CV160" s="607"/>
      <c r="CW160" s="607"/>
      <c r="CX160" s="607"/>
      <c r="CY160" s="607"/>
      <c r="CZ160" s="607"/>
      <c r="DA160" s="607"/>
      <c r="DB160" s="607"/>
      <c r="DC160" s="607"/>
      <c r="DD160" s="607"/>
      <c r="AUV160" s="699">
        <f t="shared" si="409"/>
        <v>286212</v>
      </c>
      <c r="AUW160" s="699">
        <f t="shared" si="410"/>
        <v>219824.88</v>
      </c>
      <c r="AUX160" s="699">
        <f t="shared" si="411"/>
        <v>66387.12</v>
      </c>
      <c r="AUY160" s="699">
        <f t="shared" si="392"/>
        <v>8860</v>
      </c>
      <c r="AUZ160" s="699">
        <f t="shared" si="475"/>
        <v>0</v>
      </c>
      <c r="AVA160" s="699">
        <f t="shared" si="475"/>
        <v>0.06</v>
      </c>
      <c r="AVB160" s="699">
        <f t="shared" si="393"/>
        <v>22530</v>
      </c>
      <c r="AVC160" s="699">
        <f t="shared" si="394"/>
        <v>1040</v>
      </c>
      <c r="AVD160" s="699">
        <f t="shared" si="395"/>
        <v>19720</v>
      </c>
      <c r="AVE160" s="699">
        <f t="shared" si="396"/>
        <v>800</v>
      </c>
      <c r="AVF160" s="699">
        <f t="shared" si="397"/>
        <v>970</v>
      </c>
      <c r="AVG160" s="699">
        <f t="shared" si="398"/>
        <v>8914</v>
      </c>
      <c r="AVH160" s="699">
        <f t="shared" si="399"/>
        <v>5800</v>
      </c>
      <c r="AVI160" s="699">
        <f t="shared" si="400"/>
        <v>540</v>
      </c>
      <c r="AVJ160" s="699">
        <f t="shared" si="401"/>
        <v>770</v>
      </c>
      <c r="AVK160" s="699">
        <f t="shared" si="402"/>
        <v>80</v>
      </c>
      <c r="AVL160" s="699">
        <f t="shared" si="403"/>
        <v>330</v>
      </c>
      <c r="AVM160" s="699">
        <f t="shared" si="404"/>
        <v>65350</v>
      </c>
      <c r="AVN160" s="699">
        <f t="shared" si="405"/>
        <v>50192.01</v>
      </c>
      <c r="AVO160" s="699">
        <f t="shared" si="406"/>
        <v>15157.99</v>
      </c>
      <c r="AVP160" s="699">
        <f t="shared" si="407"/>
        <v>3520</v>
      </c>
      <c r="AVQ160" s="699">
        <f t="shared" si="408"/>
        <v>411016</v>
      </c>
    </row>
    <row r="161" spans="1:108 1244:1265" ht="30" customHeight="1" x14ac:dyDescent="0.25">
      <c r="A161" s="643">
        <v>1</v>
      </c>
      <c r="B161" s="643">
        <v>4</v>
      </c>
      <c r="C161" s="664" t="s">
        <v>18</v>
      </c>
      <c r="D161" s="2"/>
      <c r="E161" s="101" t="s">
        <v>345</v>
      </c>
      <c r="F161" s="643" t="s">
        <v>38</v>
      </c>
      <c r="G161" s="643">
        <v>2</v>
      </c>
      <c r="H161" s="658" t="s">
        <v>8</v>
      </c>
      <c r="I161" s="643">
        <v>3</v>
      </c>
      <c r="J161" s="101" t="s">
        <v>361</v>
      </c>
      <c r="K161" s="643">
        <v>3</v>
      </c>
      <c r="L161" s="683" t="s">
        <v>350</v>
      </c>
      <c r="M161" s="11" t="s">
        <v>294</v>
      </c>
      <c r="N161" s="101" t="s">
        <v>387</v>
      </c>
      <c r="O161" s="643">
        <v>1</v>
      </c>
      <c r="P161" s="632">
        <v>10</v>
      </c>
      <c r="Q161" s="632">
        <v>10</v>
      </c>
      <c r="R161" s="632">
        <v>10</v>
      </c>
      <c r="S161" s="675">
        <f>SUMIF('Территориальный кк'!$A:$A,'2020'!$B161,'Территориальный кк'!D:D)</f>
        <v>2.0270000000000001</v>
      </c>
      <c r="T161" s="676">
        <f>SUMIF('Территориальный кк'!$A:$A,'2020'!$B161,'Территориальный кк'!E:E)</f>
        <v>3.3260000000000001</v>
      </c>
      <c r="U161" s="618">
        <f>SUMIFS(Нормативы!G:G,Нормативы!$B:$B,$G161,Нормативы!$D:$D,'2020'!$I161,Нормативы!$F:$F,'2020'!$K161)*O161</f>
        <v>12944</v>
      </c>
      <c r="V161" s="618">
        <f t="shared" si="476"/>
        <v>9941.6</v>
      </c>
      <c r="W161" s="618">
        <f t="shared" si="477"/>
        <v>3002.4</v>
      </c>
      <c r="X161" s="618">
        <f>SUMIFS(Нормативы!J:J,Нормативы!$B:$B,$G161,Нормативы!$D:$D,'2020'!$I161,Нормативы!$F:$F,'2020'!$K161)</f>
        <v>486</v>
      </c>
      <c r="Y161" s="618">
        <f>SUMIFS(Нормативы!K:K,Нормативы!$B:$B,$G161,Нормативы!$D:$D,'2020'!$I161,Нормативы!$F:$F,'2020'!$K161)</f>
        <v>97</v>
      </c>
      <c r="Z161" s="618">
        <f>SUMIFS(Нормативы!L:L,Нормативы!$B:$B,$G161,Нормативы!$D:$D,'2020'!$I161,Нормативы!$F:$F,'2020'!$K161)</f>
        <v>348</v>
      </c>
      <c r="AA161" s="618">
        <f t="shared" si="478"/>
        <v>2031</v>
      </c>
      <c r="AB161" s="618">
        <f>SUMIFS(Нормативы!N:N,Нормативы!$B:$B,$G161,Нормативы!$D:$D,'2020'!$I161,Нормативы!$F:$F,'2020'!$K161)*O161</f>
        <v>52</v>
      </c>
      <c r="AC161" s="618">
        <f>SUMIFS(Нормативы!O:O,Нормативы!$B:$B,$G161,Нормативы!$D:$D,'2020'!$I161,Нормативы!$F:$F,'2020'!$K161)</f>
        <v>1728</v>
      </c>
      <c r="AD161" s="618">
        <f>SUMIFS(Нормативы!P:P,Нормативы!$B:$B,$G161,Нормативы!$D:$D,'2020'!$I161,Нормативы!$F:$F,'2020'!$K161)*O161</f>
        <v>73</v>
      </c>
      <c r="AE161" s="618">
        <f>SUMIFS(Нормативы!Q:Q,Нормативы!$B:$B,$G161,Нормативы!$D:$D,'2020'!$I161,Нормативы!$F:$F,'2020'!$K161)</f>
        <v>178</v>
      </c>
      <c r="AF161" s="618">
        <f>SUMIFS(Нормативы!R:R,Нормативы!$B:$B,$G161,Нормативы!$D:$D,'2020'!$I161,Нормативы!$F:$F,'2020'!$K161)</f>
        <v>275</v>
      </c>
      <c r="AG161" s="618">
        <f>SUMIFS(Нормативы!S:S,Нормативы!$B:$B,$G161,Нормативы!$D:$D,'2020'!$I161,Нормативы!$F:$F,'2020'!$K161)</f>
        <v>580</v>
      </c>
      <c r="AH161" s="618">
        <f>SUMIFS(Нормативы!T:T,Нормативы!$B:$B,$G161,Нормативы!$D:$D,'2020'!$I161,Нормативы!$F:$F,'2020'!$K161)</f>
        <v>54</v>
      </c>
      <c r="AI161" s="618">
        <f>SUMIFS(Нормативы!U:U,Нормативы!$B:$B,$G161,Нормативы!$D:$D,'2020'!$I161,Нормативы!$F:$F,'2020'!$K161)</f>
        <v>77</v>
      </c>
      <c r="AJ161" s="618">
        <f>SUMIFS(Нормативы!V:V,Нормативы!$B:$B,$G161,Нормативы!$D:$D,'2020'!$I161,Нормативы!$F:$F,'2020'!$K161)</f>
        <v>8</v>
      </c>
      <c r="AK161" s="618">
        <f>SUMIFS(Нормативы!W:W,Нормативы!$B:$B,$G161,Нормативы!$D:$D,'2020'!$I161,Нормативы!$F:$F,'2020'!$K161)</f>
        <v>39</v>
      </c>
      <c r="AL161" s="618">
        <f>SUMIFS(Нормативы!X:X,Нормативы!$B:$B,$G161,Нормативы!$D:$D,'2020'!$I161,Нормативы!$F:$F,'2020'!$K161)*O161</f>
        <v>1612</v>
      </c>
      <c r="AM161" s="618">
        <f t="shared" si="479"/>
        <v>1238.0999999999999</v>
      </c>
      <c r="AN161" s="618">
        <f t="shared" si="480"/>
        <v>373.9</v>
      </c>
      <c r="AO161" s="618">
        <f>SUMIFS(Нормативы!AA:AA,Нормативы!$B:$B,$G161,Нормативы!$D:$D,'2020'!$I161,Нормативы!$F:$F,'2020'!$K161)</f>
        <v>0</v>
      </c>
      <c r="AP161" s="619">
        <f t="shared" si="481"/>
        <v>18454</v>
      </c>
      <c r="AQ161" s="413">
        <f t="shared" si="418"/>
        <v>129440</v>
      </c>
      <c r="AR161" s="618">
        <f t="shared" si="482"/>
        <v>99416.3</v>
      </c>
      <c r="AS161" s="618">
        <f t="shared" si="483"/>
        <v>30023.7</v>
      </c>
      <c r="AT161" s="616">
        <f t="shared" si="419"/>
        <v>4860</v>
      </c>
      <c r="AU161" s="616">
        <f t="shared" si="420"/>
        <v>970</v>
      </c>
      <c r="AV161" s="616">
        <f t="shared" si="421"/>
        <v>3480</v>
      </c>
      <c r="AW161" s="616">
        <f t="shared" si="422"/>
        <v>20310</v>
      </c>
      <c r="AX161" s="616">
        <f t="shared" si="423"/>
        <v>520</v>
      </c>
      <c r="AY161" s="616">
        <f t="shared" si="424"/>
        <v>17280</v>
      </c>
      <c r="AZ161" s="616">
        <f t="shared" si="425"/>
        <v>730</v>
      </c>
      <c r="BA161" s="616">
        <f t="shared" si="426"/>
        <v>1780</v>
      </c>
      <c r="BB161" s="616">
        <f t="shared" si="427"/>
        <v>2750</v>
      </c>
      <c r="BC161" s="616">
        <f t="shared" si="428"/>
        <v>5800</v>
      </c>
      <c r="BD161" s="616">
        <f t="shared" si="429"/>
        <v>540</v>
      </c>
      <c r="BE161" s="616">
        <f t="shared" si="430"/>
        <v>770</v>
      </c>
      <c r="BF161" s="616">
        <f t="shared" si="431"/>
        <v>80</v>
      </c>
      <c r="BG161" s="616">
        <f t="shared" si="432"/>
        <v>390</v>
      </c>
      <c r="BH161" s="616">
        <f t="shared" si="433"/>
        <v>16120</v>
      </c>
      <c r="BI161" s="618">
        <f t="shared" si="484"/>
        <v>12381</v>
      </c>
      <c r="BJ161" s="618">
        <f t="shared" si="485"/>
        <v>3739</v>
      </c>
      <c r="BK161" s="616">
        <f t="shared" si="434"/>
        <v>0</v>
      </c>
      <c r="BL161" s="620">
        <f t="shared" si="435"/>
        <v>184540</v>
      </c>
      <c r="BM161" s="616">
        <f t="shared" si="436"/>
        <v>262375</v>
      </c>
      <c r="BN161" s="618">
        <f t="shared" si="437"/>
        <v>201516.9</v>
      </c>
      <c r="BO161" s="618">
        <f t="shared" si="438"/>
        <v>60858.1</v>
      </c>
      <c r="BP161" s="616">
        <f t="shared" si="486"/>
        <v>4860</v>
      </c>
      <c r="BQ161" s="616">
        <f t="shared" si="487"/>
        <v>970</v>
      </c>
      <c r="BR161" s="616">
        <f t="shared" si="488"/>
        <v>3480</v>
      </c>
      <c r="BS161" s="616">
        <f t="shared" si="439"/>
        <v>20310</v>
      </c>
      <c r="BT161" s="616">
        <f t="shared" si="440"/>
        <v>520</v>
      </c>
      <c r="BU161" s="616">
        <f t="shared" si="441"/>
        <v>17280</v>
      </c>
      <c r="BV161" s="616">
        <f t="shared" si="442"/>
        <v>730</v>
      </c>
      <c r="BW161" s="616">
        <f t="shared" si="443"/>
        <v>1780</v>
      </c>
      <c r="BX161" s="616">
        <f t="shared" si="444"/>
        <v>9147</v>
      </c>
      <c r="BY161" s="616">
        <f t="shared" si="445"/>
        <v>5800</v>
      </c>
      <c r="BZ161" s="616">
        <f t="shared" si="446"/>
        <v>540</v>
      </c>
      <c r="CA161" s="616">
        <f t="shared" si="447"/>
        <v>770</v>
      </c>
      <c r="CB161" s="616">
        <f t="shared" si="448"/>
        <v>80</v>
      </c>
      <c r="CC161" s="616">
        <f t="shared" si="449"/>
        <v>390</v>
      </c>
      <c r="CD161" s="616">
        <f t="shared" si="450"/>
        <v>32675</v>
      </c>
      <c r="CE161" s="618">
        <f t="shared" si="489"/>
        <v>25096</v>
      </c>
      <c r="CF161" s="618">
        <f t="shared" si="490"/>
        <v>7579</v>
      </c>
      <c r="CG161" s="616">
        <f t="shared" si="451"/>
        <v>0</v>
      </c>
      <c r="CH161" s="621">
        <f t="shared" si="452"/>
        <v>340427</v>
      </c>
      <c r="CI161" s="88">
        <f t="shared" si="453"/>
        <v>26237.5</v>
      </c>
      <c r="CJ161" s="90">
        <f t="shared" si="454"/>
        <v>20151.689999999999</v>
      </c>
      <c r="CK161" s="90">
        <f t="shared" si="455"/>
        <v>6085.81</v>
      </c>
      <c r="CL161" s="88">
        <f t="shared" si="456"/>
        <v>486</v>
      </c>
      <c r="CM161" s="88">
        <f t="shared" si="457"/>
        <v>97</v>
      </c>
      <c r="CN161" s="88">
        <f t="shared" si="458"/>
        <v>348</v>
      </c>
      <c r="CO161" s="88">
        <f t="shared" si="459"/>
        <v>2031</v>
      </c>
      <c r="CP161" s="88">
        <f t="shared" si="460"/>
        <v>52</v>
      </c>
      <c r="CQ161" s="88">
        <f t="shared" si="461"/>
        <v>1728</v>
      </c>
      <c r="CR161" s="88">
        <f t="shared" si="462"/>
        <v>73</v>
      </c>
      <c r="CS161" s="88">
        <f t="shared" si="463"/>
        <v>178</v>
      </c>
      <c r="CT161" s="88">
        <f t="shared" si="464"/>
        <v>914.7</v>
      </c>
      <c r="CU161" s="88">
        <f t="shared" si="465"/>
        <v>580</v>
      </c>
      <c r="CV161" s="88">
        <f t="shared" si="466"/>
        <v>54</v>
      </c>
      <c r="CW161" s="88">
        <f t="shared" si="467"/>
        <v>77</v>
      </c>
      <c r="CX161" s="88">
        <f t="shared" si="468"/>
        <v>8</v>
      </c>
      <c r="CY161" s="88">
        <f t="shared" si="469"/>
        <v>39</v>
      </c>
      <c r="CZ161" s="88">
        <f t="shared" si="470"/>
        <v>3267.5</v>
      </c>
      <c r="DA161" s="90">
        <f t="shared" si="471"/>
        <v>2509.6</v>
      </c>
      <c r="DB161" s="90">
        <f t="shared" si="472"/>
        <v>757.9</v>
      </c>
      <c r="DC161" s="88">
        <f t="shared" si="473"/>
        <v>0</v>
      </c>
      <c r="DD161" s="211">
        <f t="shared" si="474"/>
        <v>34042.699999999997</v>
      </c>
      <c r="AUV161" s="699">
        <f t="shared" si="409"/>
        <v>26237.5</v>
      </c>
      <c r="AUW161" s="699">
        <f t="shared" si="410"/>
        <v>20151.689999999999</v>
      </c>
      <c r="AUX161" s="699">
        <f t="shared" si="411"/>
        <v>6085.81</v>
      </c>
      <c r="AUY161" s="699">
        <f t="shared" si="392"/>
        <v>486</v>
      </c>
      <c r="AUZ161" s="699">
        <f t="shared" si="475"/>
        <v>291.64</v>
      </c>
      <c r="AVA161" s="699">
        <f t="shared" si="475"/>
        <v>0.27</v>
      </c>
      <c r="AVB161" s="699">
        <f t="shared" si="393"/>
        <v>2031</v>
      </c>
      <c r="AVC161" s="699">
        <f t="shared" si="394"/>
        <v>52</v>
      </c>
      <c r="AVD161" s="699">
        <f t="shared" si="395"/>
        <v>1728</v>
      </c>
      <c r="AVE161" s="699">
        <f t="shared" si="396"/>
        <v>73</v>
      </c>
      <c r="AVF161" s="699">
        <f t="shared" si="397"/>
        <v>178</v>
      </c>
      <c r="AVG161" s="699">
        <f t="shared" si="398"/>
        <v>914.7</v>
      </c>
      <c r="AVH161" s="699">
        <f t="shared" si="399"/>
        <v>580</v>
      </c>
      <c r="AVI161" s="699">
        <f t="shared" si="400"/>
        <v>54</v>
      </c>
      <c r="AVJ161" s="699">
        <f t="shared" si="401"/>
        <v>77</v>
      </c>
      <c r="AVK161" s="699">
        <f t="shared" si="402"/>
        <v>8</v>
      </c>
      <c r="AVL161" s="699">
        <f t="shared" si="403"/>
        <v>39</v>
      </c>
      <c r="AVM161" s="699">
        <f t="shared" si="404"/>
        <v>3267.5</v>
      </c>
      <c r="AVN161" s="699">
        <f t="shared" si="405"/>
        <v>2509.6</v>
      </c>
      <c r="AVO161" s="699">
        <f t="shared" si="406"/>
        <v>757.9</v>
      </c>
      <c r="AVP161" s="699">
        <f t="shared" si="407"/>
        <v>0</v>
      </c>
      <c r="AVQ161" s="699">
        <f t="shared" si="408"/>
        <v>34042.699999999997</v>
      </c>
    </row>
    <row r="162" spans="1:108 1244:1265" ht="30" customHeight="1" x14ac:dyDescent="0.25">
      <c r="A162" s="643">
        <v>1</v>
      </c>
      <c r="B162" s="643">
        <v>4</v>
      </c>
      <c r="C162" s="664" t="s">
        <v>18</v>
      </c>
      <c r="D162" s="2"/>
      <c r="E162" s="101" t="s">
        <v>345</v>
      </c>
      <c r="F162" s="643" t="s">
        <v>38</v>
      </c>
      <c r="G162" s="643">
        <v>2</v>
      </c>
      <c r="H162" s="658" t="s">
        <v>10</v>
      </c>
      <c r="I162" s="643">
        <v>0</v>
      </c>
      <c r="J162" s="101" t="s">
        <v>364</v>
      </c>
      <c r="K162" s="643">
        <v>3</v>
      </c>
      <c r="L162" s="683" t="s">
        <v>350</v>
      </c>
      <c r="M162" s="11" t="s">
        <v>270</v>
      </c>
      <c r="N162" s="101" t="s">
        <v>387</v>
      </c>
      <c r="O162" s="643">
        <v>1</v>
      </c>
      <c r="P162" s="632">
        <v>19</v>
      </c>
      <c r="Q162" s="632">
        <v>19</v>
      </c>
      <c r="R162" s="632">
        <v>19</v>
      </c>
      <c r="S162" s="675">
        <f>SUMIF('Территориальный кк'!$A:$A,'2020'!$B162,'Территориальный кк'!D:D)</f>
        <v>2.0270000000000001</v>
      </c>
      <c r="T162" s="676">
        <f>SUMIF('Территориальный кк'!$A:$A,'2020'!$B162,'Территориальный кк'!E:E)</f>
        <v>3.3260000000000001</v>
      </c>
      <c r="U162" s="618">
        <f>SUMIFS(Нормативы!G:G,Нормативы!$B:$B,$G162,Нормативы!$D:$D,'2020'!$I162,Нормативы!$F:$F,'2020'!$K162)*O162</f>
        <v>70600</v>
      </c>
      <c r="V162" s="618">
        <f t="shared" si="476"/>
        <v>54224.3</v>
      </c>
      <c r="W162" s="618">
        <f t="shared" si="477"/>
        <v>16375.7</v>
      </c>
      <c r="X162" s="618">
        <f>SUMIFS(Нормативы!J:J,Нормативы!$B:$B,$G162,Нормативы!$D:$D,'2020'!$I162,Нормативы!$F:$F,'2020'!$K162)</f>
        <v>8860</v>
      </c>
      <c r="Y162" s="618">
        <f>SUMIFS(Нормативы!K:K,Нормативы!$B:$B,$G162,Нормативы!$D:$D,'2020'!$I162,Нормативы!$F:$F,'2020'!$K162)</f>
        <v>0</v>
      </c>
      <c r="Z162" s="618">
        <f>SUMIFS(Нормативы!L:L,Нормативы!$B:$B,$G162,Нормативы!$D:$D,'2020'!$I162,Нормативы!$F:$F,'2020'!$K162)</f>
        <v>8110</v>
      </c>
      <c r="AA162" s="618">
        <f t="shared" si="478"/>
        <v>21610</v>
      </c>
      <c r="AB162" s="618">
        <f>SUMIFS(Нормативы!N:N,Нормативы!$B:$B,$G162,Нормативы!$D:$D,'2020'!$I162,Нормативы!$F:$F,'2020'!$K162)*O162</f>
        <v>520</v>
      </c>
      <c r="AC162" s="618">
        <f>SUMIFS(Нормативы!O:O,Нормативы!$B:$B,$G162,Нормативы!$D:$D,'2020'!$I162,Нормативы!$F:$F,'2020'!$K162)</f>
        <v>19720</v>
      </c>
      <c r="AD162" s="618">
        <f>SUMIFS(Нормативы!P:P,Нормативы!$B:$B,$G162,Нормативы!$D:$D,'2020'!$I162,Нормативы!$F:$F,'2020'!$K162)*O162</f>
        <v>400</v>
      </c>
      <c r="AE162" s="618">
        <f>SUMIFS(Нормативы!Q:Q,Нормативы!$B:$B,$G162,Нормативы!$D:$D,'2020'!$I162,Нормативы!$F:$F,'2020'!$K162)</f>
        <v>970</v>
      </c>
      <c r="AF162" s="618">
        <f>SUMIFS(Нормативы!R:R,Нормативы!$B:$B,$G162,Нормативы!$D:$D,'2020'!$I162,Нормативы!$F:$F,'2020'!$K162)</f>
        <v>2680</v>
      </c>
      <c r="AG162" s="618">
        <f>SUMIFS(Нормативы!S:S,Нормативы!$B:$B,$G162,Нормативы!$D:$D,'2020'!$I162,Нормативы!$F:$F,'2020'!$K162)</f>
        <v>5800</v>
      </c>
      <c r="AH162" s="618">
        <f>SUMIFS(Нормативы!T:T,Нормативы!$B:$B,$G162,Нормативы!$D:$D,'2020'!$I162,Нормативы!$F:$F,'2020'!$K162)</f>
        <v>540</v>
      </c>
      <c r="AI162" s="618">
        <f>SUMIFS(Нормативы!U:U,Нормативы!$B:$B,$G162,Нормативы!$D:$D,'2020'!$I162,Нормативы!$F:$F,'2020'!$K162)</f>
        <v>770</v>
      </c>
      <c r="AJ162" s="618">
        <f>SUMIFS(Нормативы!V:V,Нормативы!$B:$B,$G162,Нормативы!$D:$D,'2020'!$I162,Нормативы!$F:$F,'2020'!$K162)</f>
        <v>80</v>
      </c>
      <c r="AK162" s="618">
        <f>SUMIFS(Нормативы!W:W,Нормативы!$B:$B,$G162,Нормативы!$D:$D,'2020'!$I162,Нормативы!$F:$F,'2020'!$K162)</f>
        <v>330</v>
      </c>
      <c r="AL162" s="618">
        <f>SUMIFS(Нормативы!X:X,Нормативы!$B:$B,$G162,Нормативы!$D:$D,'2020'!$I162,Нормативы!$F:$F,'2020'!$K162)*O162</f>
        <v>16120</v>
      </c>
      <c r="AM162" s="618">
        <f t="shared" si="479"/>
        <v>12381</v>
      </c>
      <c r="AN162" s="618">
        <f t="shared" si="480"/>
        <v>3739</v>
      </c>
      <c r="AO162" s="618">
        <f>SUMIFS(Нормативы!AA:AA,Нормативы!$B:$B,$G162,Нормативы!$D:$D,'2020'!$I162,Нормативы!$F:$F,'2020'!$K162)</f>
        <v>3520</v>
      </c>
      <c r="AP162" s="619">
        <f t="shared" si="481"/>
        <v>139020</v>
      </c>
      <c r="AQ162" s="413">
        <f t="shared" si="418"/>
        <v>1341400</v>
      </c>
      <c r="AR162" s="618">
        <f t="shared" si="482"/>
        <v>1030261.1</v>
      </c>
      <c r="AS162" s="618">
        <f t="shared" si="483"/>
        <v>311138.90000000002</v>
      </c>
      <c r="AT162" s="616">
        <f t="shared" si="419"/>
        <v>168340</v>
      </c>
      <c r="AU162" s="616">
        <f t="shared" si="420"/>
        <v>0</v>
      </c>
      <c r="AV162" s="616">
        <f t="shared" si="421"/>
        <v>154090</v>
      </c>
      <c r="AW162" s="616">
        <f t="shared" si="422"/>
        <v>410590</v>
      </c>
      <c r="AX162" s="616">
        <f t="shared" si="423"/>
        <v>9880</v>
      </c>
      <c r="AY162" s="616">
        <f t="shared" si="424"/>
        <v>374680</v>
      </c>
      <c r="AZ162" s="616">
        <f t="shared" si="425"/>
        <v>7600</v>
      </c>
      <c r="BA162" s="616">
        <f t="shared" si="426"/>
        <v>18430</v>
      </c>
      <c r="BB162" s="616">
        <f t="shared" si="427"/>
        <v>50920</v>
      </c>
      <c r="BC162" s="616">
        <f t="shared" si="428"/>
        <v>110200</v>
      </c>
      <c r="BD162" s="616">
        <f t="shared" si="429"/>
        <v>10260</v>
      </c>
      <c r="BE162" s="616">
        <f t="shared" si="430"/>
        <v>14630</v>
      </c>
      <c r="BF162" s="616">
        <f t="shared" si="431"/>
        <v>1520</v>
      </c>
      <c r="BG162" s="616">
        <f t="shared" si="432"/>
        <v>6270</v>
      </c>
      <c r="BH162" s="616">
        <f t="shared" si="433"/>
        <v>306280</v>
      </c>
      <c r="BI162" s="618">
        <f t="shared" si="484"/>
        <v>235238.1</v>
      </c>
      <c r="BJ162" s="618">
        <f t="shared" si="485"/>
        <v>71041.899999999994</v>
      </c>
      <c r="BK162" s="616">
        <f t="shared" si="434"/>
        <v>66880</v>
      </c>
      <c r="BL162" s="620">
        <f t="shared" si="435"/>
        <v>2641380</v>
      </c>
      <c r="BM162" s="616">
        <f t="shared" si="436"/>
        <v>2719018</v>
      </c>
      <c r="BN162" s="618">
        <f t="shared" si="437"/>
        <v>2088339.5</v>
      </c>
      <c r="BO162" s="618">
        <f t="shared" si="438"/>
        <v>630678.5</v>
      </c>
      <c r="BP162" s="616">
        <f t="shared" si="486"/>
        <v>168340</v>
      </c>
      <c r="BQ162" s="616">
        <f t="shared" si="487"/>
        <v>0</v>
      </c>
      <c r="BR162" s="616">
        <f t="shared" si="488"/>
        <v>154090</v>
      </c>
      <c r="BS162" s="616">
        <f t="shared" si="439"/>
        <v>410590</v>
      </c>
      <c r="BT162" s="616">
        <f t="shared" si="440"/>
        <v>9880</v>
      </c>
      <c r="BU162" s="616">
        <f t="shared" si="441"/>
        <v>374680</v>
      </c>
      <c r="BV162" s="616">
        <f t="shared" si="442"/>
        <v>7600</v>
      </c>
      <c r="BW162" s="616">
        <f t="shared" si="443"/>
        <v>18430</v>
      </c>
      <c r="BX162" s="616">
        <f t="shared" si="444"/>
        <v>169360</v>
      </c>
      <c r="BY162" s="616">
        <f t="shared" si="445"/>
        <v>110200</v>
      </c>
      <c r="BZ162" s="616">
        <f t="shared" si="446"/>
        <v>10260</v>
      </c>
      <c r="CA162" s="616">
        <f t="shared" si="447"/>
        <v>14630</v>
      </c>
      <c r="CB162" s="616">
        <f t="shared" si="448"/>
        <v>1520</v>
      </c>
      <c r="CC162" s="616">
        <f t="shared" si="449"/>
        <v>6270</v>
      </c>
      <c r="CD162" s="616">
        <f t="shared" si="450"/>
        <v>620830</v>
      </c>
      <c r="CE162" s="618">
        <f t="shared" si="489"/>
        <v>476828</v>
      </c>
      <c r="CF162" s="618">
        <f t="shared" si="490"/>
        <v>144002</v>
      </c>
      <c r="CG162" s="616">
        <f t="shared" si="451"/>
        <v>66880</v>
      </c>
      <c r="CH162" s="621">
        <f t="shared" si="452"/>
        <v>4451988</v>
      </c>
      <c r="CI162" s="88">
        <f t="shared" si="453"/>
        <v>143106.21049999999</v>
      </c>
      <c r="CJ162" s="90">
        <f t="shared" si="454"/>
        <v>109912.6053</v>
      </c>
      <c r="CK162" s="90">
        <f t="shared" si="455"/>
        <v>33193.605300000003</v>
      </c>
      <c r="CL162" s="88">
        <f t="shared" si="456"/>
        <v>8860</v>
      </c>
      <c r="CM162" s="88">
        <f t="shared" si="457"/>
        <v>0</v>
      </c>
      <c r="CN162" s="88">
        <f t="shared" si="458"/>
        <v>8110</v>
      </c>
      <c r="CO162" s="88">
        <f t="shared" si="459"/>
        <v>21610</v>
      </c>
      <c r="CP162" s="88">
        <f t="shared" si="460"/>
        <v>520</v>
      </c>
      <c r="CQ162" s="88">
        <f t="shared" si="461"/>
        <v>19720</v>
      </c>
      <c r="CR162" s="88">
        <f t="shared" si="462"/>
        <v>400</v>
      </c>
      <c r="CS162" s="88">
        <f t="shared" si="463"/>
        <v>970</v>
      </c>
      <c r="CT162" s="88">
        <f t="shared" si="464"/>
        <v>8913.6841999999997</v>
      </c>
      <c r="CU162" s="88">
        <f t="shared" si="465"/>
        <v>5800</v>
      </c>
      <c r="CV162" s="88">
        <f t="shared" si="466"/>
        <v>540</v>
      </c>
      <c r="CW162" s="88">
        <f t="shared" si="467"/>
        <v>770</v>
      </c>
      <c r="CX162" s="88">
        <f t="shared" si="468"/>
        <v>80</v>
      </c>
      <c r="CY162" s="88">
        <f t="shared" si="469"/>
        <v>330</v>
      </c>
      <c r="CZ162" s="88">
        <f t="shared" si="470"/>
        <v>32675.263200000001</v>
      </c>
      <c r="DA162" s="90">
        <f t="shared" si="471"/>
        <v>25096.210500000001</v>
      </c>
      <c r="DB162" s="90">
        <f t="shared" si="472"/>
        <v>7579.0526</v>
      </c>
      <c r="DC162" s="88">
        <f t="shared" si="473"/>
        <v>3520</v>
      </c>
      <c r="DD162" s="88">
        <f t="shared" si="474"/>
        <v>234315.15789999999</v>
      </c>
      <c r="AUV162" s="699">
        <f t="shared" si="409"/>
        <v>143106.21</v>
      </c>
      <c r="AUW162" s="699">
        <f t="shared" si="410"/>
        <v>109912.6</v>
      </c>
      <c r="AUX162" s="699">
        <f t="shared" si="411"/>
        <v>33193.61</v>
      </c>
      <c r="AUY162" s="699">
        <f t="shared" si="392"/>
        <v>8860</v>
      </c>
      <c r="AUZ162" s="699">
        <f t="shared" si="475"/>
        <v>0</v>
      </c>
      <c r="AVA162" s="699">
        <f t="shared" si="475"/>
        <v>2.1800000000000002</v>
      </c>
      <c r="AVB162" s="699">
        <f t="shared" si="393"/>
        <v>21610</v>
      </c>
      <c r="AVC162" s="699">
        <f t="shared" si="394"/>
        <v>520</v>
      </c>
      <c r="AVD162" s="699">
        <f t="shared" si="395"/>
        <v>19720</v>
      </c>
      <c r="AVE162" s="699">
        <f t="shared" si="396"/>
        <v>400</v>
      </c>
      <c r="AVF162" s="699">
        <f t="shared" si="397"/>
        <v>970</v>
      </c>
      <c r="AVG162" s="699">
        <f t="shared" si="398"/>
        <v>8913.68</v>
      </c>
      <c r="AVH162" s="699">
        <f t="shared" si="399"/>
        <v>5800</v>
      </c>
      <c r="AVI162" s="699">
        <f t="shared" si="400"/>
        <v>540</v>
      </c>
      <c r="AVJ162" s="699">
        <f t="shared" si="401"/>
        <v>770</v>
      </c>
      <c r="AVK162" s="699">
        <f t="shared" si="402"/>
        <v>80</v>
      </c>
      <c r="AVL162" s="699">
        <f t="shared" si="403"/>
        <v>330</v>
      </c>
      <c r="AVM162" s="699">
        <f t="shared" si="404"/>
        <v>32675.26</v>
      </c>
      <c r="AVN162" s="699">
        <f t="shared" si="405"/>
        <v>25096.21</v>
      </c>
      <c r="AVO162" s="699">
        <f t="shared" si="406"/>
        <v>7579.05</v>
      </c>
      <c r="AVP162" s="699">
        <f t="shared" si="407"/>
        <v>3520</v>
      </c>
      <c r="AVQ162" s="699">
        <f t="shared" si="408"/>
        <v>234315.16</v>
      </c>
    </row>
    <row r="163" spans="1:108 1244:1265" ht="30" customHeight="1" x14ac:dyDescent="0.25">
      <c r="A163" s="643">
        <v>1</v>
      </c>
      <c r="B163" s="643">
        <v>4</v>
      </c>
      <c r="C163" s="664" t="s">
        <v>18</v>
      </c>
      <c r="D163" s="2"/>
      <c r="E163" s="101" t="s">
        <v>345</v>
      </c>
      <c r="F163" s="643" t="s">
        <v>38</v>
      </c>
      <c r="G163" s="643">
        <v>2</v>
      </c>
      <c r="H163" s="658" t="s">
        <v>8</v>
      </c>
      <c r="I163" s="643">
        <v>3</v>
      </c>
      <c r="J163" s="101" t="s">
        <v>364</v>
      </c>
      <c r="K163" s="643">
        <v>3</v>
      </c>
      <c r="L163" s="683" t="s">
        <v>350</v>
      </c>
      <c r="M163" s="11" t="s">
        <v>307</v>
      </c>
      <c r="N163" s="101" t="s">
        <v>387</v>
      </c>
      <c r="O163" s="643">
        <v>1</v>
      </c>
      <c r="P163" s="632">
        <v>20</v>
      </c>
      <c r="Q163" s="632">
        <v>20</v>
      </c>
      <c r="R163" s="632">
        <v>20</v>
      </c>
      <c r="S163" s="675">
        <f>SUMIF('Территориальный кк'!$A:$A,'2020'!$B163,'Территориальный кк'!D:D)</f>
        <v>2.0270000000000001</v>
      </c>
      <c r="T163" s="676">
        <f>SUMIF('Территориальный кк'!$A:$A,'2020'!$B163,'Территориальный кк'!E:E)</f>
        <v>3.3260000000000001</v>
      </c>
      <c r="U163" s="618">
        <f>SUMIFS(Нормативы!G:G,Нормативы!$B:$B,$G163,Нормативы!$D:$D,'2020'!$I163,Нормативы!$F:$F,'2020'!$K163)*O163</f>
        <v>12944</v>
      </c>
      <c r="V163" s="618">
        <f t="shared" si="476"/>
        <v>9941.6</v>
      </c>
      <c r="W163" s="618">
        <f t="shared" si="477"/>
        <v>3002.4</v>
      </c>
      <c r="X163" s="618">
        <f>SUMIFS(Нормативы!J:J,Нормативы!$B:$B,$G163,Нормативы!$D:$D,'2020'!$I163,Нормативы!$F:$F,'2020'!$K163)</f>
        <v>486</v>
      </c>
      <c r="Y163" s="618">
        <f>SUMIFS(Нормативы!K:K,Нормативы!$B:$B,$G163,Нормативы!$D:$D,'2020'!$I163,Нормативы!$F:$F,'2020'!$K163)</f>
        <v>97</v>
      </c>
      <c r="Z163" s="618">
        <f>SUMIFS(Нормативы!L:L,Нормативы!$B:$B,$G163,Нормативы!$D:$D,'2020'!$I163,Нормативы!$F:$F,'2020'!$K163)</f>
        <v>348</v>
      </c>
      <c r="AA163" s="618">
        <f t="shared" si="478"/>
        <v>2031</v>
      </c>
      <c r="AB163" s="618">
        <f>SUMIFS(Нормативы!N:N,Нормативы!$B:$B,$G163,Нормативы!$D:$D,'2020'!$I163,Нормативы!$F:$F,'2020'!$K163)*O163</f>
        <v>52</v>
      </c>
      <c r="AC163" s="618">
        <f>SUMIFS(Нормативы!O:O,Нормативы!$B:$B,$G163,Нормативы!$D:$D,'2020'!$I163,Нормативы!$F:$F,'2020'!$K163)</f>
        <v>1728</v>
      </c>
      <c r="AD163" s="618">
        <f>SUMIFS(Нормативы!P:P,Нормативы!$B:$B,$G163,Нормативы!$D:$D,'2020'!$I163,Нормативы!$F:$F,'2020'!$K163)*O163</f>
        <v>73</v>
      </c>
      <c r="AE163" s="618">
        <f>SUMIFS(Нормативы!Q:Q,Нормативы!$B:$B,$G163,Нормативы!$D:$D,'2020'!$I163,Нормативы!$F:$F,'2020'!$K163)</f>
        <v>178</v>
      </c>
      <c r="AF163" s="618">
        <f>SUMIFS(Нормативы!R:R,Нормативы!$B:$B,$G163,Нормативы!$D:$D,'2020'!$I163,Нормативы!$F:$F,'2020'!$K163)</f>
        <v>275</v>
      </c>
      <c r="AG163" s="618">
        <f>SUMIFS(Нормативы!S:S,Нормативы!$B:$B,$G163,Нормативы!$D:$D,'2020'!$I163,Нормативы!$F:$F,'2020'!$K163)</f>
        <v>580</v>
      </c>
      <c r="AH163" s="618">
        <f>SUMIFS(Нормативы!T:T,Нормативы!$B:$B,$G163,Нормативы!$D:$D,'2020'!$I163,Нормативы!$F:$F,'2020'!$K163)</f>
        <v>54</v>
      </c>
      <c r="AI163" s="618">
        <f>SUMIFS(Нормативы!U:U,Нормативы!$B:$B,$G163,Нормативы!$D:$D,'2020'!$I163,Нормативы!$F:$F,'2020'!$K163)</f>
        <v>77</v>
      </c>
      <c r="AJ163" s="618">
        <f>SUMIFS(Нормативы!V:V,Нормативы!$B:$B,$G163,Нормативы!$D:$D,'2020'!$I163,Нормативы!$F:$F,'2020'!$K163)</f>
        <v>8</v>
      </c>
      <c r="AK163" s="618">
        <f>SUMIFS(Нормативы!W:W,Нормативы!$B:$B,$G163,Нормативы!$D:$D,'2020'!$I163,Нормативы!$F:$F,'2020'!$K163)</f>
        <v>39</v>
      </c>
      <c r="AL163" s="618">
        <f>SUMIFS(Нормативы!X:X,Нормативы!$B:$B,$G163,Нормативы!$D:$D,'2020'!$I163,Нормативы!$F:$F,'2020'!$K163)*O163</f>
        <v>1612</v>
      </c>
      <c r="AM163" s="618">
        <f t="shared" si="479"/>
        <v>1238.0999999999999</v>
      </c>
      <c r="AN163" s="618">
        <f t="shared" si="480"/>
        <v>373.9</v>
      </c>
      <c r="AO163" s="618">
        <f>SUMIFS(Нормативы!AA:AA,Нормативы!$B:$B,$G163,Нормативы!$D:$D,'2020'!$I163,Нормативы!$F:$F,'2020'!$K163)</f>
        <v>0</v>
      </c>
      <c r="AP163" s="619">
        <f t="shared" si="481"/>
        <v>18454</v>
      </c>
      <c r="AQ163" s="413">
        <f t="shared" si="418"/>
        <v>258880</v>
      </c>
      <c r="AR163" s="618">
        <f t="shared" si="482"/>
        <v>198832.6</v>
      </c>
      <c r="AS163" s="618">
        <f t="shared" si="483"/>
        <v>60047.4</v>
      </c>
      <c r="AT163" s="616">
        <f t="shared" si="419"/>
        <v>9720</v>
      </c>
      <c r="AU163" s="616">
        <f t="shared" si="420"/>
        <v>1940</v>
      </c>
      <c r="AV163" s="616">
        <f t="shared" si="421"/>
        <v>6960</v>
      </c>
      <c r="AW163" s="616">
        <f t="shared" si="422"/>
        <v>40620</v>
      </c>
      <c r="AX163" s="616">
        <f t="shared" si="423"/>
        <v>1040</v>
      </c>
      <c r="AY163" s="616">
        <f t="shared" si="424"/>
        <v>34560</v>
      </c>
      <c r="AZ163" s="616">
        <f t="shared" si="425"/>
        <v>1460</v>
      </c>
      <c r="BA163" s="616">
        <f t="shared" si="426"/>
        <v>3560</v>
      </c>
      <c r="BB163" s="616">
        <f t="shared" si="427"/>
        <v>5500</v>
      </c>
      <c r="BC163" s="616">
        <f t="shared" si="428"/>
        <v>11600</v>
      </c>
      <c r="BD163" s="616">
        <f t="shared" si="429"/>
        <v>1080</v>
      </c>
      <c r="BE163" s="616">
        <f t="shared" si="430"/>
        <v>1540</v>
      </c>
      <c r="BF163" s="616">
        <f t="shared" si="431"/>
        <v>160</v>
      </c>
      <c r="BG163" s="616">
        <f t="shared" si="432"/>
        <v>780</v>
      </c>
      <c r="BH163" s="616">
        <f t="shared" si="433"/>
        <v>32240</v>
      </c>
      <c r="BI163" s="618">
        <f t="shared" si="484"/>
        <v>24761.9</v>
      </c>
      <c r="BJ163" s="618">
        <f t="shared" si="485"/>
        <v>7478.1</v>
      </c>
      <c r="BK163" s="616">
        <f t="shared" si="434"/>
        <v>0</v>
      </c>
      <c r="BL163" s="620">
        <f t="shared" si="435"/>
        <v>369080</v>
      </c>
      <c r="BM163" s="616">
        <f t="shared" si="436"/>
        <v>524750</v>
      </c>
      <c r="BN163" s="618">
        <f t="shared" si="437"/>
        <v>403033.8</v>
      </c>
      <c r="BO163" s="618">
        <f t="shared" si="438"/>
        <v>121716.2</v>
      </c>
      <c r="BP163" s="616">
        <f t="shared" si="486"/>
        <v>9720</v>
      </c>
      <c r="BQ163" s="616">
        <f t="shared" si="487"/>
        <v>1940</v>
      </c>
      <c r="BR163" s="616">
        <f t="shared" si="488"/>
        <v>6960</v>
      </c>
      <c r="BS163" s="616">
        <f t="shared" si="439"/>
        <v>40620</v>
      </c>
      <c r="BT163" s="616">
        <f t="shared" si="440"/>
        <v>1040</v>
      </c>
      <c r="BU163" s="616">
        <f t="shared" si="441"/>
        <v>34560</v>
      </c>
      <c r="BV163" s="616">
        <f t="shared" si="442"/>
        <v>1460</v>
      </c>
      <c r="BW163" s="616">
        <f t="shared" si="443"/>
        <v>3560</v>
      </c>
      <c r="BX163" s="616">
        <f t="shared" si="444"/>
        <v>18293</v>
      </c>
      <c r="BY163" s="616">
        <f t="shared" si="445"/>
        <v>11600</v>
      </c>
      <c r="BZ163" s="616">
        <f t="shared" si="446"/>
        <v>1080</v>
      </c>
      <c r="CA163" s="616">
        <f t="shared" si="447"/>
        <v>1540</v>
      </c>
      <c r="CB163" s="616">
        <f t="shared" si="448"/>
        <v>160</v>
      </c>
      <c r="CC163" s="616">
        <f t="shared" si="449"/>
        <v>780</v>
      </c>
      <c r="CD163" s="616">
        <f t="shared" si="450"/>
        <v>65350</v>
      </c>
      <c r="CE163" s="618">
        <f t="shared" si="489"/>
        <v>50192</v>
      </c>
      <c r="CF163" s="618">
        <f t="shared" si="490"/>
        <v>15158</v>
      </c>
      <c r="CG163" s="616">
        <f t="shared" si="451"/>
        <v>0</v>
      </c>
      <c r="CH163" s="621">
        <f t="shared" si="452"/>
        <v>680853</v>
      </c>
      <c r="CI163" s="88">
        <f t="shared" si="453"/>
        <v>26237.5</v>
      </c>
      <c r="CJ163" s="90">
        <f t="shared" si="454"/>
        <v>20151.689999999999</v>
      </c>
      <c r="CK163" s="90">
        <f t="shared" si="455"/>
        <v>6085.81</v>
      </c>
      <c r="CL163" s="88">
        <f t="shared" si="456"/>
        <v>486</v>
      </c>
      <c r="CM163" s="88">
        <f t="shared" si="457"/>
        <v>97</v>
      </c>
      <c r="CN163" s="88">
        <f t="shared" si="458"/>
        <v>348</v>
      </c>
      <c r="CO163" s="88">
        <f t="shared" si="459"/>
        <v>2031</v>
      </c>
      <c r="CP163" s="88">
        <f t="shared" si="460"/>
        <v>52</v>
      </c>
      <c r="CQ163" s="88">
        <f t="shared" si="461"/>
        <v>1728</v>
      </c>
      <c r="CR163" s="88">
        <f t="shared" si="462"/>
        <v>73</v>
      </c>
      <c r="CS163" s="88">
        <f t="shared" si="463"/>
        <v>178</v>
      </c>
      <c r="CT163" s="88">
        <f t="shared" si="464"/>
        <v>914.65</v>
      </c>
      <c r="CU163" s="88">
        <f t="shared" si="465"/>
        <v>580</v>
      </c>
      <c r="CV163" s="88">
        <f t="shared" si="466"/>
        <v>54</v>
      </c>
      <c r="CW163" s="88">
        <f t="shared" si="467"/>
        <v>77</v>
      </c>
      <c r="CX163" s="88">
        <f t="shared" si="468"/>
        <v>8</v>
      </c>
      <c r="CY163" s="88">
        <f t="shared" si="469"/>
        <v>39</v>
      </c>
      <c r="CZ163" s="88">
        <f t="shared" si="470"/>
        <v>3267.5</v>
      </c>
      <c r="DA163" s="90">
        <f t="shared" si="471"/>
        <v>2509.6</v>
      </c>
      <c r="DB163" s="90">
        <f t="shared" si="472"/>
        <v>757.9</v>
      </c>
      <c r="DC163" s="88">
        <f t="shared" si="473"/>
        <v>0</v>
      </c>
      <c r="DD163" s="211">
        <f t="shared" si="474"/>
        <v>34042.65</v>
      </c>
      <c r="AUV163" s="699">
        <f t="shared" si="409"/>
        <v>26237.5</v>
      </c>
      <c r="AUW163" s="699">
        <f t="shared" si="410"/>
        <v>20151.689999999999</v>
      </c>
      <c r="AUX163" s="699">
        <f t="shared" si="411"/>
        <v>6085.81</v>
      </c>
      <c r="AUY163" s="699">
        <f t="shared" si="392"/>
        <v>486</v>
      </c>
      <c r="AUZ163" s="699">
        <f t="shared" si="475"/>
        <v>583.28</v>
      </c>
      <c r="AVA163" s="699">
        <f t="shared" si="475"/>
        <v>0.54</v>
      </c>
      <c r="AVB163" s="699">
        <f t="shared" si="393"/>
        <v>2031</v>
      </c>
      <c r="AVC163" s="699">
        <f t="shared" si="394"/>
        <v>52</v>
      </c>
      <c r="AVD163" s="699">
        <f t="shared" si="395"/>
        <v>1728</v>
      </c>
      <c r="AVE163" s="699">
        <f t="shared" si="396"/>
        <v>73</v>
      </c>
      <c r="AVF163" s="699">
        <f t="shared" si="397"/>
        <v>178</v>
      </c>
      <c r="AVG163" s="699">
        <f t="shared" si="398"/>
        <v>914.65</v>
      </c>
      <c r="AVH163" s="699">
        <f t="shared" si="399"/>
        <v>580</v>
      </c>
      <c r="AVI163" s="699">
        <f t="shared" si="400"/>
        <v>54</v>
      </c>
      <c r="AVJ163" s="699">
        <f t="shared" si="401"/>
        <v>77</v>
      </c>
      <c r="AVK163" s="699">
        <f t="shared" si="402"/>
        <v>8</v>
      </c>
      <c r="AVL163" s="699">
        <f t="shared" si="403"/>
        <v>39</v>
      </c>
      <c r="AVM163" s="699">
        <f t="shared" si="404"/>
        <v>3267.5</v>
      </c>
      <c r="AVN163" s="699">
        <f t="shared" si="405"/>
        <v>2509.6</v>
      </c>
      <c r="AVO163" s="699">
        <f t="shared" si="406"/>
        <v>757.9</v>
      </c>
      <c r="AVP163" s="699">
        <f t="shared" si="407"/>
        <v>0</v>
      </c>
      <c r="AVQ163" s="699">
        <f t="shared" si="408"/>
        <v>34042.65</v>
      </c>
    </row>
    <row r="164" spans="1:108 1244:1265" ht="30" customHeight="1" x14ac:dyDescent="0.25">
      <c r="A164" s="643">
        <v>1</v>
      </c>
      <c r="B164" s="643">
        <v>4</v>
      </c>
      <c r="C164" s="664" t="s">
        <v>18</v>
      </c>
      <c r="D164" s="2"/>
      <c r="E164" s="101" t="s">
        <v>346</v>
      </c>
      <c r="F164" s="643" t="s">
        <v>39</v>
      </c>
      <c r="G164" s="643">
        <v>3</v>
      </c>
      <c r="H164" s="658" t="s">
        <v>10</v>
      </c>
      <c r="I164" s="643">
        <v>0</v>
      </c>
      <c r="J164" s="101" t="s">
        <v>366</v>
      </c>
      <c r="K164" s="643">
        <v>3</v>
      </c>
      <c r="L164" s="683" t="s">
        <v>351</v>
      </c>
      <c r="M164" s="11" t="s">
        <v>272</v>
      </c>
      <c r="N164" s="101" t="s">
        <v>387</v>
      </c>
      <c r="O164" s="643">
        <v>1</v>
      </c>
      <c r="P164" s="632"/>
      <c r="Q164" s="632"/>
      <c r="R164" s="632"/>
      <c r="S164" s="675">
        <f>SUMIF('Территориальный кк'!$A:$A,'2020'!$B164,'Территориальный кк'!D:D)</f>
        <v>2.0270000000000001</v>
      </c>
      <c r="T164" s="676">
        <f>SUMIF('Территориальный кк'!$A:$A,'2020'!$B164,'Территориальный кк'!E:E)</f>
        <v>3.3260000000000001</v>
      </c>
      <c r="U164" s="618">
        <f>SUMIFS(Нормативы!G:G,Нормативы!$B:$B,$G164,Нормативы!$D:$D,'2020'!$I164,Нормативы!$F:$F,'2020'!$K164)*O164</f>
        <v>78450</v>
      </c>
      <c r="V164" s="618">
        <f t="shared" si="476"/>
        <v>60253.5</v>
      </c>
      <c r="W164" s="618">
        <f t="shared" si="477"/>
        <v>18196.5</v>
      </c>
      <c r="X164" s="618">
        <f>SUMIFS(Нормативы!J:J,Нормативы!$B:$B,$G164,Нормативы!$D:$D,'2020'!$I164,Нормативы!$F:$F,'2020'!$K164)</f>
        <v>6840</v>
      </c>
      <c r="Y164" s="618">
        <f>SUMIFS(Нормативы!K:K,Нормативы!$B:$B,$G164,Нормативы!$D:$D,'2020'!$I164,Нормативы!$F:$F,'2020'!$K164)</f>
        <v>1368</v>
      </c>
      <c r="Z164" s="618">
        <f>SUMIFS(Нормативы!L:L,Нормативы!$B:$B,$G164,Нормативы!$D:$D,'2020'!$I164,Нормативы!$F:$F,'2020'!$K164)</f>
        <v>8110</v>
      </c>
      <c r="AA164" s="618">
        <f t="shared" si="478"/>
        <v>23360</v>
      </c>
      <c r="AB164" s="618">
        <f>SUMIFS(Нормативы!N:N,Нормативы!$B:$B,$G164,Нормативы!$D:$D,'2020'!$I164,Нормативы!$F:$F,'2020'!$K164)*O164</f>
        <v>880</v>
      </c>
      <c r="AC164" s="618">
        <f>SUMIFS(Нормативы!O:O,Нормативы!$B:$B,$G164,Нормативы!$D:$D,'2020'!$I164,Нормативы!$F:$F,'2020'!$K164)</f>
        <v>20960</v>
      </c>
      <c r="AD164" s="618">
        <f>SUMIFS(Нормативы!P:P,Нормативы!$B:$B,$G164,Нормативы!$D:$D,'2020'!$I164,Нормативы!$F:$F,'2020'!$K164)*O164</f>
        <v>440</v>
      </c>
      <c r="AE164" s="618">
        <f>SUMIFS(Нормативы!Q:Q,Нормативы!$B:$B,$G164,Нормативы!$D:$D,'2020'!$I164,Нормативы!$F:$F,'2020'!$K164)</f>
        <v>1080</v>
      </c>
      <c r="AF164" s="618">
        <f>SUMIFS(Нормативы!R:R,Нормативы!$B:$B,$G164,Нормативы!$D:$D,'2020'!$I164,Нормативы!$F:$F,'2020'!$K164)</f>
        <v>2700</v>
      </c>
      <c r="AG164" s="618">
        <f>SUMIFS(Нормативы!S:S,Нормативы!$B:$B,$G164,Нормативы!$D:$D,'2020'!$I164,Нормативы!$F:$F,'2020'!$K164)</f>
        <v>5800</v>
      </c>
      <c r="AH164" s="618">
        <f>SUMIFS(Нормативы!T:T,Нормативы!$B:$B,$G164,Нормативы!$D:$D,'2020'!$I164,Нормативы!$F:$F,'2020'!$K164)</f>
        <v>540</v>
      </c>
      <c r="AI164" s="618">
        <f>SUMIFS(Нормативы!U:U,Нормативы!$B:$B,$G164,Нормативы!$D:$D,'2020'!$I164,Нормативы!$F:$F,'2020'!$K164)</f>
        <v>770</v>
      </c>
      <c r="AJ164" s="618">
        <f>SUMIFS(Нормативы!V:V,Нормативы!$B:$B,$G164,Нормативы!$D:$D,'2020'!$I164,Нормативы!$F:$F,'2020'!$K164)</f>
        <v>170</v>
      </c>
      <c r="AK164" s="618">
        <f>SUMIFS(Нормативы!W:W,Нормативы!$B:$B,$G164,Нормативы!$D:$D,'2020'!$I164,Нормативы!$F:$F,'2020'!$K164)</f>
        <v>200</v>
      </c>
      <c r="AL164" s="618">
        <f>SUMIFS(Нормативы!X:X,Нормативы!$B:$B,$G164,Нормативы!$D:$D,'2020'!$I164,Нормативы!$F:$F,'2020'!$K164)*O164</f>
        <v>13440</v>
      </c>
      <c r="AM164" s="618">
        <f t="shared" si="479"/>
        <v>10322.6</v>
      </c>
      <c r="AN164" s="618">
        <f t="shared" si="480"/>
        <v>3117.4</v>
      </c>
      <c r="AO164" s="618">
        <f>SUMIFS(Нормативы!AA:AA,Нормативы!$B:$B,$G164,Нормативы!$D:$D,'2020'!$I164,Нормативы!$F:$F,'2020'!$K164)</f>
        <v>0</v>
      </c>
      <c r="AP164" s="619">
        <f t="shared" si="481"/>
        <v>140380</v>
      </c>
      <c r="AQ164" s="413">
        <f t="shared" si="418"/>
        <v>0</v>
      </c>
      <c r="AR164" s="618">
        <f t="shared" si="482"/>
        <v>0</v>
      </c>
      <c r="AS164" s="618">
        <f t="shared" si="483"/>
        <v>0</v>
      </c>
      <c r="AT164" s="616">
        <f t="shared" si="419"/>
        <v>0</v>
      </c>
      <c r="AU164" s="616">
        <f t="shared" si="420"/>
        <v>0</v>
      </c>
      <c r="AV164" s="616">
        <f t="shared" si="421"/>
        <v>0</v>
      </c>
      <c r="AW164" s="616">
        <f t="shared" si="422"/>
        <v>0</v>
      </c>
      <c r="AX164" s="616">
        <f t="shared" si="423"/>
        <v>0</v>
      </c>
      <c r="AY164" s="616">
        <f t="shared" si="424"/>
        <v>0</v>
      </c>
      <c r="AZ164" s="616">
        <f t="shared" si="425"/>
        <v>0</v>
      </c>
      <c r="BA164" s="616">
        <f t="shared" si="426"/>
        <v>0</v>
      </c>
      <c r="BB164" s="616">
        <f t="shared" si="427"/>
        <v>0</v>
      </c>
      <c r="BC164" s="616">
        <f t="shared" si="428"/>
        <v>0</v>
      </c>
      <c r="BD164" s="616">
        <f t="shared" si="429"/>
        <v>0</v>
      </c>
      <c r="BE164" s="616">
        <f t="shared" si="430"/>
        <v>0</v>
      </c>
      <c r="BF164" s="616">
        <f t="shared" si="431"/>
        <v>0</v>
      </c>
      <c r="BG164" s="616">
        <f t="shared" si="432"/>
        <v>0</v>
      </c>
      <c r="BH164" s="616">
        <f t="shared" si="433"/>
        <v>0</v>
      </c>
      <c r="BI164" s="618">
        <f t="shared" si="484"/>
        <v>0</v>
      </c>
      <c r="BJ164" s="618">
        <f t="shared" si="485"/>
        <v>0</v>
      </c>
      <c r="BK164" s="616">
        <f t="shared" si="434"/>
        <v>0</v>
      </c>
      <c r="BL164" s="620">
        <f t="shared" si="435"/>
        <v>0</v>
      </c>
      <c r="BM164" s="616">
        <f t="shared" si="436"/>
        <v>0</v>
      </c>
      <c r="BN164" s="618">
        <f t="shared" si="437"/>
        <v>0</v>
      </c>
      <c r="BO164" s="618">
        <f t="shared" si="438"/>
        <v>0</v>
      </c>
      <c r="BP164" s="616">
        <f t="shared" si="486"/>
        <v>0</v>
      </c>
      <c r="BQ164" s="616">
        <f t="shared" si="487"/>
        <v>0</v>
      </c>
      <c r="BR164" s="616">
        <f t="shared" si="488"/>
        <v>0</v>
      </c>
      <c r="BS164" s="616">
        <f t="shared" si="439"/>
        <v>0</v>
      </c>
      <c r="BT164" s="616">
        <f t="shared" si="440"/>
        <v>0</v>
      </c>
      <c r="BU164" s="616">
        <f t="shared" si="441"/>
        <v>0</v>
      </c>
      <c r="BV164" s="616">
        <f t="shared" si="442"/>
        <v>0</v>
      </c>
      <c r="BW164" s="616">
        <f t="shared" si="443"/>
        <v>0</v>
      </c>
      <c r="BX164" s="616">
        <f t="shared" si="444"/>
        <v>0</v>
      </c>
      <c r="BY164" s="616">
        <f t="shared" si="445"/>
        <v>0</v>
      </c>
      <c r="BZ164" s="616">
        <f t="shared" si="446"/>
        <v>0</v>
      </c>
      <c r="CA164" s="616">
        <f t="shared" si="447"/>
        <v>0</v>
      </c>
      <c r="CB164" s="616">
        <f t="shared" si="448"/>
        <v>0</v>
      </c>
      <c r="CC164" s="616">
        <f t="shared" si="449"/>
        <v>0</v>
      </c>
      <c r="CD164" s="616">
        <f t="shared" si="450"/>
        <v>0</v>
      </c>
      <c r="CE164" s="618">
        <f t="shared" si="489"/>
        <v>0</v>
      </c>
      <c r="CF164" s="618">
        <f t="shared" si="490"/>
        <v>0</v>
      </c>
      <c r="CG164" s="616">
        <f t="shared" si="451"/>
        <v>0</v>
      </c>
      <c r="CH164" s="621">
        <f t="shared" si="452"/>
        <v>0</v>
      </c>
      <c r="CI164" s="88" t="e">
        <f t="shared" si="453"/>
        <v>#DIV/0!</v>
      </c>
      <c r="CJ164" s="90" t="e">
        <f t="shared" si="454"/>
        <v>#DIV/0!</v>
      </c>
      <c r="CK164" s="90" t="e">
        <f t="shared" si="455"/>
        <v>#DIV/0!</v>
      </c>
      <c r="CL164" s="88" t="e">
        <f t="shared" si="456"/>
        <v>#DIV/0!</v>
      </c>
      <c r="CM164" s="88" t="e">
        <f t="shared" si="457"/>
        <v>#DIV/0!</v>
      </c>
      <c r="CN164" s="88" t="e">
        <f t="shared" si="458"/>
        <v>#DIV/0!</v>
      </c>
      <c r="CO164" s="88" t="e">
        <f t="shared" si="459"/>
        <v>#DIV/0!</v>
      </c>
      <c r="CP164" s="88" t="e">
        <f t="shared" si="460"/>
        <v>#DIV/0!</v>
      </c>
      <c r="CQ164" s="88" t="e">
        <f t="shared" si="461"/>
        <v>#DIV/0!</v>
      </c>
      <c r="CR164" s="88" t="e">
        <f t="shared" si="462"/>
        <v>#DIV/0!</v>
      </c>
      <c r="CS164" s="88" t="e">
        <f t="shared" si="463"/>
        <v>#DIV/0!</v>
      </c>
      <c r="CT164" s="88" t="e">
        <f t="shared" si="464"/>
        <v>#DIV/0!</v>
      </c>
      <c r="CU164" s="88" t="e">
        <f t="shared" si="465"/>
        <v>#DIV/0!</v>
      </c>
      <c r="CV164" s="88" t="e">
        <f t="shared" si="466"/>
        <v>#DIV/0!</v>
      </c>
      <c r="CW164" s="88" t="e">
        <f t="shared" si="467"/>
        <v>#DIV/0!</v>
      </c>
      <c r="CX164" s="88" t="e">
        <f t="shared" si="468"/>
        <v>#DIV/0!</v>
      </c>
      <c r="CY164" s="88" t="e">
        <f t="shared" si="469"/>
        <v>#DIV/0!</v>
      </c>
      <c r="CZ164" s="88" t="e">
        <f t="shared" si="470"/>
        <v>#DIV/0!</v>
      </c>
      <c r="DA164" s="90" t="e">
        <f t="shared" si="471"/>
        <v>#DIV/0!</v>
      </c>
      <c r="DB164" s="90" t="e">
        <f t="shared" si="472"/>
        <v>#DIV/0!</v>
      </c>
      <c r="DC164" s="88" t="e">
        <f t="shared" si="473"/>
        <v>#DIV/0!</v>
      </c>
      <c r="DD164" s="211" t="e">
        <f t="shared" si="474"/>
        <v>#DIV/0!</v>
      </c>
      <c r="AUV164" s="699">
        <v>0</v>
      </c>
      <c r="AUW164" s="699">
        <f t="shared" si="410"/>
        <v>0</v>
      </c>
      <c r="AUX164" s="699">
        <f t="shared" si="411"/>
        <v>0</v>
      </c>
      <c r="AUY164" s="699">
        <f t="shared" si="475"/>
        <v>0</v>
      </c>
      <c r="AUZ164" s="699">
        <f t="shared" si="475"/>
        <v>0</v>
      </c>
      <c r="AVA164" s="699">
        <f t="shared" si="475"/>
        <v>0</v>
      </c>
      <c r="AVB164" s="699">
        <f t="shared" si="475"/>
        <v>0</v>
      </c>
      <c r="AVC164" s="697"/>
      <c r="AVD164" s="697"/>
      <c r="AVE164" s="697"/>
      <c r="AVF164" s="697"/>
      <c r="AVG164" s="697"/>
      <c r="AVH164" s="697"/>
      <c r="AVI164" s="697"/>
      <c r="AVJ164" s="697"/>
      <c r="AVK164" s="697"/>
      <c r="AVL164" s="697"/>
      <c r="AVM164" s="697"/>
      <c r="AVN164" s="697"/>
      <c r="AVO164" s="697"/>
      <c r="AVP164" s="697"/>
      <c r="AVQ164" s="697"/>
    </row>
    <row r="165" spans="1:108 1244:1265" s="608" customFormat="1" ht="30" customHeight="1" x14ac:dyDescent="0.25">
      <c r="A165" s="634">
        <v>1</v>
      </c>
      <c r="B165" s="634">
        <v>4</v>
      </c>
      <c r="C165" s="633" t="s">
        <v>18</v>
      </c>
      <c r="D165" s="2"/>
      <c r="E165" s="602" t="s">
        <v>346</v>
      </c>
      <c r="F165" s="634" t="s">
        <v>39</v>
      </c>
      <c r="G165" s="634">
        <v>3</v>
      </c>
      <c r="H165" s="656" t="s">
        <v>10</v>
      </c>
      <c r="I165" s="634">
        <v>0</v>
      </c>
      <c r="J165" s="602" t="s">
        <v>463</v>
      </c>
      <c r="K165" s="634">
        <v>1</v>
      </c>
      <c r="L165" s="681" t="s">
        <v>351</v>
      </c>
      <c r="M165" s="601"/>
      <c r="N165" s="602" t="s">
        <v>387</v>
      </c>
      <c r="O165" s="634">
        <v>1</v>
      </c>
      <c r="P165" s="633">
        <v>1</v>
      </c>
      <c r="Q165" s="633">
        <v>1</v>
      </c>
      <c r="R165" s="633">
        <v>1</v>
      </c>
      <c r="S165" s="671">
        <f>'Территориальный кк'!D7</f>
        <v>2.0270000000000001</v>
      </c>
      <c r="T165" s="672">
        <f>'Территориальный кк'!E7</f>
        <v>3.3260000000000001</v>
      </c>
      <c r="U165" s="618">
        <f>SUMIFS(Нормативы!G:G,Нормативы!$B:$B,$G165,Нормативы!$D:$D,'2020'!$I165,Нормативы!$F:$F,'2020'!$K165)*O165</f>
        <v>78450</v>
      </c>
      <c r="V165" s="618">
        <f t="shared" ref="V165" si="497">ROUND(U165/1.302,1)</f>
        <v>60253.5</v>
      </c>
      <c r="W165" s="618">
        <f t="shared" ref="W165" si="498">U165-V165</f>
        <v>18196.5</v>
      </c>
      <c r="X165" s="618">
        <f>SUMIFS(Нормативы!J:J,Нормативы!$B:$B,$G165,Нормативы!$D:$D,'2020'!$I165,Нормативы!$F:$F,'2020'!$K165)</f>
        <v>220</v>
      </c>
      <c r="Y165" s="618">
        <f>SUMIFS(Нормативы!K:K,Нормативы!$B:$B,$G165,Нормативы!$D:$D,'2020'!$I165,Нормативы!$F:$F,'2020'!$K165)</f>
        <v>44</v>
      </c>
      <c r="Z165" s="618">
        <f>SUMIFS(Нормативы!L:L,Нормативы!$B:$B,$G165,Нормативы!$D:$D,'2020'!$I165,Нормативы!$F:$F,'2020'!$K165)</f>
        <v>2320</v>
      </c>
      <c r="AA165" s="618">
        <f t="shared" ref="AA165" si="499">AB165+AC165+AD165+AE165</f>
        <v>4510</v>
      </c>
      <c r="AB165" s="618">
        <f>SUMIFS(Нормативы!N:N,Нормативы!$B:$B,$G165,Нормативы!$D:$D,'2020'!$I165,Нормативы!$F:$F,'2020'!$K165)*O165</f>
        <v>880</v>
      </c>
      <c r="AC165" s="618">
        <f>SUMIFS(Нормативы!O:O,Нормативы!$B:$B,$G165,Нормативы!$D:$D,'2020'!$I165,Нормативы!$F:$F,'2020'!$K165)</f>
        <v>2110</v>
      </c>
      <c r="AD165" s="618">
        <f>SUMIFS(Нормативы!P:P,Нормативы!$B:$B,$G165,Нормативы!$D:$D,'2020'!$I165,Нормативы!$F:$F,'2020'!$K165)*O165</f>
        <v>440</v>
      </c>
      <c r="AE165" s="618">
        <f>SUMIFS(Нормативы!Q:Q,Нормативы!$B:$B,$G165,Нормативы!$D:$D,'2020'!$I165,Нормативы!$F:$F,'2020'!$K165)</f>
        <v>1080</v>
      </c>
      <c r="AF165" s="618">
        <f>SUMIFS(Нормативы!R:R,Нормативы!$B:$B,$G165,Нормативы!$D:$D,'2020'!$I165,Нормативы!$F:$F,'2020'!$K165)</f>
        <v>2490</v>
      </c>
      <c r="AG165" s="618">
        <f>SUMIFS(Нормативы!S:S,Нормативы!$B:$B,$G165,Нормативы!$D:$D,'2020'!$I165,Нормативы!$F:$F,'2020'!$K165)</f>
        <v>5080</v>
      </c>
      <c r="AH165" s="618">
        <f>SUMIFS(Нормативы!T:T,Нормативы!$B:$B,$G165,Нормативы!$D:$D,'2020'!$I165,Нормативы!$F:$F,'2020'!$K165)</f>
        <v>540</v>
      </c>
      <c r="AI165" s="618">
        <f>SUMIFS(Нормативы!U:U,Нормативы!$B:$B,$G165,Нормативы!$D:$D,'2020'!$I165,Нормативы!$F:$F,'2020'!$K165)</f>
        <v>770</v>
      </c>
      <c r="AJ165" s="618">
        <f>SUMIFS(Нормативы!V:V,Нормативы!$B:$B,$G165,Нормативы!$D:$D,'2020'!$I165,Нормативы!$F:$F,'2020'!$K165)</f>
        <v>170</v>
      </c>
      <c r="AK165" s="618">
        <f>SUMIFS(Нормативы!W:W,Нормативы!$B:$B,$G165,Нормативы!$D:$D,'2020'!$I165,Нормативы!$F:$F,'2020'!$K165)</f>
        <v>130</v>
      </c>
      <c r="AL165" s="618">
        <f>SUMIFS(Нормативы!X:X,Нормативы!$B:$B,$G165,Нормативы!$D:$D,'2020'!$I165,Нормативы!$F:$F,'2020'!$K165)*O165</f>
        <v>13440</v>
      </c>
      <c r="AM165" s="618">
        <f t="shared" ref="AM165" si="500">ROUND(AL165/1.302,1)</f>
        <v>10322.6</v>
      </c>
      <c r="AN165" s="618">
        <f t="shared" ref="AN165" si="501">AL165-AM165</f>
        <v>3117.4</v>
      </c>
      <c r="AO165" s="618">
        <f>SUMIFS(Нормативы!AA:AA,Нормативы!$B:$B,$G165,Нормативы!$D:$D,'2020'!$I165,Нормативы!$F:$F,'2020'!$K165)</f>
        <v>0</v>
      </c>
      <c r="AP165" s="619">
        <f t="shared" ref="AP165" si="502">U165+X165+Z165+AA165++AF165+AG165+AH165+AI165+AJ165+AK165+AL165+AO165</f>
        <v>108120</v>
      </c>
      <c r="AQ165" s="611">
        <f t="shared" si="418"/>
        <v>78450</v>
      </c>
      <c r="AR165" s="622">
        <f t="shared" si="482"/>
        <v>60253.5</v>
      </c>
      <c r="AS165" s="622">
        <f t="shared" si="483"/>
        <v>18196.5</v>
      </c>
      <c r="AT165" s="614">
        <f t="shared" si="419"/>
        <v>220</v>
      </c>
      <c r="AU165" s="614">
        <f t="shared" si="420"/>
        <v>44</v>
      </c>
      <c r="AV165" s="614">
        <f t="shared" si="421"/>
        <v>2320</v>
      </c>
      <c r="AW165" s="614">
        <f t="shared" si="422"/>
        <v>4510</v>
      </c>
      <c r="AX165" s="614">
        <f t="shared" si="423"/>
        <v>880</v>
      </c>
      <c r="AY165" s="614">
        <f t="shared" si="424"/>
        <v>2110</v>
      </c>
      <c r="AZ165" s="614">
        <f t="shared" si="425"/>
        <v>440</v>
      </c>
      <c r="BA165" s="614">
        <f t="shared" si="426"/>
        <v>1080</v>
      </c>
      <c r="BB165" s="614">
        <f t="shared" si="427"/>
        <v>2490</v>
      </c>
      <c r="BC165" s="614">
        <f t="shared" si="428"/>
        <v>5080</v>
      </c>
      <c r="BD165" s="614">
        <f t="shared" si="429"/>
        <v>540</v>
      </c>
      <c r="BE165" s="614">
        <f t="shared" si="430"/>
        <v>770</v>
      </c>
      <c r="BF165" s="614">
        <f t="shared" si="431"/>
        <v>170</v>
      </c>
      <c r="BG165" s="614">
        <f t="shared" si="432"/>
        <v>130</v>
      </c>
      <c r="BH165" s="614">
        <f t="shared" si="433"/>
        <v>13440</v>
      </c>
      <c r="BI165" s="622">
        <f t="shared" si="484"/>
        <v>10322.6</v>
      </c>
      <c r="BJ165" s="622">
        <f t="shared" si="485"/>
        <v>3117.4</v>
      </c>
      <c r="BK165" s="614">
        <f t="shared" si="434"/>
        <v>0</v>
      </c>
      <c r="BL165" s="623">
        <f t="shared" si="435"/>
        <v>108120</v>
      </c>
      <c r="BM165" s="614">
        <f t="shared" si="436"/>
        <v>159018</v>
      </c>
      <c r="BN165" s="622">
        <f t="shared" si="437"/>
        <v>122133.6</v>
      </c>
      <c r="BO165" s="622">
        <f t="shared" si="438"/>
        <v>36884.400000000001</v>
      </c>
      <c r="BP165" s="614">
        <f t="shared" si="486"/>
        <v>220</v>
      </c>
      <c r="BQ165" s="614">
        <f t="shared" si="487"/>
        <v>44</v>
      </c>
      <c r="BR165" s="614">
        <f t="shared" si="488"/>
        <v>2320</v>
      </c>
      <c r="BS165" s="614">
        <f t="shared" si="439"/>
        <v>4510</v>
      </c>
      <c r="BT165" s="614">
        <f t="shared" si="440"/>
        <v>880</v>
      </c>
      <c r="BU165" s="614">
        <f t="shared" si="441"/>
        <v>2110</v>
      </c>
      <c r="BV165" s="614">
        <f t="shared" si="442"/>
        <v>440</v>
      </c>
      <c r="BW165" s="614">
        <f t="shared" si="443"/>
        <v>1080</v>
      </c>
      <c r="BX165" s="614">
        <f t="shared" si="444"/>
        <v>8282</v>
      </c>
      <c r="BY165" s="614">
        <f t="shared" si="445"/>
        <v>5080</v>
      </c>
      <c r="BZ165" s="614">
        <f t="shared" si="446"/>
        <v>540</v>
      </c>
      <c r="CA165" s="614">
        <f t="shared" si="447"/>
        <v>770</v>
      </c>
      <c r="CB165" s="614">
        <f t="shared" si="448"/>
        <v>170</v>
      </c>
      <c r="CC165" s="614">
        <f t="shared" si="449"/>
        <v>130</v>
      </c>
      <c r="CD165" s="614">
        <f t="shared" si="450"/>
        <v>27243</v>
      </c>
      <c r="CE165" s="622">
        <f t="shared" si="489"/>
        <v>20924</v>
      </c>
      <c r="CF165" s="622">
        <f t="shared" si="490"/>
        <v>6319</v>
      </c>
      <c r="CG165" s="614">
        <f t="shared" si="451"/>
        <v>0</v>
      </c>
      <c r="CH165" s="621">
        <f t="shared" si="452"/>
        <v>208283</v>
      </c>
      <c r="CI165" s="607"/>
      <c r="CJ165" s="607"/>
      <c r="CK165" s="607"/>
      <c r="CL165" s="607"/>
      <c r="CM165" s="607"/>
      <c r="CN165" s="607"/>
      <c r="CO165" s="607"/>
      <c r="CP165" s="607"/>
      <c r="CQ165" s="607"/>
      <c r="CR165" s="607"/>
      <c r="CS165" s="607"/>
      <c r="CT165" s="607"/>
      <c r="CU165" s="607"/>
      <c r="CV165" s="607"/>
      <c r="CW165" s="607"/>
      <c r="CX165" s="607"/>
      <c r="CY165" s="607"/>
      <c r="CZ165" s="607"/>
      <c r="DA165" s="607"/>
      <c r="DB165" s="607"/>
      <c r="DC165" s="607"/>
      <c r="DD165" s="607"/>
      <c r="AUV165" s="699">
        <f t="shared" si="409"/>
        <v>159018</v>
      </c>
      <c r="AUW165" s="699">
        <f t="shared" si="410"/>
        <v>122133.64</v>
      </c>
      <c r="AUX165" s="699">
        <f t="shared" si="411"/>
        <v>36884.36</v>
      </c>
      <c r="AUY165" s="699">
        <f t="shared" ref="AUY165:AUY169" si="503">BP165/P165</f>
        <v>220</v>
      </c>
      <c r="AUZ165" s="699">
        <f t="shared" si="475"/>
        <v>13.23</v>
      </c>
      <c r="AVA165" s="699">
        <f t="shared" si="475"/>
        <v>0.03</v>
      </c>
      <c r="AVB165" s="699">
        <f t="shared" ref="AVB165:AVB169" si="504">AVC165+AVD165+AVE165+AVF165</f>
        <v>4510</v>
      </c>
      <c r="AVC165" s="699">
        <f t="shared" ref="AVC165:AVC169" si="505">BT165/P165</f>
        <v>880</v>
      </c>
      <c r="AVD165" s="699">
        <f t="shared" ref="AVD165:AVD169" si="506">BU165/P165</f>
        <v>2110</v>
      </c>
      <c r="AVE165" s="699">
        <f t="shared" ref="AVE165:AVE169" si="507">BV165/P165</f>
        <v>440</v>
      </c>
      <c r="AVF165" s="699">
        <f t="shared" ref="AVF165:AVF169" si="508">BW165/P165</f>
        <v>1080</v>
      </c>
      <c r="AVG165" s="699">
        <f t="shared" ref="AVG165:AVG169" si="509">BX165/P165</f>
        <v>8282</v>
      </c>
      <c r="AVH165" s="699">
        <f t="shared" ref="AVH165:AVH169" si="510">BY165/P165</f>
        <v>5080</v>
      </c>
      <c r="AVI165" s="699">
        <f t="shared" ref="AVI165:AVI169" si="511">BZ165/P165</f>
        <v>540</v>
      </c>
      <c r="AVJ165" s="699">
        <f t="shared" ref="AVJ165:AVJ169" si="512">CA165/P165</f>
        <v>770</v>
      </c>
      <c r="AVK165" s="699">
        <f t="shared" ref="AVK165:AVK169" si="513">CB165/P165</f>
        <v>170</v>
      </c>
      <c r="AVL165" s="699">
        <f t="shared" ref="AVL165:AVL169" si="514">CC165/P165</f>
        <v>130</v>
      </c>
      <c r="AVM165" s="699">
        <f t="shared" ref="AVM165:AVM169" si="515">CD165/P165</f>
        <v>27243</v>
      </c>
      <c r="AVN165" s="699">
        <f t="shared" ref="AVN165:AVN169" si="516">AVM165/1.302</f>
        <v>20923.96</v>
      </c>
      <c r="AVO165" s="699">
        <f t="shared" ref="AVO165:AVO169" si="517">AVM165-AVN165</f>
        <v>6319.04</v>
      </c>
      <c r="AVP165" s="699">
        <f t="shared" ref="AVP165:AVP169" si="518">CG165/P165</f>
        <v>0</v>
      </c>
      <c r="AVQ165" s="699">
        <f t="shared" ref="AVQ165:AVQ169" si="519">CH165/P165</f>
        <v>208283</v>
      </c>
    </row>
    <row r="166" spans="1:108 1244:1265" ht="30" customHeight="1" x14ac:dyDescent="0.25">
      <c r="A166" s="643">
        <v>1</v>
      </c>
      <c r="B166" s="643">
        <v>4</v>
      </c>
      <c r="C166" s="664" t="s">
        <v>18</v>
      </c>
      <c r="D166" s="2"/>
      <c r="E166" s="101" t="s">
        <v>346</v>
      </c>
      <c r="F166" s="643" t="s">
        <v>39</v>
      </c>
      <c r="G166" s="643">
        <v>3</v>
      </c>
      <c r="H166" s="658" t="s">
        <v>10</v>
      </c>
      <c r="I166" s="643">
        <v>0</v>
      </c>
      <c r="J166" s="101" t="s">
        <v>367</v>
      </c>
      <c r="K166" s="643">
        <v>3</v>
      </c>
      <c r="L166" s="683" t="s">
        <v>351</v>
      </c>
      <c r="M166" s="11" t="s">
        <v>273</v>
      </c>
      <c r="N166" s="101" t="s">
        <v>387</v>
      </c>
      <c r="O166" s="643">
        <v>1</v>
      </c>
      <c r="P166" s="632">
        <v>11</v>
      </c>
      <c r="Q166" s="632">
        <v>11</v>
      </c>
      <c r="R166" s="632">
        <v>11</v>
      </c>
      <c r="S166" s="675">
        <f>SUMIF('Территориальный кк'!$A:$A,'2020'!$B166,'Территориальный кк'!D:D)</f>
        <v>2.0270000000000001</v>
      </c>
      <c r="T166" s="676">
        <f>SUMIF('Территориальный кк'!$A:$A,'2020'!$B166,'Территориальный кк'!E:E)</f>
        <v>3.3260000000000001</v>
      </c>
      <c r="U166" s="618">
        <f>SUMIFS(Нормативы!G:G,Нормативы!$B:$B,$G166,Нормативы!$D:$D,'2020'!$I166,Нормативы!$F:$F,'2020'!$K166)*O166</f>
        <v>78450</v>
      </c>
      <c r="V166" s="618">
        <f t="shared" si="476"/>
        <v>60253.5</v>
      </c>
      <c r="W166" s="618">
        <f t="shared" si="477"/>
        <v>18196.5</v>
      </c>
      <c r="X166" s="618">
        <f>SUMIFS(Нормативы!J:J,Нормативы!$B:$B,$G166,Нормативы!$D:$D,'2020'!$I166,Нормативы!$F:$F,'2020'!$K166)</f>
        <v>6840</v>
      </c>
      <c r="Y166" s="618">
        <f>SUMIFS(Нормативы!K:K,Нормативы!$B:$B,$G166,Нормативы!$D:$D,'2020'!$I166,Нормативы!$F:$F,'2020'!$K166)</f>
        <v>1368</v>
      </c>
      <c r="Z166" s="618">
        <f>SUMIFS(Нормативы!L:L,Нормативы!$B:$B,$G166,Нормативы!$D:$D,'2020'!$I166,Нормативы!$F:$F,'2020'!$K166)</f>
        <v>8110</v>
      </c>
      <c r="AA166" s="618">
        <f t="shared" si="478"/>
        <v>23360</v>
      </c>
      <c r="AB166" s="618">
        <f>SUMIFS(Нормативы!N:N,Нормативы!$B:$B,$G166,Нормативы!$D:$D,'2020'!$I166,Нормативы!$F:$F,'2020'!$K166)*O166</f>
        <v>880</v>
      </c>
      <c r="AC166" s="618">
        <f>SUMIFS(Нормативы!O:O,Нормативы!$B:$B,$G166,Нормативы!$D:$D,'2020'!$I166,Нормативы!$F:$F,'2020'!$K166)</f>
        <v>20960</v>
      </c>
      <c r="AD166" s="618">
        <f>SUMIFS(Нормативы!P:P,Нормативы!$B:$B,$G166,Нормативы!$D:$D,'2020'!$I166,Нормативы!$F:$F,'2020'!$K166)*O166</f>
        <v>440</v>
      </c>
      <c r="AE166" s="618">
        <f>SUMIFS(Нормативы!Q:Q,Нормативы!$B:$B,$G166,Нормативы!$D:$D,'2020'!$I166,Нормативы!$F:$F,'2020'!$K166)</f>
        <v>1080</v>
      </c>
      <c r="AF166" s="618">
        <f>SUMIFS(Нормативы!R:R,Нормативы!$B:$B,$G166,Нормативы!$D:$D,'2020'!$I166,Нормативы!$F:$F,'2020'!$K166)</f>
        <v>2700</v>
      </c>
      <c r="AG166" s="618">
        <f>SUMIFS(Нормативы!S:S,Нормативы!$B:$B,$G166,Нормативы!$D:$D,'2020'!$I166,Нормативы!$F:$F,'2020'!$K166)</f>
        <v>5800</v>
      </c>
      <c r="AH166" s="618">
        <f>SUMIFS(Нормативы!T:T,Нормативы!$B:$B,$G166,Нормативы!$D:$D,'2020'!$I166,Нормативы!$F:$F,'2020'!$K166)</f>
        <v>540</v>
      </c>
      <c r="AI166" s="618">
        <f>SUMIFS(Нормативы!U:U,Нормативы!$B:$B,$G166,Нормативы!$D:$D,'2020'!$I166,Нормативы!$F:$F,'2020'!$K166)</f>
        <v>770</v>
      </c>
      <c r="AJ166" s="618">
        <f>SUMIFS(Нормативы!V:V,Нормативы!$B:$B,$G166,Нормативы!$D:$D,'2020'!$I166,Нормативы!$F:$F,'2020'!$K166)</f>
        <v>170</v>
      </c>
      <c r="AK166" s="618">
        <f>SUMIFS(Нормативы!W:W,Нормативы!$B:$B,$G166,Нормативы!$D:$D,'2020'!$I166,Нормативы!$F:$F,'2020'!$K166)</f>
        <v>200</v>
      </c>
      <c r="AL166" s="618">
        <f>SUMIFS(Нормативы!X:X,Нормативы!$B:$B,$G166,Нормативы!$D:$D,'2020'!$I166,Нормативы!$F:$F,'2020'!$K166)*O166</f>
        <v>13440</v>
      </c>
      <c r="AM166" s="618">
        <f t="shared" si="479"/>
        <v>10322.6</v>
      </c>
      <c r="AN166" s="618">
        <f t="shared" si="480"/>
        <v>3117.4</v>
      </c>
      <c r="AO166" s="618">
        <f>SUMIFS(Нормативы!AA:AA,Нормативы!$B:$B,$G166,Нормативы!$D:$D,'2020'!$I166,Нормативы!$F:$F,'2020'!$K166)</f>
        <v>0</v>
      </c>
      <c r="AP166" s="619">
        <f t="shared" si="481"/>
        <v>140380</v>
      </c>
      <c r="AQ166" s="413">
        <f t="shared" si="418"/>
        <v>862950</v>
      </c>
      <c r="AR166" s="618">
        <f t="shared" si="482"/>
        <v>662788</v>
      </c>
      <c r="AS166" s="618">
        <f t="shared" si="483"/>
        <v>200162</v>
      </c>
      <c r="AT166" s="616">
        <f t="shared" si="419"/>
        <v>75240</v>
      </c>
      <c r="AU166" s="616">
        <f t="shared" si="420"/>
        <v>15048</v>
      </c>
      <c r="AV166" s="616">
        <f t="shared" si="421"/>
        <v>89210</v>
      </c>
      <c r="AW166" s="616">
        <f t="shared" si="422"/>
        <v>256960</v>
      </c>
      <c r="AX166" s="616">
        <f t="shared" si="423"/>
        <v>9680</v>
      </c>
      <c r="AY166" s="616">
        <f t="shared" si="424"/>
        <v>230560</v>
      </c>
      <c r="AZ166" s="616">
        <f t="shared" si="425"/>
        <v>4840</v>
      </c>
      <c r="BA166" s="616">
        <f t="shared" si="426"/>
        <v>11880</v>
      </c>
      <c r="BB166" s="616">
        <f t="shared" si="427"/>
        <v>29700</v>
      </c>
      <c r="BC166" s="616">
        <f t="shared" si="428"/>
        <v>63800</v>
      </c>
      <c r="BD166" s="616">
        <f t="shared" si="429"/>
        <v>5940</v>
      </c>
      <c r="BE166" s="616">
        <f t="shared" si="430"/>
        <v>8470</v>
      </c>
      <c r="BF166" s="616">
        <f t="shared" si="431"/>
        <v>1870</v>
      </c>
      <c r="BG166" s="616">
        <f t="shared" si="432"/>
        <v>2200</v>
      </c>
      <c r="BH166" s="616">
        <f t="shared" si="433"/>
        <v>147840</v>
      </c>
      <c r="BI166" s="618">
        <f t="shared" si="484"/>
        <v>113548.4</v>
      </c>
      <c r="BJ166" s="618">
        <f t="shared" si="485"/>
        <v>34291.599999999999</v>
      </c>
      <c r="BK166" s="616">
        <f t="shared" si="434"/>
        <v>0</v>
      </c>
      <c r="BL166" s="620">
        <f t="shared" si="435"/>
        <v>1544180</v>
      </c>
      <c r="BM166" s="616">
        <f t="shared" si="436"/>
        <v>1749200</v>
      </c>
      <c r="BN166" s="618">
        <f t="shared" si="437"/>
        <v>1343471.6</v>
      </c>
      <c r="BO166" s="618">
        <f t="shared" si="438"/>
        <v>405728.4</v>
      </c>
      <c r="BP166" s="616">
        <f t="shared" si="486"/>
        <v>75240</v>
      </c>
      <c r="BQ166" s="616">
        <f t="shared" si="487"/>
        <v>15048</v>
      </c>
      <c r="BR166" s="616">
        <f t="shared" si="488"/>
        <v>89210</v>
      </c>
      <c r="BS166" s="616">
        <f t="shared" si="439"/>
        <v>256960</v>
      </c>
      <c r="BT166" s="616">
        <f t="shared" si="440"/>
        <v>9680</v>
      </c>
      <c r="BU166" s="616">
        <f t="shared" si="441"/>
        <v>230560</v>
      </c>
      <c r="BV166" s="616">
        <f t="shared" si="442"/>
        <v>4840</v>
      </c>
      <c r="BW166" s="616">
        <f t="shared" si="443"/>
        <v>11880</v>
      </c>
      <c r="BX166" s="616">
        <f t="shared" si="444"/>
        <v>98782</v>
      </c>
      <c r="BY166" s="616">
        <f t="shared" si="445"/>
        <v>63800</v>
      </c>
      <c r="BZ166" s="616">
        <f t="shared" si="446"/>
        <v>5940</v>
      </c>
      <c r="CA166" s="616">
        <f t="shared" si="447"/>
        <v>8470</v>
      </c>
      <c r="CB166" s="616">
        <f t="shared" si="448"/>
        <v>1870</v>
      </c>
      <c r="CC166" s="616">
        <f t="shared" si="449"/>
        <v>2200</v>
      </c>
      <c r="CD166" s="616">
        <f t="shared" si="450"/>
        <v>299672</v>
      </c>
      <c r="CE166" s="618">
        <f t="shared" si="489"/>
        <v>230162.8</v>
      </c>
      <c r="CF166" s="618">
        <f t="shared" si="490"/>
        <v>69509.2</v>
      </c>
      <c r="CG166" s="616">
        <f t="shared" si="451"/>
        <v>0</v>
      </c>
      <c r="CH166" s="621">
        <f t="shared" si="452"/>
        <v>2651344</v>
      </c>
      <c r="CI166" s="88">
        <f t="shared" si="453"/>
        <v>159018.18179999999</v>
      </c>
      <c r="CJ166" s="90">
        <f t="shared" si="454"/>
        <v>122133.7818</v>
      </c>
      <c r="CK166" s="90">
        <f t="shared" si="455"/>
        <v>36884.400000000001</v>
      </c>
      <c r="CL166" s="88">
        <f t="shared" si="456"/>
        <v>6840</v>
      </c>
      <c r="CM166" s="88">
        <f t="shared" si="457"/>
        <v>1368</v>
      </c>
      <c r="CN166" s="88">
        <f t="shared" si="458"/>
        <v>8110</v>
      </c>
      <c r="CO166" s="88">
        <f t="shared" si="459"/>
        <v>23360</v>
      </c>
      <c r="CP166" s="88">
        <f t="shared" si="460"/>
        <v>880</v>
      </c>
      <c r="CQ166" s="88">
        <f t="shared" si="461"/>
        <v>20960</v>
      </c>
      <c r="CR166" s="88">
        <f t="shared" si="462"/>
        <v>440</v>
      </c>
      <c r="CS166" s="88">
        <f t="shared" si="463"/>
        <v>1080</v>
      </c>
      <c r="CT166" s="88">
        <f t="shared" si="464"/>
        <v>8980.1818000000003</v>
      </c>
      <c r="CU166" s="88">
        <f t="shared" si="465"/>
        <v>5800</v>
      </c>
      <c r="CV166" s="88">
        <f t="shared" si="466"/>
        <v>540</v>
      </c>
      <c r="CW166" s="88">
        <f t="shared" si="467"/>
        <v>770</v>
      </c>
      <c r="CX166" s="88">
        <f t="shared" si="468"/>
        <v>170</v>
      </c>
      <c r="CY166" s="88">
        <f t="shared" si="469"/>
        <v>200</v>
      </c>
      <c r="CZ166" s="88">
        <f t="shared" si="470"/>
        <v>27242.909100000001</v>
      </c>
      <c r="DA166" s="90">
        <f t="shared" si="471"/>
        <v>20923.890899999999</v>
      </c>
      <c r="DB166" s="90">
        <f t="shared" si="472"/>
        <v>6319.0182000000004</v>
      </c>
      <c r="DC166" s="88">
        <f t="shared" si="473"/>
        <v>0</v>
      </c>
      <c r="DD166" s="211">
        <f t="shared" si="474"/>
        <v>241031.2727</v>
      </c>
      <c r="AUV166" s="699">
        <f t="shared" si="409"/>
        <v>159018.18</v>
      </c>
      <c r="AUW166" s="699">
        <f t="shared" si="410"/>
        <v>122133.78</v>
      </c>
      <c r="AUX166" s="699">
        <f t="shared" si="411"/>
        <v>36884.400000000001</v>
      </c>
      <c r="AUY166" s="699">
        <f t="shared" si="503"/>
        <v>6840</v>
      </c>
      <c r="AUZ166" s="699">
        <f t="shared" si="475"/>
        <v>4524.3500000000004</v>
      </c>
      <c r="AVA166" s="699">
        <f t="shared" si="475"/>
        <v>1.1399999999999999</v>
      </c>
      <c r="AVB166" s="699">
        <f t="shared" si="504"/>
        <v>23360</v>
      </c>
      <c r="AVC166" s="699">
        <f t="shared" si="505"/>
        <v>880</v>
      </c>
      <c r="AVD166" s="699">
        <f t="shared" si="506"/>
        <v>20960</v>
      </c>
      <c r="AVE166" s="699">
        <f t="shared" si="507"/>
        <v>440</v>
      </c>
      <c r="AVF166" s="699">
        <f t="shared" si="508"/>
        <v>1080</v>
      </c>
      <c r="AVG166" s="699">
        <f t="shared" si="509"/>
        <v>8980.18</v>
      </c>
      <c r="AVH166" s="699">
        <f t="shared" si="510"/>
        <v>5800</v>
      </c>
      <c r="AVI166" s="699">
        <f t="shared" si="511"/>
        <v>540</v>
      </c>
      <c r="AVJ166" s="699">
        <f t="shared" si="512"/>
        <v>770</v>
      </c>
      <c r="AVK166" s="699">
        <f t="shared" si="513"/>
        <v>170</v>
      </c>
      <c r="AVL166" s="699">
        <f t="shared" si="514"/>
        <v>200</v>
      </c>
      <c r="AVM166" s="699">
        <f t="shared" si="515"/>
        <v>27242.91</v>
      </c>
      <c r="AVN166" s="699">
        <f t="shared" si="516"/>
        <v>20923.89</v>
      </c>
      <c r="AVO166" s="699">
        <f t="shared" si="517"/>
        <v>6319.02</v>
      </c>
      <c r="AVP166" s="699">
        <f t="shared" si="518"/>
        <v>0</v>
      </c>
      <c r="AVQ166" s="699">
        <f t="shared" si="519"/>
        <v>241031.27</v>
      </c>
    </row>
    <row r="167" spans="1:108 1244:1265" ht="30" customHeight="1" x14ac:dyDescent="0.25">
      <c r="A167" s="643">
        <v>1</v>
      </c>
      <c r="B167" s="643">
        <v>7</v>
      </c>
      <c r="C167" s="664" t="s">
        <v>20</v>
      </c>
      <c r="D167" s="2"/>
      <c r="E167" s="101" t="s">
        <v>344</v>
      </c>
      <c r="F167" s="643" t="s">
        <v>31</v>
      </c>
      <c r="G167" s="643">
        <v>1</v>
      </c>
      <c r="H167" s="658" t="s">
        <v>10</v>
      </c>
      <c r="I167" s="643">
        <v>0</v>
      </c>
      <c r="J167" s="101" t="s">
        <v>389</v>
      </c>
      <c r="K167" s="643">
        <v>1</v>
      </c>
      <c r="L167" s="683" t="s">
        <v>349</v>
      </c>
      <c r="M167" s="11" t="s">
        <v>314</v>
      </c>
      <c r="N167" s="101" t="s">
        <v>387</v>
      </c>
      <c r="O167" s="643">
        <v>1</v>
      </c>
      <c r="P167" s="695">
        <v>13</v>
      </c>
      <c r="Q167" s="632">
        <v>13</v>
      </c>
      <c r="R167" s="632">
        <v>13</v>
      </c>
      <c r="S167" s="675">
        <f>SUMIF('Территориальный кк'!$A:$A,'2020'!$B167,'Территориальный кк'!D:D)</f>
        <v>2.169</v>
      </c>
      <c r="T167" s="676">
        <f>SUMIF('Территориальный кк'!$A:$A,'2020'!$B167,'Территориальный кк'!E:E)</f>
        <v>3.0059999999999998</v>
      </c>
      <c r="U167" s="618">
        <f>SUMIFS(Нормативы!G:G,Нормативы!$B:$B,$G167,Нормативы!$D:$D,'2020'!$I167,Нормативы!$F:$F,'2020'!$K167)*O167</f>
        <v>54020</v>
      </c>
      <c r="V167" s="618">
        <f t="shared" si="476"/>
        <v>41490</v>
      </c>
      <c r="W167" s="618">
        <f t="shared" si="477"/>
        <v>12530</v>
      </c>
      <c r="X167" s="618">
        <f>SUMIFS(Нормативы!J:J,Нормативы!$B:$B,$G167,Нормативы!$D:$D,'2020'!$I167,Нормативы!$F:$F,'2020'!$K167)</f>
        <v>220</v>
      </c>
      <c r="Y167" s="618">
        <f>SUMIFS(Нормативы!K:K,Нормативы!$B:$B,$G167,Нормативы!$D:$D,'2020'!$I167,Нормативы!$F:$F,'2020'!$K167)</f>
        <v>44</v>
      </c>
      <c r="Z167" s="618">
        <f>SUMIFS(Нормативы!L:L,Нормативы!$B:$B,$G167,Нормативы!$D:$D,'2020'!$I167,Нормативы!$F:$F,'2020'!$K167)</f>
        <v>2320</v>
      </c>
      <c r="AA167" s="618">
        <f t="shared" si="478"/>
        <v>3710</v>
      </c>
      <c r="AB167" s="618">
        <f>SUMIFS(Нормативы!N:N,Нормативы!$B:$B,$G167,Нормативы!$D:$D,'2020'!$I167,Нормативы!$F:$F,'2020'!$K167)*O167</f>
        <v>520</v>
      </c>
      <c r="AC167" s="618">
        <f>SUMIFS(Нормативы!O:O,Нормативы!$B:$B,$G167,Нормативы!$D:$D,'2020'!$I167,Нормативы!$F:$F,'2020'!$K167)</f>
        <v>2140</v>
      </c>
      <c r="AD167" s="618">
        <f>SUMIFS(Нормативы!P:P,Нормативы!$B:$B,$G167,Нормативы!$D:$D,'2020'!$I167,Нормативы!$F:$F,'2020'!$K167)*O167</f>
        <v>310</v>
      </c>
      <c r="AE167" s="618">
        <f>SUMIFS(Нормативы!Q:Q,Нормативы!$B:$B,$G167,Нормативы!$D:$D,'2020'!$I167,Нормативы!$F:$F,'2020'!$K167)</f>
        <v>740</v>
      </c>
      <c r="AF167" s="618">
        <f>SUMIFS(Нормативы!R:R,Нормативы!$B:$B,$G167,Нормативы!$D:$D,'2020'!$I167,Нормативы!$F:$F,'2020'!$K167)</f>
        <v>2460</v>
      </c>
      <c r="AG167" s="618">
        <f>SUMIFS(Нормативы!S:S,Нормативы!$B:$B,$G167,Нормативы!$D:$D,'2020'!$I167,Нормативы!$F:$F,'2020'!$K167)</f>
        <v>5080</v>
      </c>
      <c r="AH167" s="618">
        <f>SUMIFS(Нормативы!T:T,Нормативы!$B:$B,$G167,Нормативы!$D:$D,'2020'!$I167,Нормативы!$F:$F,'2020'!$K167)</f>
        <v>540</v>
      </c>
      <c r="AI167" s="618">
        <f>SUMIFS(Нормативы!U:U,Нормативы!$B:$B,$G167,Нормативы!$D:$D,'2020'!$I167,Нормативы!$F:$F,'2020'!$K167)</f>
        <v>770</v>
      </c>
      <c r="AJ167" s="618">
        <f>SUMIFS(Нормативы!V:V,Нормативы!$B:$B,$G167,Нормативы!$D:$D,'2020'!$I167,Нормативы!$F:$F,'2020'!$K167)</f>
        <v>80</v>
      </c>
      <c r="AK167" s="618">
        <f>SUMIFS(Нормативы!W:W,Нормативы!$B:$B,$G167,Нормативы!$D:$D,'2020'!$I167,Нормативы!$F:$F,'2020'!$K167)</f>
        <v>300</v>
      </c>
      <c r="AL167" s="618">
        <f>SUMIFS(Нормативы!X:X,Нормативы!$B:$B,$G167,Нормативы!$D:$D,'2020'!$I167,Нормативы!$F:$F,'2020'!$K167)*O167</f>
        <v>13440</v>
      </c>
      <c r="AM167" s="618">
        <f t="shared" si="479"/>
        <v>10322.6</v>
      </c>
      <c r="AN167" s="618">
        <f t="shared" si="480"/>
        <v>3117.4</v>
      </c>
      <c r="AO167" s="618">
        <f>SUMIFS(Нормативы!AA:AA,Нормативы!$B:$B,$G167,Нормативы!$D:$D,'2020'!$I167,Нормативы!$F:$F,'2020'!$K167)</f>
        <v>3520</v>
      </c>
      <c r="AP167" s="619">
        <f t="shared" si="481"/>
        <v>86460</v>
      </c>
      <c r="AQ167" s="413">
        <f t="shared" si="418"/>
        <v>702260</v>
      </c>
      <c r="AR167" s="618">
        <f t="shared" si="482"/>
        <v>539370.19999999995</v>
      </c>
      <c r="AS167" s="618">
        <f t="shared" si="483"/>
        <v>162889.79999999999</v>
      </c>
      <c r="AT167" s="616">
        <f t="shared" si="419"/>
        <v>2860</v>
      </c>
      <c r="AU167" s="616">
        <f t="shared" si="420"/>
        <v>572</v>
      </c>
      <c r="AV167" s="616">
        <f t="shared" si="421"/>
        <v>30160</v>
      </c>
      <c r="AW167" s="616">
        <f t="shared" si="422"/>
        <v>48230</v>
      </c>
      <c r="AX167" s="616">
        <f t="shared" si="423"/>
        <v>6760</v>
      </c>
      <c r="AY167" s="616">
        <f t="shared" si="424"/>
        <v>27820</v>
      </c>
      <c r="AZ167" s="616">
        <f t="shared" si="425"/>
        <v>4030</v>
      </c>
      <c r="BA167" s="616">
        <f t="shared" si="426"/>
        <v>9620</v>
      </c>
      <c r="BB167" s="616">
        <f t="shared" si="427"/>
        <v>31980</v>
      </c>
      <c r="BC167" s="616">
        <f t="shared" si="428"/>
        <v>66040</v>
      </c>
      <c r="BD167" s="616">
        <f t="shared" si="429"/>
        <v>7020</v>
      </c>
      <c r="BE167" s="616">
        <f t="shared" si="430"/>
        <v>10010</v>
      </c>
      <c r="BF167" s="616">
        <f t="shared" si="431"/>
        <v>1040</v>
      </c>
      <c r="BG167" s="616">
        <f t="shared" si="432"/>
        <v>3900</v>
      </c>
      <c r="BH167" s="616">
        <f t="shared" si="433"/>
        <v>174720</v>
      </c>
      <c r="BI167" s="618">
        <f t="shared" si="484"/>
        <v>134193.5</v>
      </c>
      <c r="BJ167" s="618">
        <f t="shared" si="485"/>
        <v>40526.5</v>
      </c>
      <c r="BK167" s="616">
        <f t="shared" si="434"/>
        <v>45760</v>
      </c>
      <c r="BL167" s="620">
        <f t="shared" si="435"/>
        <v>1123980</v>
      </c>
      <c r="BM167" s="616">
        <f t="shared" si="436"/>
        <v>1523202</v>
      </c>
      <c r="BN167" s="618">
        <f t="shared" si="437"/>
        <v>1169894</v>
      </c>
      <c r="BO167" s="618">
        <f t="shared" si="438"/>
        <v>353308</v>
      </c>
      <c r="BP167" s="616">
        <f t="shared" si="486"/>
        <v>2860</v>
      </c>
      <c r="BQ167" s="616">
        <f t="shared" si="487"/>
        <v>572</v>
      </c>
      <c r="BR167" s="616">
        <f t="shared" si="488"/>
        <v>30160</v>
      </c>
      <c r="BS167" s="616">
        <f t="shared" si="439"/>
        <v>48230</v>
      </c>
      <c r="BT167" s="616">
        <f t="shared" si="440"/>
        <v>6760</v>
      </c>
      <c r="BU167" s="616">
        <f t="shared" si="441"/>
        <v>27820</v>
      </c>
      <c r="BV167" s="616">
        <f t="shared" si="442"/>
        <v>4030</v>
      </c>
      <c r="BW167" s="616">
        <f t="shared" si="443"/>
        <v>9620</v>
      </c>
      <c r="BX167" s="616">
        <f t="shared" si="444"/>
        <v>96132</v>
      </c>
      <c r="BY167" s="616">
        <f t="shared" si="445"/>
        <v>66040</v>
      </c>
      <c r="BZ167" s="616">
        <f t="shared" si="446"/>
        <v>7020</v>
      </c>
      <c r="CA167" s="616">
        <f t="shared" si="447"/>
        <v>10010</v>
      </c>
      <c r="CB167" s="616">
        <f t="shared" si="448"/>
        <v>1040</v>
      </c>
      <c r="CC167" s="616">
        <f t="shared" si="449"/>
        <v>3900</v>
      </c>
      <c r="CD167" s="616">
        <f t="shared" si="450"/>
        <v>378968</v>
      </c>
      <c r="CE167" s="618">
        <f t="shared" si="489"/>
        <v>291066.09999999998</v>
      </c>
      <c r="CF167" s="618">
        <f t="shared" si="490"/>
        <v>87901.9</v>
      </c>
      <c r="CG167" s="616">
        <f t="shared" si="451"/>
        <v>45760</v>
      </c>
      <c r="CH167" s="621">
        <f t="shared" si="452"/>
        <v>2213322</v>
      </c>
      <c r="CI167" s="88">
        <f t="shared" si="453"/>
        <v>117169.3846</v>
      </c>
      <c r="CJ167" s="90">
        <f t="shared" si="454"/>
        <v>89991.8462</v>
      </c>
      <c r="CK167" s="90">
        <f t="shared" si="455"/>
        <v>27177.538499999999</v>
      </c>
      <c r="CL167" s="88">
        <f t="shared" si="456"/>
        <v>220</v>
      </c>
      <c r="CM167" s="88">
        <f t="shared" si="457"/>
        <v>44</v>
      </c>
      <c r="CN167" s="88">
        <f t="shared" si="458"/>
        <v>2320</v>
      </c>
      <c r="CO167" s="88">
        <f t="shared" si="459"/>
        <v>3710</v>
      </c>
      <c r="CP167" s="88">
        <f t="shared" si="460"/>
        <v>520</v>
      </c>
      <c r="CQ167" s="88">
        <f t="shared" si="461"/>
        <v>2140</v>
      </c>
      <c r="CR167" s="88">
        <f t="shared" si="462"/>
        <v>310</v>
      </c>
      <c r="CS167" s="88">
        <f t="shared" si="463"/>
        <v>740</v>
      </c>
      <c r="CT167" s="88">
        <f t="shared" si="464"/>
        <v>7394.7691999999997</v>
      </c>
      <c r="CU167" s="88">
        <f t="shared" si="465"/>
        <v>5080</v>
      </c>
      <c r="CV167" s="88">
        <f t="shared" si="466"/>
        <v>540</v>
      </c>
      <c r="CW167" s="88">
        <f t="shared" si="467"/>
        <v>770</v>
      </c>
      <c r="CX167" s="88">
        <f t="shared" si="468"/>
        <v>80</v>
      </c>
      <c r="CY167" s="88">
        <f t="shared" si="469"/>
        <v>300</v>
      </c>
      <c r="CZ167" s="88">
        <f t="shared" si="470"/>
        <v>29151.384600000001</v>
      </c>
      <c r="DA167" s="90">
        <f t="shared" si="471"/>
        <v>22389.7</v>
      </c>
      <c r="DB167" s="90">
        <f t="shared" si="472"/>
        <v>6761.6845999999996</v>
      </c>
      <c r="DC167" s="88">
        <f t="shared" si="473"/>
        <v>3520</v>
      </c>
      <c r="DD167" s="211">
        <f t="shared" si="474"/>
        <v>170255.5385</v>
      </c>
      <c r="AUV167" s="699">
        <f t="shared" si="409"/>
        <v>117169.38</v>
      </c>
      <c r="AUW167" s="699">
        <f t="shared" si="410"/>
        <v>89991.84</v>
      </c>
      <c r="AUX167" s="699">
        <f t="shared" si="411"/>
        <v>27177.54</v>
      </c>
      <c r="AUY167" s="699">
        <f t="shared" si="503"/>
        <v>220</v>
      </c>
      <c r="AUZ167" s="699">
        <f t="shared" si="475"/>
        <v>190.29</v>
      </c>
      <c r="AVA167" s="699">
        <f t="shared" si="475"/>
        <v>0.56000000000000005</v>
      </c>
      <c r="AVB167" s="699">
        <f t="shared" si="504"/>
        <v>3710</v>
      </c>
      <c r="AVC167" s="699">
        <f t="shared" si="505"/>
        <v>520</v>
      </c>
      <c r="AVD167" s="699">
        <f t="shared" si="506"/>
        <v>2140</v>
      </c>
      <c r="AVE167" s="699">
        <f t="shared" si="507"/>
        <v>310</v>
      </c>
      <c r="AVF167" s="699">
        <f t="shared" si="508"/>
        <v>740</v>
      </c>
      <c r="AVG167" s="699">
        <f t="shared" si="509"/>
        <v>7394.77</v>
      </c>
      <c r="AVH167" s="699">
        <f t="shared" si="510"/>
        <v>5080</v>
      </c>
      <c r="AVI167" s="699">
        <f t="shared" si="511"/>
        <v>540</v>
      </c>
      <c r="AVJ167" s="699">
        <f t="shared" si="512"/>
        <v>770</v>
      </c>
      <c r="AVK167" s="699">
        <f t="shared" si="513"/>
        <v>80</v>
      </c>
      <c r="AVL167" s="699">
        <f t="shared" si="514"/>
        <v>300</v>
      </c>
      <c r="AVM167" s="699">
        <f t="shared" si="515"/>
        <v>29151.38</v>
      </c>
      <c r="AVN167" s="699">
        <f t="shared" si="516"/>
        <v>22389.69</v>
      </c>
      <c r="AVO167" s="699">
        <f t="shared" si="517"/>
        <v>6761.69</v>
      </c>
      <c r="AVP167" s="699">
        <f t="shared" si="518"/>
        <v>3520</v>
      </c>
      <c r="AVQ167" s="699">
        <f t="shared" si="519"/>
        <v>170255.54</v>
      </c>
    </row>
    <row r="168" spans="1:108 1244:1265" ht="30" customHeight="1" x14ac:dyDescent="0.25">
      <c r="A168" s="643">
        <v>1</v>
      </c>
      <c r="B168" s="643">
        <v>7</v>
      </c>
      <c r="C168" s="664" t="s">
        <v>20</v>
      </c>
      <c r="D168" s="2"/>
      <c r="E168" s="101" t="s">
        <v>344</v>
      </c>
      <c r="F168" s="643" t="s">
        <v>31</v>
      </c>
      <c r="G168" s="643">
        <v>1</v>
      </c>
      <c r="H168" s="658" t="s">
        <v>10</v>
      </c>
      <c r="I168" s="643">
        <v>0</v>
      </c>
      <c r="J168" s="101" t="s">
        <v>389</v>
      </c>
      <c r="K168" s="643">
        <v>1</v>
      </c>
      <c r="L168" s="683" t="s">
        <v>349</v>
      </c>
      <c r="M168" s="11" t="s">
        <v>323</v>
      </c>
      <c r="N168" s="101" t="s">
        <v>401</v>
      </c>
      <c r="O168" s="643">
        <v>2</v>
      </c>
      <c r="P168" s="695">
        <v>1</v>
      </c>
      <c r="Q168" s="632">
        <v>1</v>
      </c>
      <c r="R168" s="632">
        <v>1</v>
      </c>
      <c r="S168" s="675">
        <f>SUMIF('Территориальный кк'!$A:$A,'2020'!$B168,'Территориальный кк'!D:D)</f>
        <v>2.169</v>
      </c>
      <c r="T168" s="676">
        <f>SUMIF('Территориальный кк'!$A:$A,'2020'!$B168,'Территориальный кк'!E:E)</f>
        <v>3.0059999999999998</v>
      </c>
      <c r="U168" s="618">
        <f>SUMIFS(Нормативы!G:G,Нормативы!$B:$B,$G168,Нормативы!$D:$D,'2020'!$I168,Нормативы!$F:$F,'2020'!$K168)*O168</f>
        <v>108040</v>
      </c>
      <c r="V168" s="618">
        <f t="shared" si="476"/>
        <v>82980</v>
      </c>
      <c r="W168" s="618">
        <f t="shared" si="477"/>
        <v>25060</v>
      </c>
      <c r="X168" s="618">
        <f>SUMIFS(Нормативы!J:J,Нормативы!$B:$B,$G168,Нормативы!$D:$D,'2020'!$I168,Нормативы!$F:$F,'2020'!$K168)</f>
        <v>220</v>
      </c>
      <c r="Y168" s="618">
        <f>SUMIFS(Нормативы!K:K,Нормативы!$B:$B,$G168,Нормативы!$D:$D,'2020'!$I168,Нормативы!$F:$F,'2020'!$K168)</f>
        <v>44</v>
      </c>
      <c r="Z168" s="618">
        <f>SUMIFS(Нормативы!L:L,Нормативы!$B:$B,$G168,Нормативы!$D:$D,'2020'!$I168,Нормативы!$F:$F,'2020'!$K168)</f>
        <v>2320</v>
      </c>
      <c r="AA168" s="618">
        <f t="shared" si="478"/>
        <v>4540</v>
      </c>
      <c r="AB168" s="618">
        <f>SUMIFS(Нормативы!N:N,Нормативы!$B:$B,$G168,Нормативы!$D:$D,'2020'!$I168,Нормативы!$F:$F,'2020'!$K168)*O168</f>
        <v>1040</v>
      </c>
      <c r="AC168" s="618">
        <f>SUMIFS(Нормативы!O:O,Нормативы!$B:$B,$G168,Нормативы!$D:$D,'2020'!$I168,Нормативы!$F:$F,'2020'!$K168)</f>
        <v>2140</v>
      </c>
      <c r="AD168" s="618">
        <f>SUMIFS(Нормативы!P:P,Нормативы!$B:$B,$G168,Нормативы!$D:$D,'2020'!$I168,Нормативы!$F:$F,'2020'!$K168)*O168</f>
        <v>620</v>
      </c>
      <c r="AE168" s="618">
        <f>SUMIFS(Нормативы!Q:Q,Нормативы!$B:$B,$G168,Нормативы!$D:$D,'2020'!$I168,Нормативы!$F:$F,'2020'!$K168)</f>
        <v>740</v>
      </c>
      <c r="AF168" s="618">
        <f>SUMIFS(Нормативы!R:R,Нормативы!$B:$B,$G168,Нормативы!$D:$D,'2020'!$I168,Нормативы!$F:$F,'2020'!$K168)</f>
        <v>2460</v>
      </c>
      <c r="AG168" s="618">
        <f>SUMIFS(Нормативы!S:S,Нормативы!$B:$B,$G168,Нормативы!$D:$D,'2020'!$I168,Нормативы!$F:$F,'2020'!$K168)</f>
        <v>5080</v>
      </c>
      <c r="AH168" s="618">
        <f>SUMIFS(Нормативы!T:T,Нормативы!$B:$B,$G168,Нормативы!$D:$D,'2020'!$I168,Нормативы!$F:$F,'2020'!$K168)</f>
        <v>540</v>
      </c>
      <c r="AI168" s="618">
        <f>SUMIFS(Нормативы!U:U,Нормативы!$B:$B,$G168,Нормативы!$D:$D,'2020'!$I168,Нормативы!$F:$F,'2020'!$K168)</f>
        <v>770</v>
      </c>
      <c r="AJ168" s="618">
        <f>SUMIFS(Нормативы!V:V,Нормативы!$B:$B,$G168,Нормативы!$D:$D,'2020'!$I168,Нормативы!$F:$F,'2020'!$K168)</f>
        <v>80</v>
      </c>
      <c r="AK168" s="618">
        <f>SUMIFS(Нормативы!W:W,Нормативы!$B:$B,$G168,Нормативы!$D:$D,'2020'!$I168,Нормативы!$F:$F,'2020'!$K168)</f>
        <v>300</v>
      </c>
      <c r="AL168" s="618">
        <f>SUMIFS(Нормативы!X:X,Нормативы!$B:$B,$G168,Нормативы!$D:$D,'2020'!$I168,Нормативы!$F:$F,'2020'!$K168)*O168</f>
        <v>26880</v>
      </c>
      <c r="AM168" s="618">
        <f t="shared" si="479"/>
        <v>20645.2</v>
      </c>
      <c r="AN168" s="618">
        <f t="shared" si="480"/>
        <v>6234.8</v>
      </c>
      <c r="AO168" s="618">
        <f>SUMIFS(Нормативы!AA:AA,Нормативы!$B:$B,$G168,Нормативы!$D:$D,'2020'!$I168,Нормативы!$F:$F,'2020'!$K168)</f>
        <v>3520</v>
      </c>
      <c r="AP168" s="619">
        <f t="shared" si="481"/>
        <v>154750</v>
      </c>
      <c r="AQ168" s="413">
        <f t="shared" si="418"/>
        <v>108040</v>
      </c>
      <c r="AR168" s="618">
        <f t="shared" si="482"/>
        <v>82980</v>
      </c>
      <c r="AS168" s="618">
        <f t="shared" si="483"/>
        <v>25060</v>
      </c>
      <c r="AT168" s="616">
        <f t="shared" si="419"/>
        <v>220</v>
      </c>
      <c r="AU168" s="616">
        <f t="shared" si="420"/>
        <v>44</v>
      </c>
      <c r="AV168" s="616">
        <f t="shared" si="421"/>
        <v>2320</v>
      </c>
      <c r="AW168" s="616">
        <f t="shared" si="422"/>
        <v>4540</v>
      </c>
      <c r="AX168" s="616">
        <f t="shared" si="423"/>
        <v>1040</v>
      </c>
      <c r="AY168" s="616">
        <f t="shared" si="424"/>
        <v>2140</v>
      </c>
      <c r="AZ168" s="616">
        <f t="shared" si="425"/>
        <v>620</v>
      </c>
      <c r="BA168" s="616">
        <f t="shared" si="426"/>
        <v>740</v>
      </c>
      <c r="BB168" s="616">
        <f t="shared" si="427"/>
        <v>2460</v>
      </c>
      <c r="BC168" s="616">
        <f t="shared" si="428"/>
        <v>5080</v>
      </c>
      <c r="BD168" s="616">
        <f t="shared" si="429"/>
        <v>540</v>
      </c>
      <c r="BE168" s="616">
        <f t="shared" si="430"/>
        <v>770</v>
      </c>
      <c r="BF168" s="616">
        <f t="shared" si="431"/>
        <v>80</v>
      </c>
      <c r="BG168" s="616">
        <f t="shared" si="432"/>
        <v>300</v>
      </c>
      <c r="BH168" s="616">
        <f t="shared" si="433"/>
        <v>26880</v>
      </c>
      <c r="BI168" s="618">
        <f t="shared" si="484"/>
        <v>20645.2</v>
      </c>
      <c r="BJ168" s="618">
        <f t="shared" si="485"/>
        <v>6234.8</v>
      </c>
      <c r="BK168" s="616">
        <f t="shared" si="434"/>
        <v>3520</v>
      </c>
      <c r="BL168" s="620">
        <f t="shared" si="435"/>
        <v>154750</v>
      </c>
      <c r="BM168" s="616">
        <f t="shared" si="436"/>
        <v>234339</v>
      </c>
      <c r="BN168" s="618">
        <f t="shared" si="437"/>
        <v>179983.9</v>
      </c>
      <c r="BO168" s="618">
        <f t="shared" si="438"/>
        <v>54355.1</v>
      </c>
      <c r="BP168" s="616">
        <f t="shared" si="486"/>
        <v>220</v>
      </c>
      <c r="BQ168" s="616">
        <f t="shared" si="487"/>
        <v>44</v>
      </c>
      <c r="BR168" s="616">
        <f t="shared" si="488"/>
        <v>2320</v>
      </c>
      <c r="BS168" s="616">
        <f t="shared" si="439"/>
        <v>4540</v>
      </c>
      <c r="BT168" s="616">
        <f t="shared" si="440"/>
        <v>1040</v>
      </c>
      <c r="BU168" s="616">
        <f t="shared" si="441"/>
        <v>2140</v>
      </c>
      <c r="BV168" s="616">
        <f t="shared" si="442"/>
        <v>620</v>
      </c>
      <c r="BW168" s="616">
        <f t="shared" si="443"/>
        <v>740</v>
      </c>
      <c r="BX168" s="616">
        <f t="shared" si="444"/>
        <v>7395</v>
      </c>
      <c r="BY168" s="616">
        <f t="shared" si="445"/>
        <v>5080</v>
      </c>
      <c r="BZ168" s="616">
        <f t="shared" si="446"/>
        <v>540</v>
      </c>
      <c r="CA168" s="616">
        <f t="shared" si="447"/>
        <v>770</v>
      </c>
      <c r="CB168" s="616">
        <f t="shared" si="448"/>
        <v>80</v>
      </c>
      <c r="CC168" s="616">
        <f t="shared" si="449"/>
        <v>300</v>
      </c>
      <c r="CD168" s="616">
        <f t="shared" si="450"/>
        <v>58303</v>
      </c>
      <c r="CE168" s="618">
        <f t="shared" si="489"/>
        <v>44779.6</v>
      </c>
      <c r="CF168" s="618">
        <f t="shared" si="490"/>
        <v>13523.4</v>
      </c>
      <c r="CG168" s="616">
        <f t="shared" si="451"/>
        <v>3520</v>
      </c>
      <c r="CH168" s="621">
        <f t="shared" si="452"/>
        <v>317407</v>
      </c>
      <c r="CI168" s="88">
        <f t="shared" si="453"/>
        <v>234339</v>
      </c>
      <c r="CJ168" s="90">
        <f t="shared" si="454"/>
        <v>179983.9</v>
      </c>
      <c r="CK168" s="90">
        <f t="shared" si="455"/>
        <v>54355.1</v>
      </c>
      <c r="CL168" s="88">
        <f t="shared" si="456"/>
        <v>220</v>
      </c>
      <c r="CM168" s="88">
        <f t="shared" si="457"/>
        <v>44</v>
      </c>
      <c r="CN168" s="88">
        <f t="shared" si="458"/>
        <v>2320</v>
      </c>
      <c r="CO168" s="88">
        <f t="shared" si="459"/>
        <v>4540</v>
      </c>
      <c r="CP168" s="88">
        <f t="shared" si="460"/>
        <v>1040</v>
      </c>
      <c r="CQ168" s="88">
        <f t="shared" si="461"/>
        <v>2140</v>
      </c>
      <c r="CR168" s="88">
        <f t="shared" si="462"/>
        <v>620</v>
      </c>
      <c r="CS168" s="88">
        <f t="shared" si="463"/>
        <v>740</v>
      </c>
      <c r="CT168" s="88">
        <f t="shared" si="464"/>
        <v>7395</v>
      </c>
      <c r="CU168" s="88">
        <f t="shared" si="465"/>
        <v>5080</v>
      </c>
      <c r="CV168" s="88">
        <f t="shared" si="466"/>
        <v>540</v>
      </c>
      <c r="CW168" s="88">
        <f t="shared" si="467"/>
        <v>770</v>
      </c>
      <c r="CX168" s="88">
        <f t="shared" si="468"/>
        <v>80</v>
      </c>
      <c r="CY168" s="88">
        <f t="shared" si="469"/>
        <v>300</v>
      </c>
      <c r="CZ168" s="88">
        <f t="shared" si="470"/>
        <v>58303</v>
      </c>
      <c r="DA168" s="90">
        <f t="shared" si="471"/>
        <v>44779.6</v>
      </c>
      <c r="DB168" s="90">
        <f t="shared" si="472"/>
        <v>13523.4</v>
      </c>
      <c r="DC168" s="88">
        <f t="shared" si="473"/>
        <v>3520</v>
      </c>
      <c r="DD168" s="211">
        <f t="shared" si="474"/>
        <v>317407</v>
      </c>
      <c r="AUV168" s="699">
        <f t="shared" si="409"/>
        <v>234339</v>
      </c>
      <c r="AUW168" s="699">
        <f t="shared" si="410"/>
        <v>179983.87</v>
      </c>
      <c r="AUX168" s="699">
        <f t="shared" si="411"/>
        <v>54355.13</v>
      </c>
      <c r="AUY168" s="699">
        <f t="shared" si="503"/>
        <v>220</v>
      </c>
      <c r="AUZ168" s="699">
        <f t="shared" si="475"/>
        <v>14.64</v>
      </c>
      <c r="AVA168" s="699">
        <f t="shared" si="475"/>
        <v>0.02</v>
      </c>
      <c r="AVB168" s="699">
        <f t="shared" si="504"/>
        <v>4540</v>
      </c>
      <c r="AVC168" s="699">
        <f t="shared" si="505"/>
        <v>1040</v>
      </c>
      <c r="AVD168" s="699">
        <f t="shared" si="506"/>
        <v>2140</v>
      </c>
      <c r="AVE168" s="699">
        <f t="shared" si="507"/>
        <v>620</v>
      </c>
      <c r="AVF168" s="699">
        <f t="shared" si="508"/>
        <v>740</v>
      </c>
      <c r="AVG168" s="699">
        <f t="shared" si="509"/>
        <v>7395</v>
      </c>
      <c r="AVH168" s="699">
        <f t="shared" si="510"/>
        <v>5080</v>
      </c>
      <c r="AVI168" s="699">
        <f t="shared" si="511"/>
        <v>540</v>
      </c>
      <c r="AVJ168" s="699">
        <f t="shared" si="512"/>
        <v>770</v>
      </c>
      <c r="AVK168" s="699">
        <f t="shared" si="513"/>
        <v>80</v>
      </c>
      <c r="AVL168" s="699">
        <f t="shared" si="514"/>
        <v>300</v>
      </c>
      <c r="AVM168" s="699">
        <f t="shared" si="515"/>
        <v>58303</v>
      </c>
      <c r="AVN168" s="699">
        <f t="shared" si="516"/>
        <v>44779.57</v>
      </c>
      <c r="AVO168" s="699">
        <f t="shared" si="517"/>
        <v>13523.43</v>
      </c>
      <c r="AVP168" s="699">
        <f t="shared" si="518"/>
        <v>3520</v>
      </c>
      <c r="AVQ168" s="699">
        <f t="shared" si="519"/>
        <v>317407</v>
      </c>
    </row>
    <row r="169" spans="1:108 1244:1265" ht="30" customHeight="1" x14ac:dyDescent="0.25">
      <c r="A169" s="643">
        <v>1</v>
      </c>
      <c r="B169" s="643">
        <v>7</v>
      </c>
      <c r="C169" s="664" t="s">
        <v>20</v>
      </c>
      <c r="D169" s="2"/>
      <c r="E169" s="101" t="s">
        <v>344</v>
      </c>
      <c r="F169" s="643" t="s">
        <v>31</v>
      </c>
      <c r="G169" s="643">
        <v>1</v>
      </c>
      <c r="H169" s="658" t="s">
        <v>10</v>
      </c>
      <c r="I169" s="643">
        <v>0</v>
      </c>
      <c r="J169" s="101" t="s">
        <v>356</v>
      </c>
      <c r="K169" s="643">
        <v>3</v>
      </c>
      <c r="L169" s="683" t="s">
        <v>349</v>
      </c>
      <c r="M169" s="11" t="s">
        <v>255</v>
      </c>
      <c r="N169" s="101" t="s">
        <v>387</v>
      </c>
      <c r="O169" s="643">
        <v>1</v>
      </c>
      <c r="P169" s="695">
        <v>397</v>
      </c>
      <c r="Q169" s="632">
        <v>397</v>
      </c>
      <c r="R169" s="632">
        <v>397</v>
      </c>
      <c r="S169" s="675">
        <f>SUMIF('Территориальный кк'!$A:$A,'2020'!$B169,'Территориальный кк'!D:D)</f>
        <v>2.169</v>
      </c>
      <c r="T169" s="676">
        <f>SUMIF('Территориальный кк'!$A:$A,'2020'!$B169,'Территориальный кк'!E:E)</f>
        <v>3.0059999999999998</v>
      </c>
      <c r="U169" s="618">
        <f>SUMIFS(Нормативы!G:G,Нормативы!$B:$B,$G169,Нормативы!$D:$D,'2020'!$I169,Нормативы!$F:$F,'2020'!$K169)*O169</f>
        <v>64190</v>
      </c>
      <c r="V169" s="618">
        <f t="shared" si="476"/>
        <v>49301.1</v>
      </c>
      <c r="W169" s="618">
        <f t="shared" si="477"/>
        <v>14888.9</v>
      </c>
      <c r="X169" s="618">
        <f>SUMIFS(Нормативы!J:J,Нормативы!$B:$B,$G169,Нормативы!$D:$D,'2020'!$I169,Нормативы!$F:$F,'2020'!$K169)</f>
        <v>8830</v>
      </c>
      <c r="Y169" s="618">
        <f>SUMIFS(Нормативы!K:K,Нормативы!$B:$B,$G169,Нормативы!$D:$D,'2020'!$I169,Нормативы!$F:$F,'2020'!$K169)</f>
        <v>1766</v>
      </c>
      <c r="Z169" s="618">
        <f>SUMIFS(Нормативы!L:L,Нормативы!$B:$B,$G169,Нормативы!$D:$D,'2020'!$I169,Нормативы!$F:$F,'2020'!$K169)</f>
        <v>8110</v>
      </c>
      <c r="AA169" s="618">
        <f t="shared" si="478"/>
        <v>19050</v>
      </c>
      <c r="AB169" s="618">
        <f>SUMIFS(Нормативы!N:N,Нормативы!$B:$B,$G169,Нормативы!$D:$D,'2020'!$I169,Нормативы!$F:$F,'2020'!$K169)*O169</f>
        <v>520</v>
      </c>
      <c r="AC169" s="618">
        <f>SUMIFS(Нормативы!O:O,Нормативы!$B:$B,$G169,Нормативы!$D:$D,'2020'!$I169,Нормативы!$F:$F,'2020'!$K169)</f>
        <v>17290</v>
      </c>
      <c r="AD169" s="618">
        <f>SUMIFS(Нормативы!P:P,Нормативы!$B:$B,$G169,Нормативы!$D:$D,'2020'!$I169,Нормативы!$F:$F,'2020'!$K169)*O169</f>
        <v>360</v>
      </c>
      <c r="AE169" s="618">
        <f>SUMIFS(Нормативы!Q:Q,Нормативы!$B:$B,$G169,Нормативы!$D:$D,'2020'!$I169,Нормативы!$F:$F,'2020'!$K169)</f>
        <v>880</v>
      </c>
      <c r="AF169" s="618">
        <f>SUMIFS(Нормативы!R:R,Нормативы!$B:$B,$G169,Нормативы!$D:$D,'2020'!$I169,Нормативы!$F:$F,'2020'!$K169)</f>
        <v>2680</v>
      </c>
      <c r="AG169" s="618">
        <f>SUMIFS(Нормативы!S:S,Нормативы!$B:$B,$G169,Нормативы!$D:$D,'2020'!$I169,Нормативы!$F:$F,'2020'!$K169)</f>
        <v>5800</v>
      </c>
      <c r="AH169" s="618">
        <f>SUMIFS(Нормативы!T:T,Нормативы!$B:$B,$G169,Нормативы!$D:$D,'2020'!$I169,Нормативы!$F:$F,'2020'!$K169)</f>
        <v>540</v>
      </c>
      <c r="AI169" s="618">
        <f>SUMIFS(Нормативы!U:U,Нормативы!$B:$B,$G169,Нормативы!$D:$D,'2020'!$I169,Нормативы!$F:$F,'2020'!$K169)</f>
        <v>770</v>
      </c>
      <c r="AJ169" s="618">
        <f>SUMIFS(Нормативы!V:V,Нормативы!$B:$B,$G169,Нормативы!$D:$D,'2020'!$I169,Нормативы!$F:$F,'2020'!$K169)</f>
        <v>80</v>
      </c>
      <c r="AK169" s="618">
        <f>SUMIFS(Нормативы!W:W,Нормативы!$B:$B,$G169,Нормативы!$D:$D,'2020'!$I169,Нормативы!$F:$F,'2020'!$K169)</f>
        <v>1050</v>
      </c>
      <c r="AL169" s="618">
        <f>SUMIFS(Нормативы!X:X,Нормативы!$B:$B,$G169,Нормативы!$D:$D,'2020'!$I169,Нормативы!$F:$F,'2020'!$K169)*O169</f>
        <v>16120</v>
      </c>
      <c r="AM169" s="618">
        <f t="shared" si="479"/>
        <v>12381</v>
      </c>
      <c r="AN169" s="618">
        <f t="shared" si="480"/>
        <v>3739</v>
      </c>
      <c r="AO169" s="618">
        <f>SUMIFS(Нормативы!AA:AA,Нормативы!$B:$B,$G169,Нормативы!$D:$D,'2020'!$I169,Нормативы!$F:$F,'2020'!$K169)</f>
        <v>3520</v>
      </c>
      <c r="AP169" s="619">
        <f t="shared" si="481"/>
        <v>130740</v>
      </c>
      <c r="AQ169" s="413">
        <f t="shared" si="418"/>
        <v>25483430</v>
      </c>
      <c r="AR169" s="618">
        <f t="shared" si="482"/>
        <v>19572526.899999999</v>
      </c>
      <c r="AS169" s="618">
        <f t="shared" si="483"/>
        <v>5910903.0999999996</v>
      </c>
      <c r="AT169" s="616">
        <f t="shared" si="419"/>
        <v>3505510</v>
      </c>
      <c r="AU169" s="616">
        <f t="shared" si="420"/>
        <v>701102</v>
      </c>
      <c r="AV169" s="616">
        <f t="shared" si="421"/>
        <v>3219670</v>
      </c>
      <c r="AW169" s="616">
        <f t="shared" si="422"/>
        <v>7562850</v>
      </c>
      <c r="AX169" s="616">
        <f t="shared" si="423"/>
        <v>206440</v>
      </c>
      <c r="AY169" s="616">
        <f t="shared" si="424"/>
        <v>6864130</v>
      </c>
      <c r="AZ169" s="616">
        <f t="shared" si="425"/>
        <v>142920</v>
      </c>
      <c r="BA169" s="616">
        <f t="shared" si="426"/>
        <v>349360</v>
      </c>
      <c r="BB169" s="616">
        <f t="shared" si="427"/>
        <v>1063960</v>
      </c>
      <c r="BC169" s="616">
        <f t="shared" si="428"/>
        <v>2302600</v>
      </c>
      <c r="BD169" s="616">
        <f t="shared" si="429"/>
        <v>214380</v>
      </c>
      <c r="BE169" s="616">
        <f t="shared" si="430"/>
        <v>305690</v>
      </c>
      <c r="BF169" s="616">
        <f t="shared" si="431"/>
        <v>31760</v>
      </c>
      <c r="BG169" s="616">
        <f t="shared" si="432"/>
        <v>416850</v>
      </c>
      <c r="BH169" s="616">
        <f t="shared" si="433"/>
        <v>6399640</v>
      </c>
      <c r="BI169" s="618">
        <f t="shared" si="484"/>
        <v>4915238.0999999996</v>
      </c>
      <c r="BJ169" s="618">
        <f t="shared" si="485"/>
        <v>1484401.9</v>
      </c>
      <c r="BK169" s="616">
        <f t="shared" si="434"/>
        <v>1397440</v>
      </c>
      <c r="BL169" s="620">
        <f t="shared" si="435"/>
        <v>51903780</v>
      </c>
      <c r="BM169" s="616">
        <f t="shared" si="436"/>
        <v>55273560</v>
      </c>
      <c r="BN169" s="618">
        <f t="shared" si="437"/>
        <v>42452811.100000001</v>
      </c>
      <c r="BO169" s="618">
        <f t="shared" si="438"/>
        <v>12820748.9</v>
      </c>
      <c r="BP169" s="616">
        <f t="shared" si="486"/>
        <v>3505510</v>
      </c>
      <c r="BQ169" s="616">
        <f t="shared" si="487"/>
        <v>701102</v>
      </c>
      <c r="BR169" s="616">
        <f t="shared" si="488"/>
        <v>3219670</v>
      </c>
      <c r="BS169" s="616">
        <f t="shared" si="439"/>
        <v>7562850</v>
      </c>
      <c r="BT169" s="616">
        <f t="shared" si="440"/>
        <v>206440</v>
      </c>
      <c r="BU169" s="616">
        <f t="shared" si="441"/>
        <v>6864130</v>
      </c>
      <c r="BV169" s="616">
        <f t="shared" si="442"/>
        <v>142920</v>
      </c>
      <c r="BW169" s="616">
        <f t="shared" si="443"/>
        <v>349360</v>
      </c>
      <c r="BX169" s="616">
        <f t="shared" si="444"/>
        <v>3198264</v>
      </c>
      <c r="BY169" s="616">
        <f t="shared" si="445"/>
        <v>2302600</v>
      </c>
      <c r="BZ169" s="616">
        <f t="shared" si="446"/>
        <v>214380</v>
      </c>
      <c r="CA169" s="616">
        <f t="shared" si="447"/>
        <v>305690</v>
      </c>
      <c r="CB169" s="616">
        <f t="shared" si="448"/>
        <v>31760</v>
      </c>
      <c r="CC169" s="616">
        <f t="shared" si="449"/>
        <v>416850</v>
      </c>
      <c r="CD169" s="616">
        <f t="shared" si="450"/>
        <v>13880819</v>
      </c>
      <c r="CE169" s="618">
        <f t="shared" si="489"/>
        <v>10661151.300000001</v>
      </c>
      <c r="CF169" s="618">
        <f t="shared" si="490"/>
        <v>3219667.7</v>
      </c>
      <c r="CG169" s="616">
        <f t="shared" si="451"/>
        <v>1397440</v>
      </c>
      <c r="CH169" s="621">
        <f t="shared" si="452"/>
        <v>91309393</v>
      </c>
      <c r="CI169" s="88">
        <f t="shared" si="453"/>
        <v>139228.11079999999</v>
      </c>
      <c r="CJ169" s="90">
        <f t="shared" si="454"/>
        <v>106934.033</v>
      </c>
      <c r="CK169" s="90">
        <f t="shared" si="455"/>
        <v>32294.077799999999</v>
      </c>
      <c r="CL169" s="88">
        <f t="shared" si="456"/>
        <v>8830</v>
      </c>
      <c r="CM169" s="88">
        <f t="shared" si="457"/>
        <v>1766</v>
      </c>
      <c r="CN169" s="88">
        <f t="shared" si="458"/>
        <v>8110</v>
      </c>
      <c r="CO169" s="88">
        <f t="shared" si="459"/>
        <v>19050</v>
      </c>
      <c r="CP169" s="88">
        <f t="shared" si="460"/>
        <v>520</v>
      </c>
      <c r="CQ169" s="88">
        <f t="shared" si="461"/>
        <v>17290</v>
      </c>
      <c r="CR169" s="88">
        <f t="shared" si="462"/>
        <v>360</v>
      </c>
      <c r="CS169" s="88">
        <f t="shared" si="463"/>
        <v>880</v>
      </c>
      <c r="CT169" s="88">
        <f t="shared" si="464"/>
        <v>8056.0806000000002</v>
      </c>
      <c r="CU169" s="88">
        <f t="shared" si="465"/>
        <v>5800</v>
      </c>
      <c r="CV169" s="88">
        <f t="shared" si="466"/>
        <v>540</v>
      </c>
      <c r="CW169" s="88">
        <f t="shared" si="467"/>
        <v>770</v>
      </c>
      <c r="CX169" s="88">
        <f t="shared" si="468"/>
        <v>80</v>
      </c>
      <c r="CY169" s="88">
        <f t="shared" si="469"/>
        <v>1050</v>
      </c>
      <c r="CZ169" s="88">
        <f t="shared" si="470"/>
        <v>34964.279600000002</v>
      </c>
      <c r="DA169" s="90">
        <f t="shared" si="471"/>
        <v>26854.285400000001</v>
      </c>
      <c r="DB169" s="90">
        <f t="shared" si="472"/>
        <v>8109.9942000000001</v>
      </c>
      <c r="DC169" s="88">
        <f t="shared" si="473"/>
        <v>3520</v>
      </c>
      <c r="DD169" s="211">
        <f t="shared" si="474"/>
        <v>229998.47099999999</v>
      </c>
      <c r="AUV169" s="699">
        <f t="shared" si="409"/>
        <v>139228.10999999999</v>
      </c>
      <c r="AUW169" s="699">
        <f t="shared" si="410"/>
        <v>106934.03</v>
      </c>
      <c r="AUX169" s="699">
        <f t="shared" si="411"/>
        <v>32294.080000000002</v>
      </c>
      <c r="AUY169" s="699">
        <f t="shared" si="503"/>
        <v>8830</v>
      </c>
      <c r="AUZ169" s="699">
        <f t="shared" si="475"/>
        <v>233234.2</v>
      </c>
      <c r="AVA169" s="699">
        <f t="shared" si="475"/>
        <v>50.16</v>
      </c>
      <c r="AVB169" s="699">
        <f t="shared" si="504"/>
        <v>19050</v>
      </c>
      <c r="AVC169" s="699">
        <f t="shared" si="505"/>
        <v>520</v>
      </c>
      <c r="AVD169" s="699">
        <f t="shared" si="506"/>
        <v>17290</v>
      </c>
      <c r="AVE169" s="699">
        <f t="shared" si="507"/>
        <v>360</v>
      </c>
      <c r="AVF169" s="699">
        <f t="shared" si="508"/>
        <v>880</v>
      </c>
      <c r="AVG169" s="699">
        <f t="shared" si="509"/>
        <v>8056.08</v>
      </c>
      <c r="AVH169" s="699">
        <f t="shared" si="510"/>
        <v>5800</v>
      </c>
      <c r="AVI169" s="699">
        <f t="shared" si="511"/>
        <v>540</v>
      </c>
      <c r="AVJ169" s="699">
        <f t="shared" si="512"/>
        <v>770</v>
      </c>
      <c r="AVK169" s="699">
        <f t="shared" si="513"/>
        <v>80</v>
      </c>
      <c r="AVL169" s="699">
        <f t="shared" si="514"/>
        <v>1050</v>
      </c>
      <c r="AVM169" s="699">
        <f t="shared" si="515"/>
        <v>34964.28</v>
      </c>
      <c r="AVN169" s="699">
        <f t="shared" si="516"/>
        <v>26854.29</v>
      </c>
      <c r="AVO169" s="699">
        <f t="shared" si="517"/>
        <v>8109.99</v>
      </c>
      <c r="AVP169" s="699">
        <f t="shared" si="518"/>
        <v>3520</v>
      </c>
      <c r="AVQ169" s="699">
        <f t="shared" si="519"/>
        <v>229998.47</v>
      </c>
    </row>
    <row r="170" spans="1:108 1244:1265" ht="30" customHeight="1" x14ac:dyDescent="0.25">
      <c r="A170" s="643">
        <v>1</v>
      </c>
      <c r="B170" s="643">
        <v>7</v>
      </c>
      <c r="C170" s="664" t="s">
        <v>20</v>
      </c>
      <c r="D170" s="2"/>
      <c r="E170" s="101" t="s">
        <v>344</v>
      </c>
      <c r="F170" s="643" t="s">
        <v>31</v>
      </c>
      <c r="G170" s="643">
        <v>1</v>
      </c>
      <c r="H170" s="658" t="s">
        <v>10</v>
      </c>
      <c r="I170" s="643">
        <v>0</v>
      </c>
      <c r="J170" s="101" t="s">
        <v>356</v>
      </c>
      <c r="K170" s="643">
        <v>3</v>
      </c>
      <c r="L170" s="683" t="s">
        <v>349</v>
      </c>
      <c r="M170" s="11" t="s">
        <v>256</v>
      </c>
      <c r="N170" s="101" t="s">
        <v>401</v>
      </c>
      <c r="O170" s="643">
        <v>2</v>
      </c>
      <c r="P170" s="632"/>
      <c r="Q170" s="632"/>
      <c r="R170" s="632"/>
      <c r="S170" s="675">
        <f>SUMIF('Территориальный кк'!$A:$A,'2020'!$B170,'Территориальный кк'!D:D)</f>
        <v>2.169</v>
      </c>
      <c r="T170" s="676">
        <f>SUMIF('Территориальный кк'!$A:$A,'2020'!$B170,'Территориальный кк'!E:E)</f>
        <v>3.0059999999999998</v>
      </c>
      <c r="U170" s="618">
        <f>SUMIFS(Нормативы!G:G,Нормативы!$B:$B,$G170,Нормативы!$D:$D,'2020'!$I170,Нормативы!$F:$F,'2020'!$K170)*O170</f>
        <v>128380</v>
      </c>
      <c r="V170" s="618">
        <f t="shared" si="476"/>
        <v>98602.2</v>
      </c>
      <c r="W170" s="618">
        <f t="shared" si="477"/>
        <v>29777.8</v>
      </c>
      <c r="X170" s="618">
        <f>SUMIFS(Нормативы!J:J,Нормативы!$B:$B,$G170,Нормативы!$D:$D,'2020'!$I170,Нормативы!$F:$F,'2020'!$K170)</f>
        <v>8830</v>
      </c>
      <c r="Y170" s="618">
        <f>SUMIFS(Нормативы!K:K,Нормативы!$B:$B,$G170,Нормативы!$D:$D,'2020'!$I170,Нормативы!$F:$F,'2020'!$K170)</f>
        <v>1766</v>
      </c>
      <c r="Z170" s="618">
        <f>SUMIFS(Нормативы!L:L,Нормативы!$B:$B,$G170,Нормативы!$D:$D,'2020'!$I170,Нормативы!$F:$F,'2020'!$K170)</f>
        <v>8110</v>
      </c>
      <c r="AA170" s="618">
        <f t="shared" si="478"/>
        <v>19930</v>
      </c>
      <c r="AB170" s="618">
        <f>SUMIFS(Нормативы!N:N,Нормативы!$B:$B,$G170,Нормативы!$D:$D,'2020'!$I170,Нормативы!$F:$F,'2020'!$K170)*O170</f>
        <v>1040</v>
      </c>
      <c r="AC170" s="618">
        <f>SUMIFS(Нормативы!O:O,Нормативы!$B:$B,$G170,Нормативы!$D:$D,'2020'!$I170,Нормативы!$F:$F,'2020'!$K170)</f>
        <v>17290</v>
      </c>
      <c r="AD170" s="618">
        <f>SUMIFS(Нормативы!P:P,Нормативы!$B:$B,$G170,Нормативы!$D:$D,'2020'!$I170,Нормативы!$F:$F,'2020'!$K170)*O170</f>
        <v>720</v>
      </c>
      <c r="AE170" s="618">
        <f>SUMIFS(Нормативы!Q:Q,Нормативы!$B:$B,$G170,Нормативы!$D:$D,'2020'!$I170,Нормативы!$F:$F,'2020'!$K170)</f>
        <v>880</v>
      </c>
      <c r="AF170" s="618">
        <f>SUMIFS(Нормативы!R:R,Нормативы!$B:$B,$G170,Нормативы!$D:$D,'2020'!$I170,Нормативы!$F:$F,'2020'!$K170)</f>
        <v>2680</v>
      </c>
      <c r="AG170" s="618">
        <f>SUMIFS(Нормативы!S:S,Нормативы!$B:$B,$G170,Нормативы!$D:$D,'2020'!$I170,Нормативы!$F:$F,'2020'!$K170)</f>
        <v>5800</v>
      </c>
      <c r="AH170" s="618">
        <f>SUMIFS(Нормативы!T:T,Нормативы!$B:$B,$G170,Нормативы!$D:$D,'2020'!$I170,Нормативы!$F:$F,'2020'!$K170)</f>
        <v>540</v>
      </c>
      <c r="AI170" s="618">
        <f>SUMIFS(Нормативы!U:U,Нормативы!$B:$B,$G170,Нормативы!$D:$D,'2020'!$I170,Нормативы!$F:$F,'2020'!$K170)</f>
        <v>770</v>
      </c>
      <c r="AJ170" s="618">
        <f>SUMIFS(Нормативы!V:V,Нормативы!$B:$B,$G170,Нормативы!$D:$D,'2020'!$I170,Нормативы!$F:$F,'2020'!$K170)</f>
        <v>80</v>
      </c>
      <c r="AK170" s="618">
        <f>SUMIFS(Нормативы!W:W,Нормативы!$B:$B,$G170,Нормативы!$D:$D,'2020'!$I170,Нормативы!$F:$F,'2020'!$K170)</f>
        <v>1050</v>
      </c>
      <c r="AL170" s="618">
        <f>SUMIFS(Нормативы!X:X,Нормативы!$B:$B,$G170,Нормативы!$D:$D,'2020'!$I170,Нормативы!$F:$F,'2020'!$K170)*O170</f>
        <v>32240</v>
      </c>
      <c r="AM170" s="618">
        <f t="shared" si="479"/>
        <v>24761.9</v>
      </c>
      <c r="AN170" s="618">
        <f t="shared" si="480"/>
        <v>7478.1</v>
      </c>
      <c r="AO170" s="618">
        <f>SUMIFS(Нормативы!AA:AA,Нормативы!$B:$B,$G170,Нормативы!$D:$D,'2020'!$I170,Нормативы!$F:$F,'2020'!$K170)</f>
        <v>3520</v>
      </c>
      <c r="AP170" s="619">
        <f t="shared" si="481"/>
        <v>211930</v>
      </c>
      <c r="AQ170" s="413">
        <f t="shared" si="418"/>
        <v>0</v>
      </c>
      <c r="AR170" s="618">
        <f t="shared" si="482"/>
        <v>0</v>
      </c>
      <c r="AS170" s="618">
        <f t="shared" si="483"/>
        <v>0</v>
      </c>
      <c r="AT170" s="616">
        <f t="shared" si="419"/>
        <v>0</v>
      </c>
      <c r="AU170" s="616">
        <f t="shared" si="420"/>
        <v>0</v>
      </c>
      <c r="AV170" s="616">
        <f t="shared" si="421"/>
        <v>0</v>
      </c>
      <c r="AW170" s="616">
        <f t="shared" si="422"/>
        <v>0</v>
      </c>
      <c r="AX170" s="616">
        <f t="shared" si="423"/>
        <v>0</v>
      </c>
      <c r="AY170" s="616">
        <f t="shared" si="424"/>
        <v>0</v>
      </c>
      <c r="AZ170" s="616">
        <f t="shared" si="425"/>
        <v>0</v>
      </c>
      <c r="BA170" s="616">
        <f t="shared" si="426"/>
        <v>0</v>
      </c>
      <c r="BB170" s="616">
        <f t="shared" si="427"/>
        <v>0</v>
      </c>
      <c r="BC170" s="616">
        <f t="shared" si="428"/>
        <v>0</v>
      </c>
      <c r="BD170" s="616">
        <f t="shared" si="429"/>
        <v>0</v>
      </c>
      <c r="BE170" s="616">
        <f t="shared" si="430"/>
        <v>0</v>
      </c>
      <c r="BF170" s="616">
        <f t="shared" si="431"/>
        <v>0</v>
      </c>
      <c r="BG170" s="616">
        <f t="shared" si="432"/>
        <v>0</v>
      </c>
      <c r="BH170" s="616">
        <f t="shared" si="433"/>
        <v>0</v>
      </c>
      <c r="BI170" s="618">
        <f t="shared" si="484"/>
        <v>0</v>
      </c>
      <c r="BJ170" s="618">
        <f t="shared" si="485"/>
        <v>0</v>
      </c>
      <c r="BK170" s="616">
        <f t="shared" si="434"/>
        <v>0</v>
      </c>
      <c r="BL170" s="620">
        <f t="shared" si="435"/>
        <v>0</v>
      </c>
      <c r="BM170" s="616">
        <f t="shared" si="436"/>
        <v>0</v>
      </c>
      <c r="BN170" s="618">
        <f t="shared" si="437"/>
        <v>0</v>
      </c>
      <c r="BO170" s="618">
        <f t="shared" si="438"/>
        <v>0</v>
      </c>
      <c r="BP170" s="616">
        <f t="shared" si="486"/>
        <v>0</v>
      </c>
      <c r="BQ170" s="616">
        <f t="shared" si="487"/>
        <v>0</v>
      </c>
      <c r="BR170" s="616">
        <f t="shared" si="488"/>
        <v>0</v>
      </c>
      <c r="BS170" s="616">
        <f t="shared" si="439"/>
        <v>0</v>
      </c>
      <c r="BT170" s="616">
        <f t="shared" si="440"/>
        <v>0</v>
      </c>
      <c r="BU170" s="616">
        <f t="shared" si="441"/>
        <v>0</v>
      </c>
      <c r="BV170" s="616">
        <f t="shared" si="442"/>
        <v>0</v>
      </c>
      <c r="BW170" s="616">
        <f t="shared" si="443"/>
        <v>0</v>
      </c>
      <c r="BX170" s="616">
        <f t="shared" si="444"/>
        <v>0</v>
      </c>
      <c r="BY170" s="616">
        <f t="shared" si="445"/>
        <v>0</v>
      </c>
      <c r="BZ170" s="616">
        <f t="shared" si="446"/>
        <v>0</v>
      </c>
      <c r="CA170" s="616">
        <f t="shared" si="447"/>
        <v>0</v>
      </c>
      <c r="CB170" s="616">
        <f t="shared" si="448"/>
        <v>0</v>
      </c>
      <c r="CC170" s="616">
        <f t="shared" si="449"/>
        <v>0</v>
      </c>
      <c r="CD170" s="616">
        <f t="shared" si="450"/>
        <v>0</v>
      </c>
      <c r="CE170" s="618">
        <f t="shared" si="489"/>
        <v>0</v>
      </c>
      <c r="CF170" s="618">
        <f t="shared" si="490"/>
        <v>0</v>
      </c>
      <c r="CG170" s="616">
        <f t="shared" si="451"/>
        <v>0</v>
      </c>
      <c r="CH170" s="621">
        <f t="shared" si="452"/>
        <v>0</v>
      </c>
      <c r="CI170" s="88" t="e">
        <f t="shared" si="453"/>
        <v>#DIV/0!</v>
      </c>
      <c r="CJ170" s="90" t="e">
        <f t="shared" si="454"/>
        <v>#DIV/0!</v>
      </c>
      <c r="CK170" s="90" t="e">
        <f t="shared" si="455"/>
        <v>#DIV/0!</v>
      </c>
      <c r="CL170" s="88" t="e">
        <f t="shared" si="456"/>
        <v>#DIV/0!</v>
      </c>
      <c r="CM170" s="88" t="e">
        <f t="shared" si="457"/>
        <v>#DIV/0!</v>
      </c>
      <c r="CN170" s="88" t="e">
        <f t="shared" si="458"/>
        <v>#DIV/0!</v>
      </c>
      <c r="CO170" s="88" t="e">
        <f t="shared" si="459"/>
        <v>#DIV/0!</v>
      </c>
      <c r="CP170" s="88" t="e">
        <f t="shared" si="460"/>
        <v>#DIV/0!</v>
      </c>
      <c r="CQ170" s="88" t="e">
        <f t="shared" si="461"/>
        <v>#DIV/0!</v>
      </c>
      <c r="CR170" s="88" t="e">
        <f t="shared" si="462"/>
        <v>#DIV/0!</v>
      </c>
      <c r="CS170" s="88" t="e">
        <f t="shared" si="463"/>
        <v>#DIV/0!</v>
      </c>
      <c r="CT170" s="88" t="e">
        <f t="shared" si="464"/>
        <v>#DIV/0!</v>
      </c>
      <c r="CU170" s="88" t="e">
        <f t="shared" si="465"/>
        <v>#DIV/0!</v>
      </c>
      <c r="CV170" s="88" t="e">
        <f t="shared" si="466"/>
        <v>#DIV/0!</v>
      </c>
      <c r="CW170" s="88" t="e">
        <f t="shared" si="467"/>
        <v>#DIV/0!</v>
      </c>
      <c r="CX170" s="88" t="e">
        <f t="shared" si="468"/>
        <v>#DIV/0!</v>
      </c>
      <c r="CY170" s="88" t="e">
        <f t="shared" si="469"/>
        <v>#DIV/0!</v>
      </c>
      <c r="CZ170" s="88" t="e">
        <f t="shared" si="470"/>
        <v>#DIV/0!</v>
      </c>
      <c r="DA170" s="90" t="e">
        <f t="shared" si="471"/>
        <v>#DIV/0!</v>
      </c>
      <c r="DB170" s="90" t="e">
        <f t="shared" si="472"/>
        <v>#DIV/0!</v>
      </c>
      <c r="DC170" s="88" t="e">
        <f t="shared" si="473"/>
        <v>#DIV/0!</v>
      </c>
      <c r="DD170" s="211" t="e">
        <f t="shared" si="474"/>
        <v>#DIV/0!</v>
      </c>
      <c r="AUV170" s="699">
        <v>0</v>
      </c>
      <c r="AUW170" s="699">
        <f t="shared" si="410"/>
        <v>0</v>
      </c>
      <c r="AUX170" s="699">
        <f t="shared" si="411"/>
        <v>0</v>
      </c>
      <c r="AUY170" s="699">
        <f t="shared" si="475"/>
        <v>0</v>
      </c>
      <c r="AUZ170" s="699">
        <f t="shared" si="475"/>
        <v>0</v>
      </c>
      <c r="AVA170" s="699">
        <f t="shared" si="475"/>
        <v>0</v>
      </c>
      <c r="AVB170" s="699">
        <f t="shared" si="475"/>
        <v>0</v>
      </c>
      <c r="AVC170" s="697"/>
      <c r="AVD170" s="697"/>
      <c r="AVE170" s="697"/>
      <c r="AVF170" s="697"/>
      <c r="AVG170" s="697"/>
      <c r="AVH170" s="697"/>
      <c r="AVI170" s="697"/>
      <c r="AVJ170" s="697"/>
      <c r="AVK170" s="697"/>
      <c r="AVL170" s="697"/>
      <c r="AVM170" s="697"/>
      <c r="AVN170" s="697"/>
      <c r="AVO170" s="697"/>
      <c r="AVP170" s="697"/>
      <c r="AVQ170" s="697"/>
    </row>
    <row r="171" spans="1:108 1244:1265" ht="30" customHeight="1" x14ac:dyDescent="0.25">
      <c r="A171" s="643">
        <v>1</v>
      </c>
      <c r="B171" s="643">
        <v>7</v>
      </c>
      <c r="C171" s="664" t="s">
        <v>20</v>
      </c>
      <c r="D171" s="2"/>
      <c r="E171" s="101" t="s">
        <v>344</v>
      </c>
      <c r="F171" s="643" t="s">
        <v>31</v>
      </c>
      <c r="G171" s="643">
        <v>1</v>
      </c>
      <c r="H171" s="658" t="s">
        <v>8</v>
      </c>
      <c r="I171" s="643">
        <v>3</v>
      </c>
      <c r="J171" s="101" t="s">
        <v>356</v>
      </c>
      <c r="K171" s="643">
        <v>3</v>
      </c>
      <c r="L171" s="683" t="s">
        <v>349</v>
      </c>
      <c r="M171" s="11" t="s">
        <v>257</v>
      </c>
      <c r="N171" s="101" t="s">
        <v>387</v>
      </c>
      <c r="O171" s="643">
        <v>1</v>
      </c>
      <c r="P171" s="695">
        <v>177</v>
      </c>
      <c r="Q171" s="632">
        <v>177</v>
      </c>
      <c r="R171" s="632">
        <v>177</v>
      </c>
      <c r="S171" s="675">
        <f>SUMIF('Территориальный кк'!$A:$A,'2020'!$B171,'Территориальный кк'!D:D)</f>
        <v>2.169</v>
      </c>
      <c r="T171" s="676">
        <f>SUMIF('Территориальный кк'!$A:$A,'2020'!$B171,'Территориальный кк'!E:E)</f>
        <v>3.0059999999999998</v>
      </c>
      <c r="U171" s="618">
        <f>SUMIFS(Нормативы!G:G,Нормативы!$B:$B,$G171,Нормативы!$D:$D,'2020'!$I171,Нормативы!$F:$F,'2020'!$K171)*O171</f>
        <v>6419</v>
      </c>
      <c r="V171" s="618">
        <f t="shared" si="476"/>
        <v>4930.1000000000004</v>
      </c>
      <c r="W171" s="618">
        <f t="shared" si="477"/>
        <v>1488.9</v>
      </c>
      <c r="X171" s="618">
        <f>SUMIFS(Нормативы!J:J,Нормативы!$B:$B,$G171,Нормативы!$D:$D,'2020'!$I171,Нормативы!$F:$F,'2020'!$K171)</f>
        <v>883</v>
      </c>
      <c r="Y171" s="618">
        <f>SUMIFS(Нормативы!K:K,Нормативы!$B:$B,$G171,Нормативы!$D:$D,'2020'!$I171,Нормативы!$F:$F,'2020'!$K171)</f>
        <v>177</v>
      </c>
      <c r="Z171" s="618">
        <f>SUMIFS(Нормативы!L:L,Нормативы!$B:$B,$G171,Нормативы!$D:$D,'2020'!$I171,Нормативы!$F:$F,'2020'!$K171)</f>
        <v>811</v>
      </c>
      <c r="AA171" s="618">
        <f t="shared" si="478"/>
        <v>1905</v>
      </c>
      <c r="AB171" s="618">
        <f>SUMIFS(Нормативы!N:N,Нормативы!$B:$B,$G171,Нормативы!$D:$D,'2020'!$I171,Нормативы!$F:$F,'2020'!$K171)*O171</f>
        <v>52</v>
      </c>
      <c r="AC171" s="618">
        <f>SUMIFS(Нормативы!O:O,Нормативы!$B:$B,$G171,Нормативы!$D:$D,'2020'!$I171,Нормативы!$F:$F,'2020'!$K171)</f>
        <v>1729</v>
      </c>
      <c r="AD171" s="618">
        <f>SUMIFS(Нормативы!P:P,Нормативы!$B:$B,$G171,Нормативы!$D:$D,'2020'!$I171,Нормативы!$F:$F,'2020'!$K171)*O171</f>
        <v>36</v>
      </c>
      <c r="AE171" s="618">
        <f>SUMIFS(Нормативы!Q:Q,Нормативы!$B:$B,$G171,Нормативы!$D:$D,'2020'!$I171,Нормативы!$F:$F,'2020'!$K171)</f>
        <v>88</v>
      </c>
      <c r="AF171" s="618">
        <f>SUMIFS(Нормативы!R:R,Нормативы!$B:$B,$G171,Нормативы!$D:$D,'2020'!$I171,Нормативы!$F:$F,'2020'!$K171)</f>
        <v>268</v>
      </c>
      <c r="AG171" s="618">
        <f>SUMIFS(Нормативы!S:S,Нормативы!$B:$B,$G171,Нормативы!$D:$D,'2020'!$I171,Нормативы!$F:$F,'2020'!$K171)</f>
        <v>580</v>
      </c>
      <c r="AH171" s="618">
        <f>SUMIFS(Нормативы!T:T,Нормативы!$B:$B,$G171,Нормативы!$D:$D,'2020'!$I171,Нормативы!$F:$F,'2020'!$K171)</f>
        <v>54</v>
      </c>
      <c r="AI171" s="618">
        <f>SUMIFS(Нормативы!U:U,Нормативы!$B:$B,$G171,Нормативы!$D:$D,'2020'!$I171,Нормативы!$F:$F,'2020'!$K171)</f>
        <v>77</v>
      </c>
      <c r="AJ171" s="618">
        <f>SUMIFS(Нормативы!V:V,Нормативы!$B:$B,$G171,Нормативы!$D:$D,'2020'!$I171,Нормативы!$F:$F,'2020'!$K171)</f>
        <v>8</v>
      </c>
      <c r="AK171" s="618">
        <f>SUMIFS(Нормативы!W:W,Нормативы!$B:$B,$G171,Нормативы!$D:$D,'2020'!$I171,Нормативы!$F:$F,'2020'!$K171)</f>
        <v>105</v>
      </c>
      <c r="AL171" s="618">
        <f>SUMIFS(Нормативы!X:X,Нормативы!$B:$B,$G171,Нормативы!$D:$D,'2020'!$I171,Нормативы!$F:$F,'2020'!$K171)*O171</f>
        <v>1612</v>
      </c>
      <c r="AM171" s="618">
        <f t="shared" si="479"/>
        <v>1238.0999999999999</v>
      </c>
      <c r="AN171" s="618">
        <f t="shared" si="480"/>
        <v>373.9</v>
      </c>
      <c r="AO171" s="618">
        <f>SUMIFS(Нормативы!AA:AA,Нормативы!$B:$B,$G171,Нормативы!$D:$D,'2020'!$I171,Нормативы!$F:$F,'2020'!$K171)</f>
        <v>0</v>
      </c>
      <c r="AP171" s="619">
        <f t="shared" si="481"/>
        <v>12722</v>
      </c>
      <c r="AQ171" s="413">
        <f t="shared" si="418"/>
        <v>1136163</v>
      </c>
      <c r="AR171" s="618">
        <f t="shared" si="482"/>
        <v>872629</v>
      </c>
      <c r="AS171" s="618">
        <f t="shared" si="483"/>
        <v>263534</v>
      </c>
      <c r="AT171" s="616">
        <f t="shared" si="419"/>
        <v>156291</v>
      </c>
      <c r="AU171" s="616">
        <f t="shared" si="420"/>
        <v>31329</v>
      </c>
      <c r="AV171" s="616">
        <f t="shared" si="421"/>
        <v>143547</v>
      </c>
      <c r="AW171" s="616">
        <f t="shared" si="422"/>
        <v>337185</v>
      </c>
      <c r="AX171" s="616">
        <f t="shared" si="423"/>
        <v>9204</v>
      </c>
      <c r="AY171" s="616">
        <f t="shared" si="424"/>
        <v>306033</v>
      </c>
      <c r="AZ171" s="616">
        <f t="shared" si="425"/>
        <v>6372</v>
      </c>
      <c r="BA171" s="616">
        <f t="shared" si="426"/>
        <v>15576</v>
      </c>
      <c r="BB171" s="616">
        <f t="shared" si="427"/>
        <v>47436</v>
      </c>
      <c r="BC171" s="616">
        <f t="shared" si="428"/>
        <v>102660</v>
      </c>
      <c r="BD171" s="616">
        <f t="shared" si="429"/>
        <v>9558</v>
      </c>
      <c r="BE171" s="616">
        <f t="shared" si="430"/>
        <v>13629</v>
      </c>
      <c r="BF171" s="616">
        <f t="shared" si="431"/>
        <v>1416</v>
      </c>
      <c r="BG171" s="616">
        <f t="shared" si="432"/>
        <v>18585</v>
      </c>
      <c r="BH171" s="616">
        <f t="shared" si="433"/>
        <v>285324</v>
      </c>
      <c r="BI171" s="618">
        <f t="shared" si="484"/>
        <v>219142.9</v>
      </c>
      <c r="BJ171" s="618">
        <f t="shared" si="485"/>
        <v>66181.100000000006</v>
      </c>
      <c r="BK171" s="616">
        <f t="shared" si="434"/>
        <v>0</v>
      </c>
      <c r="BL171" s="620">
        <f t="shared" si="435"/>
        <v>2251794</v>
      </c>
      <c r="BM171" s="616">
        <f t="shared" si="436"/>
        <v>2464338</v>
      </c>
      <c r="BN171" s="618">
        <f t="shared" si="437"/>
        <v>1892732.7</v>
      </c>
      <c r="BO171" s="618">
        <f t="shared" si="438"/>
        <v>571605.30000000005</v>
      </c>
      <c r="BP171" s="616">
        <f t="shared" si="486"/>
        <v>156291</v>
      </c>
      <c r="BQ171" s="616">
        <f t="shared" si="487"/>
        <v>31329</v>
      </c>
      <c r="BR171" s="616">
        <f t="shared" si="488"/>
        <v>143547</v>
      </c>
      <c r="BS171" s="616">
        <f t="shared" si="439"/>
        <v>337185</v>
      </c>
      <c r="BT171" s="616">
        <f t="shared" si="440"/>
        <v>9204</v>
      </c>
      <c r="BU171" s="616">
        <f t="shared" si="441"/>
        <v>306033</v>
      </c>
      <c r="BV171" s="616">
        <f t="shared" si="442"/>
        <v>6372</v>
      </c>
      <c r="BW171" s="616">
        <f t="shared" si="443"/>
        <v>15576</v>
      </c>
      <c r="BX171" s="616">
        <f t="shared" si="444"/>
        <v>142593</v>
      </c>
      <c r="BY171" s="616">
        <f t="shared" si="445"/>
        <v>102660</v>
      </c>
      <c r="BZ171" s="616">
        <f t="shared" si="446"/>
        <v>9558</v>
      </c>
      <c r="CA171" s="616">
        <f t="shared" si="447"/>
        <v>13629</v>
      </c>
      <c r="CB171" s="616">
        <f t="shared" si="448"/>
        <v>1416</v>
      </c>
      <c r="CC171" s="616">
        <f t="shared" si="449"/>
        <v>18585</v>
      </c>
      <c r="CD171" s="616">
        <f t="shared" si="450"/>
        <v>618868</v>
      </c>
      <c r="CE171" s="618">
        <f t="shared" si="489"/>
        <v>475321</v>
      </c>
      <c r="CF171" s="618">
        <f t="shared" si="490"/>
        <v>143547</v>
      </c>
      <c r="CG171" s="616">
        <f t="shared" si="451"/>
        <v>0</v>
      </c>
      <c r="CH171" s="621">
        <f t="shared" si="452"/>
        <v>4008670</v>
      </c>
      <c r="CI171" s="88">
        <f t="shared" si="453"/>
        <v>13922.813599999999</v>
      </c>
      <c r="CJ171" s="90">
        <f t="shared" si="454"/>
        <v>10693.4051</v>
      </c>
      <c r="CK171" s="90">
        <f t="shared" si="455"/>
        <v>3229.4085</v>
      </c>
      <c r="CL171" s="88">
        <f t="shared" si="456"/>
        <v>883</v>
      </c>
      <c r="CM171" s="88">
        <f t="shared" si="457"/>
        <v>177</v>
      </c>
      <c r="CN171" s="88">
        <f t="shared" si="458"/>
        <v>811</v>
      </c>
      <c r="CO171" s="88">
        <f t="shared" si="459"/>
        <v>1905</v>
      </c>
      <c r="CP171" s="88">
        <f t="shared" si="460"/>
        <v>52</v>
      </c>
      <c r="CQ171" s="88">
        <f t="shared" si="461"/>
        <v>1729</v>
      </c>
      <c r="CR171" s="88">
        <f t="shared" si="462"/>
        <v>36</v>
      </c>
      <c r="CS171" s="88">
        <f t="shared" si="463"/>
        <v>88</v>
      </c>
      <c r="CT171" s="88">
        <f t="shared" si="464"/>
        <v>805.61019999999996</v>
      </c>
      <c r="CU171" s="88">
        <f t="shared" si="465"/>
        <v>580</v>
      </c>
      <c r="CV171" s="88">
        <f t="shared" si="466"/>
        <v>54</v>
      </c>
      <c r="CW171" s="88">
        <f t="shared" si="467"/>
        <v>77</v>
      </c>
      <c r="CX171" s="88">
        <f t="shared" si="468"/>
        <v>8</v>
      </c>
      <c r="CY171" s="88">
        <f t="shared" si="469"/>
        <v>105</v>
      </c>
      <c r="CZ171" s="88">
        <f t="shared" si="470"/>
        <v>3496.4294</v>
      </c>
      <c r="DA171" s="90">
        <f t="shared" si="471"/>
        <v>2685.4294</v>
      </c>
      <c r="DB171" s="90">
        <f t="shared" si="472"/>
        <v>811</v>
      </c>
      <c r="DC171" s="88">
        <f t="shared" si="473"/>
        <v>0</v>
      </c>
      <c r="DD171" s="211">
        <f t="shared" si="474"/>
        <v>22647.8531</v>
      </c>
      <c r="AUV171" s="699">
        <f t="shared" si="409"/>
        <v>13922.81</v>
      </c>
      <c r="AUW171" s="699">
        <f t="shared" si="410"/>
        <v>10693.4</v>
      </c>
      <c r="AUX171" s="699">
        <f t="shared" si="411"/>
        <v>3229.41</v>
      </c>
      <c r="AUY171" s="699">
        <f t="shared" ref="AUY171:AUY187" si="520">BP171/P171</f>
        <v>883</v>
      </c>
      <c r="AUZ171" s="699">
        <f t="shared" si="475"/>
        <v>10422.16</v>
      </c>
      <c r="AVA171" s="699">
        <f t="shared" si="475"/>
        <v>22.36</v>
      </c>
      <c r="AVB171" s="699">
        <f t="shared" ref="AVB171:AVB187" si="521">AVC171+AVD171+AVE171+AVF171</f>
        <v>1905</v>
      </c>
      <c r="AVC171" s="699">
        <f t="shared" ref="AVC171:AVC187" si="522">BT171/P171</f>
        <v>52</v>
      </c>
      <c r="AVD171" s="699">
        <f t="shared" ref="AVD171:AVD187" si="523">BU171/P171</f>
        <v>1729</v>
      </c>
      <c r="AVE171" s="699">
        <f t="shared" ref="AVE171:AVE187" si="524">BV171/P171</f>
        <v>36</v>
      </c>
      <c r="AVF171" s="699">
        <f t="shared" ref="AVF171:AVF187" si="525">BW171/P171</f>
        <v>88</v>
      </c>
      <c r="AVG171" s="699">
        <f t="shared" ref="AVG171:AVG187" si="526">BX171/P171</f>
        <v>805.61</v>
      </c>
      <c r="AVH171" s="699">
        <f t="shared" ref="AVH171:AVH187" si="527">BY171/P171</f>
        <v>580</v>
      </c>
      <c r="AVI171" s="699">
        <f t="shared" ref="AVI171:AVI187" si="528">BZ171/P171</f>
        <v>54</v>
      </c>
      <c r="AVJ171" s="699">
        <f t="shared" ref="AVJ171:AVJ187" si="529">CA171/P171</f>
        <v>77</v>
      </c>
      <c r="AVK171" s="699">
        <f t="shared" ref="AVK171:AVK187" si="530">CB171/P171</f>
        <v>8</v>
      </c>
      <c r="AVL171" s="699">
        <f t="shared" ref="AVL171:AVL187" si="531">CC171/P171</f>
        <v>105</v>
      </c>
      <c r="AVM171" s="699">
        <f t="shared" ref="AVM171:AVM187" si="532">CD171/P171</f>
        <v>3496.43</v>
      </c>
      <c r="AVN171" s="699">
        <f t="shared" ref="AVN171:AVN187" si="533">AVM171/1.302</f>
        <v>2685.43</v>
      </c>
      <c r="AVO171" s="699">
        <f t="shared" ref="AVO171:AVO187" si="534">AVM171-AVN171</f>
        <v>811</v>
      </c>
      <c r="AVP171" s="699">
        <f t="shared" ref="AVP171:AVP187" si="535">CG171/P171</f>
        <v>0</v>
      </c>
      <c r="AVQ171" s="699">
        <f t="shared" ref="AVQ171:AVQ187" si="536">CH171/P171</f>
        <v>22647.85</v>
      </c>
    </row>
    <row r="172" spans="1:108 1244:1265" ht="30" customHeight="1" x14ac:dyDescent="0.25">
      <c r="A172" s="643">
        <v>1</v>
      </c>
      <c r="B172" s="643">
        <v>7</v>
      </c>
      <c r="C172" s="664" t="s">
        <v>20</v>
      </c>
      <c r="D172" s="2"/>
      <c r="E172" s="101" t="s">
        <v>344</v>
      </c>
      <c r="F172" s="643" t="s">
        <v>31</v>
      </c>
      <c r="G172" s="643">
        <v>1</v>
      </c>
      <c r="H172" s="658" t="s">
        <v>10</v>
      </c>
      <c r="I172" s="643">
        <v>0</v>
      </c>
      <c r="J172" s="101" t="s">
        <v>357</v>
      </c>
      <c r="K172" s="643">
        <v>3</v>
      </c>
      <c r="L172" s="683" t="s">
        <v>349</v>
      </c>
      <c r="M172" s="11" t="s">
        <v>258</v>
      </c>
      <c r="N172" s="101" t="s">
        <v>387</v>
      </c>
      <c r="O172" s="643">
        <v>1</v>
      </c>
      <c r="P172" s="695">
        <v>79</v>
      </c>
      <c r="Q172" s="632">
        <v>79</v>
      </c>
      <c r="R172" s="632">
        <v>79</v>
      </c>
      <c r="S172" s="675">
        <f>SUMIF('Территориальный кк'!$A:$A,'2020'!$B172,'Территориальный кк'!D:D)</f>
        <v>2.169</v>
      </c>
      <c r="T172" s="676">
        <f>SUMIF('Территориальный кк'!$A:$A,'2020'!$B172,'Территориальный кк'!E:E)</f>
        <v>3.0059999999999998</v>
      </c>
      <c r="U172" s="618">
        <f>SUMIFS(Нормативы!G:G,Нормативы!$B:$B,$G172,Нормативы!$D:$D,'2020'!$I172,Нормативы!$F:$F,'2020'!$K172)*O172</f>
        <v>64190</v>
      </c>
      <c r="V172" s="618">
        <f t="shared" si="476"/>
        <v>49301.1</v>
      </c>
      <c r="W172" s="618">
        <f t="shared" si="477"/>
        <v>14888.9</v>
      </c>
      <c r="X172" s="618">
        <f>SUMIFS(Нормативы!J:J,Нормативы!$B:$B,$G172,Нормативы!$D:$D,'2020'!$I172,Нормативы!$F:$F,'2020'!$K172)</f>
        <v>8830</v>
      </c>
      <c r="Y172" s="618">
        <f>SUMIFS(Нормативы!K:K,Нормативы!$B:$B,$G172,Нормативы!$D:$D,'2020'!$I172,Нормативы!$F:$F,'2020'!$K172)</f>
        <v>1766</v>
      </c>
      <c r="Z172" s="618">
        <f>SUMIFS(Нормативы!L:L,Нормативы!$B:$B,$G172,Нормативы!$D:$D,'2020'!$I172,Нормативы!$F:$F,'2020'!$K172)</f>
        <v>8110</v>
      </c>
      <c r="AA172" s="618">
        <f t="shared" si="478"/>
        <v>19050</v>
      </c>
      <c r="AB172" s="618">
        <f>SUMIFS(Нормативы!N:N,Нормативы!$B:$B,$G172,Нормативы!$D:$D,'2020'!$I172,Нормативы!$F:$F,'2020'!$K172)*O172</f>
        <v>520</v>
      </c>
      <c r="AC172" s="618">
        <f>SUMIFS(Нормативы!O:O,Нормативы!$B:$B,$G172,Нормативы!$D:$D,'2020'!$I172,Нормативы!$F:$F,'2020'!$K172)</f>
        <v>17290</v>
      </c>
      <c r="AD172" s="618">
        <f>SUMIFS(Нормативы!P:P,Нормативы!$B:$B,$G172,Нормативы!$D:$D,'2020'!$I172,Нормативы!$F:$F,'2020'!$K172)*O172</f>
        <v>360</v>
      </c>
      <c r="AE172" s="618">
        <f>SUMIFS(Нормативы!Q:Q,Нормативы!$B:$B,$G172,Нормативы!$D:$D,'2020'!$I172,Нормативы!$F:$F,'2020'!$K172)</f>
        <v>880</v>
      </c>
      <c r="AF172" s="618">
        <f>SUMIFS(Нормативы!R:R,Нормативы!$B:$B,$G172,Нормативы!$D:$D,'2020'!$I172,Нормативы!$F:$F,'2020'!$K172)</f>
        <v>2680</v>
      </c>
      <c r="AG172" s="618">
        <f>SUMIFS(Нормативы!S:S,Нормативы!$B:$B,$G172,Нормативы!$D:$D,'2020'!$I172,Нормативы!$F:$F,'2020'!$K172)</f>
        <v>5800</v>
      </c>
      <c r="AH172" s="618">
        <f>SUMIFS(Нормативы!T:T,Нормативы!$B:$B,$G172,Нормативы!$D:$D,'2020'!$I172,Нормативы!$F:$F,'2020'!$K172)</f>
        <v>540</v>
      </c>
      <c r="AI172" s="618">
        <f>SUMIFS(Нормативы!U:U,Нормативы!$B:$B,$G172,Нормативы!$D:$D,'2020'!$I172,Нормативы!$F:$F,'2020'!$K172)</f>
        <v>770</v>
      </c>
      <c r="AJ172" s="618">
        <f>SUMIFS(Нормативы!V:V,Нормативы!$B:$B,$G172,Нормативы!$D:$D,'2020'!$I172,Нормативы!$F:$F,'2020'!$K172)</f>
        <v>80</v>
      </c>
      <c r="AK172" s="618">
        <f>SUMIFS(Нормативы!W:W,Нормативы!$B:$B,$G172,Нормативы!$D:$D,'2020'!$I172,Нормативы!$F:$F,'2020'!$K172)</f>
        <v>1050</v>
      </c>
      <c r="AL172" s="618">
        <f>SUMIFS(Нормативы!X:X,Нормативы!$B:$B,$G172,Нормативы!$D:$D,'2020'!$I172,Нормативы!$F:$F,'2020'!$K172)*O172</f>
        <v>16120</v>
      </c>
      <c r="AM172" s="618">
        <f t="shared" si="479"/>
        <v>12381</v>
      </c>
      <c r="AN172" s="618">
        <f t="shared" si="480"/>
        <v>3739</v>
      </c>
      <c r="AO172" s="618">
        <f>SUMIFS(Нормативы!AA:AA,Нормативы!$B:$B,$G172,Нормативы!$D:$D,'2020'!$I172,Нормативы!$F:$F,'2020'!$K172)</f>
        <v>3520</v>
      </c>
      <c r="AP172" s="619">
        <f t="shared" si="481"/>
        <v>130740</v>
      </c>
      <c r="AQ172" s="413">
        <f t="shared" si="418"/>
        <v>5071010</v>
      </c>
      <c r="AR172" s="618">
        <f t="shared" si="482"/>
        <v>3894784.9</v>
      </c>
      <c r="AS172" s="618">
        <f t="shared" si="483"/>
        <v>1176225.1000000001</v>
      </c>
      <c r="AT172" s="616">
        <f t="shared" si="419"/>
        <v>697570</v>
      </c>
      <c r="AU172" s="616">
        <f t="shared" si="420"/>
        <v>139514</v>
      </c>
      <c r="AV172" s="616">
        <f t="shared" si="421"/>
        <v>640690</v>
      </c>
      <c r="AW172" s="616">
        <f t="shared" si="422"/>
        <v>1504950</v>
      </c>
      <c r="AX172" s="616">
        <f t="shared" si="423"/>
        <v>41080</v>
      </c>
      <c r="AY172" s="616">
        <f t="shared" si="424"/>
        <v>1365910</v>
      </c>
      <c r="AZ172" s="616">
        <f t="shared" si="425"/>
        <v>28440</v>
      </c>
      <c r="BA172" s="616">
        <f t="shared" si="426"/>
        <v>69520</v>
      </c>
      <c r="BB172" s="616">
        <f t="shared" si="427"/>
        <v>211720</v>
      </c>
      <c r="BC172" s="616">
        <f t="shared" si="428"/>
        <v>458200</v>
      </c>
      <c r="BD172" s="616">
        <f t="shared" si="429"/>
        <v>42660</v>
      </c>
      <c r="BE172" s="616">
        <f t="shared" si="430"/>
        <v>60830</v>
      </c>
      <c r="BF172" s="616">
        <f t="shared" si="431"/>
        <v>6320</v>
      </c>
      <c r="BG172" s="616">
        <f t="shared" si="432"/>
        <v>82950</v>
      </c>
      <c r="BH172" s="616">
        <f t="shared" si="433"/>
        <v>1273480</v>
      </c>
      <c r="BI172" s="618">
        <f t="shared" si="484"/>
        <v>978095.2</v>
      </c>
      <c r="BJ172" s="618">
        <f t="shared" si="485"/>
        <v>295384.8</v>
      </c>
      <c r="BK172" s="616">
        <f t="shared" si="434"/>
        <v>278080</v>
      </c>
      <c r="BL172" s="620">
        <f t="shared" si="435"/>
        <v>10328460</v>
      </c>
      <c r="BM172" s="616">
        <f t="shared" si="436"/>
        <v>10999021</v>
      </c>
      <c r="BN172" s="618">
        <f t="shared" si="437"/>
        <v>8447788.8000000007</v>
      </c>
      <c r="BO172" s="618">
        <f t="shared" si="438"/>
        <v>2551232.2000000002</v>
      </c>
      <c r="BP172" s="616">
        <f t="shared" si="486"/>
        <v>697570</v>
      </c>
      <c r="BQ172" s="616">
        <f t="shared" si="487"/>
        <v>139514</v>
      </c>
      <c r="BR172" s="616">
        <f t="shared" si="488"/>
        <v>640690</v>
      </c>
      <c r="BS172" s="616">
        <f t="shared" si="439"/>
        <v>1504950</v>
      </c>
      <c r="BT172" s="616">
        <f t="shared" si="440"/>
        <v>41080</v>
      </c>
      <c r="BU172" s="616">
        <f t="shared" si="441"/>
        <v>1365910</v>
      </c>
      <c r="BV172" s="616">
        <f t="shared" si="442"/>
        <v>28440</v>
      </c>
      <c r="BW172" s="616">
        <f t="shared" si="443"/>
        <v>69520</v>
      </c>
      <c r="BX172" s="616">
        <f t="shared" si="444"/>
        <v>636430</v>
      </c>
      <c r="BY172" s="616">
        <f t="shared" si="445"/>
        <v>458200</v>
      </c>
      <c r="BZ172" s="616">
        <f t="shared" si="446"/>
        <v>42660</v>
      </c>
      <c r="CA172" s="616">
        <f t="shared" si="447"/>
        <v>60830</v>
      </c>
      <c r="CB172" s="616">
        <f t="shared" si="448"/>
        <v>6320</v>
      </c>
      <c r="CC172" s="616">
        <f t="shared" si="449"/>
        <v>82950</v>
      </c>
      <c r="CD172" s="616">
        <f t="shared" si="450"/>
        <v>2762178</v>
      </c>
      <c r="CE172" s="618">
        <f t="shared" si="489"/>
        <v>2121488.5</v>
      </c>
      <c r="CF172" s="618">
        <f t="shared" si="490"/>
        <v>640689.5</v>
      </c>
      <c r="CG172" s="616">
        <f t="shared" si="451"/>
        <v>278080</v>
      </c>
      <c r="CH172" s="621">
        <f t="shared" si="452"/>
        <v>18169879</v>
      </c>
      <c r="CI172" s="88">
        <f t="shared" si="453"/>
        <v>139228.1139</v>
      </c>
      <c r="CJ172" s="90">
        <f t="shared" si="454"/>
        <v>106934.03539999999</v>
      </c>
      <c r="CK172" s="90">
        <f t="shared" si="455"/>
        <v>32294.0785</v>
      </c>
      <c r="CL172" s="88">
        <f t="shared" si="456"/>
        <v>8830</v>
      </c>
      <c r="CM172" s="88">
        <f t="shared" si="457"/>
        <v>1766</v>
      </c>
      <c r="CN172" s="88">
        <f t="shared" si="458"/>
        <v>8110</v>
      </c>
      <c r="CO172" s="88">
        <f t="shared" si="459"/>
        <v>19050</v>
      </c>
      <c r="CP172" s="88">
        <f t="shared" si="460"/>
        <v>520</v>
      </c>
      <c r="CQ172" s="88">
        <f t="shared" si="461"/>
        <v>17290</v>
      </c>
      <c r="CR172" s="88">
        <f t="shared" si="462"/>
        <v>360</v>
      </c>
      <c r="CS172" s="88">
        <f t="shared" si="463"/>
        <v>880</v>
      </c>
      <c r="CT172" s="88">
        <f t="shared" si="464"/>
        <v>8056.0758999999998</v>
      </c>
      <c r="CU172" s="88">
        <f t="shared" si="465"/>
        <v>5800</v>
      </c>
      <c r="CV172" s="88">
        <f t="shared" si="466"/>
        <v>540</v>
      </c>
      <c r="CW172" s="88">
        <f t="shared" si="467"/>
        <v>770</v>
      </c>
      <c r="CX172" s="88">
        <f t="shared" si="468"/>
        <v>80</v>
      </c>
      <c r="CY172" s="88">
        <f t="shared" si="469"/>
        <v>1050</v>
      </c>
      <c r="CZ172" s="88">
        <f t="shared" si="470"/>
        <v>34964.2785</v>
      </c>
      <c r="DA172" s="90">
        <f t="shared" si="471"/>
        <v>26854.284800000001</v>
      </c>
      <c r="DB172" s="90">
        <f t="shared" si="472"/>
        <v>8109.9937</v>
      </c>
      <c r="DC172" s="88">
        <f t="shared" si="473"/>
        <v>3520</v>
      </c>
      <c r="DD172" s="88">
        <f t="shared" si="474"/>
        <v>229998.46840000001</v>
      </c>
      <c r="AUV172" s="699">
        <f t="shared" si="409"/>
        <v>139228.10999999999</v>
      </c>
      <c r="AUW172" s="699">
        <f t="shared" si="410"/>
        <v>106934.03</v>
      </c>
      <c r="AUX172" s="699">
        <f t="shared" si="411"/>
        <v>32294.080000000002</v>
      </c>
      <c r="AUY172" s="699">
        <f t="shared" si="520"/>
        <v>8830</v>
      </c>
      <c r="AUZ172" s="699">
        <f t="shared" si="475"/>
        <v>46411.839999999997</v>
      </c>
      <c r="AVA172" s="699">
        <f t="shared" si="475"/>
        <v>9.98</v>
      </c>
      <c r="AVB172" s="699">
        <f t="shared" si="521"/>
        <v>19050</v>
      </c>
      <c r="AVC172" s="699">
        <f t="shared" si="522"/>
        <v>520</v>
      </c>
      <c r="AVD172" s="699">
        <f t="shared" si="523"/>
        <v>17290</v>
      </c>
      <c r="AVE172" s="699">
        <f t="shared" si="524"/>
        <v>360</v>
      </c>
      <c r="AVF172" s="699">
        <f t="shared" si="525"/>
        <v>880</v>
      </c>
      <c r="AVG172" s="699">
        <f t="shared" si="526"/>
        <v>8056.08</v>
      </c>
      <c r="AVH172" s="699">
        <f t="shared" si="527"/>
        <v>5800</v>
      </c>
      <c r="AVI172" s="699">
        <f t="shared" si="528"/>
        <v>540</v>
      </c>
      <c r="AVJ172" s="699">
        <f t="shared" si="529"/>
        <v>770</v>
      </c>
      <c r="AVK172" s="699">
        <f t="shared" si="530"/>
        <v>80</v>
      </c>
      <c r="AVL172" s="699">
        <f t="shared" si="531"/>
        <v>1050</v>
      </c>
      <c r="AVM172" s="699">
        <f t="shared" si="532"/>
        <v>34964.28</v>
      </c>
      <c r="AVN172" s="699">
        <f t="shared" si="533"/>
        <v>26854.29</v>
      </c>
      <c r="AVO172" s="699">
        <f t="shared" si="534"/>
        <v>8109.99</v>
      </c>
      <c r="AVP172" s="699">
        <f t="shared" si="535"/>
        <v>3520</v>
      </c>
      <c r="AVQ172" s="699">
        <f t="shared" si="536"/>
        <v>229998.47</v>
      </c>
    </row>
    <row r="173" spans="1:108 1244:1265" ht="30" customHeight="1" x14ac:dyDescent="0.25">
      <c r="A173" s="643">
        <v>1</v>
      </c>
      <c r="B173" s="643">
        <v>7</v>
      </c>
      <c r="C173" s="664" t="s">
        <v>20</v>
      </c>
      <c r="D173" s="2"/>
      <c r="E173" s="101" t="s">
        <v>344</v>
      </c>
      <c r="F173" s="643" t="s">
        <v>31</v>
      </c>
      <c r="G173" s="643">
        <v>1</v>
      </c>
      <c r="H173" s="658" t="s">
        <v>10</v>
      </c>
      <c r="I173" s="643">
        <v>0</v>
      </c>
      <c r="J173" s="101" t="s">
        <v>357</v>
      </c>
      <c r="K173" s="643">
        <v>3</v>
      </c>
      <c r="L173" s="683" t="s">
        <v>349</v>
      </c>
      <c r="M173" s="11" t="s">
        <v>259</v>
      </c>
      <c r="N173" s="101" t="s">
        <v>401</v>
      </c>
      <c r="O173" s="643">
        <v>2</v>
      </c>
      <c r="P173" s="695">
        <v>2</v>
      </c>
      <c r="Q173" s="632">
        <v>2</v>
      </c>
      <c r="R173" s="632">
        <v>2</v>
      </c>
      <c r="S173" s="675">
        <f>SUMIF('Территориальный кк'!$A:$A,'2020'!$B173,'Территориальный кк'!D:D)</f>
        <v>2.169</v>
      </c>
      <c r="T173" s="676">
        <f>SUMIF('Территориальный кк'!$A:$A,'2020'!$B173,'Территориальный кк'!E:E)</f>
        <v>3.0059999999999998</v>
      </c>
      <c r="U173" s="618">
        <f>SUMIFS(Нормативы!G:G,Нормативы!$B:$B,$G173,Нормативы!$D:$D,'2020'!$I173,Нормативы!$F:$F,'2020'!$K173)*O173</f>
        <v>128380</v>
      </c>
      <c r="V173" s="618">
        <f t="shared" si="476"/>
        <v>98602.2</v>
      </c>
      <c r="W173" s="618">
        <f t="shared" si="477"/>
        <v>29777.8</v>
      </c>
      <c r="X173" s="618">
        <f>SUMIFS(Нормативы!J:J,Нормативы!$B:$B,$G173,Нормативы!$D:$D,'2020'!$I173,Нормативы!$F:$F,'2020'!$K173)</f>
        <v>8830</v>
      </c>
      <c r="Y173" s="618">
        <f>SUMIFS(Нормативы!K:K,Нормативы!$B:$B,$G173,Нормативы!$D:$D,'2020'!$I173,Нормативы!$F:$F,'2020'!$K173)</f>
        <v>1766</v>
      </c>
      <c r="Z173" s="618">
        <f>SUMIFS(Нормативы!L:L,Нормативы!$B:$B,$G173,Нормативы!$D:$D,'2020'!$I173,Нормативы!$F:$F,'2020'!$K173)</f>
        <v>8110</v>
      </c>
      <c r="AA173" s="618">
        <f t="shared" si="478"/>
        <v>19930</v>
      </c>
      <c r="AB173" s="618">
        <f>SUMIFS(Нормативы!N:N,Нормативы!$B:$B,$G173,Нормативы!$D:$D,'2020'!$I173,Нормативы!$F:$F,'2020'!$K173)*O173</f>
        <v>1040</v>
      </c>
      <c r="AC173" s="618">
        <f>SUMIFS(Нормативы!O:O,Нормативы!$B:$B,$G173,Нормативы!$D:$D,'2020'!$I173,Нормативы!$F:$F,'2020'!$K173)</f>
        <v>17290</v>
      </c>
      <c r="AD173" s="618">
        <f>SUMIFS(Нормативы!P:P,Нормативы!$B:$B,$G173,Нормативы!$D:$D,'2020'!$I173,Нормативы!$F:$F,'2020'!$K173)*O173</f>
        <v>720</v>
      </c>
      <c r="AE173" s="618">
        <f>SUMIFS(Нормативы!Q:Q,Нормативы!$B:$B,$G173,Нормативы!$D:$D,'2020'!$I173,Нормативы!$F:$F,'2020'!$K173)</f>
        <v>880</v>
      </c>
      <c r="AF173" s="618">
        <f>SUMIFS(Нормативы!R:R,Нормативы!$B:$B,$G173,Нормативы!$D:$D,'2020'!$I173,Нормативы!$F:$F,'2020'!$K173)</f>
        <v>2680</v>
      </c>
      <c r="AG173" s="618">
        <f>SUMIFS(Нормативы!S:S,Нормативы!$B:$B,$G173,Нормативы!$D:$D,'2020'!$I173,Нормативы!$F:$F,'2020'!$K173)</f>
        <v>5800</v>
      </c>
      <c r="AH173" s="618">
        <f>SUMIFS(Нормативы!T:T,Нормативы!$B:$B,$G173,Нормативы!$D:$D,'2020'!$I173,Нормативы!$F:$F,'2020'!$K173)</f>
        <v>540</v>
      </c>
      <c r="AI173" s="618">
        <f>SUMIFS(Нормативы!U:U,Нормативы!$B:$B,$G173,Нормативы!$D:$D,'2020'!$I173,Нормативы!$F:$F,'2020'!$K173)</f>
        <v>770</v>
      </c>
      <c r="AJ173" s="618">
        <f>SUMIFS(Нормативы!V:V,Нормативы!$B:$B,$G173,Нормативы!$D:$D,'2020'!$I173,Нормативы!$F:$F,'2020'!$K173)</f>
        <v>80</v>
      </c>
      <c r="AK173" s="618">
        <f>SUMIFS(Нормативы!W:W,Нормативы!$B:$B,$G173,Нормативы!$D:$D,'2020'!$I173,Нормативы!$F:$F,'2020'!$K173)</f>
        <v>1050</v>
      </c>
      <c r="AL173" s="618">
        <f>SUMIFS(Нормативы!X:X,Нормативы!$B:$B,$G173,Нормативы!$D:$D,'2020'!$I173,Нормативы!$F:$F,'2020'!$K173)*O173</f>
        <v>32240</v>
      </c>
      <c r="AM173" s="618">
        <f t="shared" si="479"/>
        <v>24761.9</v>
      </c>
      <c r="AN173" s="618">
        <f t="shared" si="480"/>
        <v>7478.1</v>
      </c>
      <c r="AO173" s="618">
        <f>SUMIFS(Нормативы!AA:AA,Нормативы!$B:$B,$G173,Нормативы!$D:$D,'2020'!$I173,Нормативы!$F:$F,'2020'!$K173)</f>
        <v>3520</v>
      </c>
      <c r="AP173" s="619">
        <f t="shared" si="481"/>
        <v>211930</v>
      </c>
      <c r="AQ173" s="413">
        <f t="shared" si="418"/>
        <v>256760</v>
      </c>
      <c r="AR173" s="618">
        <f t="shared" si="482"/>
        <v>197204.3</v>
      </c>
      <c r="AS173" s="618">
        <f t="shared" si="483"/>
        <v>59555.7</v>
      </c>
      <c r="AT173" s="616">
        <f t="shared" si="419"/>
        <v>17660</v>
      </c>
      <c r="AU173" s="616">
        <f t="shared" si="420"/>
        <v>3532</v>
      </c>
      <c r="AV173" s="616">
        <f t="shared" si="421"/>
        <v>16220</v>
      </c>
      <c r="AW173" s="616">
        <f t="shared" si="422"/>
        <v>39860</v>
      </c>
      <c r="AX173" s="616">
        <f t="shared" si="423"/>
        <v>2080</v>
      </c>
      <c r="AY173" s="616">
        <f t="shared" si="424"/>
        <v>34580</v>
      </c>
      <c r="AZ173" s="616">
        <f t="shared" si="425"/>
        <v>1440</v>
      </c>
      <c r="BA173" s="616">
        <f t="shared" si="426"/>
        <v>1760</v>
      </c>
      <c r="BB173" s="616">
        <f t="shared" si="427"/>
        <v>5360</v>
      </c>
      <c r="BC173" s="616">
        <f t="shared" si="428"/>
        <v>11600</v>
      </c>
      <c r="BD173" s="616">
        <f t="shared" si="429"/>
        <v>1080</v>
      </c>
      <c r="BE173" s="616">
        <f t="shared" si="430"/>
        <v>1540</v>
      </c>
      <c r="BF173" s="616">
        <f t="shared" si="431"/>
        <v>160</v>
      </c>
      <c r="BG173" s="616">
        <f t="shared" si="432"/>
        <v>2100</v>
      </c>
      <c r="BH173" s="616">
        <f t="shared" si="433"/>
        <v>64480</v>
      </c>
      <c r="BI173" s="618">
        <f t="shared" si="484"/>
        <v>49523.8</v>
      </c>
      <c r="BJ173" s="618">
        <f t="shared" si="485"/>
        <v>14956.2</v>
      </c>
      <c r="BK173" s="616">
        <f t="shared" si="434"/>
        <v>7040</v>
      </c>
      <c r="BL173" s="620">
        <f t="shared" si="435"/>
        <v>423860</v>
      </c>
      <c r="BM173" s="616">
        <f t="shared" si="436"/>
        <v>556912</v>
      </c>
      <c r="BN173" s="618">
        <f t="shared" si="437"/>
        <v>427735.8</v>
      </c>
      <c r="BO173" s="618">
        <f t="shared" si="438"/>
        <v>129176.2</v>
      </c>
      <c r="BP173" s="616">
        <f t="shared" si="486"/>
        <v>17660</v>
      </c>
      <c r="BQ173" s="616">
        <f t="shared" si="487"/>
        <v>3532</v>
      </c>
      <c r="BR173" s="616">
        <f t="shared" si="488"/>
        <v>16220</v>
      </c>
      <c r="BS173" s="616">
        <f t="shared" si="439"/>
        <v>39860</v>
      </c>
      <c r="BT173" s="616">
        <f t="shared" si="440"/>
        <v>2080</v>
      </c>
      <c r="BU173" s="616">
        <f t="shared" si="441"/>
        <v>34580</v>
      </c>
      <c r="BV173" s="616">
        <f t="shared" si="442"/>
        <v>1440</v>
      </c>
      <c r="BW173" s="616">
        <f t="shared" si="443"/>
        <v>1760</v>
      </c>
      <c r="BX173" s="616">
        <f t="shared" si="444"/>
        <v>16112</v>
      </c>
      <c r="BY173" s="616">
        <f t="shared" si="445"/>
        <v>11600</v>
      </c>
      <c r="BZ173" s="616">
        <f t="shared" si="446"/>
        <v>1080</v>
      </c>
      <c r="CA173" s="616">
        <f t="shared" si="447"/>
        <v>1540</v>
      </c>
      <c r="CB173" s="616">
        <f t="shared" si="448"/>
        <v>160</v>
      </c>
      <c r="CC173" s="616">
        <f t="shared" si="449"/>
        <v>2100</v>
      </c>
      <c r="CD173" s="616">
        <f t="shared" si="450"/>
        <v>139857</v>
      </c>
      <c r="CE173" s="618">
        <f t="shared" si="489"/>
        <v>107417.1</v>
      </c>
      <c r="CF173" s="618">
        <f t="shared" si="490"/>
        <v>32439.9</v>
      </c>
      <c r="CG173" s="616">
        <f t="shared" si="451"/>
        <v>7040</v>
      </c>
      <c r="CH173" s="621">
        <f t="shared" si="452"/>
        <v>810141</v>
      </c>
      <c r="CI173" s="88">
        <f t="shared" si="453"/>
        <v>278456</v>
      </c>
      <c r="CJ173" s="90">
        <f t="shared" si="454"/>
        <v>213867.9</v>
      </c>
      <c r="CK173" s="90">
        <f t="shared" si="455"/>
        <v>64588.1</v>
      </c>
      <c r="CL173" s="88">
        <f t="shared" si="456"/>
        <v>8830</v>
      </c>
      <c r="CM173" s="88">
        <f t="shared" si="457"/>
        <v>1766</v>
      </c>
      <c r="CN173" s="88">
        <f t="shared" si="458"/>
        <v>8110</v>
      </c>
      <c r="CO173" s="88">
        <f t="shared" si="459"/>
        <v>19930</v>
      </c>
      <c r="CP173" s="88">
        <f t="shared" si="460"/>
        <v>1040</v>
      </c>
      <c r="CQ173" s="88">
        <f t="shared" si="461"/>
        <v>17290</v>
      </c>
      <c r="CR173" s="88">
        <f t="shared" si="462"/>
        <v>720</v>
      </c>
      <c r="CS173" s="88">
        <f t="shared" si="463"/>
        <v>880</v>
      </c>
      <c r="CT173" s="88">
        <f t="shared" si="464"/>
        <v>8056</v>
      </c>
      <c r="CU173" s="88">
        <f t="shared" si="465"/>
        <v>5800</v>
      </c>
      <c r="CV173" s="88">
        <f t="shared" si="466"/>
        <v>540</v>
      </c>
      <c r="CW173" s="88">
        <f t="shared" si="467"/>
        <v>770</v>
      </c>
      <c r="CX173" s="88">
        <f t="shared" si="468"/>
        <v>80</v>
      </c>
      <c r="CY173" s="88">
        <f t="shared" si="469"/>
        <v>1050</v>
      </c>
      <c r="CZ173" s="88">
        <f t="shared" si="470"/>
        <v>69928.5</v>
      </c>
      <c r="DA173" s="90">
        <f t="shared" si="471"/>
        <v>53708.55</v>
      </c>
      <c r="DB173" s="90">
        <f t="shared" si="472"/>
        <v>16219.95</v>
      </c>
      <c r="DC173" s="88">
        <f t="shared" si="473"/>
        <v>3520</v>
      </c>
      <c r="DD173" s="88">
        <f t="shared" si="474"/>
        <v>405070.5</v>
      </c>
      <c r="AUV173" s="699">
        <f t="shared" si="409"/>
        <v>278456</v>
      </c>
      <c r="AUW173" s="699">
        <f t="shared" si="410"/>
        <v>213867.9</v>
      </c>
      <c r="AUX173" s="699">
        <f t="shared" si="411"/>
        <v>64588.1</v>
      </c>
      <c r="AUY173" s="699">
        <f t="shared" si="520"/>
        <v>8830</v>
      </c>
      <c r="AUZ173" s="699">
        <f t="shared" si="475"/>
        <v>1174.98</v>
      </c>
      <c r="AVA173" s="699">
        <f t="shared" si="475"/>
        <v>0.13</v>
      </c>
      <c r="AVB173" s="699">
        <f t="shared" si="521"/>
        <v>19930</v>
      </c>
      <c r="AVC173" s="699">
        <f t="shared" si="522"/>
        <v>1040</v>
      </c>
      <c r="AVD173" s="699">
        <f t="shared" si="523"/>
        <v>17290</v>
      </c>
      <c r="AVE173" s="699">
        <f t="shared" si="524"/>
        <v>720</v>
      </c>
      <c r="AVF173" s="699">
        <f t="shared" si="525"/>
        <v>880</v>
      </c>
      <c r="AVG173" s="699">
        <f t="shared" si="526"/>
        <v>8056</v>
      </c>
      <c r="AVH173" s="699">
        <f t="shared" si="527"/>
        <v>5800</v>
      </c>
      <c r="AVI173" s="699">
        <f t="shared" si="528"/>
        <v>540</v>
      </c>
      <c r="AVJ173" s="699">
        <f t="shared" si="529"/>
        <v>770</v>
      </c>
      <c r="AVK173" s="699">
        <f t="shared" si="530"/>
        <v>80</v>
      </c>
      <c r="AVL173" s="699">
        <f t="shared" si="531"/>
        <v>1050</v>
      </c>
      <c r="AVM173" s="699">
        <f t="shared" si="532"/>
        <v>69928.5</v>
      </c>
      <c r="AVN173" s="699">
        <f t="shared" si="533"/>
        <v>53708.53</v>
      </c>
      <c r="AVO173" s="699">
        <f t="shared" si="534"/>
        <v>16219.97</v>
      </c>
      <c r="AVP173" s="699">
        <f t="shared" si="535"/>
        <v>3520</v>
      </c>
      <c r="AVQ173" s="699">
        <f t="shared" si="536"/>
        <v>405070.5</v>
      </c>
    </row>
    <row r="174" spans="1:108 1244:1265" ht="30" customHeight="1" x14ac:dyDescent="0.25">
      <c r="A174" s="643">
        <v>1</v>
      </c>
      <c r="B174" s="643">
        <v>7</v>
      </c>
      <c r="C174" s="664" t="s">
        <v>20</v>
      </c>
      <c r="D174" s="2"/>
      <c r="E174" s="101" t="s">
        <v>344</v>
      </c>
      <c r="F174" s="643" t="s">
        <v>31</v>
      </c>
      <c r="G174" s="643">
        <v>1</v>
      </c>
      <c r="H174" s="658" t="s">
        <v>8</v>
      </c>
      <c r="I174" s="643">
        <v>3</v>
      </c>
      <c r="J174" s="101" t="s">
        <v>357</v>
      </c>
      <c r="K174" s="643">
        <v>3</v>
      </c>
      <c r="L174" s="683" t="s">
        <v>349</v>
      </c>
      <c r="M174" s="11" t="s">
        <v>260</v>
      </c>
      <c r="N174" s="101" t="s">
        <v>387</v>
      </c>
      <c r="O174" s="643">
        <v>1</v>
      </c>
      <c r="P174" s="695">
        <v>73</v>
      </c>
      <c r="Q174" s="632">
        <v>73</v>
      </c>
      <c r="R174" s="632">
        <v>73</v>
      </c>
      <c r="S174" s="675">
        <f>SUMIF('Территориальный кк'!$A:$A,'2020'!$B174,'Территориальный кк'!D:D)</f>
        <v>2.169</v>
      </c>
      <c r="T174" s="676">
        <f>SUMIF('Территориальный кк'!$A:$A,'2020'!$B174,'Территориальный кк'!E:E)</f>
        <v>3.0059999999999998</v>
      </c>
      <c r="U174" s="618">
        <f>SUMIFS(Нормативы!G:G,Нормативы!$B:$B,$G174,Нормативы!$D:$D,'2020'!$I174,Нормативы!$F:$F,'2020'!$K174)*O174</f>
        <v>6419</v>
      </c>
      <c r="V174" s="618">
        <f t="shared" si="476"/>
        <v>4930.1000000000004</v>
      </c>
      <c r="W174" s="618">
        <f t="shared" si="477"/>
        <v>1488.9</v>
      </c>
      <c r="X174" s="618">
        <f>SUMIFS(Нормативы!J:J,Нормативы!$B:$B,$G174,Нормативы!$D:$D,'2020'!$I174,Нормативы!$F:$F,'2020'!$K174)</f>
        <v>883</v>
      </c>
      <c r="Y174" s="618">
        <f>SUMIFS(Нормативы!K:K,Нормативы!$B:$B,$G174,Нормативы!$D:$D,'2020'!$I174,Нормативы!$F:$F,'2020'!$K174)</f>
        <v>177</v>
      </c>
      <c r="Z174" s="618">
        <f>SUMIFS(Нормативы!L:L,Нормативы!$B:$B,$G174,Нормативы!$D:$D,'2020'!$I174,Нормативы!$F:$F,'2020'!$K174)</f>
        <v>811</v>
      </c>
      <c r="AA174" s="618">
        <f t="shared" si="478"/>
        <v>1905</v>
      </c>
      <c r="AB174" s="618">
        <f>SUMIFS(Нормативы!N:N,Нормативы!$B:$B,$G174,Нормативы!$D:$D,'2020'!$I174,Нормативы!$F:$F,'2020'!$K174)*O174</f>
        <v>52</v>
      </c>
      <c r="AC174" s="618">
        <f>SUMIFS(Нормативы!O:O,Нормативы!$B:$B,$G174,Нормативы!$D:$D,'2020'!$I174,Нормативы!$F:$F,'2020'!$K174)</f>
        <v>1729</v>
      </c>
      <c r="AD174" s="618">
        <f>SUMIFS(Нормативы!P:P,Нормативы!$B:$B,$G174,Нормативы!$D:$D,'2020'!$I174,Нормативы!$F:$F,'2020'!$K174)*O174</f>
        <v>36</v>
      </c>
      <c r="AE174" s="618">
        <f>SUMIFS(Нормативы!Q:Q,Нормативы!$B:$B,$G174,Нормативы!$D:$D,'2020'!$I174,Нормативы!$F:$F,'2020'!$K174)</f>
        <v>88</v>
      </c>
      <c r="AF174" s="618">
        <f>SUMIFS(Нормативы!R:R,Нормативы!$B:$B,$G174,Нормативы!$D:$D,'2020'!$I174,Нормативы!$F:$F,'2020'!$K174)</f>
        <v>268</v>
      </c>
      <c r="AG174" s="618">
        <f>SUMIFS(Нормативы!S:S,Нормативы!$B:$B,$G174,Нормативы!$D:$D,'2020'!$I174,Нормативы!$F:$F,'2020'!$K174)</f>
        <v>580</v>
      </c>
      <c r="AH174" s="618">
        <f>SUMIFS(Нормативы!T:T,Нормативы!$B:$B,$G174,Нормативы!$D:$D,'2020'!$I174,Нормативы!$F:$F,'2020'!$K174)</f>
        <v>54</v>
      </c>
      <c r="AI174" s="618">
        <f>SUMIFS(Нормативы!U:U,Нормативы!$B:$B,$G174,Нормативы!$D:$D,'2020'!$I174,Нормативы!$F:$F,'2020'!$K174)</f>
        <v>77</v>
      </c>
      <c r="AJ174" s="618">
        <f>SUMIFS(Нормативы!V:V,Нормативы!$B:$B,$G174,Нормативы!$D:$D,'2020'!$I174,Нормативы!$F:$F,'2020'!$K174)</f>
        <v>8</v>
      </c>
      <c r="AK174" s="618">
        <f>SUMIFS(Нормативы!W:W,Нормативы!$B:$B,$G174,Нормативы!$D:$D,'2020'!$I174,Нормативы!$F:$F,'2020'!$K174)</f>
        <v>105</v>
      </c>
      <c r="AL174" s="618">
        <f>SUMIFS(Нормативы!X:X,Нормативы!$B:$B,$G174,Нормативы!$D:$D,'2020'!$I174,Нормативы!$F:$F,'2020'!$K174)*O174</f>
        <v>1612</v>
      </c>
      <c r="AM174" s="618">
        <f t="shared" si="479"/>
        <v>1238.0999999999999</v>
      </c>
      <c r="AN174" s="618">
        <f t="shared" si="480"/>
        <v>373.9</v>
      </c>
      <c r="AO174" s="618">
        <f>SUMIFS(Нормативы!AA:AA,Нормативы!$B:$B,$G174,Нормативы!$D:$D,'2020'!$I174,Нормативы!$F:$F,'2020'!$K174)</f>
        <v>0</v>
      </c>
      <c r="AP174" s="619">
        <f t="shared" si="481"/>
        <v>12722</v>
      </c>
      <c r="AQ174" s="413">
        <f t="shared" si="418"/>
        <v>468587</v>
      </c>
      <c r="AR174" s="618">
        <f t="shared" si="482"/>
        <v>359897.8</v>
      </c>
      <c r="AS174" s="618">
        <f t="shared" si="483"/>
        <v>108689.2</v>
      </c>
      <c r="AT174" s="616">
        <f t="shared" si="419"/>
        <v>64459</v>
      </c>
      <c r="AU174" s="616">
        <f t="shared" si="420"/>
        <v>12921</v>
      </c>
      <c r="AV174" s="616">
        <f t="shared" si="421"/>
        <v>59203</v>
      </c>
      <c r="AW174" s="616">
        <f t="shared" si="422"/>
        <v>139065</v>
      </c>
      <c r="AX174" s="616">
        <f t="shared" si="423"/>
        <v>3796</v>
      </c>
      <c r="AY174" s="616">
        <f t="shared" si="424"/>
        <v>126217</v>
      </c>
      <c r="AZ174" s="616">
        <f t="shared" si="425"/>
        <v>2628</v>
      </c>
      <c r="BA174" s="616">
        <f t="shared" si="426"/>
        <v>6424</v>
      </c>
      <c r="BB174" s="616">
        <f t="shared" si="427"/>
        <v>19564</v>
      </c>
      <c r="BC174" s="616">
        <f t="shared" si="428"/>
        <v>42340</v>
      </c>
      <c r="BD174" s="616">
        <f t="shared" si="429"/>
        <v>3942</v>
      </c>
      <c r="BE174" s="616">
        <f t="shared" si="430"/>
        <v>5621</v>
      </c>
      <c r="BF174" s="616">
        <f t="shared" si="431"/>
        <v>584</v>
      </c>
      <c r="BG174" s="616">
        <f t="shared" si="432"/>
        <v>7665</v>
      </c>
      <c r="BH174" s="616">
        <f t="shared" si="433"/>
        <v>117676</v>
      </c>
      <c r="BI174" s="618">
        <f t="shared" si="484"/>
        <v>90381</v>
      </c>
      <c r="BJ174" s="618">
        <f t="shared" si="485"/>
        <v>27295</v>
      </c>
      <c r="BK174" s="616">
        <f t="shared" si="434"/>
        <v>0</v>
      </c>
      <c r="BL174" s="620">
        <f t="shared" si="435"/>
        <v>928706</v>
      </c>
      <c r="BM174" s="616">
        <f t="shared" si="436"/>
        <v>1016365</v>
      </c>
      <c r="BN174" s="618">
        <f t="shared" si="437"/>
        <v>780618.3</v>
      </c>
      <c r="BO174" s="618">
        <f t="shared" si="438"/>
        <v>235746.7</v>
      </c>
      <c r="BP174" s="616">
        <f t="shared" si="486"/>
        <v>64459</v>
      </c>
      <c r="BQ174" s="616">
        <f t="shared" si="487"/>
        <v>12921</v>
      </c>
      <c r="BR174" s="616">
        <f t="shared" si="488"/>
        <v>59203</v>
      </c>
      <c r="BS174" s="616">
        <f t="shared" si="439"/>
        <v>139065</v>
      </c>
      <c r="BT174" s="616">
        <f t="shared" si="440"/>
        <v>3796</v>
      </c>
      <c r="BU174" s="616">
        <f t="shared" si="441"/>
        <v>126217</v>
      </c>
      <c r="BV174" s="616">
        <f t="shared" si="442"/>
        <v>2628</v>
      </c>
      <c r="BW174" s="616">
        <f t="shared" si="443"/>
        <v>6424</v>
      </c>
      <c r="BX174" s="616">
        <f t="shared" si="444"/>
        <v>58809</v>
      </c>
      <c r="BY174" s="616">
        <f t="shared" si="445"/>
        <v>42340</v>
      </c>
      <c r="BZ174" s="616">
        <f t="shared" si="446"/>
        <v>3942</v>
      </c>
      <c r="CA174" s="616">
        <f t="shared" si="447"/>
        <v>5621</v>
      </c>
      <c r="CB174" s="616">
        <f t="shared" si="448"/>
        <v>584</v>
      </c>
      <c r="CC174" s="616">
        <f t="shared" si="449"/>
        <v>7665</v>
      </c>
      <c r="CD174" s="616">
        <f t="shared" si="450"/>
        <v>255239</v>
      </c>
      <c r="CE174" s="618">
        <f t="shared" si="489"/>
        <v>196036.1</v>
      </c>
      <c r="CF174" s="618">
        <f t="shared" si="490"/>
        <v>59202.9</v>
      </c>
      <c r="CG174" s="616">
        <f t="shared" si="451"/>
        <v>0</v>
      </c>
      <c r="CH174" s="621">
        <f t="shared" si="452"/>
        <v>1653292</v>
      </c>
      <c r="CI174" s="88">
        <f t="shared" si="453"/>
        <v>13922.808199999999</v>
      </c>
      <c r="CJ174" s="90">
        <f t="shared" si="454"/>
        <v>10693.401400000001</v>
      </c>
      <c r="CK174" s="90">
        <f t="shared" si="455"/>
        <v>3229.4068000000002</v>
      </c>
      <c r="CL174" s="88">
        <f t="shared" si="456"/>
        <v>883</v>
      </c>
      <c r="CM174" s="88">
        <f t="shared" si="457"/>
        <v>177</v>
      </c>
      <c r="CN174" s="88">
        <f t="shared" si="458"/>
        <v>811</v>
      </c>
      <c r="CO174" s="88">
        <f t="shared" si="459"/>
        <v>1905</v>
      </c>
      <c r="CP174" s="88">
        <f t="shared" si="460"/>
        <v>52</v>
      </c>
      <c r="CQ174" s="88">
        <f t="shared" si="461"/>
        <v>1729</v>
      </c>
      <c r="CR174" s="88">
        <f t="shared" si="462"/>
        <v>36</v>
      </c>
      <c r="CS174" s="88">
        <f t="shared" si="463"/>
        <v>88</v>
      </c>
      <c r="CT174" s="88">
        <f t="shared" si="464"/>
        <v>805.60270000000003</v>
      </c>
      <c r="CU174" s="88">
        <f t="shared" si="465"/>
        <v>580</v>
      </c>
      <c r="CV174" s="88">
        <f t="shared" si="466"/>
        <v>54</v>
      </c>
      <c r="CW174" s="88">
        <f t="shared" si="467"/>
        <v>77</v>
      </c>
      <c r="CX174" s="88">
        <f t="shared" si="468"/>
        <v>8</v>
      </c>
      <c r="CY174" s="88">
        <f t="shared" si="469"/>
        <v>105</v>
      </c>
      <c r="CZ174" s="88">
        <f t="shared" si="470"/>
        <v>3496.4247</v>
      </c>
      <c r="DA174" s="90">
        <f t="shared" si="471"/>
        <v>2685.4259999999999</v>
      </c>
      <c r="DB174" s="90">
        <f t="shared" si="472"/>
        <v>810.99860000000001</v>
      </c>
      <c r="DC174" s="88">
        <f t="shared" si="473"/>
        <v>0</v>
      </c>
      <c r="DD174" s="88">
        <f t="shared" si="474"/>
        <v>22647.835599999999</v>
      </c>
      <c r="AUV174" s="699">
        <f t="shared" si="409"/>
        <v>13922.81</v>
      </c>
      <c r="AUW174" s="699">
        <f t="shared" si="410"/>
        <v>10693.4</v>
      </c>
      <c r="AUX174" s="699">
        <f t="shared" si="411"/>
        <v>3229.41</v>
      </c>
      <c r="AUY174" s="699">
        <f t="shared" si="520"/>
        <v>883</v>
      </c>
      <c r="AUZ174" s="699">
        <f t="shared" si="475"/>
        <v>4298.3999999999996</v>
      </c>
      <c r="AVA174" s="699">
        <f t="shared" si="475"/>
        <v>9.2200000000000006</v>
      </c>
      <c r="AVB174" s="699">
        <f t="shared" si="521"/>
        <v>1905</v>
      </c>
      <c r="AVC174" s="699">
        <f t="shared" si="522"/>
        <v>52</v>
      </c>
      <c r="AVD174" s="699">
        <f t="shared" si="523"/>
        <v>1729</v>
      </c>
      <c r="AVE174" s="699">
        <f t="shared" si="524"/>
        <v>36</v>
      </c>
      <c r="AVF174" s="699">
        <f t="shared" si="525"/>
        <v>88</v>
      </c>
      <c r="AVG174" s="699">
        <f t="shared" si="526"/>
        <v>805.6</v>
      </c>
      <c r="AVH174" s="699">
        <f t="shared" si="527"/>
        <v>580</v>
      </c>
      <c r="AVI174" s="699">
        <f t="shared" si="528"/>
        <v>54</v>
      </c>
      <c r="AVJ174" s="699">
        <f t="shared" si="529"/>
        <v>77</v>
      </c>
      <c r="AVK174" s="699">
        <f t="shared" si="530"/>
        <v>8</v>
      </c>
      <c r="AVL174" s="699">
        <f t="shared" si="531"/>
        <v>105</v>
      </c>
      <c r="AVM174" s="699">
        <f t="shared" si="532"/>
        <v>3496.42</v>
      </c>
      <c r="AVN174" s="699">
        <f t="shared" si="533"/>
        <v>2685.42</v>
      </c>
      <c r="AVO174" s="699">
        <f t="shared" si="534"/>
        <v>811</v>
      </c>
      <c r="AVP174" s="699">
        <f t="shared" si="535"/>
        <v>0</v>
      </c>
      <c r="AVQ174" s="699">
        <f t="shared" si="536"/>
        <v>22647.84</v>
      </c>
    </row>
    <row r="175" spans="1:108 1244:1265" ht="30" customHeight="1" x14ac:dyDescent="0.25">
      <c r="A175" s="643">
        <v>1</v>
      </c>
      <c r="B175" s="643">
        <v>7</v>
      </c>
      <c r="C175" s="664" t="s">
        <v>20</v>
      </c>
      <c r="D175" s="2"/>
      <c r="E175" s="101" t="s">
        <v>344</v>
      </c>
      <c r="F175" s="643" t="s">
        <v>31</v>
      </c>
      <c r="G175" s="643">
        <v>1</v>
      </c>
      <c r="H175" s="658" t="s">
        <v>8</v>
      </c>
      <c r="I175" s="643">
        <v>3</v>
      </c>
      <c r="J175" s="101" t="s">
        <v>357</v>
      </c>
      <c r="K175" s="643">
        <v>3</v>
      </c>
      <c r="L175" s="683" t="s">
        <v>349</v>
      </c>
      <c r="M175" s="11" t="s">
        <v>261</v>
      </c>
      <c r="N175" s="101" t="s">
        <v>401</v>
      </c>
      <c r="O175" s="643">
        <v>2</v>
      </c>
      <c r="P175" s="695">
        <v>24</v>
      </c>
      <c r="Q175" s="632">
        <v>24</v>
      </c>
      <c r="R175" s="632">
        <v>24</v>
      </c>
      <c r="S175" s="675">
        <f>SUMIF('Территориальный кк'!$A:$A,'2020'!$B175,'Территориальный кк'!D:D)</f>
        <v>2.169</v>
      </c>
      <c r="T175" s="676">
        <f>SUMIF('Территориальный кк'!$A:$A,'2020'!$B175,'Территориальный кк'!E:E)</f>
        <v>3.0059999999999998</v>
      </c>
      <c r="U175" s="618">
        <f>SUMIFS(Нормативы!G:G,Нормативы!$B:$B,$G175,Нормативы!$D:$D,'2020'!$I175,Нормативы!$F:$F,'2020'!$K175)*O175</f>
        <v>12838</v>
      </c>
      <c r="V175" s="618">
        <f t="shared" si="476"/>
        <v>9860.2000000000007</v>
      </c>
      <c r="W175" s="618">
        <f t="shared" si="477"/>
        <v>2977.8</v>
      </c>
      <c r="X175" s="618">
        <f>SUMIFS(Нормативы!J:J,Нормативы!$B:$B,$G175,Нормативы!$D:$D,'2020'!$I175,Нормативы!$F:$F,'2020'!$K175)</f>
        <v>883</v>
      </c>
      <c r="Y175" s="618">
        <f>SUMIFS(Нормативы!K:K,Нормативы!$B:$B,$G175,Нормативы!$D:$D,'2020'!$I175,Нормативы!$F:$F,'2020'!$K175)</f>
        <v>177</v>
      </c>
      <c r="Z175" s="618">
        <f>SUMIFS(Нормативы!L:L,Нормативы!$B:$B,$G175,Нормативы!$D:$D,'2020'!$I175,Нормативы!$F:$F,'2020'!$K175)</f>
        <v>811</v>
      </c>
      <c r="AA175" s="618">
        <f t="shared" si="478"/>
        <v>1993</v>
      </c>
      <c r="AB175" s="618">
        <f>SUMIFS(Нормативы!N:N,Нормативы!$B:$B,$G175,Нормативы!$D:$D,'2020'!$I175,Нормативы!$F:$F,'2020'!$K175)*O175</f>
        <v>104</v>
      </c>
      <c r="AC175" s="618">
        <f>SUMIFS(Нормативы!O:O,Нормативы!$B:$B,$G175,Нормативы!$D:$D,'2020'!$I175,Нормативы!$F:$F,'2020'!$K175)</f>
        <v>1729</v>
      </c>
      <c r="AD175" s="618">
        <f>SUMIFS(Нормативы!P:P,Нормативы!$B:$B,$G175,Нормативы!$D:$D,'2020'!$I175,Нормативы!$F:$F,'2020'!$K175)*O175</f>
        <v>72</v>
      </c>
      <c r="AE175" s="618">
        <f>SUMIFS(Нормативы!Q:Q,Нормативы!$B:$B,$G175,Нормативы!$D:$D,'2020'!$I175,Нормативы!$F:$F,'2020'!$K175)</f>
        <v>88</v>
      </c>
      <c r="AF175" s="618">
        <f>SUMIFS(Нормативы!R:R,Нормативы!$B:$B,$G175,Нормативы!$D:$D,'2020'!$I175,Нормативы!$F:$F,'2020'!$K175)</f>
        <v>268</v>
      </c>
      <c r="AG175" s="618">
        <f>SUMIFS(Нормативы!S:S,Нормативы!$B:$B,$G175,Нормативы!$D:$D,'2020'!$I175,Нормативы!$F:$F,'2020'!$K175)</f>
        <v>580</v>
      </c>
      <c r="AH175" s="618">
        <f>SUMIFS(Нормативы!T:T,Нормативы!$B:$B,$G175,Нормативы!$D:$D,'2020'!$I175,Нормативы!$F:$F,'2020'!$K175)</f>
        <v>54</v>
      </c>
      <c r="AI175" s="618">
        <f>SUMIFS(Нормативы!U:U,Нормативы!$B:$B,$G175,Нормативы!$D:$D,'2020'!$I175,Нормативы!$F:$F,'2020'!$K175)</f>
        <v>77</v>
      </c>
      <c r="AJ175" s="618">
        <f>SUMIFS(Нормативы!V:V,Нормативы!$B:$B,$G175,Нормативы!$D:$D,'2020'!$I175,Нормативы!$F:$F,'2020'!$K175)</f>
        <v>8</v>
      </c>
      <c r="AK175" s="618">
        <f>SUMIFS(Нормативы!W:W,Нормативы!$B:$B,$G175,Нормативы!$D:$D,'2020'!$I175,Нормативы!$F:$F,'2020'!$K175)</f>
        <v>105</v>
      </c>
      <c r="AL175" s="618">
        <f>SUMIFS(Нормативы!X:X,Нормативы!$B:$B,$G175,Нормативы!$D:$D,'2020'!$I175,Нормативы!$F:$F,'2020'!$K175)*O175</f>
        <v>3224</v>
      </c>
      <c r="AM175" s="618">
        <f t="shared" si="479"/>
        <v>2476.1999999999998</v>
      </c>
      <c r="AN175" s="618">
        <f t="shared" si="480"/>
        <v>747.8</v>
      </c>
      <c r="AO175" s="618">
        <f>SUMIFS(Нормативы!AA:AA,Нормативы!$B:$B,$G175,Нормативы!$D:$D,'2020'!$I175,Нормативы!$F:$F,'2020'!$K175)</f>
        <v>0</v>
      </c>
      <c r="AP175" s="619">
        <f t="shared" si="481"/>
        <v>20841</v>
      </c>
      <c r="AQ175" s="413">
        <f t="shared" si="418"/>
        <v>308112</v>
      </c>
      <c r="AR175" s="618">
        <f t="shared" si="482"/>
        <v>236645.2</v>
      </c>
      <c r="AS175" s="618">
        <f t="shared" si="483"/>
        <v>71466.8</v>
      </c>
      <c r="AT175" s="616">
        <f t="shared" si="419"/>
        <v>21192</v>
      </c>
      <c r="AU175" s="616">
        <f t="shared" si="420"/>
        <v>4248</v>
      </c>
      <c r="AV175" s="616">
        <f t="shared" si="421"/>
        <v>19464</v>
      </c>
      <c r="AW175" s="616">
        <f t="shared" si="422"/>
        <v>47832</v>
      </c>
      <c r="AX175" s="616">
        <f t="shared" si="423"/>
        <v>2496</v>
      </c>
      <c r="AY175" s="616">
        <f t="shared" si="424"/>
        <v>41496</v>
      </c>
      <c r="AZ175" s="616">
        <f t="shared" si="425"/>
        <v>1728</v>
      </c>
      <c r="BA175" s="616">
        <f t="shared" si="426"/>
        <v>2112</v>
      </c>
      <c r="BB175" s="616">
        <f t="shared" si="427"/>
        <v>6432</v>
      </c>
      <c r="BC175" s="616">
        <f t="shared" si="428"/>
        <v>13920</v>
      </c>
      <c r="BD175" s="616">
        <f t="shared" si="429"/>
        <v>1296</v>
      </c>
      <c r="BE175" s="616">
        <f t="shared" si="430"/>
        <v>1848</v>
      </c>
      <c r="BF175" s="616">
        <f t="shared" si="431"/>
        <v>192</v>
      </c>
      <c r="BG175" s="616">
        <f t="shared" si="432"/>
        <v>2520</v>
      </c>
      <c r="BH175" s="616">
        <f t="shared" si="433"/>
        <v>77376</v>
      </c>
      <c r="BI175" s="618">
        <f t="shared" si="484"/>
        <v>59428.6</v>
      </c>
      <c r="BJ175" s="618">
        <f t="shared" si="485"/>
        <v>17947.400000000001</v>
      </c>
      <c r="BK175" s="616">
        <f t="shared" si="434"/>
        <v>0</v>
      </c>
      <c r="BL175" s="620">
        <f t="shared" si="435"/>
        <v>500184</v>
      </c>
      <c r="BM175" s="616">
        <f t="shared" si="436"/>
        <v>668295</v>
      </c>
      <c r="BN175" s="618">
        <f t="shared" si="437"/>
        <v>513283.4</v>
      </c>
      <c r="BO175" s="618">
        <f t="shared" si="438"/>
        <v>155011.6</v>
      </c>
      <c r="BP175" s="616">
        <f t="shared" si="486"/>
        <v>21192</v>
      </c>
      <c r="BQ175" s="616">
        <f t="shared" si="487"/>
        <v>4248</v>
      </c>
      <c r="BR175" s="616">
        <f t="shared" si="488"/>
        <v>19464</v>
      </c>
      <c r="BS175" s="616">
        <f t="shared" si="439"/>
        <v>47832</v>
      </c>
      <c r="BT175" s="616">
        <f t="shared" si="440"/>
        <v>2496</v>
      </c>
      <c r="BU175" s="616">
        <f t="shared" si="441"/>
        <v>41496</v>
      </c>
      <c r="BV175" s="616">
        <f t="shared" si="442"/>
        <v>1728</v>
      </c>
      <c r="BW175" s="616">
        <f t="shared" si="443"/>
        <v>2112</v>
      </c>
      <c r="BX175" s="616">
        <f t="shared" si="444"/>
        <v>19335</v>
      </c>
      <c r="BY175" s="616">
        <f t="shared" si="445"/>
        <v>13920</v>
      </c>
      <c r="BZ175" s="616">
        <f t="shared" si="446"/>
        <v>1296</v>
      </c>
      <c r="CA175" s="616">
        <f t="shared" si="447"/>
        <v>1848</v>
      </c>
      <c r="CB175" s="616">
        <f t="shared" si="448"/>
        <v>192</v>
      </c>
      <c r="CC175" s="616">
        <f t="shared" si="449"/>
        <v>2520</v>
      </c>
      <c r="CD175" s="616">
        <f t="shared" si="450"/>
        <v>167829</v>
      </c>
      <c r="CE175" s="618">
        <f t="shared" si="489"/>
        <v>128900.9</v>
      </c>
      <c r="CF175" s="618">
        <f t="shared" si="490"/>
        <v>38928.1</v>
      </c>
      <c r="CG175" s="616">
        <f t="shared" si="451"/>
        <v>0</v>
      </c>
      <c r="CH175" s="621">
        <f t="shared" si="452"/>
        <v>963723</v>
      </c>
      <c r="CI175" s="88">
        <f t="shared" si="453"/>
        <v>27845.625</v>
      </c>
      <c r="CJ175" s="90">
        <f t="shared" si="454"/>
        <v>21386.808300000001</v>
      </c>
      <c r="CK175" s="90">
        <f t="shared" si="455"/>
        <v>6458.8167000000003</v>
      </c>
      <c r="CL175" s="88">
        <f t="shared" si="456"/>
        <v>883</v>
      </c>
      <c r="CM175" s="88">
        <f t="shared" si="457"/>
        <v>177</v>
      </c>
      <c r="CN175" s="88">
        <f t="shared" si="458"/>
        <v>811</v>
      </c>
      <c r="CO175" s="88">
        <f t="shared" si="459"/>
        <v>1993</v>
      </c>
      <c r="CP175" s="88">
        <f t="shared" si="460"/>
        <v>104</v>
      </c>
      <c r="CQ175" s="88">
        <f t="shared" si="461"/>
        <v>1729</v>
      </c>
      <c r="CR175" s="88">
        <f t="shared" si="462"/>
        <v>72</v>
      </c>
      <c r="CS175" s="88">
        <f t="shared" si="463"/>
        <v>88</v>
      </c>
      <c r="CT175" s="88">
        <f t="shared" si="464"/>
        <v>805.625</v>
      </c>
      <c r="CU175" s="88">
        <f t="shared" si="465"/>
        <v>580</v>
      </c>
      <c r="CV175" s="88">
        <f t="shared" si="466"/>
        <v>54</v>
      </c>
      <c r="CW175" s="88">
        <f t="shared" si="467"/>
        <v>77</v>
      </c>
      <c r="CX175" s="88">
        <f t="shared" si="468"/>
        <v>8</v>
      </c>
      <c r="CY175" s="88">
        <f t="shared" si="469"/>
        <v>105</v>
      </c>
      <c r="CZ175" s="88">
        <f t="shared" si="470"/>
        <v>6992.875</v>
      </c>
      <c r="DA175" s="90">
        <f t="shared" si="471"/>
        <v>5370.8707999999997</v>
      </c>
      <c r="DB175" s="90">
        <f t="shared" si="472"/>
        <v>1622.0042000000001</v>
      </c>
      <c r="DC175" s="88">
        <f t="shared" si="473"/>
        <v>0</v>
      </c>
      <c r="DD175" s="88">
        <f t="shared" si="474"/>
        <v>40155.125</v>
      </c>
      <c r="AUV175" s="699">
        <f t="shared" si="409"/>
        <v>27845.63</v>
      </c>
      <c r="AUW175" s="699">
        <f t="shared" si="410"/>
        <v>21386.81</v>
      </c>
      <c r="AUX175" s="699">
        <f t="shared" si="411"/>
        <v>6458.82</v>
      </c>
      <c r="AUY175" s="699">
        <f t="shared" si="520"/>
        <v>883</v>
      </c>
      <c r="AUZ175" s="699">
        <f t="shared" si="475"/>
        <v>1413.17</v>
      </c>
      <c r="AVA175" s="699">
        <f t="shared" si="475"/>
        <v>1.52</v>
      </c>
      <c r="AVB175" s="699">
        <f t="shared" si="521"/>
        <v>1993</v>
      </c>
      <c r="AVC175" s="699">
        <f t="shared" si="522"/>
        <v>104</v>
      </c>
      <c r="AVD175" s="699">
        <f t="shared" si="523"/>
        <v>1729</v>
      </c>
      <c r="AVE175" s="699">
        <f t="shared" si="524"/>
        <v>72</v>
      </c>
      <c r="AVF175" s="699">
        <f t="shared" si="525"/>
        <v>88</v>
      </c>
      <c r="AVG175" s="699">
        <f t="shared" si="526"/>
        <v>805.63</v>
      </c>
      <c r="AVH175" s="699">
        <f t="shared" si="527"/>
        <v>580</v>
      </c>
      <c r="AVI175" s="699">
        <f t="shared" si="528"/>
        <v>54</v>
      </c>
      <c r="AVJ175" s="699">
        <f t="shared" si="529"/>
        <v>77</v>
      </c>
      <c r="AVK175" s="699">
        <f t="shared" si="530"/>
        <v>8</v>
      </c>
      <c r="AVL175" s="699">
        <f t="shared" si="531"/>
        <v>105</v>
      </c>
      <c r="AVM175" s="699">
        <f t="shared" si="532"/>
        <v>6992.88</v>
      </c>
      <c r="AVN175" s="699">
        <f t="shared" si="533"/>
        <v>5370.88</v>
      </c>
      <c r="AVO175" s="699">
        <f t="shared" si="534"/>
        <v>1622</v>
      </c>
      <c r="AVP175" s="699">
        <f t="shared" si="535"/>
        <v>0</v>
      </c>
      <c r="AVQ175" s="699">
        <f t="shared" si="536"/>
        <v>40155.129999999997</v>
      </c>
    </row>
    <row r="176" spans="1:108 1244:1265" ht="30" customHeight="1" x14ac:dyDescent="0.25">
      <c r="A176" s="643">
        <v>1</v>
      </c>
      <c r="B176" s="643">
        <v>7</v>
      </c>
      <c r="C176" s="664" t="s">
        <v>20</v>
      </c>
      <c r="D176" s="2"/>
      <c r="E176" s="101" t="s">
        <v>344</v>
      </c>
      <c r="F176" s="643" t="s">
        <v>31</v>
      </c>
      <c r="G176" s="643">
        <v>1</v>
      </c>
      <c r="H176" s="658" t="s">
        <v>10</v>
      </c>
      <c r="I176" s="643">
        <v>0</v>
      </c>
      <c r="J176" s="101" t="s">
        <v>359</v>
      </c>
      <c r="K176" s="643">
        <v>1</v>
      </c>
      <c r="L176" s="683" t="s">
        <v>349</v>
      </c>
      <c r="M176" s="11" t="s">
        <v>263</v>
      </c>
      <c r="N176" s="101" t="s">
        <v>387</v>
      </c>
      <c r="O176" s="643">
        <v>1</v>
      </c>
      <c r="P176" s="695">
        <v>10</v>
      </c>
      <c r="Q176" s="632">
        <v>10</v>
      </c>
      <c r="R176" s="632">
        <v>10</v>
      </c>
      <c r="S176" s="675">
        <f>SUMIF('Территориальный кк'!$A:$A,'2020'!$B176,'Территориальный кк'!D:D)</f>
        <v>2.169</v>
      </c>
      <c r="T176" s="676">
        <f>SUMIF('Территориальный кк'!$A:$A,'2020'!$B176,'Территориальный кк'!E:E)</f>
        <v>3.0059999999999998</v>
      </c>
      <c r="U176" s="618">
        <f>SUMIFS(Нормативы!G:G,Нормативы!$B:$B,$G176,Нормативы!$D:$D,'2020'!$I176,Нормативы!$F:$F,'2020'!$K176)*O176</f>
        <v>54020</v>
      </c>
      <c r="V176" s="618">
        <f t="shared" si="476"/>
        <v>41490</v>
      </c>
      <c r="W176" s="618">
        <f t="shared" si="477"/>
        <v>12530</v>
      </c>
      <c r="X176" s="618">
        <f>SUMIFS(Нормативы!J:J,Нормативы!$B:$B,$G176,Нормативы!$D:$D,'2020'!$I176,Нормативы!$F:$F,'2020'!$K176)</f>
        <v>220</v>
      </c>
      <c r="Y176" s="618">
        <f>SUMIFS(Нормативы!K:K,Нормативы!$B:$B,$G176,Нормативы!$D:$D,'2020'!$I176,Нормативы!$F:$F,'2020'!$K176)</f>
        <v>44</v>
      </c>
      <c r="Z176" s="618">
        <f>SUMIFS(Нормативы!L:L,Нормативы!$B:$B,$G176,Нормативы!$D:$D,'2020'!$I176,Нормативы!$F:$F,'2020'!$K176)</f>
        <v>2320</v>
      </c>
      <c r="AA176" s="618">
        <f t="shared" si="478"/>
        <v>3710</v>
      </c>
      <c r="AB176" s="618">
        <f>SUMIFS(Нормативы!N:N,Нормативы!$B:$B,$G176,Нормативы!$D:$D,'2020'!$I176,Нормативы!$F:$F,'2020'!$K176)*O176</f>
        <v>520</v>
      </c>
      <c r="AC176" s="618">
        <f>SUMIFS(Нормативы!O:O,Нормативы!$B:$B,$G176,Нормативы!$D:$D,'2020'!$I176,Нормативы!$F:$F,'2020'!$K176)</f>
        <v>2140</v>
      </c>
      <c r="AD176" s="618">
        <f>SUMIFS(Нормативы!P:P,Нормативы!$B:$B,$G176,Нормативы!$D:$D,'2020'!$I176,Нормативы!$F:$F,'2020'!$K176)*O176</f>
        <v>310</v>
      </c>
      <c r="AE176" s="618">
        <f>SUMIFS(Нормативы!Q:Q,Нормативы!$B:$B,$G176,Нормативы!$D:$D,'2020'!$I176,Нормативы!$F:$F,'2020'!$K176)</f>
        <v>740</v>
      </c>
      <c r="AF176" s="618">
        <f>SUMIFS(Нормативы!R:R,Нормативы!$B:$B,$G176,Нормативы!$D:$D,'2020'!$I176,Нормативы!$F:$F,'2020'!$K176)</f>
        <v>2460</v>
      </c>
      <c r="AG176" s="618">
        <f>SUMIFS(Нормативы!S:S,Нормативы!$B:$B,$G176,Нормативы!$D:$D,'2020'!$I176,Нормативы!$F:$F,'2020'!$K176)</f>
        <v>5080</v>
      </c>
      <c r="AH176" s="618">
        <f>SUMIFS(Нормативы!T:T,Нормативы!$B:$B,$G176,Нормативы!$D:$D,'2020'!$I176,Нормативы!$F:$F,'2020'!$K176)</f>
        <v>540</v>
      </c>
      <c r="AI176" s="618">
        <f>SUMIFS(Нормативы!U:U,Нормативы!$B:$B,$G176,Нормативы!$D:$D,'2020'!$I176,Нормативы!$F:$F,'2020'!$K176)</f>
        <v>770</v>
      </c>
      <c r="AJ176" s="618">
        <f>SUMIFS(Нормативы!V:V,Нормативы!$B:$B,$G176,Нормативы!$D:$D,'2020'!$I176,Нормативы!$F:$F,'2020'!$K176)</f>
        <v>80</v>
      </c>
      <c r="AK176" s="618">
        <f>SUMIFS(Нормативы!W:W,Нормативы!$B:$B,$G176,Нормативы!$D:$D,'2020'!$I176,Нормативы!$F:$F,'2020'!$K176)</f>
        <v>300</v>
      </c>
      <c r="AL176" s="618">
        <f>SUMIFS(Нормативы!X:X,Нормативы!$B:$B,$G176,Нормативы!$D:$D,'2020'!$I176,Нормативы!$F:$F,'2020'!$K176)*O176</f>
        <v>13440</v>
      </c>
      <c r="AM176" s="618">
        <f t="shared" si="479"/>
        <v>10322.6</v>
      </c>
      <c r="AN176" s="618">
        <f t="shared" si="480"/>
        <v>3117.4</v>
      </c>
      <c r="AO176" s="618">
        <f>SUMIFS(Нормативы!AA:AA,Нормативы!$B:$B,$G176,Нормативы!$D:$D,'2020'!$I176,Нормативы!$F:$F,'2020'!$K176)</f>
        <v>3520</v>
      </c>
      <c r="AP176" s="619">
        <f t="shared" si="481"/>
        <v>86460</v>
      </c>
      <c r="AQ176" s="413">
        <f t="shared" si="418"/>
        <v>540200</v>
      </c>
      <c r="AR176" s="618">
        <f t="shared" si="482"/>
        <v>414900.2</v>
      </c>
      <c r="AS176" s="618">
        <f t="shared" si="483"/>
        <v>125299.8</v>
      </c>
      <c r="AT176" s="616">
        <f t="shared" si="419"/>
        <v>2200</v>
      </c>
      <c r="AU176" s="616">
        <f t="shared" si="420"/>
        <v>440</v>
      </c>
      <c r="AV176" s="616">
        <f t="shared" si="421"/>
        <v>23200</v>
      </c>
      <c r="AW176" s="616">
        <f t="shared" si="422"/>
        <v>37100</v>
      </c>
      <c r="AX176" s="616">
        <f t="shared" si="423"/>
        <v>5200</v>
      </c>
      <c r="AY176" s="616">
        <f t="shared" si="424"/>
        <v>21400</v>
      </c>
      <c r="AZ176" s="616">
        <f t="shared" si="425"/>
        <v>3100</v>
      </c>
      <c r="BA176" s="616">
        <f t="shared" si="426"/>
        <v>7400</v>
      </c>
      <c r="BB176" s="616">
        <f t="shared" si="427"/>
        <v>24600</v>
      </c>
      <c r="BC176" s="616">
        <f t="shared" si="428"/>
        <v>50800</v>
      </c>
      <c r="BD176" s="616">
        <f t="shared" si="429"/>
        <v>5400</v>
      </c>
      <c r="BE176" s="616">
        <f t="shared" si="430"/>
        <v>7700</v>
      </c>
      <c r="BF176" s="616">
        <f t="shared" si="431"/>
        <v>800</v>
      </c>
      <c r="BG176" s="616">
        <f t="shared" si="432"/>
        <v>3000</v>
      </c>
      <c r="BH176" s="616">
        <f t="shared" si="433"/>
        <v>134400</v>
      </c>
      <c r="BI176" s="618">
        <f t="shared" si="484"/>
        <v>103225.8</v>
      </c>
      <c r="BJ176" s="618">
        <f t="shared" si="485"/>
        <v>31174.2</v>
      </c>
      <c r="BK176" s="616">
        <f t="shared" si="434"/>
        <v>35200</v>
      </c>
      <c r="BL176" s="620">
        <f t="shared" si="435"/>
        <v>864600</v>
      </c>
      <c r="BM176" s="616">
        <f t="shared" si="436"/>
        <v>1171694</v>
      </c>
      <c r="BN176" s="618">
        <f t="shared" si="437"/>
        <v>899918.6</v>
      </c>
      <c r="BO176" s="618">
        <f t="shared" si="438"/>
        <v>271775.40000000002</v>
      </c>
      <c r="BP176" s="616">
        <f t="shared" si="486"/>
        <v>2200</v>
      </c>
      <c r="BQ176" s="616">
        <f t="shared" si="487"/>
        <v>440</v>
      </c>
      <c r="BR176" s="616">
        <f t="shared" si="488"/>
        <v>23200</v>
      </c>
      <c r="BS176" s="616">
        <f t="shared" si="439"/>
        <v>37100</v>
      </c>
      <c r="BT176" s="616">
        <f t="shared" si="440"/>
        <v>5200</v>
      </c>
      <c r="BU176" s="616">
        <f t="shared" si="441"/>
        <v>21400</v>
      </c>
      <c r="BV176" s="616">
        <f t="shared" si="442"/>
        <v>3100</v>
      </c>
      <c r="BW176" s="616">
        <f t="shared" si="443"/>
        <v>7400</v>
      </c>
      <c r="BX176" s="616">
        <f t="shared" si="444"/>
        <v>73948</v>
      </c>
      <c r="BY176" s="616">
        <f t="shared" si="445"/>
        <v>50800</v>
      </c>
      <c r="BZ176" s="616">
        <f t="shared" si="446"/>
        <v>5400</v>
      </c>
      <c r="CA176" s="616">
        <f t="shared" si="447"/>
        <v>7700</v>
      </c>
      <c r="CB176" s="616">
        <f t="shared" si="448"/>
        <v>800</v>
      </c>
      <c r="CC176" s="616">
        <f t="shared" si="449"/>
        <v>3000</v>
      </c>
      <c r="CD176" s="616">
        <f t="shared" si="450"/>
        <v>291514</v>
      </c>
      <c r="CE176" s="618">
        <f t="shared" si="489"/>
        <v>223897.1</v>
      </c>
      <c r="CF176" s="618">
        <f t="shared" si="490"/>
        <v>67616.899999999994</v>
      </c>
      <c r="CG176" s="616">
        <f t="shared" si="451"/>
        <v>35200</v>
      </c>
      <c r="CH176" s="621">
        <f t="shared" si="452"/>
        <v>1702556</v>
      </c>
      <c r="CI176" s="88">
        <f t="shared" si="453"/>
        <v>117169.4</v>
      </c>
      <c r="CJ176" s="90">
        <f t="shared" si="454"/>
        <v>89991.86</v>
      </c>
      <c r="CK176" s="90">
        <f t="shared" si="455"/>
        <v>27177.54</v>
      </c>
      <c r="CL176" s="88">
        <f t="shared" si="456"/>
        <v>220</v>
      </c>
      <c r="CM176" s="88">
        <f t="shared" si="457"/>
        <v>44</v>
      </c>
      <c r="CN176" s="88">
        <f t="shared" si="458"/>
        <v>2320</v>
      </c>
      <c r="CO176" s="88">
        <f t="shared" si="459"/>
        <v>3710</v>
      </c>
      <c r="CP176" s="88">
        <f t="shared" si="460"/>
        <v>520</v>
      </c>
      <c r="CQ176" s="88">
        <f t="shared" si="461"/>
        <v>2140</v>
      </c>
      <c r="CR176" s="88">
        <f t="shared" si="462"/>
        <v>310</v>
      </c>
      <c r="CS176" s="88">
        <f t="shared" si="463"/>
        <v>740</v>
      </c>
      <c r="CT176" s="88">
        <f t="shared" si="464"/>
        <v>7394.8</v>
      </c>
      <c r="CU176" s="88">
        <f t="shared" si="465"/>
        <v>5080</v>
      </c>
      <c r="CV176" s="88">
        <f t="shared" si="466"/>
        <v>540</v>
      </c>
      <c r="CW176" s="88">
        <f t="shared" si="467"/>
        <v>770</v>
      </c>
      <c r="CX176" s="88">
        <f t="shared" si="468"/>
        <v>80</v>
      </c>
      <c r="CY176" s="88">
        <f t="shared" si="469"/>
        <v>300</v>
      </c>
      <c r="CZ176" s="88">
        <f t="shared" si="470"/>
        <v>29151.4</v>
      </c>
      <c r="DA176" s="90">
        <f t="shared" si="471"/>
        <v>22389.71</v>
      </c>
      <c r="DB176" s="90">
        <f t="shared" si="472"/>
        <v>6761.69</v>
      </c>
      <c r="DC176" s="88">
        <f t="shared" si="473"/>
        <v>3520</v>
      </c>
      <c r="DD176" s="88">
        <f t="shared" si="474"/>
        <v>170255.6</v>
      </c>
      <c r="AUV176" s="699">
        <f t="shared" si="409"/>
        <v>117169.4</v>
      </c>
      <c r="AUW176" s="699">
        <f t="shared" si="410"/>
        <v>89991.86</v>
      </c>
      <c r="AUX176" s="699">
        <f t="shared" si="411"/>
        <v>27177.54</v>
      </c>
      <c r="AUY176" s="699">
        <f t="shared" si="520"/>
        <v>220</v>
      </c>
      <c r="AUZ176" s="699">
        <f t="shared" si="475"/>
        <v>146.37</v>
      </c>
      <c r="AVA176" s="699">
        <f t="shared" si="475"/>
        <v>0.43</v>
      </c>
      <c r="AVB176" s="699">
        <f t="shared" si="521"/>
        <v>3710</v>
      </c>
      <c r="AVC176" s="699">
        <f t="shared" si="522"/>
        <v>520</v>
      </c>
      <c r="AVD176" s="699">
        <f t="shared" si="523"/>
        <v>2140</v>
      </c>
      <c r="AVE176" s="699">
        <f t="shared" si="524"/>
        <v>310</v>
      </c>
      <c r="AVF176" s="699">
        <f t="shared" si="525"/>
        <v>740</v>
      </c>
      <c r="AVG176" s="699">
        <f t="shared" si="526"/>
        <v>7394.8</v>
      </c>
      <c r="AVH176" s="699">
        <f t="shared" si="527"/>
        <v>5080</v>
      </c>
      <c r="AVI176" s="699">
        <f t="shared" si="528"/>
        <v>540</v>
      </c>
      <c r="AVJ176" s="699">
        <f t="shared" si="529"/>
        <v>770</v>
      </c>
      <c r="AVK176" s="699">
        <f t="shared" si="530"/>
        <v>80</v>
      </c>
      <c r="AVL176" s="699">
        <f t="shared" si="531"/>
        <v>300</v>
      </c>
      <c r="AVM176" s="699">
        <f t="shared" si="532"/>
        <v>29151.4</v>
      </c>
      <c r="AVN176" s="699">
        <f t="shared" si="533"/>
        <v>22389.71</v>
      </c>
      <c r="AVO176" s="699">
        <f t="shared" si="534"/>
        <v>6761.69</v>
      </c>
      <c r="AVP176" s="699">
        <f t="shared" si="535"/>
        <v>3520</v>
      </c>
      <c r="AVQ176" s="699">
        <f t="shared" si="536"/>
        <v>170255.6</v>
      </c>
    </row>
    <row r="177" spans="1:1265" ht="30" customHeight="1" x14ac:dyDescent="0.25">
      <c r="A177" s="643">
        <v>1</v>
      </c>
      <c r="B177" s="643">
        <v>7</v>
      </c>
      <c r="C177" s="664" t="s">
        <v>20</v>
      </c>
      <c r="D177" s="2"/>
      <c r="E177" s="101" t="s">
        <v>344</v>
      </c>
      <c r="F177" s="643" t="s">
        <v>31</v>
      </c>
      <c r="G177" s="643">
        <v>1</v>
      </c>
      <c r="H177" s="658" t="s">
        <v>10</v>
      </c>
      <c r="I177" s="643">
        <v>0</v>
      </c>
      <c r="J177" s="101" t="s">
        <v>360</v>
      </c>
      <c r="K177" s="643">
        <v>3</v>
      </c>
      <c r="L177" s="683" t="s">
        <v>349</v>
      </c>
      <c r="M177" s="11" t="s">
        <v>265</v>
      </c>
      <c r="N177" s="101" t="s">
        <v>387</v>
      </c>
      <c r="O177" s="643">
        <v>1</v>
      </c>
      <c r="P177" s="695">
        <v>239</v>
      </c>
      <c r="Q177" s="632">
        <v>239</v>
      </c>
      <c r="R177" s="632">
        <v>239</v>
      </c>
      <c r="S177" s="675">
        <f>SUMIF('Территориальный кк'!$A:$A,'2020'!$B177,'Территориальный кк'!D:D)</f>
        <v>2.169</v>
      </c>
      <c r="T177" s="676">
        <f>SUMIF('Территориальный кк'!$A:$A,'2020'!$B177,'Территориальный кк'!E:E)</f>
        <v>3.0059999999999998</v>
      </c>
      <c r="U177" s="618">
        <f>SUMIFS(Нормативы!G:G,Нормативы!$B:$B,$G177,Нормативы!$D:$D,'2020'!$I177,Нормативы!$F:$F,'2020'!$K177)*O177</f>
        <v>64190</v>
      </c>
      <c r="V177" s="618">
        <f t="shared" si="476"/>
        <v>49301.1</v>
      </c>
      <c r="W177" s="618">
        <f t="shared" si="477"/>
        <v>14888.9</v>
      </c>
      <c r="X177" s="618">
        <f>SUMIFS(Нормативы!J:J,Нормативы!$B:$B,$G177,Нормативы!$D:$D,'2020'!$I177,Нормативы!$F:$F,'2020'!$K177)</f>
        <v>8830</v>
      </c>
      <c r="Y177" s="618">
        <f>SUMIFS(Нормативы!K:K,Нормативы!$B:$B,$G177,Нормативы!$D:$D,'2020'!$I177,Нормативы!$F:$F,'2020'!$K177)</f>
        <v>1766</v>
      </c>
      <c r="Z177" s="618">
        <f>SUMIFS(Нормативы!L:L,Нормативы!$B:$B,$G177,Нормативы!$D:$D,'2020'!$I177,Нормативы!$F:$F,'2020'!$K177)</f>
        <v>8110</v>
      </c>
      <c r="AA177" s="618">
        <f t="shared" si="478"/>
        <v>19050</v>
      </c>
      <c r="AB177" s="618">
        <f>SUMIFS(Нормативы!N:N,Нормативы!$B:$B,$G177,Нормативы!$D:$D,'2020'!$I177,Нормативы!$F:$F,'2020'!$K177)*O177</f>
        <v>520</v>
      </c>
      <c r="AC177" s="618">
        <f>SUMIFS(Нормативы!O:O,Нормативы!$B:$B,$G177,Нормативы!$D:$D,'2020'!$I177,Нормативы!$F:$F,'2020'!$K177)</f>
        <v>17290</v>
      </c>
      <c r="AD177" s="618">
        <f>SUMIFS(Нормативы!P:P,Нормативы!$B:$B,$G177,Нормативы!$D:$D,'2020'!$I177,Нормативы!$F:$F,'2020'!$K177)*O177</f>
        <v>360</v>
      </c>
      <c r="AE177" s="618">
        <f>SUMIFS(Нормативы!Q:Q,Нормативы!$B:$B,$G177,Нормативы!$D:$D,'2020'!$I177,Нормативы!$F:$F,'2020'!$K177)</f>
        <v>880</v>
      </c>
      <c r="AF177" s="618">
        <f>SUMIFS(Нормативы!R:R,Нормативы!$B:$B,$G177,Нормативы!$D:$D,'2020'!$I177,Нормативы!$F:$F,'2020'!$K177)</f>
        <v>2680</v>
      </c>
      <c r="AG177" s="618">
        <f>SUMIFS(Нормативы!S:S,Нормативы!$B:$B,$G177,Нормативы!$D:$D,'2020'!$I177,Нормативы!$F:$F,'2020'!$K177)</f>
        <v>5800</v>
      </c>
      <c r="AH177" s="618">
        <f>SUMIFS(Нормативы!T:T,Нормативы!$B:$B,$G177,Нормативы!$D:$D,'2020'!$I177,Нормативы!$F:$F,'2020'!$K177)</f>
        <v>540</v>
      </c>
      <c r="AI177" s="618">
        <f>SUMIFS(Нормативы!U:U,Нормативы!$B:$B,$G177,Нормативы!$D:$D,'2020'!$I177,Нормативы!$F:$F,'2020'!$K177)</f>
        <v>770</v>
      </c>
      <c r="AJ177" s="618">
        <f>SUMIFS(Нормативы!V:V,Нормативы!$B:$B,$G177,Нормативы!$D:$D,'2020'!$I177,Нормативы!$F:$F,'2020'!$K177)</f>
        <v>80</v>
      </c>
      <c r="AK177" s="618">
        <f>SUMIFS(Нормативы!W:W,Нормативы!$B:$B,$G177,Нормативы!$D:$D,'2020'!$I177,Нормативы!$F:$F,'2020'!$K177)</f>
        <v>1050</v>
      </c>
      <c r="AL177" s="618">
        <f>SUMIFS(Нормативы!X:X,Нормативы!$B:$B,$G177,Нормативы!$D:$D,'2020'!$I177,Нормативы!$F:$F,'2020'!$K177)*O177</f>
        <v>16120</v>
      </c>
      <c r="AM177" s="618">
        <f t="shared" si="479"/>
        <v>12381</v>
      </c>
      <c r="AN177" s="618">
        <f t="shared" si="480"/>
        <v>3739</v>
      </c>
      <c r="AO177" s="618">
        <f>SUMIFS(Нормативы!AA:AA,Нормативы!$B:$B,$G177,Нормативы!$D:$D,'2020'!$I177,Нормативы!$F:$F,'2020'!$K177)</f>
        <v>3520</v>
      </c>
      <c r="AP177" s="619">
        <f t="shared" si="481"/>
        <v>130740</v>
      </c>
      <c r="AQ177" s="413">
        <f t="shared" si="418"/>
        <v>15341410</v>
      </c>
      <c r="AR177" s="618">
        <f t="shared" si="482"/>
        <v>11782957</v>
      </c>
      <c r="AS177" s="618">
        <f t="shared" si="483"/>
        <v>3558453</v>
      </c>
      <c r="AT177" s="616">
        <f t="shared" si="419"/>
        <v>2110370</v>
      </c>
      <c r="AU177" s="616">
        <f t="shared" si="420"/>
        <v>422074</v>
      </c>
      <c r="AV177" s="616">
        <f t="shared" si="421"/>
        <v>1938290</v>
      </c>
      <c r="AW177" s="616">
        <f t="shared" si="422"/>
        <v>4552950</v>
      </c>
      <c r="AX177" s="616">
        <f t="shared" si="423"/>
        <v>124280</v>
      </c>
      <c r="AY177" s="616">
        <f t="shared" si="424"/>
        <v>4132310</v>
      </c>
      <c r="AZ177" s="616">
        <f t="shared" si="425"/>
        <v>86040</v>
      </c>
      <c r="BA177" s="616">
        <f t="shared" si="426"/>
        <v>210320</v>
      </c>
      <c r="BB177" s="616">
        <f t="shared" si="427"/>
        <v>640520</v>
      </c>
      <c r="BC177" s="616">
        <f t="shared" si="428"/>
        <v>1386200</v>
      </c>
      <c r="BD177" s="616">
        <f t="shared" si="429"/>
        <v>129060</v>
      </c>
      <c r="BE177" s="616">
        <f t="shared" si="430"/>
        <v>184030</v>
      </c>
      <c r="BF177" s="616">
        <f t="shared" si="431"/>
        <v>19120</v>
      </c>
      <c r="BG177" s="616">
        <f t="shared" si="432"/>
        <v>250950</v>
      </c>
      <c r="BH177" s="616">
        <f t="shared" si="433"/>
        <v>3852680</v>
      </c>
      <c r="BI177" s="618">
        <f t="shared" si="484"/>
        <v>2959047.6</v>
      </c>
      <c r="BJ177" s="618">
        <f t="shared" si="485"/>
        <v>893632.4</v>
      </c>
      <c r="BK177" s="616">
        <f t="shared" si="434"/>
        <v>841280</v>
      </c>
      <c r="BL177" s="620">
        <f t="shared" si="435"/>
        <v>31246860</v>
      </c>
      <c r="BM177" s="616">
        <f t="shared" si="436"/>
        <v>33275518</v>
      </c>
      <c r="BN177" s="618">
        <f t="shared" si="437"/>
        <v>25557233.5</v>
      </c>
      <c r="BO177" s="618">
        <f t="shared" si="438"/>
        <v>7718284.5</v>
      </c>
      <c r="BP177" s="616">
        <f t="shared" si="486"/>
        <v>2110370</v>
      </c>
      <c r="BQ177" s="616">
        <f t="shared" si="487"/>
        <v>422074</v>
      </c>
      <c r="BR177" s="616">
        <f t="shared" si="488"/>
        <v>1938290</v>
      </c>
      <c r="BS177" s="616">
        <f t="shared" si="439"/>
        <v>4552950</v>
      </c>
      <c r="BT177" s="616">
        <f t="shared" si="440"/>
        <v>124280</v>
      </c>
      <c r="BU177" s="616">
        <f t="shared" si="441"/>
        <v>4132310</v>
      </c>
      <c r="BV177" s="616">
        <f t="shared" si="442"/>
        <v>86040</v>
      </c>
      <c r="BW177" s="616">
        <f t="shared" si="443"/>
        <v>210320</v>
      </c>
      <c r="BX177" s="616">
        <f t="shared" si="444"/>
        <v>1925403</v>
      </c>
      <c r="BY177" s="616">
        <f t="shared" si="445"/>
        <v>1386200</v>
      </c>
      <c r="BZ177" s="616">
        <f t="shared" si="446"/>
        <v>129060</v>
      </c>
      <c r="CA177" s="616">
        <f t="shared" si="447"/>
        <v>184030</v>
      </c>
      <c r="CB177" s="616">
        <f t="shared" si="448"/>
        <v>19120</v>
      </c>
      <c r="CC177" s="616">
        <f t="shared" si="449"/>
        <v>250950</v>
      </c>
      <c r="CD177" s="616">
        <f t="shared" si="450"/>
        <v>8356463</v>
      </c>
      <c r="CE177" s="618">
        <f t="shared" si="489"/>
        <v>6418174.2999999998</v>
      </c>
      <c r="CF177" s="618">
        <f t="shared" si="490"/>
        <v>1938288.7</v>
      </c>
      <c r="CG177" s="616">
        <f t="shared" si="451"/>
        <v>841280</v>
      </c>
      <c r="CH177" s="621">
        <f t="shared" si="452"/>
        <v>54969634</v>
      </c>
      <c r="CI177" s="88">
        <f t="shared" si="453"/>
        <v>139228.10879999999</v>
      </c>
      <c r="CJ177" s="90">
        <f t="shared" si="454"/>
        <v>106934.03140000001</v>
      </c>
      <c r="CK177" s="90">
        <f t="shared" si="455"/>
        <v>32294.077399999998</v>
      </c>
      <c r="CL177" s="88">
        <f t="shared" si="456"/>
        <v>8830</v>
      </c>
      <c r="CM177" s="88">
        <f t="shared" si="457"/>
        <v>1766</v>
      </c>
      <c r="CN177" s="88">
        <f t="shared" si="458"/>
        <v>8110</v>
      </c>
      <c r="CO177" s="88">
        <f t="shared" si="459"/>
        <v>19050</v>
      </c>
      <c r="CP177" s="88">
        <f t="shared" si="460"/>
        <v>520</v>
      </c>
      <c r="CQ177" s="88">
        <f t="shared" si="461"/>
        <v>17290</v>
      </c>
      <c r="CR177" s="88">
        <f t="shared" si="462"/>
        <v>360</v>
      </c>
      <c r="CS177" s="88">
        <f t="shared" si="463"/>
        <v>880</v>
      </c>
      <c r="CT177" s="88">
        <f t="shared" si="464"/>
        <v>8056.0794999999998</v>
      </c>
      <c r="CU177" s="88">
        <f t="shared" si="465"/>
        <v>5800</v>
      </c>
      <c r="CV177" s="88">
        <f t="shared" si="466"/>
        <v>540</v>
      </c>
      <c r="CW177" s="88">
        <f t="shared" si="467"/>
        <v>770</v>
      </c>
      <c r="CX177" s="88">
        <f t="shared" si="468"/>
        <v>80</v>
      </c>
      <c r="CY177" s="88">
        <f t="shared" si="469"/>
        <v>1050</v>
      </c>
      <c r="CZ177" s="88">
        <f t="shared" si="470"/>
        <v>34964.280299999999</v>
      </c>
      <c r="DA177" s="90">
        <f t="shared" si="471"/>
        <v>26854.285800000001</v>
      </c>
      <c r="DB177" s="90">
        <f t="shared" si="472"/>
        <v>8109.9946</v>
      </c>
      <c r="DC177" s="88">
        <f t="shared" si="473"/>
        <v>3520</v>
      </c>
      <c r="DD177" s="88">
        <f t="shared" si="474"/>
        <v>229998.46859999999</v>
      </c>
      <c r="AUV177" s="699">
        <f t="shared" si="409"/>
        <v>139228.10999999999</v>
      </c>
      <c r="AUW177" s="699">
        <f t="shared" si="410"/>
        <v>106934.03</v>
      </c>
      <c r="AUX177" s="699">
        <f t="shared" si="411"/>
        <v>32294.080000000002</v>
      </c>
      <c r="AUY177" s="699">
        <f t="shared" si="520"/>
        <v>8830</v>
      </c>
      <c r="AUZ177" s="699">
        <f t="shared" si="475"/>
        <v>140410.51</v>
      </c>
      <c r="AVA177" s="699">
        <f t="shared" si="475"/>
        <v>30.2</v>
      </c>
      <c r="AVB177" s="699">
        <f t="shared" si="521"/>
        <v>19050</v>
      </c>
      <c r="AVC177" s="699">
        <f t="shared" si="522"/>
        <v>520</v>
      </c>
      <c r="AVD177" s="699">
        <f t="shared" si="523"/>
        <v>17290</v>
      </c>
      <c r="AVE177" s="699">
        <f t="shared" si="524"/>
        <v>360</v>
      </c>
      <c r="AVF177" s="699">
        <f t="shared" si="525"/>
        <v>880</v>
      </c>
      <c r="AVG177" s="699">
        <f t="shared" si="526"/>
        <v>8056.08</v>
      </c>
      <c r="AVH177" s="699">
        <f t="shared" si="527"/>
        <v>5800</v>
      </c>
      <c r="AVI177" s="699">
        <f t="shared" si="528"/>
        <v>540</v>
      </c>
      <c r="AVJ177" s="699">
        <f t="shared" si="529"/>
        <v>770</v>
      </c>
      <c r="AVK177" s="699">
        <f t="shared" si="530"/>
        <v>80</v>
      </c>
      <c r="AVL177" s="699">
        <f t="shared" si="531"/>
        <v>1050</v>
      </c>
      <c r="AVM177" s="699">
        <f t="shared" si="532"/>
        <v>34964.28</v>
      </c>
      <c r="AVN177" s="699">
        <f t="shared" si="533"/>
        <v>26854.29</v>
      </c>
      <c r="AVO177" s="699">
        <f t="shared" si="534"/>
        <v>8109.99</v>
      </c>
      <c r="AVP177" s="699">
        <f t="shared" si="535"/>
        <v>3520</v>
      </c>
      <c r="AVQ177" s="699">
        <f t="shared" si="536"/>
        <v>229998.47</v>
      </c>
    </row>
    <row r="178" spans="1:1265" ht="30" customHeight="1" x14ac:dyDescent="0.25">
      <c r="A178" s="643">
        <v>1</v>
      </c>
      <c r="B178" s="643">
        <v>7</v>
      </c>
      <c r="C178" s="664" t="s">
        <v>20</v>
      </c>
      <c r="D178" s="2"/>
      <c r="E178" s="101" t="s">
        <v>344</v>
      </c>
      <c r="F178" s="643" t="s">
        <v>31</v>
      </c>
      <c r="G178" s="643">
        <v>1</v>
      </c>
      <c r="H178" s="658" t="s">
        <v>8</v>
      </c>
      <c r="I178" s="643">
        <v>3</v>
      </c>
      <c r="J178" s="101" t="s">
        <v>360</v>
      </c>
      <c r="K178" s="643">
        <v>3</v>
      </c>
      <c r="L178" s="683" t="s">
        <v>349</v>
      </c>
      <c r="M178" s="11" t="s">
        <v>266</v>
      </c>
      <c r="N178" s="101" t="s">
        <v>387</v>
      </c>
      <c r="O178" s="643">
        <v>1</v>
      </c>
      <c r="P178" s="695">
        <v>122</v>
      </c>
      <c r="Q178" s="632">
        <v>122</v>
      </c>
      <c r="R178" s="632">
        <v>122</v>
      </c>
      <c r="S178" s="675">
        <f>SUMIF('Территориальный кк'!$A:$A,'2020'!$B178,'Территориальный кк'!D:D)</f>
        <v>2.169</v>
      </c>
      <c r="T178" s="676">
        <f>SUMIF('Территориальный кк'!$A:$A,'2020'!$B178,'Территориальный кк'!E:E)</f>
        <v>3.0059999999999998</v>
      </c>
      <c r="U178" s="618">
        <f>SUMIFS(Нормативы!G:G,Нормативы!$B:$B,$G178,Нормативы!$D:$D,'2020'!$I178,Нормативы!$F:$F,'2020'!$K178)*O178</f>
        <v>6419</v>
      </c>
      <c r="V178" s="618">
        <f t="shared" si="476"/>
        <v>4930.1000000000004</v>
      </c>
      <c r="W178" s="618">
        <f t="shared" si="477"/>
        <v>1488.9</v>
      </c>
      <c r="X178" s="618">
        <f>SUMIFS(Нормативы!J:J,Нормативы!$B:$B,$G178,Нормативы!$D:$D,'2020'!$I178,Нормативы!$F:$F,'2020'!$K178)</f>
        <v>883</v>
      </c>
      <c r="Y178" s="618">
        <f>SUMIFS(Нормативы!K:K,Нормативы!$B:$B,$G178,Нормативы!$D:$D,'2020'!$I178,Нормативы!$F:$F,'2020'!$K178)</f>
        <v>177</v>
      </c>
      <c r="Z178" s="618">
        <f>SUMIFS(Нормативы!L:L,Нормативы!$B:$B,$G178,Нормативы!$D:$D,'2020'!$I178,Нормативы!$F:$F,'2020'!$K178)</f>
        <v>811</v>
      </c>
      <c r="AA178" s="618">
        <f t="shared" si="478"/>
        <v>1905</v>
      </c>
      <c r="AB178" s="618">
        <f>SUMIFS(Нормативы!N:N,Нормативы!$B:$B,$G178,Нормативы!$D:$D,'2020'!$I178,Нормативы!$F:$F,'2020'!$K178)*O178</f>
        <v>52</v>
      </c>
      <c r="AC178" s="618">
        <f>SUMIFS(Нормативы!O:O,Нормативы!$B:$B,$G178,Нормативы!$D:$D,'2020'!$I178,Нормативы!$F:$F,'2020'!$K178)</f>
        <v>1729</v>
      </c>
      <c r="AD178" s="618">
        <f>SUMIFS(Нормативы!P:P,Нормативы!$B:$B,$G178,Нормативы!$D:$D,'2020'!$I178,Нормативы!$F:$F,'2020'!$K178)*O178</f>
        <v>36</v>
      </c>
      <c r="AE178" s="618">
        <f>SUMIFS(Нормативы!Q:Q,Нормативы!$B:$B,$G178,Нормативы!$D:$D,'2020'!$I178,Нормативы!$F:$F,'2020'!$K178)</f>
        <v>88</v>
      </c>
      <c r="AF178" s="618">
        <f>SUMIFS(Нормативы!R:R,Нормативы!$B:$B,$G178,Нормативы!$D:$D,'2020'!$I178,Нормативы!$F:$F,'2020'!$K178)</f>
        <v>268</v>
      </c>
      <c r="AG178" s="618">
        <f>SUMIFS(Нормативы!S:S,Нормативы!$B:$B,$G178,Нормативы!$D:$D,'2020'!$I178,Нормативы!$F:$F,'2020'!$K178)</f>
        <v>580</v>
      </c>
      <c r="AH178" s="618">
        <f>SUMIFS(Нормативы!T:T,Нормативы!$B:$B,$G178,Нормативы!$D:$D,'2020'!$I178,Нормативы!$F:$F,'2020'!$K178)</f>
        <v>54</v>
      </c>
      <c r="AI178" s="618">
        <f>SUMIFS(Нормативы!U:U,Нормативы!$B:$B,$G178,Нормативы!$D:$D,'2020'!$I178,Нормативы!$F:$F,'2020'!$K178)</f>
        <v>77</v>
      </c>
      <c r="AJ178" s="618">
        <f>SUMIFS(Нормативы!V:V,Нормативы!$B:$B,$G178,Нормативы!$D:$D,'2020'!$I178,Нормативы!$F:$F,'2020'!$K178)</f>
        <v>8</v>
      </c>
      <c r="AK178" s="618">
        <f>SUMIFS(Нормативы!W:W,Нормативы!$B:$B,$G178,Нормативы!$D:$D,'2020'!$I178,Нормативы!$F:$F,'2020'!$K178)</f>
        <v>105</v>
      </c>
      <c r="AL178" s="618">
        <f>SUMIFS(Нормативы!X:X,Нормативы!$B:$B,$G178,Нормативы!$D:$D,'2020'!$I178,Нормативы!$F:$F,'2020'!$K178)*O178</f>
        <v>1612</v>
      </c>
      <c r="AM178" s="618">
        <f t="shared" si="479"/>
        <v>1238.0999999999999</v>
      </c>
      <c r="AN178" s="618">
        <f t="shared" si="480"/>
        <v>373.9</v>
      </c>
      <c r="AO178" s="618">
        <f>SUMIFS(Нормативы!AA:AA,Нормативы!$B:$B,$G178,Нормативы!$D:$D,'2020'!$I178,Нормативы!$F:$F,'2020'!$K178)</f>
        <v>0</v>
      </c>
      <c r="AP178" s="619">
        <f t="shared" si="481"/>
        <v>12722</v>
      </c>
      <c r="AQ178" s="413">
        <f t="shared" si="418"/>
        <v>783118</v>
      </c>
      <c r="AR178" s="618">
        <f t="shared" si="482"/>
        <v>601473.1</v>
      </c>
      <c r="AS178" s="618">
        <f t="shared" si="483"/>
        <v>181644.9</v>
      </c>
      <c r="AT178" s="616">
        <f t="shared" si="419"/>
        <v>107726</v>
      </c>
      <c r="AU178" s="616">
        <f t="shared" si="420"/>
        <v>21594</v>
      </c>
      <c r="AV178" s="616">
        <f t="shared" si="421"/>
        <v>98942</v>
      </c>
      <c r="AW178" s="616">
        <f t="shared" si="422"/>
        <v>232410</v>
      </c>
      <c r="AX178" s="616">
        <f t="shared" si="423"/>
        <v>6344</v>
      </c>
      <c r="AY178" s="616">
        <f t="shared" si="424"/>
        <v>210938</v>
      </c>
      <c r="AZ178" s="616">
        <f t="shared" si="425"/>
        <v>4392</v>
      </c>
      <c r="BA178" s="616">
        <f t="shared" si="426"/>
        <v>10736</v>
      </c>
      <c r="BB178" s="616">
        <f t="shared" si="427"/>
        <v>32696</v>
      </c>
      <c r="BC178" s="616">
        <f t="shared" si="428"/>
        <v>70760</v>
      </c>
      <c r="BD178" s="616">
        <f t="shared" si="429"/>
        <v>6588</v>
      </c>
      <c r="BE178" s="616">
        <f t="shared" si="430"/>
        <v>9394</v>
      </c>
      <c r="BF178" s="616">
        <f t="shared" si="431"/>
        <v>976</v>
      </c>
      <c r="BG178" s="616">
        <f t="shared" si="432"/>
        <v>12810</v>
      </c>
      <c r="BH178" s="616">
        <f t="shared" si="433"/>
        <v>196664</v>
      </c>
      <c r="BI178" s="618">
        <f t="shared" si="484"/>
        <v>151047.6</v>
      </c>
      <c r="BJ178" s="618">
        <f t="shared" si="485"/>
        <v>45616.4</v>
      </c>
      <c r="BK178" s="616">
        <f t="shared" si="434"/>
        <v>0</v>
      </c>
      <c r="BL178" s="620">
        <f t="shared" si="435"/>
        <v>1552084</v>
      </c>
      <c r="BM178" s="616">
        <f t="shared" si="436"/>
        <v>1698583</v>
      </c>
      <c r="BN178" s="618">
        <f t="shared" si="437"/>
        <v>1304595.2</v>
      </c>
      <c r="BO178" s="618">
        <f t="shared" si="438"/>
        <v>393987.8</v>
      </c>
      <c r="BP178" s="616">
        <f t="shared" si="486"/>
        <v>107726</v>
      </c>
      <c r="BQ178" s="616">
        <f t="shared" si="487"/>
        <v>21594</v>
      </c>
      <c r="BR178" s="616">
        <f t="shared" si="488"/>
        <v>98942</v>
      </c>
      <c r="BS178" s="616">
        <f t="shared" si="439"/>
        <v>232410</v>
      </c>
      <c r="BT178" s="616">
        <f t="shared" si="440"/>
        <v>6344</v>
      </c>
      <c r="BU178" s="616">
        <f t="shared" si="441"/>
        <v>210938</v>
      </c>
      <c r="BV178" s="616">
        <f t="shared" si="442"/>
        <v>4392</v>
      </c>
      <c r="BW178" s="616">
        <f t="shared" si="443"/>
        <v>10736</v>
      </c>
      <c r="BX178" s="616">
        <f t="shared" si="444"/>
        <v>98284</v>
      </c>
      <c r="BY178" s="616">
        <f t="shared" si="445"/>
        <v>70760</v>
      </c>
      <c r="BZ178" s="616">
        <f t="shared" si="446"/>
        <v>6588</v>
      </c>
      <c r="CA178" s="616">
        <f t="shared" si="447"/>
        <v>9394</v>
      </c>
      <c r="CB178" s="616">
        <f t="shared" si="448"/>
        <v>976</v>
      </c>
      <c r="CC178" s="616">
        <f t="shared" si="449"/>
        <v>12810</v>
      </c>
      <c r="CD178" s="616">
        <f t="shared" si="450"/>
        <v>426564</v>
      </c>
      <c r="CE178" s="618">
        <f t="shared" si="489"/>
        <v>327622.09999999998</v>
      </c>
      <c r="CF178" s="618">
        <f t="shared" si="490"/>
        <v>98941.9</v>
      </c>
      <c r="CG178" s="616">
        <f t="shared" si="451"/>
        <v>0</v>
      </c>
      <c r="CH178" s="621">
        <f t="shared" si="452"/>
        <v>2763037</v>
      </c>
      <c r="CI178" s="88">
        <f t="shared" si="453"/>
        <v>13922.8115</v>
      </c>
      <c r="CJ178" s="90">
        <f t="shared" si="454"/>
        <v>10693.4033</v>
      </c>
      <c r="CK178" s="90">
        <f t="shared" si="455"/>
        <v>3229.4081999999999</v>
      </c>
      <c r="CL178" s="88">
        <f t="shared" si="456"/>
        <v>883</v>
      </c>
      <c r="CM178" s="88">
        <f t="shared" si="457"/>
        <v>177</v>
      </c>
      <c r="CN178" s="88">
        <f t="shared" si="458"/>
        <v>811</v>
      </c>
      <c r="CO178" s="88">
        <f t="shared" si="459"/>
        <v>1905</v>
      </c>
      <c r="CP178" s="88">
        <f t="shared" si="460"/>
        <v>52</v>
      </c>
      <c r="CQ178" s="88">
        <f t="shared" si="461"/>
        <v>1729</v>
      </c>
      <c r="CR178" s="88">
        <f t="shared" si="462"/>
        <v>36</v>
      </c>
      <c r="CS178" s="88">
        <f t="shared" si="463"/>
        <v>88</v>
      </c>
      <c r="CT178" s="88">
        <f t="shared" si="464"/>
        <v>805.60659999999996</v>
      </c>
      <c r="CU178" s="88">
        <f t="shared" si="465"/>
        <v>580</v>
      </c>
      <c r="CV178" s="88">
        <f t="shared" si="466"/>
        <v>54</v>
      </c>
      <c r="CW178" s="88">
        <f t="shared" si="467"/>
        <v>77</v>
      </c>
      <c r="CX178" s="88">
        <f t="shared" si="468"/>
        <v>8</v>
      </c>
      <c r="CY178" s="88">
        <f t="shared" si="469"/>
        <v>105</v>
      </c>
      <c r="CZ178" s="88">
        <f t="shared" si="470"/>
        <v>3496.4261999999999</v>
      </c>
      <c r="DA178" s="90">
        <f t="shared" si="471"/>
        <v>2685.4270000000001</v>
      </c>
      <c r="DB178" s="90">
        <f t="shared" si="472"/>
        <v>810.99919999999997</v>
      </c>
      <c r="DC178" s="88">
        <f t="shared" si="473"/>
        <v>0</v>
      </c>
      <c r="DD178" s="88">
        <f t="shared" si="474"/>
        <v>22647.844300000001</v>
      </c>
      <c r="AUV178" s="699">
        <f t="shared" si="409"/>
        <v>13922.81</v>
      </c>
      <c r="AUW178" s="699">
        <f t="shared" si="410"/>
        <v>10693.4</v>
      </c>
      <c r="AUX178" s="699">
        <f t="shared" si="411"/>
        <v>3229.41</v>
      </c>
      <c r="AUY178" s="699">
        <f t="shared" si="520"/>
        <v>883</v>
      </c>
      <c r="AUZ178" s="699">
        <f t="shared" si="475"/>
        <v>7183.63</v>
      </c>
      <c r="AVA178" s="699">
        <f t="shared" si="475"/>
        <v>15.41</v>
      </c>
      <c r="AVB178" s="699">
        <f t="shared" si="521"/>
        <v>1905</v>
      </c>
      <c r="AVC178" s="699">
        <f t="shared" si="522"/>
        <v>52</v>
      </c>
      <c r="AVD178" s="699">
        <f t="shared" si="523"/>
        <v>1729</v>
      </c>
      <c r="AVE178" s="699">
        <f t="shared" si="524"/>
        <v>36</v>
      </c>
      <c r="AVF178" s="699">
        <f t="shared" si="525"/>
        <v>88</v>
      </c>
      <c r="AVG178" s="699">
        <f t="shared" si="526"/>
        <v>805.61</v>
      </c>
      <c r="AVH178" s="699">
        <f t="shared" si="527"/>
        <v>580</v>
      </c>
      <c r="AVI178" s="699">
        <f t="shared" si="528"/>
        <v>54</v>
      </c>
      <c r="AVJ178" s="699">
        <f t="shared" si="529"/>
        <v>77</v>
      </c>
      <c r="AVK178" s="699">
        <f t="shared" si="530"/>
        <v>8</v>
      </c>
      <c r="AVL178" s="699">
        <f t="shared" si="531"/>
        <v>105</v>
      </c>
      <c r="AVM178" s="699">
        <f t="shared" si="532"/>
        <v>3496.43</v>
      </c>
      <c r="AVN178" s="699">
        <f t="shared" si="533"/>
        <v>2685.43</v>
      </c>
      <c r="AVO178" s="699">
        <f t="shared" si="534"/>
        <v>811</v>
      </c>
      <c r="AVP178" s="699">
        <f t="shared" si="535"/>
        <v>0</v>
      </c>
      <c r="AVQ178" s="699">
        <f t="shared" si="536"/>
        <v>22647.84</v>
      </c>
    </row>
    <row r="179" spans="1:1265" ht="30" customHeight="1" x14ac:dyDescent="0.25">
      <c r="A179" s="643">
        <v>1</v>
      </c>
      <c r="B179" s="643">
        <v>7</v>
      </c>
      <c r="C179" s="664" t="s">
        <v>20</v>
      </c>
      <c r="D179" s="2"/>
      <c r="E179" s="101" t="s">
        <v>345</v>
      </c>
      <c r="F179" s="643" t="s">
        <v>38</v>
      </c>
      <c r="G179" s="643">
        <v>2</v>
      </c>
      <c r="H179" s="658" t="s">
        <v>10</v>
      </c>
      <c r="I179" s="643">
        <v>0</v>
      </c>
      <c r="J179" s="101" t="s">
        <v>361</v>
      </c>
      <c r="K179" s="643">
        <v>3</v>
      </c>
      <c r="L179" s="683" t="s">
        <v>350</v>
      </c>
      <c r="M179" s="11" t="s">
        <v>267</v>
      </c>
      <c r="N179" s="101" t="s">
        <v>387</v>
      </c>
      <c r="O179" s="643">
        <v>1</v>
      </c>
      <c r="P179" s="695">
        <v>16</v>
      </c>
      <c r="Q179" s="632">
        <v>16</v>
      </c>
      <c r="R179" s="632">
        <v>16</v>
      </c>
      <c r="S179" s="675">
        <f>SUMIF('Территориальный кк'!$A:$A,'2020'!$B179,'Территориальный кк'!D:D)</f>
        <v>2.169</v>
      </c>
      <c r="T179" s="676">
        <f>SUMIF('Территориальный кк'!$A:$A,'2020'!$B179,'Территориальный кк'!E:E)</f>
        <v>3.0059999999999998</v>
      </c>
      <c r="U179" s="618">
        <f>SUMIFS(Нормативы!G:G,Нормативы!$B:$B,$G179,Нормативы!$D:$D,'2020'!$I179,Нормативы!$F:$F,'2020'!$K179)*O179</f>
        <v>70600</v>
      </c>
      <c r="V179" s="618">
        <f t="shared" si="476"/>
        <v>54224.3</v>
      </c>
      <c r="W179" s="618">
        <f t="shared" si="477"/>
        <v>16375.7</v>
      </c>
      <c r="X179" s="618">
        <f>SUMIFS(Нормативы!J:J,Нормативы!$B:$B,$G179,Нормативы!$D:$D,'2020'!$I179,Нормативы!$F:$F,'2020'!$K179)</f>
        <v>8860</v>
      </c>
      <c r="Y179" s="618">
        <f>SUMIFS(Нормативы!K:K,Нормативы!$B:$B,$G179,Нормативы!$D:$D,'2020'!$I179,Нормативы!$F:$F,'2020'!$K179)</f>
        <v>0</v>
      </c>
      <c r="Z179" s="618">
        <f>SUMIFS(Нормативы!L:L,Нормативы!$B:$B,$G179,Нормативы!$D:$D,'2020'!$I179,Нормативы!$F:$F,'2020'!$K179)</f>
        <v>8110</v>
      </c>
      <c r="AA179" s="618">
        <f t="shared" si="478"/>
        <v>21610</v>
      </c>
      <c r="AB179" s="618">
        <f>SUMIFS(Нормативы!N:N,Нормативы!$B:$B,$G179,Нормативы!$D:$D,'2020'!$I179,Нормативы!$F:$F,'2020'!$K179)*O179</f>
        <v>520</v>
      </c>
      <c r="AC179" s="618">
        <f>SUMIFS(Нормативы!O:O,Нормативы!$B:$B,$G179,Нормативы!$D:$D,'2020'!$I179,Нормативы!$F:$F,'2020'!$K179)</f>
        <v>19720</v>
      </c>
      <c r="AD179" s="618">
        <f>SUMIFS(Нормативы!P:P,Нормативы!$B:$B,$G179,Нормативы!$D:$D,'2020'!$I179,Нормативы!$F:$F,'2020'!$K179)*O179</f>
        <v>400</v>
      </c>
      <c r="AE179" s="618">
        <f>SUMIFS(Нормативы!Q:Q,Нормативы!$B:$B,$G179,Нормативы!$D:$D,'2020'!$I179,Нормативы!$F:$F,'2020'!$K179)</f>
        <v>970</v>
      </c>
      <c r="AF179" s="618">
        <f>SUMIFS(Нормативы!R:R,Нормативы!$B:$B,$G179,Нормативы!$D:$D,'2020'!$I179,Нормативы!$F:$F,'2020'!$K179)</f>
        <v>2680</v>
      </c>
      <c r="AG179" s="618">
        <f>SUMIFS(Нормативы!S:S,Нормативы!$B:$B,$G179,Нормативы!$D:$D,'2020'!$I179,Нормативы!$F:$F,'2020'!$K179)</f>
        <v>5800</v>
      </c>
      <c r="AH179" s="618">
        <f>SUMIFS(Нормативы!T:T,Нормативы!$B:$B,$G179,Нормативы!$D:$D,'2020'!$I179,Нормативы!$F:$F,'2020'!$K179)</f>
        <v>540</v>
      </c>
      <c r="AI179" s="618">
        <f>SUMIFS(Нормативы!U:U,Нормативы!$B:$B,$G179,Нормативы!$D:$D,'2020'!$I179,Нормативы!$F:$F,'2020'!$K179)</f>
        <v>770</v>
      </c>
      <c r="AJ179" s="618">
        <f>SUMIFS(Нормативы!V:V,Нормативы!$B:$B,$G179,Нормативы!$D:$D,'2020'!$I179,Нормативы!$F:$F,'2020'!$K179)</f>
        <v>80</v>
      </c>
      <c r="AK179" s="618">
        <f>SUMIFS(Нормативы!W:W,Нормативы!$B:$B,$G179,Нормативы!$D:$D,'2020'!$I179,Нормативы!$F:$F,'2020'!$K179)</f>
        <v>330</v>
      </c>
      <c r="AL179" s="618">
        <f>SUMIFS(Нормативы!X:X,Нормативы!$B:$B,$G179,Нормативы!$D:$D,'2020'!$I179,Нормативы!$F:$F,'2020'!$K179)*O179</f>
        <v>16120</v>
      </c>
      <c r="AM179" s="618">
        <f t="shared" si="479"/>
        <v>12381</v>
      </c>
      <c r="AN179" s="618">
        <f t="shared" si="480"/>
        <v>3739</v>
      </c>
      <c r="AO179" s="618">
        <f>SUMIFS(Нормативы!AA:AA,Нормативы!$B:$B,$G179,Нормативы!$D:$D,'2020'!$I179,Нормативы!$F:$F,'2020'!$K179)</f>
        <v>3520</v>
      </c>
      <c r="AP179" s="619">
        <f t="shared" si="481"/>
        <v>139020</v>
      </c>
      <c r="AQ179" s="413">
        <f t="shared" si="418"/>
        <v>1129600</v>
      </c>
      <c r="AR179" s="618">
        <f t="shared" si="482"/>
        <v>867588.3</v>
      </c>
      <c r="AS179" s="618">
        <f t="shared" si="483"/>
        <v>262011.7</v>
      </c>
      <c r="AT179" s="616">
        <f t="shared" si="419"/>
        <v>141760</v>
      </c>
      <c r="AU179" s="616">
        <f t="shared" si="420"/>
        <v>0</v>
      </c>
      <c r="AV179" s="616">
        <f t="shared" si="421"/>
        <v>129760</v>
      </c>
      <c r="AW179" s="616">
        <f t="shared" si="422"/>
        <v>345760</v>
      </c>
      <c r="AX179" s="616">
        <f t="shared" si="423"/>
        <v>8320</v>
      </c>
      <c r="AY179" s="616">
        <f t="shared" si="424"/>
        <v>315520</v>
      </c>
      <c r="AZ179" s="616">
        <f t="shared" si="425"/>
        <v>6400</v>
      </c>
      <c r="BA179" s="616">
        <f t="shared" si="426"/>
        <v>15520</v>
      </c>
      <c r="BB179" s="616">
        <f t="shared" si="427"/>
        <v>42880</v>
      </c>
      <c r="BC179" s="616">
        <f t="shared" si="428"/>
        <v>92800</v>
      </c>
      <c r="BD179" s="616">
        <f t="shared" si="429"/>
        <v>8640</v>
      </c>
      <c r="BE179" s="616">
        <f t="shared" si="430"/>
        <v>12320</v>
      </c>
      <c r="BF179" s="616">
        <f t="shared" si="431"/>
        <v>1280</v>
      </c>
      <c r="BG179" s="616">
        <f t="shared" si="432"/>
        <v>5280</v>
      </c>
      <c r="BH179" s="616">
        <f t="shared" si="433"/>
        <v>257920</v>
      </c>
      <c r="BI179" s="618">
        <f t="shared" si="484"/>
        <v>198095.2</v>
      </c>
      <c r="BJ179" s="618">
        <f t="shared" si="485"/>
        <v>59824.800000000003</v>
      </c>
      <c r="BK179" s="616">
        <f t="shared" si="434"/>
        <v>56320</v>
      </c>
      <c r="BL179" s="620">
        <f t="shared" si="435"/>
        <v>2224320</v>
      </c>
      <c r="BM179" s="616">
        <f t="shared" si="436"/>
        <v>2450102</v>
      </c>
      <c r="BN179" s="618">
        <f t="shared" si="437"/>
        <v>1881798.8</v>
      </c>
      <c r="BO179" s="618">
        <f t="shared" si="438"/>
        <v>568303.19999999995</v>
      </c>
      <c r="BP179" s="616">
        <f t="shared" si="486"/>
        <v>141760</v>
      </c>
      <c r="BQ179" s="616">
        <f t="shared" si="487"/>
        <v>0</v>
      </c>
      <c r="BR179" s="616">
        <f t="shared" si="488"/>
        <v>129760</v>
      </c>
      <c r="BS179" s="616">
        <f t="shared" si="439"/>
        <v>345760</v>
      </c>
      <c r="BT179" s="616">
        <f t="shared" si="440"/>
        <v>8320</v>
      </c>
      <c r="BU179" s="616">
        <f t="shared" si="441"/>
        <v>315520</v>
      </c>
      <c r="BV179" s="616">
        <f t="shared" si="442"/>
        <v>6400</v>
      </c>
      <c r="BW179" s="616">
        <f t="shared" si="443"/>
        <v>15520</v>
      </c>
      <c r="BX179" s="616">
        <f t="shared" si="444"/>
        <v>128897</v>
      </c>
      <c r="BY179" s="616">
        <f t="shared" si="445"/>
        <v>92800</v>
      </c>
      <c r="BZ179" s="616">
        <f t="shared" si="446"/>
        <v>8640</v>
      </c>
      <c r="CA179" s="616">
        <f t="shared" si="447"/>
        <v>12320</v>
      </c>
      <c r="CB179" s="616">
        <f t="shared" si="448"/>
        <v>1280</v>
      </c>
      <c r="CC179" s="616">
        <f t="shared" si="449"/>
        <v>5280</v>
      </c>
      <c r="CD179" s="616">
        <f t="shared" si="450"/>
        <v>559428</v>
      </c>
      <c r="CE179" s="618">
        <f t="shared" si="489"/>
        <v>429668.2</v>
      </c>
      <c r="CF179" s="618">
        <f t="shared" si="490"/>
        <v>129759.8</v>
      </c>
      <c r="CG179" s="616">
        <f t="shared" si="451"/>
        <v>56320</v>
      </c>
      <c r="CH179" s="621">
        <f t="shared" si="452"/>
        <v>3932347</v>
      </c>
      <c r="CI179" s="88">
        <f t="shared" si="453"/>
        <v>153131.375</v>
      </c>
      <c r="CJ179" s="90">
        <f t="shared" si="454"/>
        <v>117612.425</v>
      </c>
      <c r="CK179" s="90">
        <f t="shared" si="455"/>
        <v>35518.949999999997</v>
      </c>
      <c r="CL179" s="88">
        <f t="shared" si="456"/>
        <v>8860</v>
      </c>
      <c r="CM179" s="88">
        <f t="shared" si="457"/>
        <v>0</v>
      </c>
      <c r="CN179" s="88">
        <f t="shared" si="458"/>
        <v>8110</v>
      </c>
      <c r="CO179" s="88">
        <f t="shared" si="459"/>
        <v>21610</v>
      </c>
      <c r="CP179" s="88">
        <f t="shared" si="460"/>
        <v>520</v>
      </c>
      <c r="CQ179" s="88">
        <f t="shared" si="461"/>
        <v>19720</v>
      </c>
      <c r="CR179" s="88">
        <f t="shared" si="462"/>
        <v>400</v>
      </c>
      <c r="CS179" s="88">
        <f t="shared" si="463"/>
        <v>970</v>
      </c>
      <c r="CT179" s="88">
        <f t="shared" si="464"/>
        <v>8056.0625</v>
      </c>
      <c r="CU179" s="88">
        <f t="shared" si="465"/>
        <v>5800</v>
      </c>
      <c r="CV179" s="88">
        <f t="shared" si="466"/>
        <v>540</v>
      </c>
      <c r="CW179" s="88">
        <f t="shared" si="467"/>
        <v>770</v>
      </c>
      <c r="CX179" s="88">
        <f t="shared" si="468"/>
        <v>80</v>
      </c>
      <c r="CY179" s="88">
        <f t="shared" si="469"/>
        <v>330</v>
      </c>
      <c r="CZ179" s="88">
        <f t="shared" si="470"/>
        <v>34964.25</v>
      </c>
      <c r="DA179" s="90">
        <f t="shared" si="471"/>
        <v>26854.262500000001</v>
      </c>
      <c r="DB179" s="90">
        <f t="shared" si="472"/>
        <v>8109.9875000000002</v>
      </c>
      <c r="DC179" s="88">
        <f t="shared" si="473"/>
        <v>3520</v>
      </c>
      <c r="DD179" s="88">
        <f t="shared" si="474"/>
        <v>245771.6875</v>
      </c>
      <c r="AUV179" s="699">
        <f t="shared" si="409"/>
        <v>153131.38</v>
      </c>
      <c r="AUW179" s="699">
        <f t="shared" si="410"/>
        <v>117612.43</v>
      </c>
      <c r="AUX179" s="699">
        <f t="shared" si="411"/>
        <v>35518.949999999997</v>
      </c>
      <c r="AUY179" s="699">
        <f t="shared" si="520"/>
        <v>8860</v>
      </c>
      <c r="AUZ179" s="699">
        <f t="shared" si="475"/>
        <v>0</v>
      </c>
      <c r="AVA179" s="699">
        <f t="shared" si="475"/>
        <v>1.84</v>
      </c>
      <c r="AVB179" s="699">
        <f t="shared" si="521"/>
        <v>21610</v>
      </c>
      <c r="AVC179" s="699">
        <f t="shared" si="522"/>
        <v>520</v>
      </c>
      <c r="AVD179" s="699">
        <f t="shared" si="523"/>
        <v>19720</v>
      </c>
      <c r="AVE179" s="699">
        <f t="shared" si="524"/>
        <v>400</v>
      </c>
      <c r="AVF179" s="699">
        <f t="shared" si="525"/>
        <v>970</v>
      </c>
      <c r="AVG179" s="699">
        <f t="shared" si="526"/>
        <v>8056.06</v>
      </c>
      <c r="AVH179" s="699">
        <f t="shared" si="527"/>
        <v>5800</v>
      </c>
      <c r="AVI179" s="699">
        <f t="shared" si="528"/>
        <v>540</v>
      </c>
      <c r="AVJ179" s="699">
        <f t="shared" si="529"/>
        <v>770</v>
      </c>
      <c r="AVK179" s="699">
        <f t="shared" si="530"/>
        <v>80</v>
      </c>
      <c r="AVL179" s="699">
        <f t="shared" si="531"/>
        <v>330</v>
      </c>
      <c r="AVM179" s="699">
        <f t="shared" si="532"/>
        <v>34964.25</v>
      </c>
      <c r="AVN179" s="699">
        <f t="shared" si="533"/>
        <v>26854.26</v>
      </c>
      <c r="AVO179" s="699">
        <f t="shared" si="534"/>
        <v>8109.99</v>
      </c>
      <c r="AVP179" s="699">
        <f t="shared" si="535"/>
        <v>3520</v>
      </c>
      <c r="AVQ179" s="699">
        <f t="shared" si="536"/>
        <v>245771.69</v>
      </c>
    </row>
    <row r="180" spans="1:1265" ht="30" customHeight="1" x14ac:dyDescent="0.25">
      <c r="A180" s="643">
        <v>1</v>
      </c>
      <c r="B180" s="643">
        <v>7</v>
      </c>
      <c r="C180" s="664" t="s">
        <v>20</v>
      </c>
      <c r="D180" s="2"/>
      <c r="E180" s="101" t="s">
        <v>345</v>
      </c>
      <c r="F180" s="643" t="s">
        <v>38</v>
      </c>
      <c r="G180" s="643">
        <v>2</v>
      </c>
      <c r="H180" s="658" t="s">
        <v>8</v>
      </c>
      <c r="I180" s="643">
        <v>3</v>
      </c>
      <c r="J180" s="101" t="s">
        <v>361</v>
      </c>
      <c r="K180" s="643">
        <v>3</v>
      </c>
      <c r="L180" s="683" t="s">
        <v>350</v>
      </c>
      <c r="M180" s="11" t="s">
        <v>294</v>
      </c>
      <c r="N180" s="101" t="s">
        <v>387</v>
      </c>
      <c r="O180" s="643">
        <v>1</v>
      </c>
      <c r="P180" s="695">
        <v>7</v>
      </c>
      <c r="Q180" s="632">
        <v>7</v>
      </c>
      <c r="R180" s="632">
        <v>7</v>
      </c>
      <c r="S180" s="675">
        <f>SUMIF('Территориальный кк'!$A:$A,'2020'!$B180,'Территориальный кк'!D:D)</f>
        <v>2.169</v>
      </c>
      <c r="T180" s="676">
        <f>SUMIF('Территориальный кк'!$A:$A,'2020'!$B180,'Территориальный кк'!E:E)</f>
        <v>3.0059999999999998</v>
      </c>
      <c r="U180" s="618">
        <f>SUMIFS(Нормативы!G:G,Нормативы!$B:$B,$G180,Нормативы!$D:$D,'2020'!$I180,Нормативы!$F:$F,'2020'!$K180)*O180</f>
        <v>12944</v>
      </c>
      <c r="V180" s="618">
        <f t="shared" si="476"/>
        <v>9941.6</v>
      </c>
      <c r="W180" s="618">
        <f t="shared" si="477"/>
        <v>3002.4</v>
      </c>
      <c r="X180" s="618">
        <f>SUMIFS(Нормативы!J:J,Нормативы!$B:$B,$G180,Нормативы!$D:$D,'2020'!$I180,Нормативы!$F:$F,'2020'!$K180)</f>
        <v>486</v>
      </c>
      <c r="Y180" s="618">
        <f>SUMIFS(Нормативы!K:K,Нормативы!$B:$B,$G180,Нормативы!$D:$D,'2020'!$I180,Нормативы!$F:$F,'2020'!$K180)</f>
        <v>97</v>
      </c>
      <c r="Z180" s="618">
        <f>SUMIFS(Нормативы!L:L,Нормативы!$B:$B,$G180,Нормативы!$D:$D,'2020'!$I180,Нормативы!$F:$F,'2020'!$K180)</f>
        <v>348</v>
      </c>
      <c r="AA180" s="618">
        <f t="shared" si="478"/>
        <v>2031</v>
      </c>
      <c r="AB180" s="618">
        <f>SUMIFS(Нормативы!N:N,Нормативы!$B:$B,$G180,Нормативы!$D:$D,'2020'!$I180,Нормативы!$F:$F,'2020'!$K180)*O180</f>
        <v>52</v>
      </c>
      <c r="AC180" s="618">
        <f>SUMIFS(Нормативы!O:O,Нормативы!$B:$B,$G180,Нормативы!$D:$D,'2020'!$I180,Нормативы!$F:$F,'2020'!$K180)</f>
        <v>1728</v>
      </c>
      <c r="AD180" s="618">
        <f>SUMIFS(Нормативы!P:P,Нормативы!$B:$B,$G180,Нормативы!$D:$D,'2020'!$I180,Нормативы!$F:$F,'2020'!$K180)*O180</f>
        <v>73</v>
      </c>
      <c r="AE180" s="618">
        <f>SUMIFS(Нормативы!Q:Q,Нормативы!$B:$B,$G180,Нормативы!$D:$D,'2020'!$I180,Нормативы!$F:$F,'2020'!$K180)</f>
        <v>178</v>
      </c>
      <c r="AF180" s="618">
        <f>SUMIFS(Нормативы!R:R,Нормативы!$B:$B,$G180,Нормативы!$D:$D,'2020'!$I180,Нормативы!$F:$F,'2020'!$K180)</f>
        <v>275</v>
      </c>
      <c r="AG180" s="618">
        <f>SUMIFS(Нормативы!S:S,Нормативы!$B:$B,$G180,Нормативы!$D:$D,'2020'!$I180,Нормативы!$F:$F,'2020'!$K180)</f>
        <v>580</v>
      </c>
      <c r="AH180" s="618">
        <f>SUMIFS(Нормативы!T:T,Нормативы!$B:$B,$G180,Нормативы!$D:$D,'2020'!$I180,Нормативы!$F:$F,'2020'!$K180)</f>
        <v>54</v>
      </c>
      <c r="AI180" s="618">
        <f>SUMIFS(Нормативы!U:U,Нормативы!$B:$B,$G180,Нормативы!$D:$D,'2020'!$I180,Нормативы!$F:$F,'2020'!$K180)</f>
        <v>77</v>
      </c>
      <c r="AJ180" s="618">
        <f>SUMIFS(Нормативы!V:V,Нормативы!$B:$B,$G180,Нормативы!$D:$D,'2020'!$I180,Нормативы!$F:$F,'2020'!$K180)</f>
        <v>8</v>
      </c>
      <c r="AK180" s="618">
        <f>SUMIFS(Нормативы!W:W,Нормативы!$B:$B,$G180,Нормативы!$D:$D,'2020'!$I180,Нормативы!$F:$F,'2020'!$K180)</f>
        <v>39</v>
      </c>
      <c r="AL180" s="618">
        <f>SUMIFS(Нормативы!X:X,Нормативы!$B:$B,$G180,Нормативы!$D:$D,'2020'!$I180,Нормативы!$F:$F,'2020'!$K180)*O180</f>
        <v>1612</v>
      </c>
      <c r="AM180" s="618">
        <f t="shared" si="479"/>
        <v>1238.0999999999999</v>
      </c>
      <c r="AN180" s="618">
        <f t="shared" si="480"/>
        <v>373.9</v>
      </c>
      <c r="AO180" s="618">
        <f>SUMIFS(Нормативы!AA:AA,Нормативы!$B:$B,$G180,Нормативы!$D:$D,'2020'!$I180,Нормативы!$F:$F,'2020'!$K180)</f>
        <v>0</v>
      </c>
      <c r="AP180" s="619">
        <f t="shared" si="481"/>
        <v>18454</v>
      </c>
      <c r="AQ180" s="413">
        <f t="shared" si="418"/>
        <v>90608</v>
      </c>
      <c r="AR180" s="618">
        <f t="shared" si="482"/>
        <v>69591.399999999994</v>
      </c>
      <c r="AS180" s="618">
        <f t="shared" si="483"/>
        <v>21016.6</v>
      </c>
      <c r="AT180" s="616">
        <f t="shared" si="419"/>
        <v>3402</v>
      </c>
      <c r="AU180" s="616">
        <f t="shared" si="420"/>
        <v>679</v>
      </c>
      <c r="AV180" s="616">
        <f t="shared" si="421"/>
        <v>2436</v>
      </c>
      <c r="AW180" s="616">
        <f t="shared" si="422"/>
        <v>14217</v>
      </c>
      <c r="AX180" s="616">
        <f t="shared" si="423"/>
        <v>364</v>
      </c>
      <c r="AY180" s="616">
        <f t="shared" si="424"/>
        <v>12096</v>
      </c>
      <c r="AZ180" s="616">
        <f t="shared" si="425"/>
        <v>511</v>
      </c>
      <c r="BA180" s="616">
        <f t="shared" si="426"/>
        <v>1246</v>
      </c>
      <c r="BB180" s="616">
        <f t="shared" si="427"/>
        <v>1925</v>
      </c>
      <c r="BC180" s="616">
        <f t="shared" si="428"/>
        <v>4060</v>
      </c>
      <c r="BD180" s="616">
        <f t="shared" si="429"/>
        <v>378</v>
      </c>
      <c r="BE180" s="616">
        <f t="shared" si="430"/>
        <v>539</v>
      </c>
      <c r="BF180" s="616">
        <f t="shared" si="431"/>
        <v>56</v>
      </c>
      <c r="BG180" s="616">
        <f t="shared" si="432"/>
        <v>273</v>
      </c>
      <c r="BH180" s="616">
        <f t="shared" si="433"/>
        <v>11284</v>
      </c>
      <c r="BI180" s="618">
        <f t="shared" si="484"/>
        <v>8666.7000000000007</v>
      </c>
      <c r="BJ180" s="618">
        <f t="shared" si="485"/>
        <v>2617.3000000000002</v>
      </c>
      <c r="BK180" s="616">
        <f t="shared" si="434"/>
        <v>0</v>
      </c>
      <c r="BL180" s="620">
        <f t="shared" si="435"/>
        <v>129178</v>
      </c>
      <c r="BM180" s="616">
        <f t="shared" si="436"/>
        <v>196529</v>
      </c>
      <c r="BN180" s="618">
        <f t="shared" si="437"/>
        <v>150943.9</v>
      </c>
      <c r="BO180" s="618">
        <f t="shared" si="438"/>
        <v>45585.1</v>
      </c>
      <c r="BP180" s="616">
        <f t="shared" si="486"/>
        <v>3402</v>
      </c>
      <c r="BQ180" s="616">
        <f t="shared" si="487"/>
        <v>679</v>
      </c>
      <c r="BR180" s="616">
        <f t="shared" si="488"/>
        <v>2436</v>
      </c>
      <c r="BS180" s="616">
        <f t="shared" si="439"/>
        <v>14217</v>
      </c>
      <c r="BT180" s="616">
        <f t="shared" si="440"/>
        <v>364</v>
      </c>
      <c r="BU180" s="616">
        <f t="shared" si="441"/>
        <v>12096</v>
      </c>
      <c r="BV180" s="616">
        <f t="shared" si="442"/>
        <v>511</v>
      </c>
      <c r="BW180" s="616">
        <f t="shared" si="443"/>
        <v>1246</v>
      </c>
      <c r="BX180" s="616">
        <f t="shared" si="444"/>
        <v>5787</v>
      </c>
      <c r="BY180" s="616">
        <f t="shared" si="445"/>
        <v>4060</v>
      </c>
      <c r="BZ180" s="616">
        <f t="shared" si="446"/>
        <v>378</v>
      </c>
      <c r="CA180" s="616">
        <f t="shared" si="447"/>
        <v>539</v>
      </c>
      <c r="CB180" s="616">
        <f t="shared" si="448"/>
        <v>56</v>
      </c>
      <c r="CC180" s="616">
        <f t="shared" si="449"/>
        <v>273</v>
      </c>
      <c r="CD180" s="616">
        <f t="shared" si="450"/>
        <v>24475</v>
      </c>
      <c r="CE180" s="618">
        <f t="shared" si="489"/>
        <v>18798</v>
      </c>
      <c r="CF180" s="618">
        <f t="shared" si="490"/>
        <v>5677</v>
      </c>
      <c r="CG180" s="616">
        <f t="shared" si="451"/>
        <v>0</v>
      </c>
      <c r="CH180" s="621">
        <f t="shared" si="452"/>
        <v>252152</v>
      </c>
      <c r="CI180" s="88">
        <f t="shared" si="453"/>
        <v>28075.571400000001</v>
      </c>
      <c r="CJ180" s="90">
        <f t="shared" si="454"/>
        <v>21563.4143</v>
      </c>
      <c r="CK180" s="90">
        <f t="shared" si="455"/>
        <v>6512.1571000000004</v>
      </c>
      <c r="CL180" s="88">
        <f t="shared" si="456"/>
        <v>486</v>
      </c>
      <c r="CM180" s="88">
        <f t="shared" si="457"/>
        <v>97</v>
      </c>
      <c r="CN180" s="88">
        <f t="shared" si="458"/>
        <v>348</v>
      </c>
      <c r="CO180" s="88">
        <f t="shared" si="459"/>
        <v>2031</v>
      </c>
      <c r="CP180" s="88">
        <f t="shared" si="460"/>
        <v>52</v>
      </c>
      <c r="CQ180" s="88">
        <f t="shared" si="461"/>
        <v>1728</v>
      </c>
      <c r="CR180" s="88">
        <f t="shared" si="462"/>
        <v>73</v>
      </c>
      <c r="CS180" s="88">
        <f t="shared" si="463"/>
        <v>178</v>
      </c>
      <c r="CT180" s="88">
        <f t="shared" si="464"/>
        <v>826.71429999999998</v>
      </c>
      <c r="CU180" s="88">
        <f t="shared" si="465"/>
        <v>580</v>
      </c>
      <c r="CV180" s="88">
        <f t="shared" si="466"/>
        <v>54</v>
      </c>
      <c r="CW180" s="88">
        <f t="shared" si="467"/>
        <v>77</v>
      </c>
      <c r="CX180" s="88">
        <f t="shared" si="468"/>
        <v>8</v>
      </c>
      <c r="CY180" s="88">
        <f t="shared" si="469"/>
        <v>39</v>
      </c>
      <c r="CZ180" s="88">
        <f t="shared" si="470"/>
        <v>3496.4286000000002</v>
      </c>
      <c r="DA180" s="90">
        <f t="shared" si="471"/>
        <v>2685.4286000000002</v>
      </c>
      <c r="DB180" s="90">
        <f t="shared" si="472"/>
        <v>811</v>
      </c>
      <c r="DC180" s="88">
        <f t="shared" si="473"/>
        <v>0</v>
      </c>
      <c r="DD180" s="88">
        <f t="shared" si="474"/>
        <v>36021.7143</v>
      </c>
      <c r="AUV180" s="699">
        <f t="shared" si="409"/>
        <v>28075.57</v>
      </c>
      <c r="AUW180" s="699">
        <f t="shared" si="410"/>
        <v>21563.42</v>
      </c>
      <c r="AUX180" s="699">
        <f t="shared" si="411"/>
        <v>6512.15</v>
      </c>
      <c r="AUY180" s="699">
        <f t="shared" si="520"/>
        <v>486</v>
      </c>
      <c r="AUZ180" s="699">
        <f t="shared" si="475"/>
        <v>225.88</v>
      </c>
      <c r="AVA180" s="699">
        <f t="shared" si="475"/>
        <v>0.19</v>
      </c>
      <c r="AVB180" s="699">
        <f t="shared" si="521"/>
        <v>2031</v>
      </c>
      <c r="AVC180" s="699">
        <f t="shared" si="522"/>
        <v>52</v>
      </c>
      <c r="AVD180" s="699">
        <f t="shared" si="523"/>
        <v>1728</v>
      </c>
      <c r="AVE180" s="699">
        <f t="shared" si="524"/>
        <v>73</v>
      </c>
      <c r="AVF180" s="699">
        <f t="shared" si="525"/>
        <v>178</v>
      </c>
      <c r="AVG180" s="699">
        <f t="shared" si="526"/>
        <v>826.71</v>
      </c>
      <c r="AVH180" s="699">
        <f t="shared" si="527"/>
        <v>580</v>
      </c>
      <c r="AVI180" s="699">
        <f t="shared" si="528"/>
        <v>54</v>
      </c>
      <c r="AVJ180" s="699">
        <f t="shared" si="529"/>
        <v>77</v>
      </c>
      <c r="AVK180" s="699">
        <f t="shared" si="530"/>
        <v>8</v>
      </c>
      <c r="AVL180" s="699">
        <f t="shared" si="531"/>
        <v>39</v>
      </c>
      <c r="AVM180" s="699">
        <f t="shared" si="532"/>
        <v>3496.43</v>
      </c>
      <c r="AVN180" s="699">
        <f t="shared" si="533"/>
        <v>2685.43</v>
      </c>
      <c r="AVO180" s="699">
        <f t="shared" si="534"/>
        <v>811</v>
      </c>
      <c r="AVP180" s="699">
        <f t="shared" si="535"/>
        <v>0</v>
      </c>
      <c r="AVQ180" s="699">
        <f t="shared" si="536"/>
        <v>36021.71</v>
      </c>
    </row>
    <row r="181" spans="1:1265" ht="30" customHeight="1" x14ac:dyDescent="0.25">
      <c r="A181" s="643">
        <v>1</v>
      </c>
      <c r="B181" s="643">
        <v>7</v>
      </c>
      <c r="C181" s="664" t="s">
        <v>20</v>
      </c>
      <c r="D181" s="2"/>
      <c r="E181" s="101" t="s">
        <v>345</v>
      </c>
      <c r="F181" s="643" t="s">
        <v>38</v>
      </c>
      <c r="G181" s="643">
        <v>2</v>
      </c>
      <c r="H181" s="658" t="s">
        <v>10</v>
      </c>
      <c r="I181" s="643">
        <v>0</v>
      </c>
      <c r="J181" s="101" t="s">
        <v>363</v>
      </c>
      <c r="K181" s="643">
        <v>3</v>
      </c>
      <c r="L181" s="683" t="s">
        <v>350</v>
      </c>
      <c r="M181" s="11" t="s">
        <v>269</v>
      </c>
      <c r="N181" s="101" t="s">
        <v>387</v>
      </c>
      <c r="O181" s="643">
        <v>1</v>
      </c>
      <c r="P181" s="695">
        <v>16</v>
      </c>
      <c r="Q181" s="632">
        <v>16</v>
      </c>
      <c r="R181" s="632">
        <v>16</v>
      </c>
      <c r="S181" s="675">
        <f>SUMIF('Территориальный кк'!$A:$A,'2020'!$B181,'Территориальный кк'!D:D)</f>
        <v>2.169</v>
      </c>
      <c r="T181" s="676">
        <f>SUMIF('Территориальный кк'!$A:$A,'2020'!$B181,'Территориальный кк'!E:E)</f>
        <v>3.0059999999999998</v>
      </c>
      <c r="U181" s="618">
        <f>SUMIFS(Нормативы!G:G,Нормативы!$B:$B,$G181,Нормативы!$D:$D,'2020'!$I181,Нормативы!$F:$F,'2020'!$K181)*O181</f>
        <v>70600</v>
      </c>
      <c r="V181" s="618">
        <f t="shared" si="476"/>
        <v>54224.3</v>
      </c>
      <c r="W181" s="618">
        <f t="shared" si="477"/>
        <v>16375.7</v>
      </c>
      <c r="X181" s="618">
        <f>SUMIFS(Нормативы!J:J,Нормативы!$B:$B,$G181,Нормативы!$D:$D,'2020'!$I181,Нормативы!$F:$F,'2020'!$K181)</f>
        <v>8860</v>
      </c>
      <c r="Y181" s="618">
        <f>SUMIFS(Нормативы!K:K,Нормативы!$B:$B,$G181,Нормативы!$D:$D,'2020'!$I181,Нормативы!$F:$F,'2020'!$K181)</f>
        <v>0</v>
      </c>
      <c r="Z181" s="618">
        <f>SUMIFS(Нормативы!L:L,Нормативы!$B:$B,$G181,Нормативы!$D:$D,'2020'!$I181,Нормативы!$F:$F,'2020'!$K181)</f>
        <v>8110</v>
      </c>
      <c r="AA181" s="618">
        <f t="shared" si="478"/>
        <v>21610</v>
      </c>
      <c r="AB181" s="618">
        <f>SUMIFS(Нормативы!N:N,Нормативы!$B:$B,$G181,Нормативы!$D:$D,'2020'!$I181,Нормативы!$F:$F,'2020'!$K181)*O181</f>
        <v>520</v>
      </c>
      <c r="AC181" s="618">
        <f>SUMIFS(Нормативы!O:O,Нормативы!$B:$B,$G181,Нормативы!$D:$D,'2020'!$I181,Нормативы!$F:$F,'2020'!$K181)</f>
        <v>19720</v>
      </c>
      <c r="AD181" s="618">
        <f>SUMIFS(Нормативы!P:P,Нормативы!$B:$B,$G181,Нормативы!$D:$D,'2020'!$I181,Нормативы!$F:$F,'2020'!$K181)*O181</f>
        <v>400</v>
      </c>
      <c r="AE181" s="618">
        <f>SUMIFS(Нормативы!Q:Q,Нормативы!$B:$B,$G181,Нормативы!$D:$D,'2020'!$I181,Нормативы!$F:$F,'2020'!$K181)</f>
        <v>970</v>
      </c>
      <c r="AF181" s="618">
        <f>SUMIFS(Нормативы!R:R,Нормативы!$B:$B,$G181,Нормативы!$D:$D,'2020'!$I181,Нормативы!$F:$F,'2020'!$K181)</f>
        <v>2680</v>
      </c>
      <c r="AG181" s="618">
        <f>SUMIFS(Нормативы!S:S,Нормативы!$B:$B,$G181,Нормативы!$D:$D,'2020'!$I181,Нормативы!$F:$F,'2020'!$K181)</f>
        <v>5800</v>
      </c>
      <c r="AH181" s="618">
        <f>SUMIFS(Нормативы!T:T,Нормативы!$B:$B,$G181,Нормативы!$D:$D,'2020'!$I181,Нормативы!$F:$F,'2020'!$K181)</f>
        <v>540</v>
      </c>
      <c r="AI181" s="618">
        <f>SUMIFS(Нормативы!U:U,Нормативы!$B:$B,$G181,Нормативы!$D:$D,'2020'!$I181,Нормативы!$F:$F,'2020'!$K181)</f>
        <v>770</v>
      </c>
      <c r="AJ181" s="618">
        <f>SUMIFS(Нормативы!V:V,Нормативы!$B:$B,$G181,Нормативы!$D:$D,'2020'!$I181,Нормативы!$F:$F,'2020'!$K181)</f>
        <v>80</v>
      </c>
      <c r="AK181" s="618">
        <f>SUMIFS(Нормативы!W:W,Нормативы!$B:$B,$G181,Нормативы!$D:$D,'2020'!$I181,Нормативы!$F:$F,'2020'!$K181)</f>
        <v>330</v>
      </c>
      <c r="AL181" s="618">
        <f>SUMIFS(Нормативы!X:X,Нормативы!$B:$B,$G181,Нормативы!$D:$D,'2020'!$I181,Нормативы!$F:$F,'2020'!$K181)*O181</f>
        <v>16120</v>
      </c>
      <c r="AM181" s="618">
        <f t="shared" si="479"/>
        <v>12381</v>
      </c>
      <c r="AN181" s="618">
        <f t="shared" si="480"/>
        <v>3739</v>
      </c>
      <c r="AO181" s="618">
        <f>SUMIFS(Нормативы!AA:AA,Нормативы!$B:$B,$G181,Нормативы!$D:$D,'2020'!$I181,Нормативы!$F:$F,'2020'!$K181)</f>
        <v>3520</v>
      </c>
      <c r="AP181" s="619">
        <f t="shared" si="481"/>
        <v>139020</v>
      </c>
      <c r="AQ181" s="413">
        <f t="shared" si="418"/>
        <v>1129600</v>
      </c>
      <c r="AR181" s="618">
        <f t="shared" si="482"/>
        <v>867588.3</v>
      </c>
      <c r="AS181" s="618">
        <f t="shared" si="483"/>
        <v>262011.7</v>
      </c>
      <c r="AT181" s="616">
        <f t="shared" si="419"/>
        <v>141760</v>
      </c>
      <c r="AU181" s="616">
        <f t="shared" si="420"/>
        <v>0</v>
      </c>
      <c r="AV181" s="616">
        <f t="shared" si="421"/>
        <v>129760</v>
      </c>
      <c r="AW181" s="616">
        <f t="shared" si="422"/>
        <v>345760</v>
      </c>
      <c r="AX181" s="616">
        <f t="shared" si="423"/>
        <v>8320</v>
      </c>
      <c r="AY181" s="616">
        <f t="shared" si="424"/>
        <v>315520</v>
      </c>
      <c r="AZ181" s="616">
        <f t="shared" si="425"/>
        <v>6400</v>
      </c>
      <c r="BA181" s="616">
        <f t="shared" si="426"/>
        <v>15520</v>
      </c>
      <c r="BB181" s="616">
        <f t="shared" si="427"/>
        <v>42880</v>
      </c>
      <c r="BC181" s="616">
        <f t="shared" si="428"/>
        <v>92800</v>
      </c>
      <c r="BD181" s="616">
        <f t="shared" si="429"/>
        <v>8640</v>
      </c>
      <c r="BE181" s="616">
        <f t="shared" si="430"/>
        <v>12320</v>
      </c>
      <c r="BF181" s="616">
        <f t="shared" si="431"/>
        <v>1280</v>
      </c>
      <c r="BG181" s="616">
        <f t="shared" si="432"/>
        <v>5280</v>
      </c>
      <c r="BH181" s="616">
        <f t="shared" si="433"/>
        <v>257920</v>
      </c>
      <c r="BI181" s="618">
        <f t="shared" si="484"/>
        <v>198095.2</v>
      </c>
      <c r="BJ181" s="618">
        <f t="shared" si="485"/>
        <v>59824.800000000003</v>
      </c>
      <c r="BK181" s="616">
        <f t="shared" si="434"/>
        <v>56320</v>
      </c>
      <c r="BL181" s="620">
        <f t="shared" si="435"/>
        <v>2224320</v>
      </c>
      <c r="BM181" s="616">
        <f t="shared" si="436"/>
        <v>2450102</v>
      </c>
      <c r="BN181" s="618">
        <f t="shared" si="437"/>
        <v>1881798.8</v>
      </c>
      <c r="BO181" s="618">
        <f t="shared" si="438"/>
        <v>568303.19999999995</v>
      </c>
      <c r="BP181" s="616">
        <f t="shared" si="486"/>
        <v>141760</v>
      </c>
      <c r="BQ181" s="616">
        <f t="shared" si="487"/>
        <v>0</v>
      </c>
      <c r="BR181" s="616">
        <f t="shared" si="488"/>
        <v>129760</v>
      </c>
      <c r="BS181" s="616">
        <f t="shared" si="439"/>
        <v>345760</v>
      </c>
      <c r="BT181" s="616">
        <f t="shared" si="440"/>
        <v>8320</v>
      </c>
      <c r="BU181" s="616">
        <f t="shared" si="441"/>
        <v>315520</v>
      </c>
      <c r="BV181" s="616">
        <f t="shared" si="442"/>
        <v>6400</v>
      </c>
      <c r="BW181" s="616">
        <f t="shared" si="443"/>
        <v>15520</v>
      </c>
      <c r="BX181" s="616">
        <f t="shared" si="444"/>
        <v>128897</v>
      </c>
      <c r="BY181" s="616">
        <f t="shared" si="445"/>
        <v>92800</v>
      </c>
      <c r="BZ181" s="616">
        <f t="shared" si="446"/>
        <v>8640</v>
      </c>
      <c r="CA181" s="616">
        <f t="shared" si="447"/>
        <v>12320</v>
      </c>
      <c r="CB181" s="616">
        <f t="shared" si="448"/>
        <v>1280</v>
      </c>
      <c r="CC181" s="616">
        <f t="shared" si="449"/>
        <v>5280</v>
      </c>
      <c r="CD181" s="616">
        <f t="shared" ref="CD181:CD182" si="537">BH181</f>
        <v>257920</v>
      </c>
      <c r="CE181" s="616">
        <f t="shared" ref="CE181:CE182" si="538">BI181</f>
        <v>198095.2</v>
      </c>
      <c r="CF181" s="616">
        <f t="shared" ref="CF181:CF182" si="539">BJ181</f>
        <v>59824.800000000003</v>
      </c>
      <c r="CG181" s="616">
        <f t="shared" si="451"/>
        <v>56320</v>
      </c>
      <c r="CH181" s="621">
        <f t="shared" si="452"/>
        <v>3630839</v>
      </c>
      <c r="CI181" s="88">
        <f t="shared" si="453"/>
        <v>153131.375</v>
      </c>
      <c r="CJ181" s="90">
        <f t="shared" si="454"/>
        <v>117612.425</v>
      </c>
      <c r="CK181" s="90">
        <f t="shared" si="455"/>
        <v>35518.949999999997</v>
      </c>
      <c r="CL181" s="88">
        <f t="shared" si="456"/>
        <v>8860</v>
      </c>
      <c r="CM181" s="88">
        <f t="shared" si="457"/>
        <v>0</v>
      </c>
      <c r="CN181" s="88">
        <f t="shared" si="458"/>
        <v>8110</v>
      </c>
      <c r="CO181" s="88">
        <f t="shared" si="459"/>
        <v>21610</v>
      </c>
      <c r="CP181" s="88">
        <f t="shared" si="460"/>
        <v>520</v>
      </c>
      <c r="CQ181" s="88">
        <f t="shared" si="461"/>
        <v>19720</v>
      </c>
      <c r="CR181" s="88">
        <f t="shared" si="462"/>
        <v>400</v>
      </c>
      <c r="CS181" s="88">
        <f t="shared" si="463"/>
        <v>970</v>
      </c>
      <c r="CT181" s="88">
        <f t="shared" si="464"/>
        <v>8056.0625</v>
      </c>
      <c r="CU181" s="88">
        <f t="shared" si="465"/>
        <v>5800</v>
      </c>
      <c r="CV181" s="88">
        <f t="shared" si="466"/>
        <v>540</v>
      </c>
      <c r="CW181" s="88">
        <f t="shared" si="467"/>
        <v>770</v>
      </c>
      <c r="CX181" s="88">
        <f t="shared" si="468"/>
        <v>80</v>
      </c>
      <c r="CY181" s="88">
        <f t="shared" si="469"/>
        <v>330</v>
      </c>
      <c r="CZ181" s="88">
        <f t="shared" si="470"/>
        <v>16120</v>
      </c>
      <c r="DA181" s="90">
        <f t="shared" si="471"/>
        <v>12380.95</v>
      </c>
      <c r="DB181" s="90">
        <f t="shared" si="472"/>
        <v>3739.05</v>
      </c>
      <c r="DC181" s="88">
        <f t="shared" si="473"/>
        <v>3520</v>
      </c>
      <c r="DD181" s="88">
        <f t="shared" si="474"/>
        <v>226927.4375</v>
      </c>
      <c r="AUV181" s="699">
        <f t="shared" si="409"/>
        <v>153131.38</v>
      </c>
      <c r="AUW181" s="699">
        <f t="shared" si="410"/>
        <v>117612.43</v>
      </c>
      <c r="AUX181" s="699">
        <f t="shared" si="411"/>
        <v>35518.949999999997</v>
      </c>
      <c r="AUY181" s="699">
        <f t="shared" si="520"/>
        <v>8860</v>
      </c>
      <c r="AUZ181" s="699">
        <f t="shared" si="475"/>
        <v>0</v>
      </c>
      <c r="AVA181" s="699">
        <f t="shared" si="475"/>
        <v>1.84</v>
      </c>
      <c r="AVB181" s="699">
        <f t="shared" si="521"/>
        <v>21610</v>
      </c>
      <c r="AVC181" s="699">
        <f t="shared" si="522"/>
        <v>520</v>
      </c>
      <c r="AVD181" s="699">
        <f t="shared" si="523"/>
        <v>19720</v>
      </c>
      <c r="AVE181" s="699">
        <f t="shared" si="524"/>
        <v>400</v>
      </c>
      <c r="AVF181" s="699">
        <f t="shared" si="525"/>
        <v>970</v>
      </c>
      <c r="AVG181" s="699">
        <f t="shared" si="526"/>
        <v>8056.06</v>
      </c>
      <c r="AVH181" s="699">
        <f t="shared" si="527"/>
        <v>5800</v>
      </c>
      <c r="AVI181" s="699">
        <f t="shared" si="528"/>
        <v>540</v>
      </c>
      <c r="AVJ181" s="699">
        <f t="shared" si="529"/>
        <v>770</v>
      </c>
      <c r="AVK181" s="699">
        <f t="shared" si="530"/>
        <v>80</v>
      </c>
      <c r="AVL181" s="699">
        <f t="shared" si="531"/>
        <v>330</v>
      </c>
      <c r="AVM181" s="699">
        <f t="shared" si="532"/>
        <v>16120</v>
      </c>
      <c r="AVN181" s="699">
        <f t="shared" si="533"/>
        <v>12380.95</v>
      </c>
      <c r="AVO181" s="699">
        <f t="shared" si="534"/>
        <v>3739.05</v>
      </c>
      <c r="AVP181" s="699">
        <f t="shared" si="535"/>
        <v>3520</v>
      </c>
      <c r="AVQ181" s="699">
        <f t="shared" si="536"/>
        <v>226927.44</v>
      </c>
    </row>
    <row r="182" spans="1:1265" s="608" customFormat="1" ht="30" customHeight="1" x14ac:dyDescent="0.25">
      <c r="A182" s="634">
        <v>1</v>
      </c>
      <c r="B182" s="634">
        <v>7</v>
      </c>
      <c r="C182" s="633" t="s">
        <v>20</v>
      </c>
      <c r="D182" s="101" t="s">
        <v>345</v>
      </c>
      <c r="E182" s="602" t="s">
        <v>345</v>
      </c>
      <c r="F182" s="634" t="s">
        <v>38</v>
      </c>
      <c r="G182" s="634">
        <v>2</v>
      </c>
      <c r="H182" s="656" t="s">
        <v>8</v>
      </c>
      <c r="I182" s="634">
        <v>3</v>
      </c>
      <c r="J182" s="602" t="s">
        <v>363</v>
      </c>
      <c r="K182" s="634">
        <v>3</v>
      </c>
      <c r="L182" s="681" t="s">
        <v>350</v>
      </c>
      <c r="M182" s="601"/>
      <c r="N182" s="602" t="s">
        <v>401</v>
      </c>
      <c r="O182" s="634">
        <v>2</v>
      </c>
      <c r="P182" s="695">
        <v>1</v>
      </c>
      <c r="Q182" s="633">
        <v>1</v>
      </c>
      <c r="R182" s="633">
        <v>1</v>
      </c>
      <c r="S182" s="671">
        <f>'Территориальный кк'!D10</f>
        <v>2.169</v>
      </c>
      <c r="T182" s="672">
        <f>'Территориальный кк'!E10</f>
        <v>3.0059999999999998</v>
      </c>
      <c r="U182" s="618">
        <f>SUMIFS(Нормативы!G:G,Нормативы!$B:$B,$G182,Нормативы!$D:$D,'2020'!$I182,Нормативы!$F:$F,'2020'!$K182)*O182</f>
        <v>25888</v>
      </c>
      <c r="V182" s="618">
        <f t="shared" ref="V182" si="540">ROUND(U182/1.302,1)</f>
        <v>19883.3</v>
      </c>
      <c r="W182" s="618">
        <f t="shared" ref="W182" si="541">U182-V182</f>
        <v>6004.7</v>
      </c>
      <c r="X182" s="618">
        <f>SUMIFS(Нормативы!J:J,Нормативы!$B:$B,$G182,Нормативы!$D:$D,'2020'!$I182,Нормативы!$F:$F,'2020'!$K182)</f>
        <v>486</v>
      </c>
      <c r="Y182" s="618">
        <f>SUMIFS(Нормативы!K:K,Нормативы!$B:$B,$G182,Нормативы!$D:$D,'2020'!$I182,Нормативы!$F:$F,'2020'!$K182)</f>
        <v>97</v>
      </c>
      <c r="Z182" s="618">
        <f>SUMIFS(Нормативы!L:L,Нормативы!$B:$B,$G182,Нормативы!$D:$D,'2020'!$I182,Нормативы!$F:$F,'2020'!$K182)</f>
        <v>348</v>
      </c>
      <c r="AA182" s="618">
        <f t="shared" ref="AA182" si="542">AB182+AC182+AD182+AE182</f>
        <v>2156</v>
      </c>
      <c r="AB182" s="618">
        <f>SUMIFS(Нормативы!N:N,Нормативы!$B:$B,$G182,Нормативы!$D:$D,'2020'!$I182,Нормативы!$F:$F,'2020'!$K182)*O182</f>
        <v>104</v>
      </c>
      <c r="AC182" s="618">
        <f>SUMIFS(Нормативы!O:O,Нормативы!$B:$B,$G182,Нормативы!$D:$D,'2020'!$I182,Нормативы!$F:$F,'2020'!$K182)</f>
        <v>1728</v>
      </c>
      <c r="AD182" s="618">
        <f>SUMIFS(Нормативы!P:P,Нормативы!$B:$B,$G182,Нормативы!$D:$D,'2020'!$I182,Нормативы!$F:$F,'2020'!$K182)*O182</f>
        <v>146</v>
      </c>
      <c r="AE182" s="618">
        <f>SUMIFS(Нормативы!Q:Q,Нормативы!$B:$B,$G182,Нормативы!$D:$D,'2020'!$I182,Нормативы!$F:$F,'2020'!$K182)</f>
        <v>178</v>
      </c>
      <c r="AF182" s="618">
        <f>SUMIFS(Нормативы!R:R,Нормативы!$B:$B,$G182,Нормативы!$D:$D,'2020'!$I182,Нормативы!$F:$F,'2020'!$K182)</f>
        <v>275</v>
      </c>
      <c r="AG182" s="618">
        <f>SUMIFS(Нормативы!S:S,Нормативы!$B:$B,$G182,Нормативы!$D:$D,'2020'!$I182,Нормативы!$F:$F,'2020'!$K182)</f>
        <v>580</v>
      </c>
      <c r="AH182" s="618">
        <f>SUMIFS(Нормативы!T:T,Нормативы!$B:$B,$G182,Нормативы!$D:$D,'2020'!$I182,Нормативы!$F:$F,'2020'!$K182)</f>
        <v>54</v>
      </c>
      <c r="AI182" s="618">
        <f>SUMIFS(Нормативы!U:U,Нормативы!$B:$B,$G182,Нормативы!$D:$D,'2020'!$I182,Нормативы!$F:$F,'2020'!$K182)</f>
        <v>77</v>
      </c>
      <c r="AJ182" s="618">
        <f>SUMIFS(Нормативы!V:V,Нормативы!$B:$B,$G182,Нормативы!$D:$D,'2020'!$I182,Нормативы!$F:$F,'2020'!$K182)</f>
        <v>8</v>
      </c>
      <c r="AK182" s="618">
        <f>SUMIFS(Нормативы!W:W,Нормативы!$B:$B,$G182,Нормативы!$D:$D,'2020'!$I182,Нормативы!$F:$F,'2020'!$K182)</f>
        <v>39</v>
      </c>
      <c r="AL182" s="618">
        <f>SUMIFS(Нормативы!X:X,Нормативы!$B:$B,$G182,Нормативы!$D:$D,'2020'!$I182,Нормативы!$F:$F,'2020'!$K182)*O182</f>
        <v>3224</v>
      </c>
      <c r="AM182" s="618">
        <f t="shared" ref="AM182" si="543">ROUND(AL182/1.302,1)</f>
        <v>2476.1999999999998</v>
      </c>
      <c r="AN182" s="618">
        <f t="shared" ref="AN182" si="544">AL182-AM182</f>
        <v>747.8</v>
      </c>
      <c r="AO182" s="618">
        <f>SUMIFS(Нормативы!AA:AA,Нормативы!$B:$B,$G182,Нормативы!$D:$D,'2020'!$I182,Нормативы!$F:$F,'2020'!$K182)</f>
        <v>0</v>
      </c>
      <c r="AP182" s="619">
        <f t="shared" ref="AP182" si="545">U182+X182+Z182+AA182++AF182+AG182+AH182+AI182+AJ182+AK182+AL182+AO182</f>
        <v>33135</v>
      </c>
      <c r="AQ182" s="611">
        <f t="shared" si="418"/>
        <v>25888</v>
      </c>
      <c r="AR182" s="622">
        <f t="shared" si="482"/>
        <v>19883.3</v>
      </c>
      <c r="AS182" s="622">
        <f t="shared" si="483"/>
        <v>6004.7</v>
      </c>
      <c r="AT182" s="614">
        <f t="shared" si="419"/>
        <v>486</v>
      </c>
      <c r="AU182" s="614">
        <f t="shared" si="420"/>
        <v>97</v>
      </c>
      <c r="AV182" s="614">
        <f t="shared" si="421"/>
        <v>348</v>
      </c>
      <c r="AW182" s="614">
        <f t="shared" si="422"/>
        <v>2156</v>
      </c>
      <c r="AX182" s="614">
        <f t="shared" si="423"/>
        <v>104</v>
      </c>
      <c r="AY182" s="614">
        <f t="shared" si="424"/>
        <v>1728</v>
      </c>
      <c r="AZ182" s="614">
        <f t="shared" si="425"/>
        <v>146</v>
      </c>
      <c r="BA182" s="614">
        <f t="shared" si="426"/>
        <v>178</v>
      </c>
      <c r="BB182" s="614">
        <f t="shared" si="427"/>
        <v>275</v>
      </c>
      <c r="BC182" s="614">
        <f t="shared" si="428"/>
        <v>580</v>
      </c>
      <c r="BD182" s="614">
        <f t="shared" si="429"/>
        <v>54</v>
      </c>
      <c r="BE182" s="614">
        <f t="shared" si="430"/>
        <v>77</v>
      </c>
      <c r="BF182" s="614">
        <f t="shared" si="431"/>
        <v>8</v>
      </c>
      <c r="BG182" s="614">
        <f t="shared" si="432"/>
        <v>39</v>
      </c>
      <c r="BH182" s="614">
        <f t="shared" si="433"/>
        <v>3224</v>
      </c>
      <c r="BI182" s="614">
        <f t="shared" ref="BI182" si="546">ROUND($P182*AM182,0)</f>
        <v>2476</v>
      </c>
      <c r="BJ182" s="614">
        <f t="shared" ref="BJ182" si="547">ROUND($P182*AN182,0)</f>
        <v>748</v>
      </c>
      <c r="BK182" s="614">
        <f t="shared" si="434"/>
        <v>0</v>
      </c>
      <c r="BL182" s="623">
        <f t="shared" si="435"/>
        <v>33135</v>
      </c>
      <c r="BM182" s="614">
        <f t="shared" si="436"/>
        <v>56151</v>
      </c>
      <c r="BN182" s="622">
        <f t="shared" si="437"/>
        <v>43126.7</v>
      </c>
      <c r="BO182" s="622">
        <f t="shared" si="438"/>
        <v>13024.3</v>
      </c>
      <c r="BP182" s="614">
        <f t="shared" si="486"/>
        <v>486</v>
      </c>
      <c r="BQ182" s="614">
        <f t="shared" si="487"/>
        <v>97</v>
      </c>
      <c r="BR182" s="614">
        <f t="shared" si="488"/>
        <v>348</v>
      </c>
      <c r="BS182" s="614">
        <f t="shared" si="439"/>
        <v>2156</v>
      </c>
      <c r="BT182" s="614">
        <f t="shared" si="440"/>
        <v>104</v>
      </c>
      <c r="BU182" s="614">
        <f t="shared" si="441"/>
        <v>1728</v>
      </c>
      <c r="BV182" s="614">
        <f t="shared" si="442"/>
        <v>146</v>
      </c>
      <c r="BW182" s="614">
        <f t="shared" si="443"/>
        <v>178</v>
      </c>
      <c r="BX182" s="614">
        <f t="shared" si="444"/>
        <v>827</v>
      </c>
      <c r="BY182" s="614">
        <f t="shared" si="445"/>
        <v>580</v>
      </c>
      <c r="BZ182" s="614">
        <f t="shared" si="446"/>
        <v>54</v>
      </c>
      <c r="CA182" s="614">
        <f t="shared" si="447"/>
        <v>77</v>
      </c>
      <c r="CB182" s="614">
        <f t="shared" si="448"/>
        <v>8</v>
      </c>
      <c r="CC182" s="614">
        <f t="shared" si="449"/>
        <v>39</v>
      </c>
      <c r="CD182" s="614">
        <f t="shared" si="537"/>
        <v>3224</v>
      </c>
      <c r="CE182" s="614">
        <f t="shared" si="538"/>
        <v>2476</v>
      </c>
      <c r="CF182" s="614">
        <f t="shared" si="539"/>
        <v>748</v>
      </c>
      <c r="CG182" s="614">
        <f t="shared" si="451"/>
        <v>0</v>
      </c>
      <c r="CH182" s="621">
        <f t="shared" si="452"/>
        <v>63950</v>
      </c>
      <c r="CI182" s="607"/>
      <c r="CJ182" s="607"/>
      <c r="CK182" s="607"/>
      <c r="CL182" s="607"/>
      <c r="CM182" s="607"/>
      <c r="CN182" s="607"/>
      <c r="CO182" s="607"/>
      <c r="CP182" s="607"/>
      <c r="CQ182" s="607"/>
      <c r="CR182" s="607"/>
      <c r="CS182" s="607"/>
      <c r="CT182" s="607"/>
      <c r="CU182" s="607"/>
      <c r="CV182" s="607"/>
      <c r="CW182" s="607"/>
      <c r="CX182" s="607"/>
      <c r="CY182" s="607"/>
      <c r="CZ182" s="607"/>
      <c r="DA182" s="607"/>
      <c r="DB182" s="607"/>
      <c r="DC182" s="607"/>
      <c r="DD182" s="607"/>
      <c r="AUV182" s="699">
        <f t="shared" si="409"/>
        <v>56151</v>
      </c>
      <c r="AUW182" s="699">
        <f t="shared" si="410"/>
        <v>43126.73</v>
      </c>
      <c r="AUX182" s="699">
        <f t="shared" si="411"/>
        <v>13024.27</v>
      </c>
      <c r="AUY182" s="699">
        <f t="shared" si="520"/>
        <v>486</v>
      </c>
      <c r="AUZ182" s="699">
        <f t="shared" si="475"/>
        <v>32.270000000000003</v>
      </c>
      <c r="AVA182" s="699">
        <f t="shared" si="475"/>
        <v>0.01</v>
      </c>
      <c r="AVB182" s="699">
        <f t="shared" si="521"/>
        <v>2156</v>
      </c>
      <c r="AVC182" s="699">
        <f t="shared" si="522"/>
        <v>104</v>
      </c>
      <c r="AVD182" s="699">
        <f t="shared" si="523"/>
        <v>1728</v>
      </c>
      <c r="AVE182" s="699">
        <f t="shared" si="524"/>
        <v>146</v>
      </c>
      <c r="AVF182" s="699">
        <f t="shared" si="525"/>
        <v>178</v>
      </c>
      <c r="AVG182" s="699">
        <f t="shared" si="526"/>
        <v>827</v>
      </c>
      <c r="AVH182" s="699">
        <f t="shared" si="527"/>
        <v>580</v>
      </c>
      <c r="AVI182" s="699">
        <f t="shared" si="528"/>
        <v>54</v>
      </c>
      <c r="AVJ182" s="699">
        <f t="shared" si="529"/>
        <v>77</v>
      </c>
      <c r="AVK182" s="699">
        <f t="shared" si="530"/>
        <v>8</v>
      </c>
      <c r="AVL182" s="699">
        <f t="shared" si="531"/>
        <v>39</v>
      </c>
      <c r="AVM182" s="699">
        <f t="shared" si="532"/>
        <v>3224</v>
      </c>
      <c r="AVN182" s="699">
        <f t="shared" si="533"/>
        <v>2476.19</v>
      </c>
      <c r="AVO182" s="699">
        <f t="shared" si="534"/>
        <v>747.81</v>
      </c>
      <c r="AVP182" s="699">
        <f t="shared" si="535"/>
        <v>0</v>
      </c>
      <c r="AVQ182" s="699">
        <f t="shared" si="536"/>
        <v>63950</v>
      </c>
    </row>
    <row r="183" spans="1:1265" ht="30" customHeight="1" x14ac:dyDescent="0.25">
      <c r="A183" s="643">
        <v>1</v>
      </c>
      <c r="B183" s="643">
        <v>7</v>
      </c>
      <c r="C183" s="664" t="s">
        <v>20</v>
      </c>
      <c r="D183" s="2"/>
      <c r="E183" s="101" t="s">
        <v>345</v>
      </c>
      <c r="F183" s="643" t="s">
        <v>38</v>
      </c>
      <c r="G183" s="643">
        <v>2</v>
      </c>
      <c r="H183" s="658" t="s">
        <v>8</v>
      </c>
      <c r="I183" s="643">
        <v>3</v>
      </c>
      <c r="J183" s="101" t="s">
        <v>363</v>
      </c>
      <c r="K183" s="643">
        <v>3</v>
      </c>
      <c r="L183" s="683" t="s">
        <v>350</v>
      </c>
      <c r="M183" s="11" t="s">
        <v>300</v>
      </c>
      <c r="N183" s="101" t="s">
        <v>387</v>
      </c>
      <c r="O183" s="643">
        <v>1</v>
      </c>
      <c r="P183" s="695">
        <v>7</v>
      </c>
      <c r="Q183" s="632">
        <v>7</v>
      </c>
      <c r="R183" s="632">
        <v>7</v>
      </c>
      <c r="S183" s="675">
        <f>SUMIF('Территориальный кк'!$A:$A,'2020'!$B183,'Территориальный кк'!D:D)</f>
        <v>2.169</v>
      </c>
      <c r="T183" s="676">
        <f>SUMIF('Территориальный кк'!$A:$A,'2020'!$B183,'Территориальный кк'!E:E)</f>
        <v>3.0059999999999998</v>
      </c>
      <c r="U183" s="618">
        <f>SUMIFS(Нормативы!G:G,Нормативы!$B:$B,$G183,Нормативы!$D:$D,'2020'!$I183,Нормативы!$F:$F,'2020'!$K183)*O183</f>
        <v>12944</v>
      </c>
      <c r="V183" s="618">
        <f t="shared" si="476"/>
        <v>9941.6</v>
      </c>
      <c r="W183" s="618">
        <f t="shared" si="477"/>
        <v>3002.4</v>
      </c>
      <c r="X183" s="618">
        <f>SUMIFS(Нормативы!J:J,Нормативы!$B:$B,$G183,Нормативы!$D:$D,'2020'!$I183,Нормативы!$F:$F,'2020'!$K183)</f>
        <v>486</v>
      </c>
      <c r="Y183" s="618">
        <f>SUMIFS(Нормативы!K:K,Нормативы!$B:$B,$G183,Нормативы!$D:$D,'2020'!$I183,Нормативы!$F:$F,'2020'!$K183)</f>
        <v>97</v>
      </c>
      <c r="Z183" s="618">
        <f>SUMIFS(Нормативы!L:L,Нормативы!$B:$B,$G183,Нормативы!$D:$D,'2020'!$I183,Нормативы!$F:$F,'2020'!$K183)</f>
        <v>348</v>
      </c>
      <c r="AA183" s="618">
        <f t="shared" si="478"/>
        <v>2031</v>
      </c>
      <c r="AB183" s="618">
        <f>SUMIFS(Нормативы!N:N,Нормативы!$B:$B,$G183,Нормативы!$D:$D,'2020'!$I183,Нормативы!$F:$F,'2020'!$K183)*O183</f>
        <v>52</v>
      </c>
      <c r="AC183" s="618">
        <f>SUMIFS(Нормативы!O:O,Нормативы!$B:$B,$G183,Нормативы!$D:$D,'2020'!$I183,Нормативы!$F:$F,'2020'!$K183)</f>
        <v>1728</v>
      </c>
      <c r="AD183" s="618">
        <f>SUMIFS(Нормативы!P:P,Нормативы!$B:$B,$G183,Нормативы!$D:$D,'2020'!$I183,Нормативы!$F:$F,'2020'!$K183)*O183</f>
        <v>73</v>
      </c>
      <c r="AE183" s="618">
        <f>SUMIFS(Нормативы!Q:Q,Нормативы!$B:$B,$G183,Нормативы!$D:$D,'2020'!$I183,Нормативы!$F:$F,'2020'!$K183)</f>
        <v>178</v>
      </c>
      <c r="AF183" s="618">
        <f>SUMIFS(Нормативы!R:R,Нормативы!$B:$B,$G183,Нормативы!$D:$D,'2020'!$I183,Нормативы!$F:$F,'2020'!$K183)</f>
        <v>275</v>
      </c>
      <c r="AG183" s="618">
        <f>SUMIFS(Нормативы!S:S,Нормативы!$B:$B,$G183,Нормативы!$D:$D,'2020'!$I183,Нормативы!$F:$F,'2020'!$K183)</f>
        <v>580</v>
      </c>
      <c r="AH183" s="618">
        <f>SUMIFS(Нормативы!T:T,Нормативы!$B:$B,$G183,Нормативы!$D:$D,'2020'!$I183,Нормативы!$F:$F,'2020'!$K183)</f>
        <v>54</v>
      </c>
      <c r="AI183" s="618">
        <f>SUMIFS(Нормативы!U:U,Нормативы!$B:$B,$G183,Нормативы!$D:$D,'2020'!$I183,Нормативы!$F:$F,'2020'!$K183)</f>
        <v>77</v>
      </c>
      <c r="AJ183" s="618">
        <f>SUMIFS(Нормативы!V:V,Нормативы!$B:$B,$G183,Нормативы!$D:$D,'2020'!$I183,Нормативы!$F:$F,'2020'!$K183)</f>
        <v>8</v>
      </c>
      <c r="AK183" s="618">
        <f>SUMIFS(Нормативы!W:W,Нормативы!$B:$B,$G183,Нормативы!$D:$D,'2020'!$I183,Нормативы!$F:$F,'2020'!$K183)</f>
        <v>39</v>
      </c>
      <c r="AL183" s="618">
        <f>SUMIFS(Нормативы!X:X,Нормативы!$B:$B,$G183,Нормативы!$D:$D,'2020'!$I183,Нормативы!$F:$F,'2020'!$K183)*O183</f>
        <v>1612</v>
      </c>
      <c r="AM183" s="618">
        <f t="shared" si="479"/>
        <v>1238.0999999999999</v>
      </c>
      <c r="AN183" s="618">
        <f t="shared" si="480"/>
        <v>373.9</v>
      </c>
      <c r="AO183" s="618">
        <f>SUMIFS(Нормативы!AA:AA,Нормативы!$B:$B,$G183,Нормативы!$D:$D,'2020'!$I183,Нормативы!$F:$F,'2020'!$K183)</f>
        <v>0</v>
      </c>
      <c r="AP183" s="619">
        <f t="shared" si="481"/>
        <v>18454</v>
      </c>
      <c r="AQ183" s="413">
        <f t="shared" si="418"/>
        <v>90608</v>
      </c>
      <c r="AR183" s="618">
        <f t="shared" si="482"/>
        <v>69591.399999999994</v>
      </c>
      <c r="AS183" s="618">
        <f t="shared" si="483"/>
        <v>21016.6</v>
      </c>
      <c r="AT183" s="616">
        <f t="shared" si="419"/>
        <v>3402</v>
      </c>
      <c r="AU183" s="616">
        <f t="shared" si="420"/>
        <v>679</v>
      </c>
      <c r="AV183" s="616">
        <f t="shared" si="421"/>
        <v>2436</v>
      </c>
      <c r="AW183" s="616">
        <f t="shared" si="422"/>
        <v>14217</v>
      </c>
      <c r="AX183" s="616">
        <f t="shared" si="423"/>
        <v>364</v>
      </c>
      <c r="AY183" s="616">
        <f t="shared" si="424"/>
        <v>12096</v>
      </c>
      <c r="AZ183" s="616">
        <f t="shared" si="425"/>
        <v>511</v>
      </c>
      <c r="BA183" s="616">
        <f t="shared" si="426"/>
        <v>1246</v>
      </c>
      <c r="BB183" s="616">
        <f t="shared" si="427"/>
        <v>1925</v>
      </c>
      <c r="BC183" s="616">
        <f t="shared" si="428"/>
        <v>4060</v>
      </c>
      <c r="BD183" s="616">
        <f t="shared" si="429"/>
        <v>378</v>
      </c>
      <c r="BE183" s="616">
        <f t="shared" si="430"/>
        <v>539</v>
      </c>
      <c r="BF183" s="616">
        <f t="shared" si="431"/>
        <v>56</v>
      </c>
      <c r="BG183" s="616">
        <f t="shared" si="432"/>
        <v>273</v>
      </c>
      <c r="BH183" s="616">
        <f t="shared" si="433"/>
        <v>11284</v>
      </c>
      <c r="BI183" s="618">
        <f t="shared" si="484"/>
        <v>8666.7000000000007</v>
      </c>
      <c r="BJ183" s="618">
        <f t="shared" si="485"/>
        <v>2617.3000000000002</v>
      </c>
      <c r="BK183" s="616">
        <f t="shared" si="434"/>
        <v>0</v>
      </c>
      <c r="BL183" s="620">
        <f t="shared" si="435"/>
        <v>129178</v>
      </c>
      <c r="BM183" s="616">
        <f t="shared" si="436"/>
        <v>196529</v>
      </c>
      <c r="BN183" s="618">
        <f t="shared" si="437"/>
        <v>150943.9</v>
      </c>
      <c r="BO183" s="618">
        <f t="shared" si="438"/>
        <v>45585.1</v>
      </c>
      <c r="BP183" s="616">
        <f t="shared" si="486"/>
        <v>3402</v>
      </c>
      <c r="BQ183" s="616">
        <f t="shared" si="487"/>
        <v>679</v>
      </c>
      <c r="BR183" s="616">
        <f t="shared" si="488"/>
        <v>2436</v>
      </c>
      <c r="BS183" s="616">
        <f t="shared" si="439"/>
        <v>14217</v>
      </c>
      <c r="BT183" s="616">
        <f t="shared" si="440"/>
        <v>364</v>
      </c>
      <c r="BU183" s="616">
        <f t="shared" si="441"/>
        <v>12096</v>
      </c>
      <c r="BV183" s="616">
        <f t="shared" si="442"/>
        <v>511</v>
      </c>
      <c r="BW183" s="616">
        <f t="shared" si="443"/>
        <v>1246</v>
      </c>
      <c r="BX183" s="616">
        <f t="shared" si="444"/>
        <v>5787</v>
      </c>
      <c r="BY183" s="616">
        <f t="shared" si="445"/>
        <v>4060</v>
      </c>
      <c r="BZ183" s="616">
        <f t="shared" si="446"/>
        <v>378</v>
      </c>
      <c r="CA183" s="616">
        <f t="shared" si="447"/>
        <v>539</v>
      </c>
      <c r="CB183" s="616">
        <f t="shared" si="448"/>
        <v>56</v>
      </c>
      <c r="CC183" s="616">
        <f t="shared" si="449"/>
        <v>273</v>
      </c>
      <c r="CD183" s="616">
        <f t="shared" si="450"/>
        <v>24475</v>
      </c>
      <c r="CE183" s="618">
        <f t="shared" si="489"/>
        <v>18798</v>
      </c>
      <c r="CF183" s="618">
        <f t="shared" si="490"/>
        <v>5677</v>
      </c>
      <c r="CG183" s="616">
        <f t="shared" si="451"/>
        <v>0</v>
      </c>
      <c r="CH183" s="621">
        <f t="shared" si="452"/>
        <v>252152</v>
      </c>
      <c r="CI183" s="88">
        <f t="shared" si="453"/>
        <v>28075.571400000001</v>
      </c>
      <c r="CJ183" s="90">
        <f t="shared" si="454"/>
        <v>21563.4143</v>
      </c>
      <c r="CK183" s="90">
        <f t="shared" si="455"/>
        <v>6512.1571000000004</v>
      </c>
      <c r="CL183" s="88">
        <f t="shared" si="456"/>
        <v>486</v>
      </c>
      <c r="CM183" s="88">
        <f t="shared" si="457"/>
        <v>97</v>
      </c>
      <c r="CN183" s="88">
        <f t="shared" si="458"/>
        <v>348</v>
      </c>
      <c r="CO183" s="88">
        <f t="shared" si="459"/>
        <v>2031</v>
      </c>
      <c r="CP183" s="88">
        <f t="shared" si="460"/>
        <v>52</v>
      </c>
      <c r="CQ183" s="88">
        <f t="shared" si="461"/>
        <v>1728</v>
      </c>
      <c r="CR183" s="88">
        <f t="shared" si="462"/>
        <v>73</v>
      </c>
      <c r="CS183" s="88">
        <f t="shared" si="463"/>
        <v>178</v>
      </c>
      <c r="CT183" s="88">
        <f t="shared" si="464"/>
        <v>826.71429999999998</v>
      </c>
      <c r="CU183" s="88">
        <f t="shared" si="465"/>
        <v>580</v>
      </c>
      <c r="CV183" s="88">
        <f t="shared" si="466"/>
        <v>54</v>
      </c>
      <c r="CW183" s="88">
        <f t="shared" si="467"/>
        <v>77</v>
      </c>
      <c r="CX183" s="88">
        <f t="shared" si="468"/>
        <v>8</v>
      </c>
      <c r="CY183" s="88">
        <f t="shared" si="469"/>
        <v>39</v>
      </c>
      <c r="CZ183" s="88">
        <f t="shared" si="470"/>
        <v>3496.4286000000002</v>
      </c>
      <c r="DA183" s="90">
        <f t="shared" si="471"/>
        <v>2685.4286000000002</v>
      </c>
      <c r="DB183" s="90">
        <f t="shared" si="472"/>
        <v>811</v>
      </c>
      <c r="DC183" s="88">
        <f t="shared" si="473"/>
        <v>0</v>
      </c>
      <c r="DD183" s="88">
        <f t="shared" si="474"/>
        <v>36021.7143</v>
      </c>
      <c r="AUV183" s="699">
        <f t="shared" si="409"/>
        <v>28075.57</v>
      </c>
      <c r="AUW183" s="699">
        <f t="shared" si="410"/>
        <v>21563.42</v>
      </c>
      <c r="AUX183" s="699">
        <f t="shared" si="411"/>
        <v>6512.15</v>
      </c>
      <c r="AUY183" s="699">
        <f t="shared" si="520"/>
        <v>486</v>
      </c>
      <c r="AUZ183" s="699">
        <f t="shared" si="475"/>
        <v>225.88</v>
      </c>
      <c r="AVA183" s="699">
        <f t="shared" si="475"/>
        <v>0.19</v>
      </c>
      <c r="AVB183" s="699">
        <f t="shared" si="521"/>
        <v>2031</v>
      </c>
      <c r="AVC183" s="699">
        <f t="shared" si="522"/>
        <v>52</v>
      </c>
      <c r="AVD183" s="699">
        <f t="shared" si="523"/>
        <v>1728</v>
      </c>
      <c r="AVE183" s="699">
        <f t="shared" si="524"/>
        <v>73</v>
      </c>
      <c r="AVF183" s="699">
        <f t="shared" si="525"/>
        <v>178</v>
      </c>
      <c r="AVG183" s="699">
        <f t="shared" si="526"/>
        <v>826.71</v>
      </c>
      <c r="AVH183" s="699">
        <f t="shared" si="527"/>
        <v>580</v>
      </c>
      <c r="AVI183" s="699">
        <f t="shared" si="528"/>
        <v>54</v>
      </c>
      <c r="AVJ183" s="699">
        <f t="shared" si="529"/>
        <v>77</v>
      </c>
      <c r="AVK183" s="699">
        <f t="shared" si="530"/>
        <v>8</v>
      </c>
      <c r="AVL183" s="699">
        <f t="shared" si="531"/>
        <v>39</v>
      </c>
      <c r="AVM183" s="699">
        <f t="shared" si="532"/>
        <v>3496.43</v>
      </c>
      <c r="AVN183" s="699">
        <f t="shared" si="533"/>
        <v>2685.43</v>
      </c>
      <c r="AVO183" s="699">
        <f t="shared" si="534"/>
        <v>811</v>
      </c>
      <c r="AVP183" s="699">
        <f t="shared" si="535"/>
        <v>0</v>
      </c>
      <c r="AVQ183" s="699">
        <f t="shared" si="536"/>
        <v>36021.71</v>
      </c>
    </row>
    <row r="184" spans="1:1265" ht="30" customHeight="1" x14ac:dyDescent="0.25">
      <c r="A184" s="643">
        <v>1</v>
      </c>
      <c r="B184" s="643">
        <v>7</v>
      </c>
      <c r="C184" s="664" t="s">
        <v>20</v>
      </c>
      <c r="D184" s="2"/>
      <c r="E184" s="101" t="s">
        <v>345</v>
      </c>
      <c r="F184" s="643" t="s">
        <v>38</v>
      </c>
      <c r="G184" s="643">
        <v>2</v>
      </c>
      <c r="H184" s="658" t="s">
        <v>10</v>
      </c>
      <c r="I184" s="643">
        <v>0</v>
      </c>
      <c r="J184" s="101" t="s">
        <v>364</v>
      </c>
      <c r="K184" s="643">
        <v>3</v>
      </c>
      <c r="L184" s="683" t="s">
        <v>350</v>
      </c>
      <c r="M184" s="11" t="s">
        <v>270</v>
      </c>
      <c r="N184" s="101" t="s">
        <v>387</v>
      </c>
      <c r="O184" s="643">
        <v>1</v>
      </c>
      <c r="P184" s="695">
        <v>60</v>
      </c>
      <c r="Q184" s="632">
        <v>60</v>
      </c>
      <c r="R184" s="632">
        <v>60</v>
      </c>
      <c r="S184" s="675">
        <f>SUMIF('Территориальный кк'!$A:$A,'2020'!$B184,'Территориальный кк'!D:D)</f>
        <v>2.169</v>
      </c>
      <c r="T184" s="676">
        <f>SUMIF('Территориальный кк'!$A:$A,'2020'!$B184,'Территориальный кк'!E:E)</f>
        <v>3.0059999999999998</v>
      </c>
      <c r="U184" s="618">
        <f>SUMIFS(Нормативы!G:G,Нормативы!$B:$B,$G184,Нормативы!$D:$D,'2020'!$I184,Нормативы!$F:$F,'2020'!$K184)*O184</f>
        <v>70600</v>
      </c>
      <c r="V184" s="618">
        <f t="shared" si="476"/>
        <v>54224.3</v>
      </c>
      <c r="W184" s="618">
        <f t="shared" si="477"/>
        <v>16375.7</v>
      </c>
      <c r="X184" s="618">
        <f>SUMIFS(Нормативы!J:J,Нормативы!$B:$B,$G184,Нормативы!$D:$D,'2020'!$I184,Нормативы!$F:$F,'2020'!$K184)</f>
        <v>8860</v>
      </c>
      <c r="Y184" s="618">
        <f>SUMIFS(Нормативы!K:K,Нормативы!$B:$B,$G184,Нормативы!$D:$D,'2020'!$I184,Нормативы!$F:$F,'2020'!$K184)</f>
        <v>0</v>
      </c>
      <c r="Z184" s="618">
        <f>SUMIFS(Нормативы!L:L,Нормативы!$B:$B,$G184,Нормативы!$D:$D,'2020'!$I184,Нормативы!$F:$F,'2020'!$K184)</f>
        <v>8110</v>
      </c>
      <c r="AA184" s="618">
        <f t="shared" si="478"/>
        <v>21610</v>
      </c>
      <c r="AB184" s="618">
        <f>SUMIFS(Нормативы!N:N,Нормативы!$B:$B,$G184,Нормативы!$D:$D,'2020'!$I184,Нормативы!$F:$F,'2020'!$K184)*O184</f>
        <v>520</v>
      </c>
      <c r="AC184" s="618">
        <f>SUMIFS(Нормативы!O:O,Нормативы!$B:$B,$G184,Нормативы!$D:$D,'2020'!$I184,Нормативы!$F:$F,'2020'!$K184)</f>
        <v>19720</v>
      </c>
      <c r="AD184" s="618">
        <f>SUMIFS(Нормативы!P:P,Нормативы!$B:$B,$G184,Нормативы!$D:$D,'2020'!$I184,Нормативы!$F:$F,'2020'!$K184)*O184</f>
        <v>400</v>
      </c>
      <c r="AE184" s="618">
        <f>SUMIFS(Нормативы!Q:Q,Нормативы!$B:$B,$G184,Нормативы!$D:$D,'2020'!$I184,Нормативы!$F:$F,'2020'!$K184)</f>
        <v>970</v>
      </c>
      <c r="AF184" s="618">
        <f>SUMIFS(Нормативы!R:R,Нормативы!$B:$B,$G184,Нормативы!$D:$D,'2020'!$I184,Нормативы!$F:$F,'2020'!$K184)</f>
        <v>2680</v>
      </c>
      <c r="AG184" s="618">
        <f>SUMIFS(Нормативы!S:S,Нормативы!$B:$B,$G184,Нормативы!$D:$D,'2020'!$I184,Нормативы!$F:$F,'2020'!$K184)</f>
        <v>5800</v>
      </c>
      <c r="AH184" s="618">
        <f>SUMIFS(Нормативы!T:T,Нормативы!$B:$B,$G184,Нормативы!$D:$D,'2020'!$I184,Нормативы!$F:$F,'2020'!$K184)</f>
        <v>540</v>
      </c>
      <c r="AI184" s="618">
        <f>SUMIFS(Нормативы!U:U,Нормативы!$B:$B,$G184,Нормативы!$D:$D,'2020'!$I184,Нормативы!$F:$F,'2020'!$K184)</f>
        <v>770</v>
      </c>
      <c r="AJ184" s="618">
        <f>SUMIFS(Нормативы!V:V,Нормативы!$B:$B,$G184,Нормативы!$D:$D,'2020'!$I184,Нормативы!$F:$F,'2020'!$K184)</f>
        <v>80</v>
      </c>
      <c r="AK184" s="618">
        <f>SUMIFS(Нормативы!W:W,Нормативы!$B:$B,$G184,Нормативы!$D:$D,'2020'!$I184,Нормативы!$F:$F,'2020'!$K184)</f>
        <v>330</v>
      </c>
      <c r="AL184" s="618">
        <f>SUMIFS(Нормативы!X:X,Нормативы!$B:$B,$G184,Нормативы!$D:$D,'2020'!$I184,Нормативы!$F:$F,'2020'!$K184)*O184</f>
        <v>16120</v>
      </c>
      <c r="AM184" s="618">
        <f t="shared" si="479"/>
        <v>12381</v>
      </c>
      <c r="AN184" s="618">
        <f t="shared" si="480"/>
        <v>3739</v>
      </c>
      <c r="AO184" s="618">
        <f>SUMIFS(Нормативы!AA:AA,Нормативы!$B:$B,$G184,Нормативы!$D:$D,'2020'!$I184,Нормативы!$F:$F,'2020'!$K184)</f>
        <v>3520</v>
      </c>
      <c r="AP184" s="619">
        <f t="shared" si="481"/>
        <v>139020</v>
      </c>
      <c r="AQ184" s="413">
        <f t="shared" si="418"/>
        <v>4236000</v>
      </c>
      <c r="AR184" s="618">
        <f t="shared" si="482"/>
        <v>3253456.2</v>
      </c>
      <c r="AS184" s="618">
        <f t="shared" si="483"/>
        <v>982543.8</v>
      </c>
      <c r="AT184" s="616">
        <f t="shared" si="419"/>
        <v>531600</v>
      </c>
      <c r="AU184" s="616">
        <f t="shared" si="420"/>
        <v>0</v>
      </c>
      <c r="AV184" s="616">
        <f t="shared" si="421"/>
        <v>486600</v>
      </c>
      <c r="AW184" s="616">
        <f t="shared" si="422"/>
        <v>1296600</v>
      </c>
      <c r="AX184" s="616">
        <f t="shared" si="423"/>
        <v>31200</v>
      </c>
      <c r="AY184" s="616">
        <f t="shared" si="424"/>
        <v>1183200</v>
      </c>
      <c r="AZ184" s="616">
        <f t="shared" si="425"/>
        <v>24000</v>
      </c>
      <c r="BA184" s="616">
        <f t="shared" si="426"/>
        <v>58200</v>
      </c>
      <c r="BB184" s="616">
        <f t="shared" si="427"/>
        <v>160800</v>
      </c>
      <c r="BC184" s="616">
        <f t="shared" si="428"/>
        <v>348000</v>
      </c>
      <c r="BD184" s="616">
        <f t="shared" si="429"/>
        <v>32400</v>
      </c>
      <c r="BE184" s="616">
        <f t="shared" si="430"/>
        <v>46200</v>
      </c>
      <c r="BF184" s="616">
        <f t="shared" si="431"/>
        <v>4800</v>
      </c>
      <c r="BG184" s="616">
        <f t="shared" si="432"/>
        <v>19800</v>
      </c>
      <c r="BH184" s="616">
        <f t="shared" si="433"/>
        <v>967200</v>
      </c>
      <c r="BI184" s="618">
        <f t="shared" si="484"/>
        <v>742857.1</v>
      </c>
      <c r="BJ184" s="618">
        <f t="shared" si="485"/>
        <v>224342.9</v>
      </c>
      <c r="BK184" s="616">
        <f t="shared" si="434"/>
        <v>211200</v>
      </c>
      <c r="BL184" s="620">
        <f t="shared" si="435"/>
        <v>8341200</v>
      </c>
      <c r="BM184" s="616">
        <f t="shared" si="436"/>
        <v>9187884</v>
      </c>
      <c r="BN184" s="618">
        <f t="shared" si="437"/>
        <v>7056746.5</v>
      </c>
      <c r="BO184" s="618">
        <f t="shared" si="438"/>
        <v>2131137.5</v>
      </c>
      <c r="BP184" s="616">
        <f t="shared" si="486"/>
        <v>531600</v>
      </c>
      <c r="BQ184" s="616">
        <f t="shared" si="487"/>
        <v>0</v>
      </c>
      <c r="BR184" s="616">
        <f t="shared" si="488"/>
        <v>486600</v>
      </c>
      <c r="BS184" s="616">
        <f t="shared" si="439"/>
        <v>1296600</v>
      </c>
      <c r="BT184" s="616">
        <f t="shared" si="440"/>
        <v>31200</v>
      </c>
      <c r="BU184" s="616">
        <f t="shared" si="441"/>
        <v>1183200</v>
      </c>
      <c r="BV184" s="616">
        <f t="shared" si="442"/>
        <v>24000</v>
      </c>
      <c r="BW184" s="616">
        <f t="shared" si="443"/>
        <v>58200</v>
      </c>
      <c r="BX184" s="616">
        <f t="shared" si="444"/>
        <v>483365</v>
      </c>
      <c r="BY184" s="616">
        <f t="shared" si="445"/>
        <v>348000</v>
      </c>
      <c r="BZ184" s="616">
        <f t="shared" si="446"/>
        <v>32400</v>
      </c>
      <c r="CA184" s="616">
        <f t="shared" si="447"/>
        <v>46200</v>
      </c>
      <c r="CB184" s="616">
        <f t="shared" si="448"/>
        <v>4800</v>
      </c>
      <c r="CC184" s="616">
        <f t="shared" si="449"/>
        <v>19800</v>
      </c>
      <c r="CD184" s="616">
        <f t="shared" si="450"/>
        <v>2097857</v>
      </c>
      <c r="CE184" s="618">
        <f t="shared" si="489"/>
        <v>1611257.3</v>
      </c>
      <c r="CF184" s="618">
        <f t="shared" si="490"/>
        <v>486599.7</v>
      </c>
      <c r="CG184" s="616">
        <f t="shared" si="451"/>
        <v>211200</v>
      </c>
      <c r="CH184" s="621">
        <f t="shared" si="452"/>
        <v>14746306</v>
      </c>
      <c r="CI184" s="88">
        <f t="shared" si="453"/>
        <v>153131.4</v>
      </c>
      <c r="CJ184" s="90">
        <f t="shared" si="454"/>
        <v>117612.4417</v>
      </c>
      <c r="CK184" s="90">
        <f t="shared" si="455"/>
        <v>35518.958299999998</v>
      </c>
      <c r="CL184" s="88">
        <f t="shared" si="456"/>
        <v>8860</v>
      </c>
      <c r="CM184" s="88">
        <f t="shared" si="457"/>
        <v>0</v>
      </c>
      <c r="CN184" s="88">
        <f t="shared" si="458"/>
        <v>8110</v>
      </c>
      <c r="CO184" s="88">
        <f t="shared" si="459"/>
        <v>21610</v>
      </c>
      <c r="CP184" s="88">
        <f t="shared" si="460"/>
        <v>520</v>
      </c>
      <c r="CQ184" s="88">
        <f t="shared" si="461"/>
        <v>19720</v>
      </c>
      <c r="CR184" s="88">
        <f t="shared" si="462"/>
        <v>400</v>
      </c>
      <c r="CS184" s="88">
        <f t="shared" si="463"/>
        <v>970</v>
      </c>
      <c r="CT184" s="88">
        <f t="shared" si="464"/>
        <v>8056.0833000000002</v>
      </c>
      <c r="CU184" s="88">
        <f t="shared" si="465"/>
        <v>5800</v>
      </c>
      <c r="CV184" s="88">
        <f t="shared" si="466"/>
        <v>540</v>
      </c>
      <c r="CW184" s="88">
        <f t="shared" si="467"/>
        <v>770</v>
      </c>
      <c r="CX184" s="88">
        <f t="shared" si="468"/>
        <v>80</v>
      </c>
      <c r="CY184" s="88">
        <f t="shared" si="469"/>
        <v>330</v>
      </c>
      <c r="CZ184" s="88">
        <f t="shared" si="470"/>
        <v>34964.283300000003</v>
      </c>
      <c r="DA184" s="90">
        <f t="shared" si="471"/>
        <v>26854.2883</v>
      </c>
      <c r="DB184" s="90">
        <f t="shared" si="472"/>
        <v>8109.9949999999999</v>
      </c>
      <c r="DC184" s="88">
        <f t="shared" si="473"/>
        <v>3520</v>
      </c>
      <c r="DD184" s="88">
        <f t="shared" si="474"/>
        <v>245771.76670000001</v>
      </c>
      <c r="AUV184" s="699">
        <f t="shared" si="409"/>
        <v>153131.4</v>
      </c>
      <c r="AUW184" s="699">
        <f t="shared" si="410"/>
        <v>117612.44</v>
      </c>
      <c r="AUX184" s="699">
        <f t="shared" si="411"/>
        <v>35518.959999999999</v>
      </c>
      <c r="AUY184" s="699">
        <f t="shared" si="520"/>
        <v>8860</v>
      </c>
      <c r="AUZ184" s="699">
        <f t="shared" si="475"/>
        <v>0</v>
      </c>
      <c r="AVA184" s="699">
        <f t="shared" si="475"/>
        <v>6.89</v>
      </c>
      <c r="AVB184" s="699">
        <f t="shared" si="521"/>
        <v>21610</v>
      </c>
      <c r="AVC184" s="699">
        <f t="shared" si="522"/>
        <v>520</v>
      </c>
      <c r="AVD184" s="699">
        <f t="shared" si="523"/>
        <v>19720</v>
      </c>
      <c r="AVE184" s="699">
        <f t="shared" si="524"/>
        <v>400</v>
      </c>
      <c r="AVF184" s="699">
        <f t="shared" si="525"/>
        <v>970</v>
      </c>
      <c r="AVG184" s="699">
        <f t="shared" si="526"/>
        <v>8056.08</v>
      </c>
      <c r="AVH184" s="699">
        <f t="shared" si="527"/>
        <v>5800</v>
      </c>
      <c r="AVI184" s="699">
        <f t="shared" si="528"/>
        <v>540</v>
      </c>
      <c r="AVJ184" s="699">
        <f t="shared" si="529"/>
        <v>770</v>
      </c>
      <c r="AVK184" s="699">
        <f t="shared" si="530"/>
        <v>80</v>
      </c>
      <c r="AVL184" s="699">
        <f t="shared" si="531"/>
        <v>330</v>
      </c>
      <c r="AVM184" s="699">
        <f t="shared" si="532"/>
        <v>34964.28</v>
      </c>
      <c r="AVN184" s="699">
        <f t="shared" si="533"/>
        <v>26854.29</v>
      </c>
      <c r="AVO184" s="699">
        <f t="shared" si="534"/>
        <v>8109.99</v>
      </c>
      <c r="AVP184" s="699">
        <f t="shared" si="535"/>
        <v>3520</v>
      </c>
      <c r="AVQ184" s="699">
        <f t="shared" si="536"/>
        <v>245771.77</v>
      </c>
    </row>
    <row r="185" spans="1:1265" ht="30" customHeight="1" x14ac:dyDescent="0.25">
      <c r="A185" s="643">
        <v>1</v>
      </c>
      <c r="B185" s="643">
        <v>7</v>
      </c>
      <c r="C185" s="664" t="s">
        <v>20</v>
      </c>
      <c r="D185" s="2"/>
      <c r="E185" s="101" t="s">
        <v>345</v>
      </c>
      <c r="F185" s="643" t="s">
        <v>38</v>
      </c>
      <c r="G185" s="643">
        <v>2</v>
      </c>
      <c r="H185" s="658" t="s">
        <v>8</v>
      </c>
      <c r="I185" s="643">
        <v>3</v>
      </c>
      <c r="J185" s="101" t="s">
        <v>364</v>
      </c>
      <c r="K185" s="643">
        <v>3</v>
      </c>
      <c r="L185" s="683" t="s">
        <v>350</v>
      </c>
      <c r="M185" s="11" t="s">
        <v>307</v>
      </c>
      <c r="N185" s="101" t="s">
        <v>387</v>
      </c>
      <c r="O185" s="643">
        <v>1</v>
      </c>
      <c r="P185" s="695">
        <v>27</v>
      </c>
      <c r="Q185" s="632">
        <v>27</v>
      </c>
      <c r="R185" s="632">
        <v>27</v>
      </c>
      <c r="S185" s="675">
        <f>SUMIF('Территориальный кк'!$A:$A,'2020'!$B185,'Территориальный кк'!D:D)</f>
        <v>2.169</v>
      </c>
      <c r="T185" s="676">
        <f>SUMIF('Территориальный кк'!$A:$A,'2020'!$B185,'Территориальный кк'!E:E)</f>
        <v>3.0059999999999998</v>
      </c>
      <c r="U185" s="618">
        <f>SUMIFS(Нормативы!G:G,Нормативы!$B:$B,$G185,Нормативы!$D:$D,'2020'!$I185,Нормативы!$F:$F,'2020'!$K185)*O185</f>
        <v>12944</v>
      </c>
      <c r="V185" s="618">
        <f t="shared" si="476"/>
        <v>9941.6</v>
      </c>
      <c r="W185" s="618">
        <f t="shared" si="477"/>
        <v>3002.4</v>
      </c>
      <c r="X185" s="618">
        <f>SUMIFS(Нормативы!J:J,Нормативы!$B:$B,$G185,Нормативы!$D:$D,'2020'!$I185,Нормативы!$F:$F,'2020'!$K185)</f>
        <v>486</v>
      </c>
      <c r="Y185" s="618">
        <f>SUMIFS(Нормативы!K:K,Нормативы!$B:$B,$G185,Нормативы!$D:$D,'2020'!$I185,Нормативы!$F:$F,'2020'!$K185)</f>
        <v>97</v>
      </c>
      <c r="Z185" s="618">
        <f>SUMIFS(Нормативы!L:L,Нормативы!$B:$B,$G185,Нормативы!$D:$D,'2020'!$I185,Нормативы!$F:$F,'2020'!$K185)</f>
        <v>348</v>
      </c>
      <c r="AA185" s="618">
        <f t="shared" si="478"/>
        <v>2031</v>
      </c>
      <c r="AB185" s="618">
        <f>SUMIFS(Нормативы!N:N,Нормативы!$B:$B,$G185,Нормативы!$D:$D,'2020'!$I185,Нормативы!$F:$F,'2020'!$K185)*O185</f>
        <v>52</v>
      </c>
      <c r="AC185" s="618">
        <f>SUMIFS(Нормативы!O:O,Нормативы!$B:$B,$G185,Нормативы!$D:$D,'2020'!$I185,Нормативы!$F:$F,'2020'!$K185)</f>
        <v>1728</v>
      </c>
      <c r="AD185" s="618">
        <f>SUMIFS(Нормативы!P:P,Нормативы!$B:$B,$G185,Нормативы!$D:$D,'2020'!$I185,Нормативы!$F:$F,'2020'!$K185)*O185</f>
        <v>73</v>
      </c>
      <c r="AE185" s="618">
        <f>SUMIFS(Нормативы!Q:Q,Нормативы!$B:$B,$G185,Нормативы!$D:$D,'2020'!$I185,Нормативы!$F:$F,'2020'!$K185)</f>
        <v>178</v>
      </c>
      <c r="AF185" s="618">
        <f>SUMIFS(Нормативы!R:R,Нормативы!$B:$B,$G185,Нормативы!$D:$D,'2020'!$I185,Нормативы!$F:$F,'2020'!$K185)</f>
        <v>275</v>
      </c>
      <c r="AG185" s="618">
        <f>SUMIFS(Нормативы!S:S,Нормативы!$B:$B,$G185,Нормативы!$D:$D,'2020'!$I185,Нормативы!$F:$F,'2020'!$K185)</f>
        <v>580</v>
      </c>
      <c r="AH185" s="618">
        <f>SUMIFS(Нормативы!T:T,Нормативы!$B:$B,$G185,Нормативы!$D:$D,'2020'!$I185,Нормативы!$F:$F,'2020'!$K185)</f>
        <v>54</v>
      </c>
      <c r="AI185" s="618">
        <f>SUMIFS(Нормативы!U:U,Нормативы!$B:$B,$G185,Нормативы!$D:$D,'2020'!$I185,Нормативы!$F:$F,'2020'!$K185)</f>
        <v>77</v>
      </c>
      <c r="AJ185" s="618">
        <f>SUMIFS(Нормативы!V:V,Нормативы!$B:$B,$G185,Нормативы!$D:$D,'2020'!$I185,Нормативы!$F:$F,'2020'!$K185)</f>
        <v>8</v>
      </c>
      <c r="AK185" s="618">
        <f>SUMIFS(Нормативы!W:W,Нормативы!$B:$B,$G185,Нормативы!$D:$D,'2020'!$I185,Нормативы!$F:$F,'2020'!$K185)</f>
        <v>39</v>
      </c>
      <c r="AL185" s="618">
        <f>SUMIFS(Нормативы!X:X,Нормативы!$B:$B,$G185,Нормативы!$D:$D,'2020'!$I185,Нормативы!$F:$F,'2020'!$K185)*O185</f>
        <v>1612</v>
      </c>
      <c r="AM185" s="618">
        <f t="shared" si="479"/>
        <v>1238.0999999999999</v>
      </c>
      <c r="AN185" s="618">
        <f t="shared" si="480"/>
        <v>373.9</v>
      </c>
      <c r="AO185" s="618">
        <f>SUMIFS(Нормативы!AA:AA,Нормативы!$B:$B,$G185,Нормативы!$D:$D,'2020'!$I185,Нормативы!$F:$F,'2020'!$K185)</f>
        <v>0</v>
      </c>
      <c r="AP185" s="619">
        <f t="shared" si="481"/>
        <v>18454</v>
      </c>
      <c r="AQ185" s="413">
        <f t="shared" si="418"/>
        <v>349488</v>
      </c>
      <c r="AR185" s="618">
        <f t="shared" si="482"/>
        <v>268424</v>
      </c>
      <c r="AS185" s="618">
        <f t="shared" si="483"/>
        <v>81064</v>
      </c>
      <c r="AT185" s="616">
        <f t="shared" si="419"/>
        <v>13122</v>
      </c>
      <c r="AU185" s="616">
        <f t="shared" si="420"/>
        <v>2619</v>
      </c>
      <c r="AV185" s="616">
        <f t="shared" si="421"/>
        <v>9396</v>
      </c>
      <c r="AW185" s="616">
        <f t="shared" si="422"/>
        <v>54837</v>
      </c>
      <c r="AX185" s="616">
        <f t="shared" si="423"/>
        <v>1404</v>
      </c>
      <c r="AY185" s="616">
        <f t="shared" si="424"/>
        <v>46656</v>
      </c>
      <c r="AZ185" s="616">
        <f t="shared" si="425"/>
        <v>1971</v>
      </c>
      <c r="BA185" s="616">
        <f t="shared" si="426"/>
        <v>4806</v>
      </c>
      <c r="BB185" s="616">
        <f t="shared" si="427"/>
        <v>7425</v>
      </c>
      <c r="BC185" s="616">
        <f t="shared" si="428"/>
        <v>15660</v>
      </c>
      <c r="BD185" s="616">
        <f t="shared" si="429"/>
        <v>1458</v>
      </c>
      <c r="BE185" s="616">
        <f t="shared" si="430"/>
        <v>2079</v>
      </c>
      <c r="BF185" s="616">
        <f t="shared" si="431"/>
        <v>216</v>
      </c>
      <c r="BG185" s="616">
        <f t="shared" si="432"/>
        <v>1053</v>
      </c>
      <c r="BH185" s="616">
        <f t="shared" si="433"/>
        <v>43524</v>
      </c>
      <c r="BI185" s="618">
        <f t="shared" si="484"/>
        <v>33428.6</v>
      </c>
      <c r="BJ185" s="618">
        <f t="shared" si="485"/>
        <v>10095.4</v>
      </c>
      <c r="BK185" s="616">
        <f t="shared" si="434"/>
        <v>0</v>
      </c>
      <c r="BL185" s="620">
        <f t="shared" si="435"/>
        <v>498258</v>
      </c>
      <c r="BM185" s="616">
        <f t="shared" si="436"/>
        <v>758039</v>
      </c>
      <c r="BN185" s="618">
        <f t="shared" si="437"/>
        <v>582211.19999999995</v>
      </c>
      <c r="BO185" s="618">
        <f t="shared" si="438"/>
        <v>175827.8</v>
      </c>
      <c r="BP185" s="616">
        <f t="shared" si="486"/>
        <v>13122</v>
      </c>
      <c r="BQ185" s="616">
        <f t="shared" si="487"/>
        <v>2619</v>
      </c>
      <c r="BR185" s="616">
        <f t="shared" si="488"/>
        <v>9396</v>
      </c>
      <c r="BS185" s="616">
        <f t="shared" si="439"/>
        <v>54837</v>
      </c>
      <c r="BT185" s="616">
        <f t="shared" si="440"/>
        <v>1404</v>
      </c>
      <c r="BU185" s="616">
        <f t="shared" si="441"/>
        <v>46656</v>
      </c>
      <c r="BV185" s="616">
        <f t="shared" si="442"/>
        <v>1971</v>
      </c>
      <c r="BW185" s="616">
        <f t="shared" si="443"/>
        <v>4806</v>
      </c>
      <c r="BX185" s="616">
        <f t="shared" si="444"/>
        <v>22320</v>
      </c>
      <c r="BY185" s="616">
        <f t="shared" si="445"/>
        <v>15660</v>
      </c>
      <c r="BZ185" s="616">
        <f t="shared" si="446"/>
        <v>1458</v>
      </c>
      <c r="CA185" s="616">
        <f t="shared" si="447"/>
        <v>2079</v>
      </c>
      <c r="CB185" s="616">
        <f t="shared" si="448"/>
        <v>216</v>
      </c>
      <c r="CC185" s="616">
        <f t="shared" si="449"/>
        <v>1053</v>
      </c>
      <c r="CD185" s="616">
        <f t="shared" si="450"/>
        <v>94404</v>
      </c>
      <c r="CE185" s="618">
        <f t="shared" si="489"/>
        <v>72506.899999999994</v>
      </c>
      <c r="CF185" s="618">
        <f t="shared" si="490"/>
        <v>21897.1</v>
      </c>
      <c r="CG185" s="616">
        <f t="shared" si="451"/>
        <v>0</v>
      </c>
      <c r="CH185" s="621">
        <f t="shared" si="452"/>
        <v>972584</v>
      </c>
      <c r="CI185" s="88">
        <f t="shared" si="453"/>
        <v>28075.518499999998</v>
      </c>
      <c r="CJ185" s="90">
        <f t="shared" si="454"/>
        <v>21563.377799999998</v>
      </c>
      <c r="CK185" s="90">
        <f t="shared" si="455"/>
        <v>6512.1406999999999</v>
      </c>
      <c r="CL185" s="88">
        <f t="shared" si="456"/>
        <v>486</v>
      </c>
      <c r="CM185" s="88">
        <f t="shared" si="457"/>
        <v>97</v>
      </c>
      <c r="CN185" s="88">
        <f t="shared" si="458"/>
        <v>348</v>
      </c>
      <c r="CO185" s="88">
        <f t="shared" si="459"/>
        <v>2031</v>
      </c>
      <c r="CP185" s="88">
        <f t="shared" si="460"/>
        <v>52</v>
      </c>
      <c r="CQ185" s="88">
        <f t="shared" si="461"/>
        <v>1728</v>
      </c>
      <c r="CR185" s="88">
        <f t="shared" si="462"/>
        <v>73</v>
      </c>
      <c r="CS185" s="88">
        <f t="shared" si="463"/>
        <v>178</v>
      </c>
      <c r="CT185" s="88">
        <f t="shared" si="464"/>
        <v>826.66669999999999</v>
      </c>
      <c r="CU185" s="88">
        <f t="shared" si="465"/>
        <v>580</v>
      </c>
      <c r="CV185" s="88">
        <f t="shared" si="466"/>
        <v>54</v>
      </c>
      <c r="CW185" s="88">
        <f t="shared" si="467"/>
        <v>77</v>
      </c>
      <c r="CX185" s="88">
        <f t="shared" si="468"/>
        <v>8</v>
      </c>
      <c r="CY185" s="88">
        <f t="shared" si="469"/>
        <v>39</v>
      </c>
      <c r="CZ185" s="88">
        <f t="shared" si="470"/>
        <v>3496.4443999999999</v>
      </c>
      <c r="DA185" s="90">
        <f t="shared" si="471"/>
        <v>2685.4407000000001</v>
      </c>
      <c r="DB185" s="90">
        <f t="shared" si="472"/>
        <v>811.00369999999998</v>
      </c>
      <c r="DC185" s="88">
        <f t="shared" si="473"/>
        <v>0</v>
      </c>
      <c r="DD185" s="88">
        <f t="shared" si="474"/>
        <v>36021.6296</v>
      </c>
      <c r="AUV185" s="699">
        <f t="shared" si="409"/>
        <v>28075.52</v>
      </c>
      <c r="AUW185" s="699">
        <f t="shared" si="410"/>
        <v>21563.38</v>
      </c>
      <c r="AUX185" s="699">
        <f t="shared" si="411"/>
        <v>6512.14</v>
      </c>
      <c r="AUY185" s="699">
        <f t="shared" si="520"/>
        <v>486</v>
      </c>
      <c r="AUZ185" s="699">
        <f t="shared" si="475"/>
        <v>871.26</v>
      </c>
      <c r="AVA185" s="699">
        <f t="shared" si="475"/>
        <v>0.73</v>
      </c>
      <c r="AVB185" s="699">
        <f t="shared" si="521"/>
        <v>2031</v>
      </c>
      <c r="AVC185" s="699">
        <f t="shared" si="522"/>
        <v>52</v>
      </c>
      <c r="AVD185" s="699">
        <f t="shared" si="523"/>
        <v>1728</v>
      </c>
      <c r="AVE185" s="699">
        <f t="shared" si="524"/>
        <v>73</v>
      </c>
      <c r="AVF185" s="699">
        <f t="shared" si="525"/>
        <v>178</v>
      </c>
      <c r="AVG185" s="699">
        <f t="shared" si="526"/>
        <v>826.67</v>
      </c>
      <c r="AVH185" s="699">
        <f t="shared" si="527"/>
        <v>580</v>
      </c>
      <c r="AVI185" s="699">
        <f t="shared" si="528"/>
        <v>54</v>
      </c>
      <c r="AVJ185" s="699">
        <f t="shared" si="529"/>
        <v>77</v>
      </c>
      <c r="AVK185" s="699">
        <f t="shared" si="530"/>
        <v>8</v>
      </c>
      <c r="AVL185" s="699">
        <f t="shared" si="531"/>
        <v>39</v>
      </c>
      <c r="AVM185" s="699">
        <f t="shared" si="532"/>
        <v>3496.44</v>
      </c>
      <c r="AVN185" s="699">
        <f t="shared" si="533"/>
        <v>2685.44</v>
      </c>
      <c r="AVO185" s="699">
        <f t="shared" si="534"/>
        <v>811</v>
      </c>
      <c r="AVP185" s="699">
        <f t="shared" si="535"/>
        <v>0</v>
      </c>
      <c r="AVQ185" s="699">
        <f t="shared" si="536"/>
        <v>36021.629999999997</v>
      </c>
    </row>
    <row r="186" spans="1:1265" ht="30" customHeight="1" x14ac:dyDescent="0.25">
      <c r="A186" s="643">
        <v>1</v>
      </c>
      <c r="B186" s="643">
        <v>7</v>
      </c>
      <c r="C186" s="664" t="s">
        <v>20</v>
      </c>
      <c r="D186" s="2"/>
      <c r="E186" s="101" t="s">
        <v>346</v>
      </c>
      <c r="F186" s="643" t="s">
        <v>39</v>
      </c>
      <c r="G186" s="643">
        <v>3</v>
      </c>
      <c r="H186" s="658" t="s">
        <v>10</v>
      </c>
      <c r="I186" s="643">
        <v>0</v>
      </c>
      <c r="J186" s="101" t="s">
        <v>367</v>
      </c>
      <c r="K186" s="643">
        <v>3</v>
      </c>
      <c r="L186" s="683" t="s">
        <v>351</v>
      </c>
      <c r="M186" s="11" t="s">
        <v>273</v>
      </c>
      <c r="N186" s="101" t="s">
        <v>387</v>
      </c>
      <c r="O186" s="643">
        <v>1</v>
      </c>
      <c r="P186" s="695">
        <v>6</v>
      </c>
      <c r="Q186" s="632">
        <v>6</v>
      </c>
      <c r="R186" s="632">
        <v>6</v>
      </c>
      <c r="S186" s="675">
        <f>SUMIF('Территориальный кк'!$A:$A,'2020'!$B186,'Территориальный кк'!D:D)</f>
        <v>2.169</v>
      </c>
      <c r="T186" s="676">
        <f>SUMIF('Территориальный кк'!$A:$A,'2020'!$B186,'Территориальный кк'!E:E)</f>
        <v>3.0059999999999998</v>
      </c>
      <c r="U186" s="618">
        <f>SUMIFS(Нормативы!G:G,Нормативы!$B:$B,$G186,Нормативы!$D:$D,'2020'!$I186,Нормативы!$F:$F,'2020'!$K186)*O186</f>
        <v>78450</v>
      </c>
      <c r="V186" s="618">
        <f t="shared" si="476"/>
        <v>60253.5</v>
      </c>
      <c r="W186" s="618">
        <f t="shared" si="477"/>
        <v>18196.5</v>
      </c>
      <c r="X186" s="618">
        <f>SUMIFS(Нормативы!J:J,Нормативы!$B:$B,$G186,Нормативы!$D:$D,'2020'!$I186,Нормативы!$F:$F,'2020'!$K186)</f>
        <v>6840</v>
      </c>
      <c r="Y186" s="618">
        <f>SUMIFS(Нормативы!K:K,Нормативы!$B:$B,$G186,Нормативы!$D:$D,'2020'!$I186,Нормативы!$F:$F,'2020'!$K186)</f>
        <v>1368</v>
      </c>
      <c r="Z186" s="618">
        <f>SUMIFS(Нормативы!L:L,Нормативы!$B:$B,$G186,Нормативы!$D:$D,'2020'!$I186,Нормативы!$F:$F,'2020'!$K186)</f>
        <v>8110</v>
      </c>
      <c r="AA186" s="618">
        <f t="shared" si="478"/>
        <v>23360</v>
      </c>
      <c r="AB186" s="618">
        <f>SUMIFS(Нормативы!N:N,Нормативы!$B:$B,$G186,Нормативы!$D:$D,'2020'!$I186,Нормативы!$F:$F,'2020'!$K186)*O186</f>
        <v>880</v>
      </c>
      <c r="AC186" s="618">
        <f>SUMIFS(Нормативы!O:O,Нормативы!$B:$B,$G186,Нормативы!$D:$D,'2020'!$I186,Нормативы!$F:$F,'2020'!$K186)</f>
        <v>20960</v>
      </c>
      <c r="AD186" s="618">
        <f>SUMIFS(Нормативы!P:P,Нормативы!$B:$B,$G186,Нормативы!$D:$D,'2020'!$I186,Нормативы!$F:$F,'2020'!$K186)*O186</f>
        <v>440</v>
      </c>
      <c r="AE186" s="618">
        <f>SUMIFS(Нормативы!Q:Q,Нормативы!$B:$B,$G186,Нормативы!$D:$D,'2020'!$I186,Нормативы!$F:$F,'2020'!$K186)</f>
        <v>1080</v>
      </c>
      <c r="AF186" s="618">
        <f>SUMIFS(Нормативы!R:R,Нормативы!$B:$B,$G186,Нормативы!$D:$D,'2020'!$I186,Нормативы!$F:$F,'2020'!$K186)</f>
        <v>2700</v>
      </c>
      <c r="AG186" s="618">
        <f>SUMIFS(Нормативы!S:S,Нормативы!$B:$B,$G186,Нормативы!$D:$D,'2020'!$I186,Нормативы!$F:$F,'2020'!$K186)</f>
        <v>5800</v>
      </c>
      <c r="AH186" s="618">
        <f>SUMIFS(Нормативы!T:T,Нормативы!$B:$B,$G186,Нормативы!$D:$D,'2020'!$I186,Нормативы!$F:$F,'2020'!$K186)</f>
        <v>540</v>
      </c>
      <c r="AI186" s="618">
        <f>SUMIFS(Нормативы!U:U,Нормативы!$B:$B,$G186,Нормативы!$D:$D,'2020'!$I186,Нормативы!$F:$F,'2020'!$K186)</f>
        <v>770</v>
      </c>
      <c r="AJ186" s="618">
        <f>SUMIFS(Нормативы!V:V,Нормативы!$B:$B,$G186,Нормативы!$D:$D,'2020'!$I186,Нормативы!$F:$F,'2020'!$K186)</f>
        <v>170</v>
      </c>
      <c r="AK186" s="618">
        <f>SUMIFS(Нормативы!W:W,Нормативы!$B:$B,$G186,Нормативы!$D:$D,'2020'!$I186,Нормативы!$F:$F,'2020'!$K186)</f>
        <v>200</v>
      </c>
      <c r="AL186" s="618">
        <f>SUMIFS(Нормативы!X:X,Нормативы!$B:$B,$G186,Нормативы!$D:$D,'2020'!$I186,Нормативы!$F:$F,'2020'!$K186)*O186</f>
        <v>13440</v>
      </c>
      <c r="AM186" s="618">
        <f t="shared" si="479"/>
        <v>10322.6</v>
      </c>
      <c r="AN186" s="618">
        <f t="shared" si="480"/>
        <v>3117.4</v>
      </c>
      <c r="AO186" s="618">
        <f>SUMIFS(Нормативы!AA:AA,Нормативы!$B:$B,$G186,Нормативы!$D:$D,'2020'!$I186,Нормативы!$F:$F,'2020'!$K186)</f>
        <v>0</v>
      </c>
      <c r="AP186" s="619">
        <f t="shared" si="481"/>
        <v>140380</v>
      </c>
      <c r="AQ186" s="413">
        <f t="shared" si="418"/>
        <v>470700</v>
      </c>
      <c r="AR186" s="618">
        <f t="shared" si="482"/>
        <v>361520.7</v>
      </c>
      <c r="AS186" s="618">
        <f t="shared" si="483"/>
        <v>109179.3</v>
      </c>
      <c r="AT186" s="616">
        <f t="shared" si="419"/>
        <v>41040</v>
      </c>
      <c r="AU186" s="616">
        <f t="shared" si="420"/>
        <v>8208</v>
      </c>
      <c r="AV186" s="616">
        <f t="shared" si="421"/>
        <v>48660</v>
      </c>
      <c r="AW186" s="616">
        <f t="shared" si="422"/>
        <v>140160</v>
      </c>
      <c r="AX186" s="616">
        <f t="shared" si="423"/>
        <v>5280</v>
      </c>
      <c r="AY186" s="616">
        <f t="shared" si="424"/>
        <v>125760</v>
      </c>
      <c r="AZ186" s="616">
        <f t="shared" si="425"/>
        <v>2640</v>
      </c>
      <c r="BA186" s="616">
        <f t="shared" si="426"/>
        <v>6480</v>
      </c>
      <c r="BB186" s="616">
        <f t="shared" si="427"/>
        <v>16200</v>
      </c>
      <c r="BC186" s="616">
        <f t="shared" si="428"/>
        <v>34800</v>
      </c>
      <c r="BD186" s="616">
        <f t="shared" si="429"/>
        <v>3240</v>
      </c>
      <c r="BE186" s="616">
        <f t="shared" si="430"/>
        <v>4620</v>
      </c>
      <c r="BF186" s="616">
        <f t="shared" si="431"/>
        <v>1020</v>
      </c>
      <c r="BG186" s="616">
        <f t="shared" si="432"/>
        <v>1200</v>
      </c>
      <c r="BH186" s="616">
        <f t="shared" si="433"/>
        <v>80640</v>
      </c>
      <c r="BI186" s="618">
        <f t="shared" si="484"/>
        <v>61935.5</v>
      </c>
      <c r="BJ186" s="618">
        <f t="shared" si="485"/>
        <v>18704.5</v>
      </c>
      <c r="BK186" s="616">
        <f t="shared" si="434"/>
        <v>0</v>
      </c>
      <c r="BL186" s="620">
        <f t="shared" si="435"/>
        <v>842280</v>
      </c>
      <c r="BM186" s="616">
        <f t="shared" si="436"/>
        <v>1020948</v>
      </c>
      <c r="BN186" s="618">
        <f t="shared" si="437"/>
        <v>784138.2</v>
      </c>
      <c r="BO186" s="618">
        <f t="shared" si="438"/>
        <v>236809.8</v>
      </c>
      <c r="BP186" s="616">
        <f t="shared" si="486"/>
        <v>41040</v>
      </c>
      <c r="BQ186" s="616">
        <f t="shared" si="487"/>
        <v>8208</v>
      </c>
      <c r="BR186" s="616">
        <f t="shared" si="488"/>
        <v>48660</v>
      </c>
      <c r="BS186" s="616">
        <f t="shared" si="439"/>
        <v>140160</v>
      </c>
      <c r="BT186" s="616">
        <f t="shared" si="440"/>
        <v>5280</v>
      </c>
      <c r="BU186" s="616">
        <f t="shared" si="441"/>
        <v>125760</v>
      </c>
      <c r="BV186" s="616">
        <f t="shared" si="442"/>
        <v>2640</v>
      </c>
      <c r="BW186" s="616">
        <f t="shared" si="443"/>
        <v>6480</v>
      </c>
      <c r="BX186" s="616">
        <f t="shared" si="444"/>
        <v>48697</v>
      </c>
      <c r="BY186" s="616">
        <f t="shared" si="445"/>
        <v>34800</v>
      </c>
      <c r="BZ186" s="616">
        <f t="shared" si="446"/>
        <v>3240</v>
      </c>
      <c r="CA186" s="616">
        <f t="shared" si="447"/>
        <v>4620</v>
      </c>
      <c r="CB186" s="616">
        <f t="shared" si="448"/>
        <v>1020</v>
      </c>
      <c r="CC186" s="616">
        <f t="shared" si="449"/>
        <v>1200</v>
      </c>
      <c r="CD186" s="616">
        <f t="shared" si="450"/>
        <v>174908</v>
      </c>
      <c r="CE186" s="618">
        <f t="shared" si="489"/>
        <v>134337.9</v>
      </c>
      <c r="CF186" s="618">
        <f t="shared" si="490"/>
        <v>40570.1</v>
      </c>
      <c r="CG186" s="616">
        <f t="shared" si="451"/>
        <v>0</v>
      </c>
      <c r="CH186" s="621">
        <f t="shared" si="452"/>
        <v>1519293</v>
      </c>
      <c r="CI186" s="88">
        <f t="shared" si="453"/>
        <v>170158</v>
      </c>
      <c r="CJ186" s="90">
        <f t="shared" si="454"/>
        <v>130689.7</v>
      </c>
      <c r="CK186" s="90">
        <f t="shared" si="455"/>
        <v>39468.300000000003</v>
      </c>
      <c r="CL186" s="88">
        <f t="shared" si="456"/>
        <v>6840</v>
      </c>
      <c r="CM186" s="88">
        <f t="shared" si="457"/>
        <v>1368</v>
      </c>
      <c r="CN186" s="88">
        <f t="shared" si="458"/>
        <v>8110</v>
      </c>
      <c r="CO186" s="88">
        <f t="shared" si="459"/>
        <v>23360</v>
      </c>
      <c r="CP186" s="88">
        <f t="shared" si="460"/>
        <v>880</v>
      </c>
      <c r="CQ186" s="88">
        <f t="shared" si="461"/>
        <v>20960</v>
      </c>
      <c r="CR186" s="88">
        <f t="shared" si="462"/>
        <v>440</v>
      </c>
      <c r="CS186" s="88">
        <f t="shared" si="463"/>
        <v>1080</v>
      </c>
      <c r="CT186" s="88">
        <f t="shared" si="464"/>
        <v>8116.1666999999998</v>
      </c>
      <c r="CU186" s="88">
        <f t="shared" si="465"/>
        <v>5800</v>
      </c>
      <c r="CV186" s="88">
        <f t="shared" si="466"/>
        <v>540</v>
      </c>
      <c r="CW186" s="88">
        <f t="shared" si="467"/>
        <v>770</v>
      </c>
      <c r="CX186" s="88">
        <f t="shared" si="468"/>
        <v>170</v>
      </c>
      <c r="CY186" s="88">
        <f t="shared" si="469"/>
        <v>200</v>
      </c>
      <c r="CZ186" s="88">
        <f t="shared" si="470"/>
        <v>29151.333299999998</v>
      </c>
      <c r="DA186" s="90">
        <f t="shared" si="471"/>
        <v>22389.65</v>
      </c>
      <c r="DB186" s="90">
        <f t="shared" si="472"/>
        <v>6761.6832999999997</v>
      </c>
      <c r="DC186" s="88">
        <f t="shared" si="473"/>
        <v>0</v>
      </c>
      <c r="DD186" s="88">
        <f t="shared" si="474"/>
        <v>253215.5</v>
      </c>
      <c r="AUV186" s="699">
        <f t="shared" si="409"/>
        <v>170158</v>
      </c>
      <c r="AUW186" s="699">
        <f t="shared" si="410"/>
        <v>130689.71</v>
      </c>
      <c r="AUX186" s="699">
        <f t="shared" si="411"/>
        <v>39468.29</v>
      </c>
      <c r="AUY186" s="699">
        <f t="shared" si="520"/>
        <v>6840</v>
      </c>
      <c r="AUZ186" s="699">
        <f t="shared" si="475"/>
        <v>2730.54</v>
      </c>
      <c r="AVA186" s="699">
        <f t="shared" si="475"/>
        <v>0.62</v>
      </c>
      <c r="AVB186" s="699">
        <f t="shared" si="521"/>
        <v>23360</v>
      </c>
      <c r="AVC186" s="699">
        <f t="shared" si="522"/>
        <v>880</v>
      </c>
      <c r="AVD186" s="699">
        <f t="shared" si="523"/>
        <v>20960</v>
      </c>
      <c r="AVE186" s="699">
        <f t="shared" si="524"/>
        <v>440</v>
      </c>
      <c r="AVF186" s="699">
        <f t="shared" si="525"/>
        <v>1080</v>
      </c>
      <c r="AVG186" s="699">
        <f t="shared" si="526"/>
        <v>8116.17</v>
      </c>
      <c r="AVH186" s="699">
        <f t="shared" si="527"/>
        <v>5800</v>
      </c>
      <c r="AVI186" s="699">
        <f t="shared" si="528"/>
        <v>540</v>
      </c>
      <c r="AVJ186" s="699">
        <f t="shared" si="529"/>
        <v>770</v>
      </c>
      <c r="AVK186" s="699">
        <f t="shared" si="530"/>
        <v>170</v>
      </c>
      <c r="AVL186" s="699">
        <f t="shared" si="531"/>
        <v>200</v>
      </c>
      <c r="AVM186" s="699">
        <f t="shared" si="532"/>
        <v>29151.33</v>
      </c>
      <c r="AVN186" s="699">
        <f t="shared" si="533"/>
        <v>22389.65</v>
      </c>
      <c r="AVO186" s="699">
        <f t="shared" si="534"/>
        <v>6761.68</v>
      </c>
      <c r="AVP186" s="699">
        <f t="shared" si="535"/>
        <v>0</v>
      </c>
      <c r="AVQ186" s="699">
        <f t="shared" si="536"/>
        <v>253215.5</v>
      </c>
    </row>
    <row r="187" spans="1:1265" s="712" customFormat="1" ht="30" customHeight="1" x14ac:dyDescent="0.25">
      <c r="A187" s="701">
        <v>1</v>
      </c>
      <c r="B187" s="701">
        <v>7</v>
      </c>
      <c r="C187" s="702" t="s">
        <v>20</v>
      </c>
      <c r="D187" s="2"/>
      <c r="E187" s="703" t="s">
        <v>347</v>
      </c>
      <c r="F187" s="701" t="s">
        <v>39</v>
      </c>
      <c r="G187" s="701">
        <v>3</v>
      </c>
      <c r="H187" s="704" t="s">
        <v>10</v>
      </c>
      <c r="I187" s="701">
        <v>0</v>
      </c>
      <c r="J187" s="703" t="s">
        <v>445</v>
      </c>
      <c r="K187" s="701">
        <v>3</v>
      </c>
      <c r="L187" s="705" t="s">
        <v>351</v>
      </c>
      <c r="M187" s="706"/>
      <c r="N187" s="703" t="s">
        <v>387</v>
      </c>
      <c r="O187" s="701">
        <v>1</v>
      </c>
      <c r="P187" s="702">
        <v>8</v>
      </c>
      <c r="Q187" s="702">
        <v>8</v>
      </c>
      <c r="R187" s="702">
        <v>8</v>
      </c>
      <c r="S187" s="707">
        <f>SUMIF('Территориальный кк'!$A:$A,'2020'!$B187,'Территориальный кк'!D:D)</f>
        <v>2.169</v>
      </c>
      <c r="T187" s="708">
        <f>SUMIF('Территориальный кк'!$A:$A,'2020'!$B187,'Территориальный кк'!E:E)</f>
        <v>3.0059999999999998</v>
      </c>
      <c r="U187" s="714">
        <f>SUMIFS(Нормативы!G:G,Нормативы!$B:$B,$G187,Нормативы!$D:$D,'2020'!$I187,Нормативы!$F:$F,'2020'!$K187)*O187</f>
        <v>78450</v>
      </c>
      <c r="V187" s="714">
        <f t="shared" si="476"/>
        <v>60253.5</v>
      </c>
      <c r="W187" s="714">
        <f t="shared" si="477"/>
        <v>18196.5</v>
      </c>
      <c r="X187" s="714">
        <f>SUMIFS(Нормативы!J:J,Нормативы!$B:$B,$G187,Нормативы!$D:$D,'2020'!$I187,Нормативы!$F:$F,'2020'!$K187)</f>
        <v>6840</v>
      </c>
      <c r="Y187" s="714">
        <f>SUMIFS(Нормативы!K:K,Нормативы!$B:$B,$G187,Нормативы!$D:$D,'2020'!$I187,Нормативы!$F:$F,'2020'!$K187)</f>
        <v>1368</v>
      </c>
      <c r="Z187" s="714">
        <f>SUMIFS(Нормативы!L:L,Нормативы!$B:$B,$G187,Нормативы!$D:$D,'2020'!$I187,Нормативы!$F:$F,'2020'!$K187)</f>
        <v>8110</v>
      </c>
      <c r="AA187" s="714">
        <f t="shared" si="478"/>
        <v>23360</v>
      </c>
      <c r="AB187" s="714">
        <f>SUMIFS(Нормативы!N:N,Нормативы!$B:$B,$G187,Нормативы!$D:$D,'2020'!$I187,Нормативы!$F:$F,'2020'!$K187)*O187</f>
        <v>880</v>
      </c>
      <c r="AC187" s="714">
        <f>SUMIFS(Нормативы!O:O,Нормативы!$B:$B,$G187,Нормативы!$D:$D,'2020'!$I187,Нормативы!$F:$F,'2020'!$K187)</f>
        <v>20960</v>
      </c>
      <c r="AD187" s="714">
        <f>SUMIFS(Нормативы!P:P,Нормативы!$B:$B,$G187,Нормативы!$D:$D,'2020'!$I187,Нормативы!$F:$F,'2020'!$K187)*O187</f>
        <v>440</v>
      </c>
      <c r="AE187" s="714">
        <f>SUMIFS(Нормативы!Q:Q,Нормативы!$B:$B,$G187,Нормативы!$D:$D,'2020'!$I187,Нормативы!$F:$F,'2020'!$K187)</f>
        <v>1080</v>
      </c>
      <c r="AF187" s="714">
        <f>SUMIFS(Нормативы!R:R,Нормативы!$B:$B,$G187,Нормативы!$D:$D,'2020'!$I187,Нормативы!$F:$F,'2020'!$K187)</f>
        <v>2700</v>
      </c>
      <c r="AG187" s="714">
        <f>SUMIFS(Нормативы!S:S,Нормативы!$B:$B,$G187,Нормативы!$D:$D,'2020'!$I187,Нормативы!$F:$F,'2020'!$K187)</f>
        <v>5800</v>
      </c>
      <c r="AH187" s="714">
        <f>SUMIFS(Нормативы!T:T,Нормативы!$B:$B,$G187,Нормативы!$D:$D,'2020'!$I187,Нормативы!$F:$F,'2020'!$K187)</f>
        <v>540</v>
      </c>
      <c r="AI187" s="714">
        <f>SUMIFS(Нормативы!U:U,Нормативы!$B:$B,$G187,Нормативы!$D:$D,'2020'!$I187,Нормативы!$F:$F,'2020'!$K187)</f>
        <v>770</v>
      </c>
      <c r="AJ187" s="714">
        <f>SUMIFS(Нормативы!V:V,Нормативы!$B:$B,$G187,Нормативы!$D:$D,'2020'!$I187,Нормативы!$F:$F,'2020'!$K187)</f>
        <v>170</v>
      </c>
      <c r="AK187" s="714">
        <f>SUMIFS(Нормативы!W:W,Нормативы!$B:$B,$G187,Нормативы!$D:$D,'2020'!$I187,Нормативы!$F:$F,'2020'!$K187)</f>
        <v>200</v>
      </c>
      <c r="AL187" s="714">
        <f>SUMIFS(Нормативы!X:X,Нормативы!$B:$B,$G187,Нормативы!$D:$D,'2020'!$I187,Нормативы!$F:$F,'2020'!$K187)*O187</f>
        <v>13440</v>
      </c>
      <c r="AM187" s="714">
        <f t="shared" si="479"/>
        <v>10322.6</v>
      </c>
      <c r="AN187" s="714">
        <f t="shared" si="480"/>
        <v>3117.4</v>
      </c>
      <c r="AO187" s="714">
        <f>SUMIFS(Нормативы!AA:AA,Нормативы!$B:$B,$G187,Нормативы!$D:$D,'2020'!$I187,Нормативы!$F:$F,'2020'!$K187)</f>
        <v>0</v>
      </c>
      <c r="AP187" s="715">
        <f t="shared" si="481"/>
        <v>140380</v>
      </c>
      <c r="AQ187" s="709">
        <f t="shared" si="418"/>
        <v>627600</v>
      </c>
      <c r="AR187" s="714">
        <f t="shared" si="482"/>
        <v>482027.6</v>
      </c>
      <c r="AS187" s="714">
        <f t="shared" si="483"/>
        <v>145572.4</v>
      </c>
      <c r="AT187" s="710">
        <f t="shared" si="419"/>
        <v>54720</v>
      </c>
      <c r="AU187" s="710">
        <f t="shared" si="420"/>
        <v>10944</v>
      </c>
      <c r="AV187" s="710">
        <f t="shared" si="421"/>
        <v>64880</v>
      </c>
      <c r="AW187" s="710">
        <f t="shared" si="422"/>
        <v>186880</v>
      </c>
      <c r="AX187" s="710">
        <f t="shared" si="423"/>
        <v>7040</v>
      </c>
      <c r="AY187" s="710">
        <f t="shared" si="424"/>
        <v>167680</v>
      </c>
      <c r="AZ187" s="710">
        <f t="shared" si="425"/>
        <v>3520</v>
      </c>
      <c r="BA187" s="710">
        <f t="shared" si="426"/>
        <v>8640</v>
      </c>
      <c r="BB187" s="710">
        <f t="shared" si="427"/>
        <v>21600</v>
      </c>
      <c r="BC187" s="710">
        <f t="shared" si="428"/>
        <v>46400</v>
      </c>
      <c r="BD187" s="710">
        <f t="shared" si="429"/>
        <v>4320</v>
      </c>
      <c r="BE187" s="710">
        <f t="shared" si="430"/>
        <v>6160</v>
      </c>
      <c r="BF187" s="710">
        <f t="shared" si="431"/>
        <v>1360</v>
      </c>
      <c r="BG187" s="710">
        <f t="shared" si="432"/>
        <v>1600</v>
      </c>
      <c r="BH187" s="710">
        <f t="shared" si="433"/>
        <v>107520</v>
      </c>
      <c r="BI187" s="714">
        <f t="shared" si="484"/>
        <v>82580.600000000006</v>
      </c>
      <c r="BJ187" s="714">
        <f t="shared" si="485"/>
        <v>24939.4</v>
      </c>
      <c r="BK187" s="710">
        <f t="shared" si="434"/>
        <v>0</v>
      </c>
      <c r="BL187" s="715">
        <f t="shared" si="435"/>
        <v>1123040</v>
      </c>
      <c r="BM187" s="710">
        <f t="shared" si="436"/>
        <v>1361264</v>
      </c>
      <c r="BN187" s="714">
        <f t="shared" si="437"/>
        <v>1045517.7</v>
      </c>
      <c r="BO187" s="714">
        <f t="shared" si="438"/>
        <v>315746.3</v>
      </c>
      <c r="BP187" s="710">
        <f t="shared" si="486"/>
        <v>54720</v>
      </c>
      <c r="BQ187" s="710">
        <f t="shared" si="487"/>
        <v>10944</v>
      </c>
      <c r="BR187" s="710">
        <f t="shared" si="488"/>
        <v>64880</v>
      </c>
      <c r="BS187" s="710">
        <f t="shared" si="439"/>
        <v>186880</v>
      </c>
      <c r="BT187" s="710">
        <f t="shared" si="440"/>
        <v>7040</v>
      </c>
      <c r="BU187" s="710">
        <f t="shared" si="441"/>
        <v>167680</v>
      </c>
      <c r="BV187" s="710">
        <f t="shared" si="442"/>
        <v>3520</v>
      </c>
      <c r="BW187" s="710">
        <f t="shared" si="443"/>
        <v>8640</v>
      </c>
      <c r="BX187" s="710">
        <f t="shared" si="444"/>
        <v>64930</v>
      </c>
      <c r="BY187" s="710">
        <f t="shared" si="445"/>
        <v>46400</v>
      </c>
      <c r="BZ187" s="710">
        <f t="shared" si="446"/>
        <v>4320</v>
      </c>
      <c r="CA187" s="710">
        <f t="shared" si="447"/>
        <v>6160</v>
      </c>
      <c r="CB187" s="710">
        <f t="shared" si="448"/>
        <v>1360</v>
      </c>
      <c r="CC187" s="710">
        <f t="shared" si="449"/>
        <v>1600</v>
      </c>
      <c r="CD187" s="710">
        <f t="shared" si="450"/>
        <v>233211</v>
      </c>
      <c r="CE187" s="714">
        <f t="shared" si="489"/>
        <v>179117.5</v>
      </c>
      <c r="CF187" s="714">
        <f t="shared" si="490"/>
        <v>54093.5</v>
      </c>
      <c r="CG187" s="710">
        <f t="shared" si="451"/>
        <v>0</v>
      </c>
      <c r="CH187" s="715">
        <f t="shared" si="452"/>
        <v>2025725</v>
      </c>
      <c r="CI187" s="88">
        <f t="shared" si="453"/>
        <v>170158</v>
      </c>
      <c r="CJ187" s="90">
        <f t="shared" si="454"/>
        <v>130689.71249999999</v>
      </c>
      <c r="CK187" s="90">
        <f t="shared" si="455"/>
        <v>39468.287499999999</v>
      </c>
      <c r="CL187" s="88">
        <f t="shared" si="456"/>
        <v>6840</v>
      </c>
      <c r="CM187" s="88">
        <f t="shared" si="457"/>
        <v>1368</v>
      </c>
      <c r="CN187" s="88">
        <f t="shared" si="458"/>
        <v>8110</v>
      </c>
      <c r="CO187" s="88">
        <f t="shared" si="459"/>
        <v>23360</v>
      </c>
      <c r="CP187" s="88">
        <f t="shared" si="460"/>
        <v>880</v>
      </c>
      <c r="CQ187" s="88">
        <f t="shared" si="461"/>
        <v>20960</v>
      </c>
      <c r="CR187" s="88">
        <f t="shared" si="462"/>
        <v>440</v>
      </c>
      <c r="CS187" s="88">
        <f t="shared" si="463"/>
        <v>1080</v>
      </c>
      <c r="CT187" s="88">
        <f t="shared" si="464"/>
        <v>8116.25</v>
      </c>
      <c r="CU187" s="88">
        <f t="shared" si="465"/>
        <v>5800</v>
      </c>
      <c r="CV187" s="88">
        <f t="shared" si="466"/>
        <v>540</v>
      </c>
      <c r="CW187" s="88">
        <f t="shared" si="467"/>
        <v>770</v>
      </c>
      <c r="CX187" s="88">
        <f t="shared" si="468"/>
        <v>170</v>
      </c>
      <c r="CY187" s="88">
        <f t="shared" si="469"/>
        <v>200</v>
      </c>
      <c r="CZ187" s="88">
        <f t="shared" si="470"/>
        <v>29151.375</v>
      </c>
      <c r="DA187" s="90">
        <f t="shared" si="471"/>
        <v>22389.6875</v>
      </c>
      <c r="DB187" s="90">
        <f t="shared" si="472"/>
        <v>6761.6875</v>
      </c>
      <c r="DC187" s="88">
        <f t="shared" si="473"/>
        <v>0</v>
      </c>
      <c r="DD187" s="88">
        <f t="shared" si="474"/>
        <v>253215.625</v>
      </c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  <c r="AMK187" s="4"/>
      <c r="AML187" s="4"/>
      <c r="AMM187" s="4"/>
      <c r="AMN187" s="4"/>
      <c r="AMO187" s="4"/>
      <c r="AMP187" s="4"/>
      <c r="AMQ187" s="4"/>
      <c r="AMR187" s="4"/>
      <c r="AMS187" s="4"/>
      <c r="AMT187" s="4"/>
      <c r="AMU187" s="4"/>
      <c r="AMV187" s="4"/>
      <c r="AMW187" s="4"/>
      <c r="AMX187" s="4"/>
      <c r="AMY187" s="4"/>
      <c r="AMZ187" s="4"/>
      <c r="ANA187" s="4"/>
      <c r="ANB187" s="4"/>
      <c r="ANC187" s="4"/>
      <c r="AND187" s="4"/>
      <c r="ANE187" s="4"/>
      <c r="ANF187" s="4"/>
      <c r="ANG187" s="4"/>
      <c r="ANH187" s="4"/>
      <c r="ANI187" s="4"/>
      <c r="ANJ187" s="4"/>
      <c r="ANK187" s="4"/>
      <c r="ANL187" s="4"/>
      <c r="ANM187" s="4"/>
      <c r="ANN187" s="4"/>
      <c r="ANO187" s="4"/>
      <c r="ANP187" s="4"/>
      <c r="ANQ187" s="4"/>
      <c r="ANR187" s="4"/>
      <c r="ANS187" s="4"/>
      <c r="ANT187" s="4"/>
      <c r="ANU187" s="4"/>
      <c r="ANV187" s="4"/>
      <c r="ANW187" s="4"/>
      <c r="ANX187" s="4"/>
      <c r="ANY187" s="4"/>
      <c r="ANZ187" s="4"/>
      <c r="AOA187" s="4"/>
      <c r="AOB187" s="4"/>
      <c r="AOC187" s="4"/>
      <c r="AOD187" s="4"/>
      <c r="AOE187" s="4"/>
      <c r="AOF187" s="4"/>
      <c r="AOG187" s="4"/>
      <c r="AOH187" s="4"/>
      <c r="AOI187" s="4"/>
      <c r="AOJ187" s="4"/>
      <c r="AOK187" s="4"/>
      <c r="AOL187" s="4"/>
      <c r="AOM187" s="4"/>
      <c r="AON187" s="4"/>
      <c r="AOO187" s="4"/>
      <c r="AOP187" s="4"/>
      <c r="AOQ187" s="4"/>
      <c r="AOR187" s="4"/>
      <c r="AOS187" s="4"/>
      <c r="AOT187" s="4"/>
      <c r="AOU187" s="4"/>
      <c r="AOV187" s="4"/>
      <c r="AOW187" s="4"/>
      <c r="AOX187" s="4"/>
      <c r="AOY187" s="4"/>
      <c r="AOZ187" s="4"/>
      <c r="APA187" s="4"/>
      <c r="APB187" s="4"/>
      <c r="APC187" s="4"/>
      <c r="APD187" s="4"/>
      <c r="APE187" s="4"/>
      <c r="APF187" s="4"/>
      <c r="APG187" s="4"/>
      <c r="APH187" s="4"/>
      <c r="API187" s="4"/>
      <c r="APJ187" s="4"/>
      <c r="APK187" s="4"/>
      <c r="APL187" s="4"/>
      <c r="APM187" s="4"/>
      <c r="APN187" s="4"/>
      <c r="APO187" s="4"/>
      <c r="APP187" s="4"/>
      <c r="APQ187" s="4"/>
      <c r="APR187" s="4"/>
      <c r="APS187" s="4"/>
      <c r="APT187" s="4"/>
      <c r="APU187" s="4"/>
      <c r="APV187" s="4"/>
      <c r="APW187" s="4"/>
      <c r="APX187" s="4"/>
      <c r="APY187" s="4"/>
      <c r="APZ187" s="4"/>
      <c r="AQA187" s="4"/>
      <c r="AQB187" s="4"/>
      <c r="AQC187" s="4"/>
      <c r="AQD187" s="4"/>
      <c r="AQE187" s="4"/>
      <c r="AQF187" s="4"/>
      <c r="AQG187" s="4"/>
      <c r="AQH187" s="4"/>
      <c r="AQI187" s="4"/>
      <c r="AQJ187" s="4"/>
      <c r="AQK187" s="4"/>
      <c r="AQL187" s="4"/>
      <c r="AQM187" s="4"/>
      <c r="AQN187" s="4"/>
      <c r="AQO187" s="4"/>
      <c r="AQP187" s="4"/>
      <c r="AQQ187" s="4"/>
      <c r="AQR187" s="4"/>
      <c r="AQS187" s="4"/>
      <c r="AQT187" s="4"/>
      <c r="AQU187" s="4"/>
      <c r="AQV187" s="4"/>
      <c r="AQW187" s="4"/>
      <c r="AQX187" s="4"/>
      <c r="AQY187" s="4"/>
      <c r="AQZ187" s="4"/>
      <c r="ARA187" s="4"/>
      <c r="ARB187" s="4"/>
      <c r="ARC187" s="4"/>
      <c r="ARD187" s="4"/>
      <c r="ARE187" s="4"/>
      <c r="ARF187" s="4"/>
      <c r="ARG187" s="4"/>
      <c r="ARH187" s="4"/>
      <c r="ARI187" s="4"/>
      <c r="ARJ187" s="4"/>
      <c r="ARK187" s="4"/>
      <c r="ARL187" s="4"/>
      <c r="ARM187" s="4"/>
      <c r="ARN187" s="4"/>
      <c r="ARO187" s="4"/>
      <c r="ARP187" s="4"/>
      <c r="ARQ187" s="4"/>
      <c r="ARR187" s="4"/>
      <c r="ARS187" s="4"/>
      <c r="ART187" s="4"/>
      <c r="ARU187" s="4"/>
      <c r="ARV187" s="4"/>
      <c r="ARW187" s="4"/>
      <c r="ARX187" s="4"/>
      <c r="ARY187" s="4"/>
      <c r="ARZ187" s="4"/>
      <c r="ASA187" s="4"/>
      <c r="ASB187" s="4"/>
      <c r="ASC187" s="4"/>
      <c r="ASD187" s="4"/>
      <c r="ASE187" s="4"/>
      <c r="ASF187" s="4"/>
      <c r="ASG187" s="4"/>
      <c r="ASH187" s="4"/>
      <c r="ASI187" s="4"/>
      <c r="ASJ187" s="4"/>
      <c r="ASK187" s="4"/>
      <c r="ASL187" s="4"/>
      <c r="ASM187" s="4"/>
      <c r="ASN187" s="4"/>
      <c r="ASO187" s="4"/>
      <c r="ASP187" s="4"/>
      <c r="ASQ187" s="4"/>
      <c r="ASR187" s="4"/>
      <c r="ASS187" s="4"/>
      <c r="AST187" s="4"/>
      <c r="ASU187" s="4"/>
      <c r="ASV187" s="4"/>
      <c r="ASW187" s="4"/>
      <c r="ASX187" s="4"/>
      <c r="ASY187" s="4"/>
      <c r="ASZ187" s="4"/>
      <c r="ATA187" s="4"/>
      <c r="ATB187" s="4"/>
      <c r="ATC187" s="4"/>
      <c r="ATD187" s="4"/>
      <c r="ATE187" s="4"/>
      <c r="ATF187" s="4"/>
      <c r="ATG187" s="4"/>
      <c r="ATH187" s="4"/>
      <c r="ATI187" s="4"/>
      <c r="ATJ187" s="4"/>
      <c r="ATK187" s="4"/>
      <c r="ATL187" s="4"/>
      <c r="ATM187" s="4"/>
      <c r="ATN187" s="4"/>
      <c r="ATO187" s="4"/>
      <c r="ATP187" s="4"/>
      <c r="ATQ187" s="4"/>
      <c r="ATR187" s="4"/>
      <c r="ATS187" s="4"/>
      <c r="ATT187" s="4"/>
      <c r="ATU187" s="4"/>
      <c r="ATV187" s="4"/>
      <c r="ATW187" s="4"/>
      <c r="ATX187" s="4"/>
      <c r="ATY187" s="4"/>
      <c r="ATZ187" s="4"/>
      <c r="AUA187" s="4"/>
      <c r="AUB187" s="4"/>
      <c r="AUC187" s="4"/>
      <c r="AUD187" s="4"/>
      <c r="AUE187" s="4"/>
      <c r="AUF187" s="4"/>
      <c r="AUG187" s="4"/>
      <c r="AUH187" s="4"/>
      <c r="AUI187" s="4"/>
      <c r="AUJ187" s="4"/>
      <c r="AUK187" s="4"/>
      <c r="AUL187" s="4"/>
      <c r="AUM187" s="4"/>
      <c r="AUN187" s="4"/>
      <c r="AUO187" s="4"/>
      <c r="AUP187" s="4"/>
      <c r="AUQ187" s="4"/>
      <c r="AUR187" s="4"/>
      <c r="AUS187" s="4"/>
      <c r="AUT187" s="4"/>
      <c r="AUU187" s="4"/>
      <c r="AUV187" s="699">
        <f t="shared" si="409"/>
        <v>170158</v>
      </c>
      <c r="AUW187" s="699">
        <f t="shared" si="410"/>
        <v>130689.71</v>
      </c>
      <c r="AUX187" s="711">
        <f t="shared" si="411"/>
        <v>39468.29</v>
      </c>
      <c r="AUY187" s="699">
        <f t="shared" si="520"/>
        <v>6840</v>
      </c>
      <c r="AUZ187" s="711">
        <f t="shared" si="475"/>
        <v>3640.72</v>
      </c>
      <c r="AVA187" s="711">
        <f t="shared" si="475"/>
        <v>0.83</v>
      </c>
      <c r="AVB187" s="699">
        <f t="shared" si="521"/>
        <v>23360</v>
      </c>
      <c r="AVC187" s="711">
        <f t="shared" si="522"/>
        <v>880</v>
      </c>
      <c r="AVD187" s="711">
        <f t="shared" si="523"/>
        <v>20960</v>
      </c>
      <c r="AVE187" s="711">
        <f t="shared" si="524"/>
        <v>440</v>
      </c>
      <c r="AVF187" s="711">
        <f t="shared" si="525"/>
        <v>1080</v>
      </c>
      <c r="AVG187" s="711">
        <f t="shared" si="526"/>
        <v>8116.25</v>
      </c>
      <c r="AVH187" s="711">
        <f t="shared" si="527"/>
        <v>5800</v>
      </c>
      <c r="AVI187" s="711">
        <f t="shared" si="528"/>
        <v>540</v>
      </c>
      <c r="AVJ187" s="711">
        <f t="shared" si="529"/>
        <v>770</v>
      </c>
      <c r="AVK187" s="711">
        <f t="shared" si="530"/>
        <v>170</v>
      </c>
      <c r="AVL187" s="711">
        <f t="shared" si="531"/>
        <v>200</v>
      </c>
      <c r="AVM187" s="711">
        <f t="shared" si="532"/>
        <v>29151.38</v>
      </c>
      <c r="AVN187" s="711">
        <f t="shared" si="533"/>
        <v>22389.69</v>
      </c>
      <c r="AVO187" s="711">
        <f t="shared" si="534"/>
        <v>6761.69</v>
      </c>
      <c r="AVP187" s="711">
        <f t="shared" si="535"/>
        <v>0</v>
      </c>
      <c r="AVQ187" s="711">
        <f t="shared" si="536"/>
        <v>253215.63</v>
      </c>
    </row>
    <row r="188" spans="1:1265" ht="30" customHeight="1" x14ac:dyDescent="0.25">
      <c r="A188" s="643">
        <v>1</v>
      </c>
      <c r="B188" s="643">
        <v>11</v>
      </c>
      <c r="C188" s="664" t="s">
        <v>26</v>
      </c>
      <c r="D188" s="2"/>
      <c r="E188" s="101" t="s">
        <v>344</v>
      </c>
      <c r="F188" s="643" t="s">
        <v>31</v>
      </c>
      <c r="G188" s="643">
        <v>1</v>
      </c>
      <c r="H188" s="658" t="s">
        <v>10</v>
      </c>
      <c r="I188" s="643">
        <v>0</v>
      </c>
      <c r="J188" s="101" t="s">
        <v>369</v>
      </c>
      <c r="K188" s="643">
        <v>1</v>
      </c>
      <c r="L188" s="683" t="s">
        <v>349</v>
      </c>
      <c r="M188" s="11" t="s">
        <v>275</v>
      </c>
      <c r="N188" s="101" t="s">
        <v>387</v>
      </c>
      <c r="O188" s="643">
        <v>1</v>
      </c>
      <c r="P188" s="632">
        <v>23</v>
      </c>
      <c r="Q188" s="632">
        <v>23</v>
      </c>
      <c r="R188" s="632">
        <v>23</v>
      </c>
      <c r="S188" s="675">
        <f>SUMIF('Территориальный кк'!$A:$A,'2020'!$B188,'Территориальный кк'!D:D)</f>
        <v>1.2470000000000001</v>
      </c>
      <c r="T188" s="676">
        <f>SUMIF('Территориальный кк'!$A:$A,'2020'!$B188,'Территориальный кк'!E:E)</f>
        <v>3.2010000000000001</v>
      </c>
      <c r="U188" s="618">
        <f>SUMIFS(Нормативы!G:G,Нормативы!$B:$B,$G188,Нормативы!$D:$D,'2020'!$I188,Нормативы!$F:$F,'2020'!$K188)*O188</f>
        <v>54020</v>
      </c>
      <c r="V188" s="618">
        <f t="shared" si="476"/>
        <v>41490</v>
      </c>
      <c r="W188" s="618">
        <f t="shared" si="477"/>
        <v>12530</v>
      </c>
      <c r="X188" s="618">
        <f>SUMIFS(Нормативы!J:J,Нормативы!$B:$B,$G188,Нормативы!$D:$D,'2020'!$I188,Нормативы!$F:$F,'2020'!$K188)</f>
        <v>220</v>
      </c>
      <c r="Y188" s="618">
        <f>SUMIFS(Нормативы!K:K,Нормативы!$B:$B,$G188,Нормативы!$D:$D,'2020'!$I188,Нормативы!$F:$F,'2020'!$K188)</f>
        <v>44</v>
      </c>
      <c r="Z188" s="618">
        <f>SUMIFS(Нормативы!L:L,Нормативы!$B:$B,$G188,Нормативы!$D:$D,'2020'!$I188,Нормативы!$F:$F,'2020'!$K188)</f>
        <v>2320</v>
      </c>
      <c r="AA188" s="618">
        <f t="shared" si="478"/>
        <v>3710</v>
      </c>
      <c r="AB188" s="618">
        <f>SUMIFS(Нормативы!N:N,Нормативы!$B:$B,$G188,Нормативы!$D:$D,'2020'!$I188,Нормативы!$F:$F,'2020'!$K188)*O188</f>
        <v>520</v>
      </c>
      <c r="AC188" s="618">
        <f>SUMIFS(Нормативы!O:O,Нормативы!$B:$B,$G188,Нормативы!$D:$D,'2020'!$I188,Нормативы!$F:$F,'2020'!$K188)</f>
        <v>2140</v>
      </c>
      <c r="AD188" s="618">
        <f>SUMIFS(Нормативы!P:P,Нормативы!$B:$B,$G188,Нормативы!$D:$D,'2020'!$I188,Нормативы!$F:$F,'2020'!$K188)*O188</f>
        <v>310</v>
      </c>
      <c r="AE188" s="618">
        <f>SUMIFS(Нормативы!Q:Q,Нормативы!$B:$B,$G188,Нормативы!$D:$D,'2020'!$I188,Нормативы!$F:$F,'2020'!$K188)</f>
        <v>740</v>
      </c>
      <c r="AF188" s="618">
        <f>SUMIFS(Нормативы!R:R,Нормативы!$B:$B,$G188,Нормативы!$D:$D,'2020'!$I188,Нормативы!$F:$F,'2020'!$K188)</f>
        <v>2460</v>
      </c>
      <c r="AG188" s="618">
        <f>SUMIFS(Нормативы!S:S,Нормативы!$B:$B,$G188,Нормативы!$D:$D,'2020'!$I188,Нормативы!$F:$F,'2020'!$K188)</f>
        <v>5080</v>
      </c>
      <c r="AH188" s="618">
        <f>SUMIFS(Нормативы!T:T,Нормативы!$B:$B,$G188,Нормативы!$D:$D,'2020'!$I188,Нормативы!$F:$F,'2020'!$K188)</f>
        <v>540</v>
      </c>
      <c r="AI188" s="618">
        <f>SUMIFS(Нормативы!U:U,Нормативы!$B:$B,$G188,Нормативы!$D:$D,'2020'!$I188,Нормативы!$F:$F,'2020'!$K188)</f>
        <v>770</v>
      </c>
      <c r="AJ188" s="618">
        <f>SUMIFS(Нормативы!V:V,Нормативы!$B:$B,$G188,Нормативы!$D:$D,'2020'!$I188,Нормативы!$F:$F,'2020'!$K188)</f>
        <v>80</v>
      </c>
      <c r="AK188" s="618">
        <f>SUMIFS(Нормативы!W:W,Нормативы!$B:$B,$G188,Нормативы!$D:$D,'2020'!$I188,Нормативы!$F:$F,'2020'!$K188)</f>
        <v>300</v>
      </c>
      <c r="AL188" s="618">
        <f>SUMIFS(Нормативы!X:X,Нормативы!$B:$B,$G188,Нормативы!$D:$D,'2020'!$I188,Нормативы!$F:$F,'2020'!$K188)*O188</f>
        <v>13440</v>
      </c>
      <c r="AM188" s="618">
        <f t="shared" si="479"/>
        <v>10322.6</v>
      </c>
      <c r="AN188" s="618">
        <f t="shared" si="480"/>
        <v>3117.4</v>
      </c>
      <c r="AO188" s="618">
        <f>SUMIFS(Нормативы!AA:AA,Нормативы!$B:$B,$G188,Нормативы!$D:$D,'2020'!$I188,Нормативы!$F:$F,'2020'!$K188)</f>
        <v>3520</v>
      </c>
      <c r="AP188" s="619">
        <f t="shared" si="481"/>
        <v>86460</v>
      </c>
      <c r="AQ188" s="413">
        <f t="shared" si="418"/>
        <v>1242460</v>
      </c>
      <c r="AR188" s="618">
        <f t="shared" si="482"/>
        <v>954270.4</v>
      </c>
      <c r="AS188" s="618">
        <f t="shared" si="483"/>
        <v>288189.59999999998</v>
      </c>
      <c r="AT188" s="616">
        <f t="shared" si="419"/>
        <v>5060</v>
      </c>
      <c r="AU188" s="616">
        <f t="shared" si="420"/>
        <v>1012</v>
      </c>
      <c r="AV188" s="616">
        <f t="shared" si="421"/>
        <v>53360</v>
      </c>
      <c r="AW188" s="616">
        <f t="shared" si="422"/>
        <v>85330</v>
      </c>
      <c r="AX188" s="616">
        <f t="shared" si="423"/>
        <v>11960</v>
      </c>
      <c r="AY188" s="616">
        <f t="shared" si="424"/>
        <v>49220</v>
      </c>
      <c r="AZ188" s="616">
        <f t="shared" si="425"/>
        <v>7130</v>
      </c>
      <c r="BA188" s="616">
        <f t="shared" si="426"/>
        <v>17020</v>
      </c>
      <c r="BB188" s="616">
        <f t="shared" si="427"/>
        <v>56580</v>
      </c>
      <c r="BC188" s="616">
        <f t="shared" si="428"/>
        <v>116840</v>
      </c>
      <c r="BD188" s="616">
        <f t="shared" si="429"/>
        <v>12420</v>
      </c>
      <c r="BE188" s="616">
        <f t="shared" si="430"/>
        <v>17710</v>
      </c>
      <c r="BF188" s="616">
        <f t="shared" si="431"/>
        <v>1840</v>
      </c>
      <c r="BG188" s="616">
        <f t="shared" si="432"/>
        <v>6900</v>
      </c>
      <c r="BH188" s="616">
        <f t="shared" si="433"/>
        <v>309120</v>
      </c>
      <c r="BI188" s="618">
        <f t="shared" si="484"/>
        <v>237419.4</v>
      </c>
      <c r="BJ188" s="618">
        <f t="shared" si="485"/>
        <v>71700.600000000006</v>
      </c>
      <c r="BK188" s="616">
        <f t="shared" si="434"/>
        <v>80960</v>
      </c>
      <c r="BL188" s="620">
        <f t="shared" si="435"/>
        <v>1988580</v>
      </c>
      <c r="BM188" s="616">
        <f t="shared" si="436"/>
        <v>1549348</v>
      </c>
      <c r="BN188" s="618">
        <f t="shared" si="437"/>
        <v>1189975.3999999999</v>
      </c>
      <c r="BO188" s="618">
        <f t="shared" si="438"/>
        <v>359372.6</v>
      </c>
      <c r="BP188" s="616">
        <f t="shared" si="486"/>
        <v>5060</v>
      </c>
      <c r="BQ188" s="616">
        <f t="shared" si="487"/>
        <v>1012</v>
      </c>
      <c r="BR188" s="616">
        <f t="shared" si="488"/>
        <v>53360</v>
      </c>
      <c r="BS188" s="616">
        <f t="shared" si="439"/>
        <v>85330</v>
      </c>
      <c r="BT188" s="616">
        <f t="shared" si="440"/>
        <v>11960</v>
      </c>
      <c r="BU188" s="616">
        <f t="shared" si="441"/>
        <v>49220</v>
      </c>
      <c r="BV188" s="616">
        <f t="shared" si="442"/>
        <v>7130</v>
      </c>
      <c r="BW188" s="616">
        <f t="shared" si="443"/>
        <v>17020</v>
      </c>
      <c r="BX188" s="616">
        <f t="shared" si="444"/>
        <v>181113</v>
      </c>
      <c r="BY188" s="616">
        <f t="shared" si="445"/>
        <v>116840</v>
      </c>
      <c r="BZ188" s="616">
        <f t="shared" si="446"/>
        <v>12420</v>
      </c>
      <c r="CA188" s="616">
        <f t="shared" si="447"/>
        <v>17710</v>
      </c>
      <c r="CB188" s="616">
        <f t="shared" si="448"/>
        <v>1840</v>
      </c>
      <c r="CC188" s="616">
        <f t="shared" si="449"/>
        <v>6900</v>
      </c>
      <c r="CD188" s="616">
        <f t="shared" si="450"/>
        <v>385473</v>
      </c>
      <c r="CE188" s="618">
        <f t="shared" si="489"/>
        <v>296062.2</v>
      </c>
      <c r="CF188" s="618">
        <f t="shared" si="490"/>
        <v>89410.8</v>
      </c>
      <c r="CG188" s="616">
        <f t="shared" si="451"/>
        <v>80960</v>
      </c>
      <c r="CH188" s="621">
        <f t="shared" si="452"/>
        <v>2496354</v>
      </c>
      <c r="CI188" s="88">
        <f t="shared" si="453"/>
        <v>67362.9565</v>
      </c>
      <c r="CJ188" s="90">
        <f t="shared" si="454"/>
        <v>51738.060899999997</v>
      </c>
      <c r="CK188" s="90">
        <f t="shared" si="455"/>
        <v>15624.895699999999</v>
      </c>
      <c r="CL188" s="88">
        <f t="shared" si="456"/>
        <v>220</v>
      </c>
      <c r="CM188" s="88">
        <f t="shared" si="457"/>
        <v>44</v>
      </c>
      <c r="CN188" s="88">
        <f t="shared" si="458"/>
        <v>2320</v>
      </c>
      <c r="CO188" s="88">
        <f t="shared" si="459"/>
        <v>3710</v>
      </c>
      <c r="CP188" s="88">
        <f t="shared" si="460"/>
        <v>520</v>
      </c>
      <c r="CQ188" s="88">
        <f t="shared" si="461"/>
        <v>2140</v>
      </c>
      <c r="CR188" s="88">
        <f t="shared" si="462"/>
        <v>310</v>
      </c>
      <c r="CS188" s="88">
        <f t="shared" si="463"/>
        <v>740</v>
      </c>
      <c r="CT188" s="88">
        <f t="shared" si="464"/>
        <v>7874.4782999999998</v>
      </c>
      <c r="CU188" s="88">
        <f t="shared" si="465"/>
        <v>5080</v>
      </c>
      <c r="CV188" s="88">
        <f t="shared" si="466"/>
        <v>540</v>
      </c>
      <c r="CW188" s="88">
        <f t="shared" si="467"/>
        <v>770</v>
      </c>
      <c r="CX188" s="88">
        <f t="shared" si="468"/>
        <v>80</v>
      </c>
      <c r="CY188" s="88">
        <f t="shared" si="469"/>
        <v>300</v>
      </c>
      <c r="CZ188" s="88">
        <f t="shared" si="470"/>
        <v>16759.6957</v>
      </c>
      <c r="DA188" s="90">
        <f t="shared" si="471"/>
        <v>12872.2696</v>
      </c>
      <c r="DB188" s="90">
        <f t="shared" si="472"/>
        <v>3887.4261000000001</v>
      </c>
      <c r="DC188" s="88">
        <f t="shared" si="473"/>
        <v>3520</v>
      </c>
      <c r="DD188" s="88">
        <f t="shared" si="474"/>
        <v>108537.13039999999</v>
      </c>
      <c r="AUV188" s="699">
        <f t="shared" si="409"/>
        <v>67362.960000000006</v>
      </c>
      <c r="AUW188" s="699">
        <f t="shared" si="410"/>
        <v>51738.06</v>
      </c>
      <c r="AUX188" s="699">
        <f t="shared" si="411"/>
        <v>15624.9</v>
      </c>
      <c r="AUY188" s="699">
        <f t="shared" ref="AUY188:AUY200" si="548">BP188/P188</f>
        <v>220</v>
      </c>
      <c r="AUZ188" s="699">
        <f t="shared" si="475"/>
        <v>316.14999999999998</v>
      </c>
      <c r="AVA188" s="699">
        <f t="shared" si="475"/>
        <v>0.99</v>
      </c>
      <c r="AVB188" s="699">
        <f t="shared" ref="AVB188:AVB200" si="549">AVC188+AVD188+AVE188+AVF188</f>
        <v>3710</v>
      </c>
      <c r="AVC188" s="699">
        <f t="shared" ref="AVC188:AVC200" si="550">BT188/P188</f>
        <v>520</v>
      </c>
      <c r="AVD188" s="699">
        <f t="shared" ref="AVD188:AVD200" si="551">BU188/P188</f>
        <v>2140</v>
      </c>
      <c r="AVE188" s="699">
        <f t="shared" ref="AVE188:AVE200" si="552">BV188/P188</f>
        <v>310</v>
      </c>
      <c r="AVF188" s="699">
        <f t="shared" ref="AVF188:AVF200" si="553">BW188/P188</f>
        <v>740</v>
      </c>
      <c r="AVG188" s="699">
        <f t="shared" ref="AVG188:AVG200" si="554">BX188/P188</f>
        <v>7874.48</v>
      </c>
      <c r="AVH188" s="699">
        <f t="shared" ref="AVH188:AVH200" si="555">BY188/P188</f>
        <v>5080</v>
      </c>
      <c r="AVI188" s="699">
        <f t="shared" ref="AVI188:AVI200" si="556">BZ188/P188</f>
        <v>540</v>
      </c>
      <c r="AVJ188" s="699">
        <f t="shared" ref="AVJ188:AVJ200" si="557">CA188/P188</f>
        <v>770</v>
      </c>
      <c r="AVK188" s="699">
        <f t="shared" ref="AVK188:AVK200" si="558">CB188/P188</f>
        <v>80</v>
      </c>
      <c r="AVL188" s="699">
        <f t="shared" ref="AVL188:AVL200" si="559">CC188/P188</f>
        <v>300</v>
      </c>
      <c r="AVM188" s="699">
        <f t="shared" ref="AVM188:AVM200" si="560">CD188/P188</f>
        <v>16759.7</v>
      </c>
      <c r="AVN188" s="699">
        <f t="shared" ref="AVN188:AVN200" si="561">AVM188/1.302</f>
        <v>12872.27</v>
      </c>
      <c r="AVO188" s="699">
        <f t="shared" ref="AVO188:AVO200" si="562">AVM188-AVN188</f>
        <v>3887.43</v>
      </c>
      <c r="AVP188" s="699">
        <f t="shared" ref="AVP188:AVP200" si="563">CG188/P188</f>
        <v>3520</v>
      </c>
      <c r="AVQ188" s="699">
        <f t="shared" ref="AVQ188:AVQ200" si="564">CH188/P188</f>
        <v>108537.13</v>
      </c>
    </row>
    <row r="189" spans="1:1265" s="608" customFormat="1" ht="30" customHeight="1" x14ac:dyDescent="0.25">
      <c r="A189" s="634">
        <v>1</v>
      </c>
      <c r="B189" s="634">
        <v>11</v>
      </c>
      <c r="C189" s="633" t="s">
        <v>26</v>
      </c>
      <c r="D189" s="2"/>
      <c r="E189" s="602" t="s">
        <v>344</v>
      </c>
      <c r="F189" s="634" t="s">
        <v>31</v>
      </c>
      <c r="G189" s="634">
        <v>1</v>
      </c>
      <c r="H189" s="656" t="s">
        <v>10</v>
      </c>
      <c r="I189" s="634">
        <v>0</v>
      </c>
      <c r="J189" s="602" t="s">
        <v>355</v>
      </c>
      <c r="K189" s="634">
        <v>1</v>
      </c>
      <c r="L189" s="681" t="s">
        <v>349</v>
      </c>
      <c r="M189" s="601"/>
      <c r="N189" s="602" t="s">
        <v>401</v>
      </c>
      <c r="O189" s="634">
        <v>2</v>
      </c>
      <c r="P189" s="633">
        <v>1</v>
      </c>
      <c r="Q189" s="633">
        <v>1</v>
      </c>
      <c r="R189" s="633">
        <v>1</v>
      </c>
      <c r="S189" s="671">
        <f>'Территориальный кк'!D14</f>
        <v>1.2470000000000001</v>
      </c>
      <c r="T189" s="672">
        <f>'Территориальный кк'!E14</f>
        <v>3.2010000000000001</v>
      </c>
      <c r="U189" s="618">
        <f>SUMIFS(Нормативы!G:G,Нормативы!$B:$B,$G189,Нормативы!$D:$D,'2020'!$I189,Нормативы!$F:$F,'2020'!$K189)*O189</f>
        <v>108040</v>
      </c>
      <c r="V189" s="618">
        <f t="shared" ref="V189" si="565">ROUND(U189/1.302,1)</f>
        <v>82980</v>
      </c>
      <c r="W189" s="618">
        <f t="shared" ref="W189" si="566">U189-V189</f>
        <v>25060</v>
      </c>
      <c r="X189" s="618">
        <f>SUMIFS(Нормативы!J:J,Нормативы!$B:$B,$G189,Нормативы!$D:$D,'2020'!$I189,Нормативы!$F:$F,'2020'!$K189)</f>
        <v>220</v>
      </c>
      <c r="Y189" s="618">
        <f>SUMIFS(Нормативы!K:K,Нормативы!$B:$B,$G189,Нормативы!$D:$D,'2020'!$I189,Нормативы!$F:$F,'2020'!$K189)</f>
        <v>44</v>
      </c>
      <c r="Z189" s="618">
        <f>SUMIFS(Нормативы!L:L,Нормативы!$B:$B,$G189,Нормативы!$D:$D,'2020'!$I189,Нормативы!$F:$F,'2020'!$K189)</f>
        <v>2320</v>
      </c>
      <c r="AA189" s="618">
        <f t="shared" ref="AA189" si="567">AB189+AC189+AD189+AE189</f>
        <v>4540</v>
      </c>
      <c r="AB189" s="618">
        <f>SUMIFS(Нормативы!N:N,Нормативы!$B:$B,$G189,Нормативы!$D:$D,'2020'!$I189,Нормативы!$F:$F,'2020'!$K189)*O189</f>
        <v>1040</v>
      </c>
      <c r="AC189" s="618">
        <f>SUMIFS(Нормативы!O:O,Нормативы!$B:$B,$G189,Нормативы!$D:$D,'2020'!$I189,Нормативы!$F:$F,'2020'!$K189)</f>
        <v>2140</v>
      </c>
      <c r="AD189" s="618">
        <f>SUMIFS(Нормативы!P:P,Нормативы!$B:$B,$G189,Нормативы!$D:$D,'2020'!$I189,Нормативы!$F:$F,'2020'!$K189)*O189</f>
        <v>620</v>
      </c>
      <c r="AE189" s="618">
        <f>SUMIFS(Нормативы!Q:Q,Нормативы!$B:$B,$G189,Нормативы!$D:$D,'2020'!$I189,Нормативы!$F:$F,'2020'!$K189)</f>
        <v>740</v>
      </c>
      <c r="AF189" s="618">
        <f>SUMIFS(Нормативы!R:R,Нормативы!$B:$B,$G189,Нормативы!$D:$D,'2020'!$I189,Нормативы!$F:$F,'2020'!$K189)</f>
        <v>2460</v>
      </c>
      <c r="AG189" s="618">
        <f>SUMIFS(Нормативы!S:S,Нормативы!$B:$B,$G189,Нормативы!$D:$D,'2020'!$I189,Нормативы!$F:$F,'2020'!$K189)</f>
        <v>5080</v>
      </c>
      <c r="AH189" s="618">
        <f>SUMIFS(Нормативы!T:T,Нормативы!$B:$B,$G189,Нормативы!$D:$D,'2020'!$I189,Нормативы!$F:$F,'2020'!$K189)</f>
        <v>540</v>
      </c>
      <c r="AI189" s="618">
        <f>SUMIFS(Нормативы!U:U,Нормативы!$B:$B,$G189,Нормативы!$D:$D,'2020'!$I189,Нормативы!$F:$F,'2020'!$K189)</f>
        <v>770</v>
      </c>
      <c r="AJ189" s="618">
        <f>SUMIFS(Нормативы!V:V,Нормативы!$B:$B,$G189,Нормативы!$D:$D,'2020'!$I189,Нормативы!$F:$F,'2020'!$K189)</f>
        <v>80</v>
      </c>
      <c r="AK189" s="618">
        <f>SUMIFS(Нормативы!W:W,Нормативы!$B:$B,$G189,Нормативы!$D:$D,'2020'!$I189,Нормативы!$F:$F,'2020'!$K189)</f>
        <v>300</v>
      </c>
      <c r="AL189" s="618">
        <f>SUMIFS(Нормативы!X:X,Нормативы!$B:$B,$G189,Нормативы!$D:$D,'2020'!$I189,Нормативы!$F:$F,'2020'!$K189)*O189</f>
        <v>26880</v>
      </c>
      <c r="AM189" s="618">
        <f t="shared" ref="AM189" si="568">ROUND(AL189/1.302,1)</f>
        <v>20645.2</v>
      </c>
      <c r="AN189" s="618">
        <f t="shared" ref="AN189" si="569">AL189-AM189</f>
        <v>6234.8</v>
      </c>
      <c r="AO189" s="618">
        <f>SUMIFS(Нормативы!AA:AA,Нормативы!$B:$B,$G189,Нормативы!$D:$D,'2020'!$I189,Нормативы!$F:$F,'2020'!$K189)</f>
        <v>3520</v>
      </c>
      <c r="AP189" s="619">
        <f t="shared" ref="AP189" si="570">U189+X189+Z189+AA189++AF189+AG189+AH189+AI189+AJ189+AK189+AL189+AO189</f>
        <v>154750</v>
      </c>
      <c r="AQ189" s="611">
        <f t="shared" si="418"/>
        <v>108040</v>
      </c>
      <c r="AR189" s="622">
        <f t="shared" si="482"/>
        <v>82980</v>
      </c>
      <c r="AS189" s="622">
        <f t="shared" si="483"/>
        <v>25060</v>
      </c>
      <c r="AT189" s="614">
        <f t="shared" si="419"/>
        <v>220</v>
      </c>
      <c r="AU189" s="614">
        <f t="shared" si="420"/>
        <v>44</v>
      </c>
      <c r="AV189" s="614">
        <f t="shared" si="421"/>
        <v>2320</v>
      </c>
      <c r="AW189" s="614">
        <f t="shared" si="422"/>
        <v>4540</v>
      </c>
      <c r="AX189" s="614">
        <f t="shared" si="423"/>
        <v>1040</v>
      </c>
      <c r="AY189" s="614">
        <f t="shared" si="424"/>
        <v>2140</v>
      </c>
      <c r="AZ189" s="614">
        <f t="shared" si="425"/>
        <v>620</v>
      </c>
      <c r="BA189" s="614">
        <f t="shared" si="426"/>
        <v>740</v>
      </c>
      <c r="BB189" s="614">
        <f t="shared" si="427"/>
        <v>2460</v>
      </c>
      <c r="BC189" s="614">
        <f t="shared" si="428"/>
        <v>5080</v>
      </c>
      <c r="BD189" s="614">
        <f t="shared" si="429"/>
        <v>540</v>
      </c>
      <c r="BE189" s="614">
        <f t="shared" si="430"/>
        <v>770</v>
      </c>
      <c r="BF189" s="614">
        <f t="shared" si="431"/>
        <v>80</v>
      </c>
      <c r="BG189" s="614">
        <f t="shared" si="432"/>
        <v>300</v>
      </c>
      <c r="BH189" s="614">
        <f t="shared" si="433"/>
        <v>26880</v>
      </c>
      <c r="BI189" s="614">
        <f t="shared" ref="BI189" si="571">ROUND($P189*AM189,0)</f>
        <v>20645</v>
      </c>
      <c r="BJ189" s="614">
        <f t="shared" ref="BJ189" si="572">ROUND($P189*AN189,0)</f>
        <v>6235</v>
      </c>
      <c r="BK189" s="614">
        <f t="shared" si="434"/>
        <v>3520</v>
      </c>
      <c r="BL189" s="620">
        <f t="shared" si="435"/>
        <v>154750</v>
      </c>
      <c r="BM189" s="614">
        <f t="shared" si="436"/>
        <v>134726</v>
      </c>
      <c r="BN189" s="622">
        <f t="shared" si="437"/>
        <v>103476.2</v>
      </c>
      <c r="BO189" s="622">
        <f t="shared" si="438"/>
        <v>31249.8</v>
      </c>
      <c r="BP189" s="614">
        <f t="shared" si="486"/>
        <v>220</v>
      </c>
      <c r="BQ189" s="614">
        <f t="shared" si="487"/>
        <v>44</v>
      </c>
      <c r="BR189" s="614">
        <f t="shared" si="488"/>
        <v>2320</v>
      </c>
      <c r="BS189" s="614">
        <f t="shared" si="439"/>
        <v>4540</v>
      </c>
      <c r="BT189" s="614">
        <f t="shared" si="440"/>
        <v>1040</v>
      </c>
      <c r="BU189" s="614">
        <f t="shared" si="441"/>
        <v>2140</v>
      </c>
      <c r="BV189" s="614">
        <f t="shared" si="442"/>
        <v>620</v>
      </c>
      <c r="BW189" s="614">
        <f t="shared" si="443"/>
        <v>740</v>
      </c>
      <c r="BX189" s="614">
        <f t="shared" si="444"/>
        <v>7874</v>
      </c>
      <c r="BY189" s="614">
        <f t="shared" si="445"/>
        <v>5080</v>
      </c>
      <c r="BZ189" s="614">
        <f t="shared" si="446"/>
        <v>540</v>
      </c>
      <c r="CA189" s="614">
        <f t="shared" si="447"/>
        <v>770</v>
      </c>
      <c r="CB189" s="614">
        <f t="shared" si="448"/>
        <v>80</v>
      </c>
      <c r="CC189" s="614">
        <f t="shared" si="449"/>
        <v>300</v>
      </c>
      <c r="CD189" s="614">
        <f t="shared" si="450"/>
        <v>33519</v>
      </c>
      <c r="CE189" s="622">
        <f t="shared" si="489"/>
        <v>25744.2</v>
      </c>
      <c r="CF189" s="622">
        <f t="shared" si="490"/>
        <v>7774.8</v>
      </c>
      <c r="CG189" s="614">
        <f t="shared" si="451"/>
        <v>3520</v>
      </c>
      <c r="CH189" s="621">
        <f t="shared" si="452"/>
        <v>193489</v>
      </c>
      <c r="CI189" s="607"/>
      <c r="CJ189" s="607"/>
      <c r="CK189" s="607"/>
      <c r="CL189" s="607"/>
      <c r="CM189" s="607"/>
      <c r="CN189" s="607"/>
      <c r="CO189" s="607"/>
      <c r="CP189" s="607"/>
      <c r="CQ189" s="607"/>
      <c r="CR189" s="607"/>
      <c r="CS189" s="607"/>
      <c r="CT189" s="607"/>
      <c r="CU189" s="607"/>
      <c r="CV189" s="607"/>
      <c r="CW189" s="607"/>
      <c r="CX189" s="607"/>
      <c r="CY189" s="607"/>
      <c r="CZ189" s="607"/>
      <c r="DA189" s="607"/>
      <c r="DB189" s="607"/>
      <c r="DC189" s="607"/>
      <c r="DD189" s="607"/>
      <c r="AUV189" s="699">
        <f t="shared" si="409"/>
        <v>134726</v>
      </c>
      <c r="AUW189" s="699">
        <f t="shared" si="410"/>
        <v>103476.19</v>
      </c>
      <c r="AUX189" s="699">
        <f t="shared" si="411"/>
        <v>31249.81</v>
      </c>
      <c r="AUY189" s="699">
        <f t="shared" si="548"/>
        <v>220</v>
      </c>
      <c r="AUZ189" s="699">
        <f t="shared" si="475"/>
        <v>13.75</v>
      </c>
      <c r="AVA189" s="699">
        <f t="shared" si="475"/>
        <v>0.02</v>
      </c>
      <c r="AVB189" s="699">
        <f t="shared" si="549"/>
        <v>4540</v>
      </c>
      <c r="AVC189" s="699">
        <f t="shared" si="550"/>
        <v>1040</v>
      </c>
      <c r="AVD189" s="699">
        <f t="shared" si="551"/>
        <v>2140</v>
      </c>
      <c r="AVE189" s="699">
        <f t="shared" si="552"/>
        <v>620</v>
      </c>
      <c r="AVF189" s="699">
        <f t="shared" si="553"/>
        <v>740</v>
      </c>
      <c r="AVG189" s="699">
        <f t="shared" si="554"/>
        <v>7874</v>
      </c>
      <c r="AVH189" s="699">
        <f t="shared" si="555"/>
        <v>5080</v>
      </c>
      <c r="AVI189" s="699">
        <f t="shared" si="556"/>
        <v>540</v>
      </c>
      <c r="AVJ189" s="699">
        <f t="shared" si="557"/>
        <v>770</v>
      </c>
      <c r="AVK189" s="699">
        <f t="shared" si="558"/>
        <v>80</v>
      </c>
      <c r="AVL189" s="699">
        <f t="shared" si="559"/>
        <v>300</v>
      </c>
      <c r="AVM189" s="699">
        <f t="shared" si="560"/>
        <v>33519</v>
      </c>
      <c r="AVN189" s="699">
        <f t="shared" si="561"/>
        <v>25744.240000000002</v>
      </c>
      <c r="AVO189" s="699">
        <f t="shared" si="562"/>
        <v>7774.76</v>
      </c>
      <c r="AVP189" s="699">
        <f t="shared" si="563"/>
        <v>3520</v>
      </c>
      <c r="AVQ189" s="699">
        <f t="shared" si="564"/>
        <v>193489</v>
      </c>
    </row>
    <row r="190" spans="1:1265" ht="30" customHeight="1" x14ac:dyDescent="0.25">
      <c r="A190" s="643">
        <v>1</v>
      </c>
      <c r="B190" s="643">
        <v>11</v>
      </c>
      <c r="C190" s="664" t="s">
        <v>26</v>
      </c>
      <c r="D190" s="2"/>
      <c r="E190" s="101" t="s">
        <v>344</v>
      </c>
      <c r="F190" s="643" t="s">
        <v>31</v>
      </c>
      <c r="G190" s="643">
        <v>1</v>
      </c>
      <c r="H190" s="658" t="s">
        <v>10</v>
      </c>
      <c r="I190" s="643">
        <v>0</v>
      </c>
      <c r="J190" s="101" t="s">
        <v>355</v>
      </c>
      <c r="K190" s="643">
        <v>1</v>
      </c>
      <c r="L190" s="683" t="s">
        <v>349</v>
      </c>
      <c r="M190" s="11" t="s">
        <v>279</v>
      </c>
      <c r="N190" s="101" t="s">
        <v>387</v>
      </c>
      <c r="O190" s="643">
        <v>1</v>
      </c>
      <c r="P190" s="632">
        <v>13</v>
      </c>
      <c r="Q190" s="632">
        <v>13</v>
      </c>
      <c r="R190" s="632">
        <v>13</v>
      </c>
      <c r="S190" s="675">
        <f>SUMIF('Территориальный кк'!$A:$A,'2020'!$B190,'Территориальный кк'!D:D)</f>
        <v>1.2470000000000001</v>
      </c>
      <c r="T190" s="676">
        <f>SUMIF('Территориальный кк'!$A:$A,'2020'!$B190,'Территориальный кк'!E:E)</f>
        <v>3.2010000000000001</v>
      </c>
      <c r="U190" s="618">
        <f>SUMIFS(Нормативы!G:G,Нормативы!$B:$B,$G190,Нормативы!$D:$D,'2020'!$I190,Нормативы!$F:$F,'2020'!$K190)*O190</f>
        <v>54020</v>
      </c>
      <c r="V190" s="618">
        <f t="shared" ref="V190" si="573">ROUND(U190/1.302,1)</f>
        <v>41490</v>
      </c>
      <c r="W190" s="618">
        <f t="shared" ref="W190" si="574">U190-V190</f>
        <v>12530</v>
      </c>
      <c r="X190" s="618">
        <f>SUMIFS(Нормативы!J:J,Нормативы!$B:$B,$G190,Нормативы!$D:$D,'2020'!$I190,Нормативы!$F:$F,'2020'!$K190)</f>
        <v>220</v>
      </c>
      <c r="Y190" s="618">
        <f>SUMIFS(Нормативы!K:K,Нормативы!$B:$B,$G190,Нормативы!$D:$D,'2020'!$I190,Нормативы!$F:$F,'2020'!$K190)</f>
        <v>44</v>
      </c>
      <c r="Z190" s="618">
        <f>SUMIFS(Нормативы!L:L,Нормативы!$B:$B,$G190,Нормативы!$D:$D,'2020'!$I190,Нормативы!$F:$F,'2020'!$K190)</f>
        <v>2320</v>
      </c>
      <c r="AA190" s="618">
        <f t="shared" ref="AA190" si="575">AB190+AC190+AD190+AE190</f>
        <v>3710</v>
      </c>
      <c r="AB190" s="618">
        <f>SUMIFS(Нормативы!N:N,Нормативы!$B:$B,$G190,Нормативы!$D:$D,'2020'!$I190,Нормативы!$F:$F,'2020'!$K190)*O190</f>
        <v>520</v>
      </c>
      <c r="AC190" s="618">
        <f>SUMIFS(Нормативы!O:O,Нормативы!$B:$B,$G190,Нормативы!$D:$D,'2020'!$I190,Нормативы!$F:$F,'2020'!$K190)</f>
        <v>2140</v>
      </c>
      <c r="AD190" s="618">
        <f>SUMIFS(Нормативы!P:P,Нормативы!$B:$B,$G190,Нормативы!$D:$D,'2020'!$I190,Нормативы!$F:$F,'2020'!$K190)*O190</f>
        <v>310</v>
      </c>
      <c r="AE190" s="618">
        <f>SUMIFS(Нормативы!Q:Q,Нормативы!$B:$B,$G190,Нормативы!$D:$D,'2020'!$I190,Нормативы!$F:$F,'2020'!$K190)</f>
        <v>740</v>
      </c>
      <c r="AF190" s="618">
        <f>SUMIFS(Нормативы!R:R,Нормативы!$B:$B,$G190,Нормативы!$D:$D,'2020'!$I190,Нормативы!$F:$F,'2020'!$K190)</f>
        <v>2460</v>
      </c>
      <c r="AG190" s="618">
        <f>SUMIFS(Нормативы!S:S,Нормативы!$B:$B,$G190,Нормативы!$D:$D,'2020'!$I190,Нормативы!$F:$F,'2020'!$K190)</f>
        <v>5080</v>
      </c>
      <c r="AH190" s="618">
        <f>SUMIFS(Нормативы!T:T,Нормативы!$B:$B,$G190,Нормативы!$D:$D,'2020'!$I190,Нормативы!$F:$F,'2020'!$K190)</f>
        <v>540</v>
      </c>
      <c r="AI190" s="618">
        <f>SUMIFS(Нормативы!U:U,Нормативы!$B:$B,$G190,Нормативы!$D:$D,'2020'!$I190,Нормативы!$F:$F,'2020'!$K190)</f>
        <v>770</v>
      </c>
      <c r="AJ190" s="618">
        <f>SUMIFS(Нормативы!V:V,Нормативы!$B:$B,$G190,Нормативы!$D:$D,'2020'!$I190,Нормативы!$F:$F,'2020'!$K190)</f>
        <v>80</v>
      </c>
      <c r="AK190" s="618">
        <f>SUMIFS(Нормативы!W:W,Нормативы!$B:$B,$G190,Нормативы!$D:$D,'2020'!$I190,Нормативы!$F:$F,'2020'!$K190)</f>
        <v>300</v>
      </c>
      <c r="AL190" s="618">
        <f>SUMIFS(Нормативы!X:X,Нормативы!$B:$B,$G190,Нормативы!$D:$D,'2020'!$I190,Нормативы!$F:$F,'2020'!$K190)*O190</f>
        <v>13440</v>
      </c>
      <c r="AM190" s="618">
        <f t="shared" ref="AM190" si="576">ROUND(AL190/1.302,1)</f>
        <v>10322.6</v>
      </c>
      <c r="AN190" s="618">
        <f t="shared" ref="AN190" si="577">AL190-AM190</f>
        <v>3117.4</v>
      </c>
      <c r="AO190" s="618">
        <f>SUMIFS(Нормативы!AA:AA,Нормативы!$B:$B,$G190,Нормативы!$D:$D,'2020'!$I190,Нормативы!$F:$F,'2020'!$K190)</f>
        <v>3520</v>
      </c>
      <c r="AP190" s="619">
        <f t="shared" ref="AP190" si="578">U190+X190+Z190+AA190++AF190+AG190+AH190+AI190+AJ190+AK190+AL190+AO190</f>
        <v>86460</v>
      </c>
      <c r="AQ190" s="413">
        <f t="shared" si="418"/>
        <v>702260</v>
      </c>
      <c r="AR190" s="618">
        <f t="shared" si="482"/>
        <v>539370.19999999995</v>
      </c>
      <c r="AS190" s="618">
        <f t="shared" si="483"/>
        <v>162889.79999999999</v>
      </c>
      <c r="AT190" s="616">
        <f t="shared" si="419"/>
        <v>2860</v>
      </c>
      <c r="AU190" s="616">
        <f t="shared" si="420"/>
        <v>572</v>
      </c>
      <c r="AV190" s="616">
        <f t="shared" si="421"/>
        <v>30160</v>
      </c>
      <c r="AW190" s="616">
        <f t="shared" si="422"/>
        <v>48230</v>
      </c>
      <c r="AX190" s="616">
        <f t="shared" si="423"/>
        <v>6760</v>
      </c>
      <c r="AY190" s="616">
        <f t="shared" si="424"/>
        <v>27820</v>
      </c>
      <c r="AZ190" s="616">
        <f t="shared" si="425"/>
        <v>4030</v>
      </c>
      <c r="BA190" s="616">
        <f t="shared" si="426"/>
        <v>9620</v>
      </c>
      <c r="BB190" s="616">
        <f t="shared" si="427"/>
        <v>31980</v>
      </c>
      <c r="BC190" s="616">
        <f t="shared" si="428"/>
        <v>66040</v>
      </c>
      <c r="BD190" s="616">
        <f t="shared" si="429"/>
        <v>7020</v>
      </c>
      <c r="BE190" s="616">
        <f t="shared" si="430"/>
        <v>10010</v>
      </c>
      <c r="BF190" s="616">
        <f t="shared" si="431"/>
        <v>1040</v>
      </c>
      <c r="BG190" s="616">
        <f t="shared" si="432"/>
        <v>3900</v>
      </c>
      <c r="BH190" s="616">
        <f t="shared" si="433"/>
        <v>174720</v>
      </c>
      <c r="BI190" s="618">
        <f t="shared" si="484"/>
        <v>134193.5</v>
      </c>
      <c r="BJ190" s="618">
        <f t="shared" si="485"/>
        <v>40526.5</v>
      </c>
      <c r="BK190" s="616">
        <f t="shared" si="434"/>
        <v>45760</v>
      </c>
      <c r="BL190" s="620">
        <f t="shared" si="435"/>
        <v>1123980</v>
      </c>
      <c r="BM190" s="616">
        <f t="shared" si="436"/>
        <v>875718</v>
      </c>
      <c r="BN190" s="618">
        <f t="shared" si="437"/>
        <v>672594.5</v>
      </c>
      <c r="BO190" s="618">
        <f t="shared" si="438"/>
        <v>203123.5</v>
      </c>
      <c r="BP190" s="616">
        <f t="shared" si="486"/>
        <v>2860</v>
      </c>
      <c r="BQ190" s="616">
        <f t="shared" si="487"/>
        <v>572</v>
      </c>
      <c r="BR190" s="616">
        <f t="shared" si="488"/>
        <v>30160</v>
      </c>
      <c r="BS190" s="616">
        <f t="shared" si="439"/>
        <v>48230</v>
      </c>
      <c r="BT190" s="616">
        <f t="shared" si="440"/>
        <v>6760</v>
      </c>
      <c r="BU190" s="616">
        <f t="shared" si="441"/>
        <v>27820</v>
      </c>
      <c r="BV190" s="616">
        <f t="shared" si="442"/>
        <v>4030</v>
      </c>
      <c r="BW190" s="616">
        <f t="shared" si="443"/>
        <v>9620</v>
      </c>
      <c r="BX190" s="616">
        <f t="shared" si="444"/>
        <v>102368</v>
      </c>
      <c r="BY190" s="616">
        <f t="shared" si="445"/>
        <v>66040</v>
      </c>
      <c r="BZ190" s="616">
        <f t="shared" si="446"/>
        <v>7020</v>
      </c>
      <c r="CA190" s="616">
        <f t="shared" si="447"/>
        <v>10010</v>
      </c>
      <c r="CB190" s="616">
        <f t="shared" si="448"/>
        <v>1040</v>
      </c>
      <c r="CC190" s="616">
        <f t="shared" si="449"/>
        <v>3900</v>
      </c>
      <c r="CD190" s="616">
        <f t="shared" si="450"/>
        <v>217876</v>
      </c>
      <c r="CE190" s="618">
        <f t="shared" si="489"/>
        <v>167339.5</v>
      </c>
      <c r="CF190" s="618">
        <f t="shared" si="490"/>
        <v>50536.5</v>
      </c>
      <c r="CG190" s="616">
        <f t="shared" si="451"/>
        <v>45760</v>
      </c>
      <c r="CH190" s="621">
        <f t="shared" si="452"/>
        <v>1410982</v>
      </c>
      <c r="CI190" s="88">
        <f t="shared" si="453"/>
        <v>67362.9231</v>
      </c>
      <c r="CJ190" s="90">
        <f t="shared" si="454"/>
        <v>51738.038500000002</v>
      </c>
      <c r="CK190" s="90">
        <f t="shared" si="455"/>
        <v>15624.884599999999</v>
      </c>
      <c r="CL190" s="88">
        <f t="shared" si="456"/>
        <v>220</v>
      </c>
      <c r="CM190" s="88">
        <f t="shared" si="457"/>
        <v>44</v>
      </c>
      <c r="CN190" s="88">
        <f t="shared" si="458"/>
        <v>2320</v>
      </c>
      <c r="CO190" s="88">
        <f t="shared" si="459"/>
        <v>3710</v>
      </c>
      <c r="CP190" s="88">
        <f t="shared" si="460"/>
        <v>520</v>
      </c>
      <c r="CQ190" s="88">
        <f t="shared" si="461"/>
        <v>2140</v>
      </c>
      <c r="CR190" s="88">
        <f t="shared" si="462"/>
        <v>310</v>
      </c>
      <c r="CS190" s="88">
        <f t="shared" si="463"/>
        <v>740</v>
      </c>
      <c r="CT190" s="88">
        <f t="shared" si="464"/>
        <v>7874.4615000000003</v>
      </c>
      <c r="CU190" s="88">
        <f t="shared" si="465"/>
        <v>5080</v>
      </c>
      <c r="CV190" s="88">
        <f t="shared" si="466"/>
        <v>540</v>
      </c>
      <c r="CW190" s="88">
        <f t="shared" si="467"/>
        <v>770</v>
      </c>
      <c r="CX190" s="88">
        <f t="shared" si="468"/>
        <v>80</v>
      </c>
      <c r="CY190" s="88">
        <f t="shared" si="469"/>
        <v>300</v>
      </c>
      <c r="CZ190" s="88">
        <f t="shared" si="470"/>
        <v>16759.692299999999</v>
      </c>
      <c r="DA190" s="90">
        <f t="shared" si="471"/>
        <v>12872.269200000001</v>
      </c>
      <c r="DB190" s="90">
        <f t="shared" si="472"/>
        <v>3887.4231</v>
      </c>
      <c r="DC190" s="88">
        <f t="shared" si="473"/>
        <v>3520</v>
      </c>
      <c r="DD190" s="88">
        <f t="shared" si="474"/>
        <v>108537.0769</v>
      </c>
      <c r="AUV190" s="699">
        <f t="shared" si="409"/>
        <v>67362.92</v>
      </c>
      <c r="AUW190" s="699">
        <f t="shared" si="410"/>
        <v>51738.03</v>
      </c>
      <c r="AUX190" s="699">
        <f t="shared" si="411"/>
        <v>15624.89</v>
      </c>
      <c r="AUY190" s="699">
        <f t="shared" si="548"/>
        <v>220</v>
      </c>
      <c r="AUZ190" s="699">
        <f t="shared" si="475"/>
        <v>178.69</v>
      </c>
      <c r="AVA190" s="699">
        <f t="shared" si="475"/>
        <v>0.56000000000000005</v>
      </c>
      <c r="AVB190" s="699">
        <f t="shared" si="549"/>
        <v>3710</v>
      </c>
      <c r="AVC190" s="699">
        <f t="shared" si="550"/>
        <v>520</v>
      </c>
      <c r="AVD190" s="699">
        <f t="shared" si="551"/>
        <v>2140</v>
      </c>
      <c r="AVE190" s="699">
        <f t="shared" si="552"/>
        <v>310</v>
      </c>
      <c r="AVF190" s="699">
        <f t="shared" si="553"/>
        <v>740</v>
      </c>
      <c r="AVG190" s="699">
        <f t="shared" si="554"/>
        <v>7874.46</v>
      </c>
      <c r="AVH190" s="699">
        <f t="shared" si="555"/>
        <v>5080</v>
      </c>
      <c r="AVI190" s="699">
        <f t="shared" si="556"/>
        <v>540</v>
      </c>
      <c r="AVJ190" s="699">
        <f t="shared" si="557"/>
        <v>770</v>
      </c>
      <c r="AVK190" s="699">
        <f t="shared" si="558"/>
        <v>80</v>
      </c>
      <c r="AVL190" s="699">
        <f t="shared" si="559"/>
        <v>300</v>
      </c>
      <c r="AVM190" s="699">
        <f t="shared" si="560"/>
        <v>16759.689999999999</v>
      </c>
      <c r="AVN190" s="699">
        <f t="shared" si="561"/>
        <v>12872.27</v>
      </c>
      <c r="AVO190" s="699">
        <f t="shared" si="562"/>
        <v>3887.42</v>
      </c>
      <c r="AVP190" s="699">
        <f t="shared" si="563"/>
        <v>3520</v>
      </c>
      <c r="AVQ190" s="699">
        <f t="shared" si="564"/>
        <v>108537.08</v>
      </c>
    </row>
    <row r="191" spans="1:1265" ht="30" customHeight="1" x14ac:dyDescent="0.25">
      <c r="A191" s="643">
        <v>1</v>
      </c>
      <c r="B191" s="643">
        <v>11</v>
      </c>
      <c r="C191" s="664" t="s">
        <v>26</v>
      </c>
      <c r="D191" s="2"/>
      <c r="E191" s="101" t="s">
        <v>344</v>
      </c>
      <c r="F191" s="643" t="s">
        <v>31</v>
      </c>
      <c r="G191" s="643">
        <v>1</v>
      </c>
      <c r="H191" s="658" t="s">
        <v>10</v>
      </c>
      <c r="I191" s="643">
        <v>0</v>
      </c>
      <c r="J191" s="101" t="s">
        <v>356</v>
      </c>
      <c r="K191" s="643">
        <v>3</v>
      </c>
      <c r="L191" s="683" t="s">
        <v>349</v>
      </c>
      <c r="M191" s="11" t="s">
        <v>255</v>
      </c>
      <c r="N191" s="101" t="s">
        <v>387</v>
      </c>
      <c r="O191" s="643">
        <v>1</v>
      </c>
      <c r="P191" s="632">
        <v>501</v>
      </c>
      <c r="Q191" s="632">
        <v>501</v>
      </c>
      <c r="R191" s="632">
        <v>501</v>
      </c>
      <c r="S191" s="675">
        <f>SUMIF('Территориальный кк'!$A:$A,'2020'!$B191,'Территориальный кк'!D:D)</f>
        <v>1.2470000000000001</v>
      </c>
      <c r="T191" s="676">
        <f>SUMIF('Территориальный кк'!$A:$A,'2020'!$B191,'Территориальный кк'!E:E)</f>
        <v>3.2010000000000001</v>
      </c>
      <c r="U191" s="618">
        <f>SUMIFS(Нормативы!G:G,Нормативы!$B:$B,$G191,Нормативы!$D:$D,'2020'!$I191,Нормативы!$F:$F,'2020'!$K191)*O191</f>
        <v>64190</v>
      </c>
      <c r="V191" s="618">
        <f t="shared" si="476"/>
        <v>49301.1</v>
      </c>
      <c r="W191" s="618">
        <f t="shared" si="477"/>
        <v>14888.9</v>
      </c>
      <c r="X191" s="618">
        <f>SUMIFS(Нормативы!J:J,Нормативы!$B:$B,$G191,Нормативы!$D:$D,'2020'!$I191,Нормативы!$F:$F,'2020'!$K191)</f>
        <v>8830</v>
      </c>
      <c r="Y191" s="618">
        <f>SUMIFS(Нормативы!K:K,Нормативы!$B:$B,$G191,Нормативы!$D:$D,'2020'!$I191,Нормативы!$F:$F,'2020'!$K191)</f>
        <v>1766</v>
      </c>
      <c r="Z191" s="618">
        <f>SUMIFS(Нормативы!L:L,Нормативы!$B:$B,$G191,Нормативы!$D:$D,'2020'!$I191,Нормативы!$F:$F,'2020'!$K191)</f>
        <v>8110</v>
      </c>
      <c r="AA191" s="618">
        <f t="shared" si="478"/>
        <v>19050</v>
      </c>
      <c r="AB191" s="618">
        <f>SUMIFS(Нормативы!N:N,Нормативы!$B:$B,$G191,Нормативы!$D:$D,'2020'!$I191,Нормативы!$F:$F,'2020'!$K191)*O191</f>
        <v>520</v>
      </c>
      <c r="AC191" s="618">
        <f>SUMIFS(Нормативы!O:O,Нормативы!$B:$B,$G191,Нормативы!$D:$D,'2020'!$I191,Нормативы!$F:$F,'2020'!$K191)</f>
        <v>17290</v>
      </c>
      <c r="AD191" s="618">
        <f>SUMIFS(Нормативы!P:P,Нормативы!$B:$B,$G191,Нормативы!$D:$D,'2020'!$I191,Нормативы!$F:$F,'2020'!$K191)*O191</f>
        <v>360</v>
      </c>
      <c r="AE191" s="618">
        <f>SUMIFS(Нормативы!Q:Q,Нормативы!$B:$B,$G191,Нормативы!$D:$D,'2020'!$I191,Нормативы!$F:$F,'2020'!$K191)</f>
        <v>880</v>
      </c>
      <c r="AF191" s="618">
        <f>SUMIFS(Нормативы!R:R,Нормативы!$B:$B,$G191,Нормативы!$D:$D,'2020'!$I191,Нормативы!$F:$F,'2020'!$K191)</f>
        <v>2680</v>
      </c>
      <c r="AG191" s="618">
        <f>SUMIFS(Нормативы!S:S,Нормативы!$B:$B,$G191,Нормативы!$D:$D,'2020'!$I191,Нормативы!$F:$F,'2020'!$K191)</f>
        <v>5800</v>
      </c>
      <c r="AH191" s="618">
        <f>SUMIFS(Нормативы!T:T,Нормативы!$B:$B,$G191,Нормативы!$D:$D,'2020'!$I191,Нормативы!$F:$F,'2020'!$K191)</f>
        <v>540</v>
      </c>
      <c r="AI191" s="618">
        <f>SUMIFS(Нормативы!U:U,Нормативы!$B:$B,$G191,Нормативы!$D:$D,'2020'!$I191,Нормативы!$F:$F,'2020'!$K191)</f>
        <v>770</v>
      </c>
      <c r="AJ191" s="618">
        <f>SUMIFS(Нормативы!V:V,Нормативы!$B:$B,$G191,Нормативы!$D:$D,'2020'!$I191,Нормативы!$F:$F,'2020'!$K191)</f>
        <v>80</v>
      </c>
      <c r="AK191" s="618">
        <f>SUMIFS(Нормативы!W:W,Нормативы!$B:$B,$G191,Нормативы!$D:$D,'2020'!$I191,Нормативы!$F:$F,'2020'!$K191)</f>
        <v>1050</v>
      </c>
      <c r="AL191" s="618">
        <f>SUMIFS(Нормативы!X:X,Нормативы!$B:$B,$G191,Нормативы!$D:$D,'2020'!$I191,Нормативы!$F:$F,'2020'!$K191)*O191</f>
        <v>16120</v>
      </c>
      <c r="AM191" s="618">
        <f t="shared" si="479"/>
        <v>12381</v>
      </c>
      <c r="AN191" s="618">
        <f t="shared" si="480"/>
        <v>3739</v>
      </c>
      <c r="AO191" s="618">
        <f>SUMIFS(Нормативы!AA:AA,Нормативы!$B:$B,$G191,Нормативы!$D:$D,'2020'!$I191,Нормативы!$F:$F,'2020'!$K191)</f>
        <v>3520</v>
      </c>
      <c r="AP191" s="619">
        <f t="shared" si="481"/>
        <v>130740</v>
      </c>
      <c r="AQ191" s="413">
        <f t="shared" si="418"/>
        <v>32159190</v>
      </c>
      <c r="AR191" s="618">
        <f t="shared" si="482"/>
        <v>24699838.699999999</v>
      </c>
      <c r="AS191" s="618">
        <f t="shared" si="483"/>
        <v>7459351.2999999998</v>
      </c>
      <c r="AT191" s="616">
        <f t="shared" si="419"/>
        <v>4423830</v>
      </c>
      <c r="AU191" s="616">
        <f t="shared" si="420"/>
        <v>884766</v>
      </c>
      <c r="AV191" s="616">
        <f t="shared" si="421"/>
        <v>4063110</v>
      </c>
      <c r="AW191" s="616">
        <f t="shared" si="422"/>
        <v>9544050</v>
      </c>
      <c r="AX191" s="616">
        <f t="shared" si="423"/>
        <v>260520</v>
      </c>
      <c r="AY191" s="616">
        <f t="shared" si="424"/>
        <v>8662290</v>
      </c>
      <c r="AZ191" s="616">
        <f t="shared" si="425"/>
        <v>180360</v>
      </c>
      <c r="BA191" s="616">
        <f t="shared" si="426"/>
        <v>440880</v>
      </c>
      <c r="BB191" s="616">
        <f t="shared" si="427"/>
        <v>1342680</v>
      </c>
      <c r="BC191" s="616">
        <f t="shared" si="428"/>
        <v>2905800</v>
      </c>
      <c r="BD191" s="616">
        <f t="shared" si="429"/>
        <v>270540</v>
      </c>
      <c r="BE191" s="616">
        <f t="shared" si="430"/>
        <v>385770</v>
      </c>
      <c r="BF191" s="616">
        <f t="shared" si="431"/>
        <v>40080</v>
      </c>
      <c r="BG191" s="616">
        <f t="shared" si="432"/>
        <v>526050</v>
      </c>
      <c r="BH191" s="616">
        <f t="shared" si="433"/>
        <v>8076120</v>
      </c>
      <c r="BI191" s="618">
        <f t="shared" si="484"/>
        <v>6202857.0999999996</v>
      </c>
      <c r="BJ191" s="618">
        <f t="shared" si="485"/>
        <v>1873262.9</v>
      </c>
      <c r="BK191" s="616">
        <f t="shared" si="434"/>
        <v>1763520</v>
      </c>
      <c r="BL191" s="620">
        <f t="shared" si="435"/>
        <v>65500740</v>
      </c>
      <c r="BM191" s="616">
        <f t="shared" si="436"/>
        <v>40102510</v>
      </c>
      <c r="BN191" s="618">
        <f t="shared" si="437"/>
        <v>30800698.899999999</v>
      </c>
      <c r="BO191" s="618">
        <f t="shared" si="438"/>
        <v>9301811.0999999996</v>
      </c>
      <c r="BP191" s="616">
        <f t="shared" si="486"/>
        <v>4423830</v>
      </c>
      <c r="BQ191" s="616">
        <f t="shared" si="487"/>
        <v>884766</v>
      </c>
      <c r="BR191" s="616">
        <f t="shared" si="488"/>
        <v>4063110</v>
      </c>
      <c r="BS191" s="616">
        <f t="shared" si="439"/>
        <v>9544050</v>
      </c>
      <c r="BT191" s="616">
        <f t="shared" si="440"/>
        <v>260520</v>
      </c>
      <c r="BU191" s="616">
        <f t="shared" si="441"/>
        <v>8662290</v>
      </c>
      <c r="BV191" s="616">
        <f t="shared" si="442"/>
        <v>180360</v>
      </c>
      <c r="BW191" s="616">
        <f t="shared" si="443"/>
        <v>440880</v>
      </c>
      <c r="BX191" s="616">
        <f t="shared" si="444"/>
        <v>4297919</v>
      </c>
      <c r="BY191" s="616">
        <f t="shared" si="445"/>
        <v>2905800</v>
      </c>
      <c r="BZ191" s="616">
        <f t="shared" si="446"/>
        <v>270540</v>
      </c>
      <c r="CA191" s="616">
        <f t="shared" si="447"/>
        <v>385770</v>
      </c>
      <c r="CB191" s="616">
        <f t="shared" si="448"/>
        <v>40080</v>
      </c>
      <c r="CC191" s="616">
        <f t="shared" si="449"/>
        <v>526050</v>
      </c>
      <c r="CD191" s="616">
        <f t="shared" si="450"/>
        <v>10070922</v>
      </c>
      <c r="CE191" s="618">
        <f t="shared" si="489"/>
        <v>7734963.0999999996</v>
      </c>
      <c r="CF191" s="618">
        <f t="shared" si="490"/>
        <v>2335958.9</v>
      </c>
      <c r="CG191" s="616">
        <f t="shared" si="451"/>
        <v>1763520</v>
      </c>
      <c r="CH191" s="621">
        <f t="shared" si="452"/>
        <v>78394101</v>
      </c>
      <c r="CI191" s="88">
        <f t="shared" si="453"/>
        <v>80044.930099999998</v>
      </c>
      <c r="CJ191" s="90">
        <f t="shared" si="454"/>
        <v>61478.440900000001</v>
      </c>
      <c r="CK191" s="90">
        <f t="shared" si="455"/>
        <v>18566.4892</v>
      </c>
      <c r="CL191" s="88">
        <f t="shared" si="456"/>
        <v>8830</v>
      </c>
      <c r="CM191" s="88">
        <f t="shared" si="457"/>
        <v>1766</v>
      </c>
      <c r="CN191" s="88">
        <f t="shared" si="458"/>
        <v>8110</v>
      </c>
      <c r="CO191" s="88">
        <f t="shared" si="459"/>
        <v>19050</v>
      </c>
      <c r="CP191" s="88">
        <f t="shared" si="460"/>
        <v>520</v>
      </c>
      <c r="CQ191" s="88">
        <f t="shared" si="461"/>
        <v>17290</v>
      </c>
      <c r="CR191" s="88">
        <f t="shared" si="462"/>
        <v>360</v>
      </c>
      <c r="CS191" s="88">
        <f t="shared" si="463"/>
        <v>880</v>
      </c>
      <c r="CT191" s="88">
        <f t="shared" si="464"/>
        <v>8578.6805999999997</v>
      </c>
      <c r="CU191" s="88">
        <f t="shared" si="465"/>
        <v>5800</v>
      </c>
      <c r="CV191" s="88">
        <f t="shared" si="466"/>
        <v>540</v>
      </c>
      <c r="CW191" s="88">
        <f t="shared" si="467"/>
        <v>770</v>
      </c>
      <c r="CX191" s="88">
        <f t="shared" si="468"/>
        <v>80</v>
      </c>
      <c r="CY191" s="88">
        <f t="shared" si="469"/>
        <v>1050</v>
      </c>
      <c r="CZ191" s="88">
        <f t="shared" si="470"/>
        <v>20101.6407</v>
      </c>
      <c r="DA191" s="90">
        <f t="shared" si="471"/>
        <v>15439.0481</v>
      </c>
      <c r="DB191" s="90">
        <f t="shared" si="472"/>
        <v>4662.5925999999999</v>
      </c>
      <c r="DC191" s="88">
        <f t="shared" si="473"/>
        <v>3520</v>
      </c>
      <c r="DD191" s="88">
        <f t="shared" si="474"/>
        <v>156475.25150000001</v>
      </c>
      <c r="AUV191" s="699">
        <f t="shared" si="409"/>
        <v>80044.929999999993</v>
      </c>
      <c r="AUW191" s="699">
        <f t="shared" si="410"/>
        <v>61478.44</v>
      </c>
      <c r="AUX191" s="699">
        <f t="shared" si="411"/>
        <v>18566.490000000002</v>
      </c>
      <c r="AUY191" s="699">
        <f t="shared" si="548"/>
        <v>8830</v>
      </c>
      <c r="AUZ191" s="699">
        <f t="shared" si="475"/>
        <v>276403</v>
      </c>
      <c r="AVA191" s="699">
        <f t="shared" si="475"/>
        <v>63.3</v>
      </c>
      <c r="AVB191" s="699">
        <f t="shared" si="549"/>
        <v>19050</v>
      </c>
      <c r="AVC191" s="699">
        <f t="shared" si="550"/>
        <v>520</v>
      </c>
      <c r="AVD191" s="699">
        <f t="shared" si="551"/>
        <v>17290</v>
      </c>
      <c r="AVE191" s="699">
        <f t="shared" si="552"/>
        <v>360</v>
      </c>
      <c r="AVF191" s="699">
        <f t="shared" si="553"/>
        <v>880</v>
      </c>
      <c r="AVG191" s="699">
        <f t="shared" si="554"/>
        <v>8578.68</v>
      </c>
      <c r="AVH191" s="699">
        <f t="shared" si="555"/>
        <v>5800</v>
      </c>
      <c r="AVI191" s="699">
        <f t="shared" si="556"/>
        <v>540</v>
      </c>
      <c r="AVJ191" s="699">
        <f t="shared" si="557"/>
        <v>770</v>
      </c>
      <c r="AVK191" s="699">
        <f t="shared" si="558"/>
        <v>80</v>
      </c>
      <c r="AVL191" s="699">
        <f t="shared" si="559"/>
        <v>1050</v>
      </c>
      <c r="AVM191" s="699">
        <f t="shared" si="560"/>
        <v>20101.64</v>
      </c>
      <c r="AVN191" s="699">
        <f t="shared" si="561"/>
        <v>15439.05</v>
      </c>
      <c r="AVO191" s="699">
        <f t="shared" si="562"/>
        <v>4662.59</v>
      </c>
      <c r="AVP191" s="699">
        <f t="shared" si="563"/>
        <v>3520</v>
      </c>
      <c r="AVQ191" s="699">
        <f t="shared" si="564"/>
        <v>156475.25</v>
      </c>
    </row>
    <row r="192" spans="1:1265" ht="30" customHeight="1" x14ac:dyDescent="0.25">
      <c r="A192" s="643">
        <v>1</v>
      </c>
      <c r="B192" s="643">
        <v>11</v>
      </c>
      <c r="C192" s="664" t="s">
        <v>26</v>
      </c>
      <c r="D192" s="2"/>
      <c r="E192" s="101" t="s">
        <v>344</v>
      </c>
      <c r="F192" s="643" t="s">
        <v>31</v>
      </c>
      <c r="G192" s="643">
        <v>1</v>
      </c>
      <c r="H192" s="658" t="s">
        <v>10</v>
      </c>
      <c r="I192" s="643">
        <v>0</v>
      </c>
      <c r="J192" s="101" t="s">
        <v>356</v>
      </c>
      <c r="K192" s="643">
        <v>3</v>
      </c>
      <c r="L192" s="683" t="s">
        <v>349</v>
      </c>
      <c r="M192" s="11" t="s">
        <v>256</v>
      </c>
      <c r="N192" s="101" t="s">
        <v>401</v>
      </c>
      <c r="O192" s="643">
        <v>2</v>
      </c>
      <c r="P192" s="632">
        <v>4</v>
      </c>
      <c r="Q192" s="632">
        <v>4</v>
      </c>
      <c r="R192" s="632">
        <v>4</v>
      </c>
      <c r="S192" s="675">
        <f>SUMIF('Территориальный кк'!$A:$A,'2020'!$B192,'Территориальный кк'!D:D)</f>
        <v>1.2470000000000001</v>
      </c>
      <c r="T192" s="676">
        <f>SUMIF('Территориальный кк'!$A:$A,'2020'!$B192,'Территориальный кк'!E:E)</f>
        <v>3.2010000000000001</v>
      </c>
      <c r="U192" s="618">
        <f>SUMIFS(Нормативы!G:G,Нормативы!$B:$B,$G192,Нормативы!$D:$D,'2020'!$I192,Нормативы!$F:$F,'2020'!$K192)*O192</f>
        <v>128380</v>
      </c>
      <c r="V192" s="618">
        <f t="shared" si="476"/>
        <v>98602.2</v>
      </c>
      <c r="W192" s="618">
        <f t="shared" si="477"/>
        <v>29777.8</v>
      </c>
      <c r="X192" s="618">
        <f>SUMIFS(Нормативы!J:J,Нормативы!$B:$B,$G192,Нормативы!$D:$D,'2020'!$I192,Нормативы!$F:$F,'2020'!$K192)</f>
        <v>8830</v>
      </c>
      <c r="Y192" s="618">
        <f>SUMIFS(Нормативы!K:K,Нормативы!$B:$B,$G192,Нормативы!$D:$D,'2020'!$I192,Нормативы!$F:$F,'2020'!$K192)</f>
        <v>1766</v>
      </c>
      <c r="Z192" s="618">
        <f>SUMIFS(Нормативы!L:L,Нормативы!$B:$B,$G192,Нормативы!$D:$D,'2020'!$I192,Нормативы!$F:$F,'2020'!$K192)</f>
        <v>8110</v>
      </c>
      <c r="AA192" s="618">
        <f t="shared" si="478"/>
        <v>19930</v>
      </c>
      <c r="AB192" s="618">
        <f>SUMIFS(Нормативы!N:N,Нормативы!$B:$B,$G192,Нормативы!$D:$D,'2020'!$I192,Нормативы!$F:$F,'2020'!$K192)*O192</f>
        <v>1040</v>
      </c>
      <c r="AC192" s="618">
        <f>SUMIFS(Нормативы!O:O,Нормативы!$B:$B,$G192,Нормативы!$D:$D,'2020'!$I192,Нормативы!$F:$F,'2020'!$K192)</f>
        <v>17290</v>
      </c>
      <c r="AD192" s="618">
        <f>SUMIFS(Нормативы!P:P,Нормативы!$B:$B,$G192,Нормативы!$D:$D,'2020'!$I192,Нормативы!$F:$F,'2020'!$K192)*O192</f>
        <v>720</v>
      </c>
      <c r="AE192" s="618">
        <f>SUMIFS(Нормативы!Q:Q,Нормативы!$B:$B,$G192,Нормативы!$D:$D,'2020'!$I192,Нормативы!$F:$F,'2020'!$K192)</f>
        <v>880</v>
      </c>
      <c r="AF192" s="618">
        <f>SUMIFS(Нормативы!R:R,Нормативы!$B:$B,$G192,Нормативы!$D:$D,'2020'!$I192,Нормативы!$F:$F,'2020'!$K192)</f>
        <v>2680</v>
      </c>
      <c r="AG192" s="618">
        <f>SUMIFS(Нормативы!S:S,Нормативы!$B:$B,$G192,Нормативы!$D:$D,'2020'!$I192,Нормативы!$F:$F,'2020'!$K192)</f>
        <v>5800</v>
      </c>
      <c r="AH192" s="618">
        <f>SUMIFS(Нормативы!T:T,Нормативы!$B:$B,$G192,Нормативы!$D:$D,'2020'!$I192,Нормативы!$F:$F,'2020'!$K192)</f>
        <v>540</v>
      </c>
      <c r="AI192" s="618">
        <f>SUMIFS(Нормативы!U:U,Нормативы!$B:$B,$G192,Нормативы!$D:$D,'2020'!$I192,Нормативы!$F:$F,'2020'!$K192)</f>
        <v>770</v>
      </c>
      <c r="AJ192" s="618">
        <f>SUMIFS(Нормативы!V:V,Нормативы!$B:$B,$G192,Нормативы!$D:$D,'2020'!$I192,Нормативы!$F:$F,'2020'!$K192)</f>
        <v>80</v>
      </c>
      <c r="AK192" s="618">
        <f>SUMIFS(Нормативы!W:W,Нормативы!$B:$B,$G192,Нормативы!$D:$D,'2020'!$I192,Нормативы!$F:$F,'2020'!$K192)</f>
        <v>1050</v>
      </c>
      <c r="AL192" s="618">
        <f>SUMIFS(Нормативы!X:X,Нормативы!$B:$B,$G192,Нормативы!$D:$D,'2020'!$I192,Нормативы!$F:$F,'2020'!$K192)*O192</f>
        <v>32240</v>
      </c>
      <c r="AM192" s="618">
        <f t="shared" si="479"/>
        <v>24761.9</v>
      </c>
      <c r="AN192" s="618">
        <f t="shared" si="480"/>
        <v>7478.1</v>
      </c>
      <c r="AO192" s="618">
        <f>SUMIFS(Нормативы!AA:AA,Нормативы!$B:$B,$G192,Нормативы!$D:$D,'2020'!$I192,Нормативы!$F:$F,'2020'!$K192)</f>
        <v>3520</v>
      </c>
      <c r="AP192" s="619">
        <f t="shared" si="481"/>
        <v>211930</v>
      </c>
      <c r="AQ192" s="413">
        <f t="shared" si="418"/>
        <v>513520</v>
      </c>
      <c r="AR192" s="618">
        <f t="shared" si="482"/>
        <v>394408.6</v>
      </c>
      <c r="AS192" s="618">
        <f t="shared" si="483"/>
        <v>119111.4</v>
      </c>
      <c r="AT192" s="616">
        <f t="shared" si="419"/>
        <v>35320</v>
      </c>
      <c r="AU192" s="616">
        <f t="shared" si="420"/>
        <v>7064</v>
      </c>
      <c r="AV192" s="616">
        <f t="shared" si="421"/>
        <v>32440</v>
      </c>
      <c r="AW192" s="616">
        <f t="shared" si="422"/>
        <v>79720</v>
      </c>
      <c r="AX192" s="616">
        <f t="shared" si="423"/>
        <v>4160</v>
      </c>
      <c r="AY192" s="616">
        <f t="shared" si="424"/>
        <v>69160</v>
      </c>
      <c r="AZ192" s="616">
        <f t="shared" si="425"/>
        <v>2880</v>
      </c>
      <c r="BA192" s="616">
        <f t="shared" si="426"/>
        <v>3520</v>
      </c>
      <c r="BB192" s="616">
        <f t="shared" si="427"/>
        <v>10720</v>
      </c>
      <c r="BC192" s="616">
        <f t="shared" si="428"/>
        <v>23200</v>
      </c>
      <c r="BD192" s="616">
        <f t="shared" si="429"/>
        <v>2160</v>
      </c>
      <c r="BE192" s="616">
        <f t="shared" si="430"/>
        <v>3080</v>
      </c>
      <c r="BF192" s="616">
        <f t="shared" si="431"/>
        <v>320</v>
      </c>
      <c r="BG192" s="616">
        <f t="shared" si="432"/>
        <v>4200</v>
      </c>
      <c r="BH192" s="616">
        <f t="shared" si="433"/>
        <v>128960</v>
      </c>
      <c r="BI192" s="618">
        <f t="shared" si="484"/>
        <v>99047.6</v>
      </c>
      <c r="BJ192" s="618">
        <f t="shared" si="485"/>
        <v>29912.400000000001</v>
      </c>
      <c r="BK192" s="616">
        <f t="shared" si="434"/>
        <v>14080</v>
      </c>
      <c r="BL192" s="620">
        <f t="shared" si="435"/>
        <v>847720</v>
      </c>
      <c r="BM192" s="616">
        <f t="shared" si="436"/>
        <v>640359</v>
      </c>
      <c r="BN192" s="618">
        <f t="shared" si="437"/>
        <v>491827.20000000001</v>
      </c>
      <c r="BO192" s="618">
        <f t="shared" si="438"/>
        <v>148531.79999999999</v>
      </c>
      <c r="BP192" s="616">
        <f t="shared" si="486"/>
        <v>35320</v>
      </c>
      <c r="BQ192" s="616">
        <f t="shared" si="487"/>
        <v>7064</v>
      </c>
      <c r="BR192" s="616">
        <f t="shared" si="488"/>
        <v>32440</v>
      </c>
      <c r="BS192" s="616">
        <f t="shared" si="439"/>
        <v>79720</v>
      </c>
      <c r="BT192" s="616">
        <f t="shared" si="440"/>
        <v>4160</v>
      </c>
      <c r="BU192" s="616">
        <f t="shared" si="441"/>
        <v>69160</v>
      </c>
      <c r="BV192" s="616">
        <f t="shared" si="442"/>
        <v>2880</v>
      </c>
      <c r="BW192" s="616">
        <f t="shared" si="443"/>
        <v>3520</v>
      </c>
      <c r="BX192" s="616">
        <f t="shared" si="444"/>
        <v>34315</v>
      </c>
      <c r="BY192" s="616">
        <f t="shared" si="445"/>
        <v>23200</v>
      </c>
      <c r="BZ192" s="616">
        <f t="shared" si="446"/>
        <v>2160</v>
      </c>
      <c r="CA192" s="616">
        <f t="shared" si="447"/>
        <v>3080</v>
      </c>
      <c r="CB192" s="616">
        <f t="shared" si="448"/>
        <v>320</v>
      </c>
      <c r="CC192" s="616">
        <f t="shared" si="449"/>
        <v>4200</v>
      </c>
      <c r="CD192" s="616">
        <f t="shared" si="450"/>
        <v>160813</v>
      </c>
      <c r="CE192" s="618">
        <f t="shared" si="489"/>
        <v>123512.3</v>
      </c>
      <c r="CF192" s="618">
        <f t="shared" si="490"/>
        <v>37300.699999999997</v>
      </c>
      <c r="CG192" s="616">
        <f t="shared" si="451"/>
        <v>14080</v>
      </c>
      <c r="CH192" s="621">
        <f t="shared" si="452"/>
        <v>1030007</v>
      </c>
      <c r="CI192" s="88">
        <f t="shared" si="453"/>
        <v>160089.75</v>
      </c>
      <c r="CJ192" s="90">
        <f t="shared" si="454"/>
        <v>122956.8</v>
      </c>
      <c r="CK192" s="90">
        <f t="shared" si="455"/>
        <v>37132.949999999997</v>
      </c>
      <c r="CL192" s="88">
        <f t="shared" si="456"/>
        <v>8830</v>
      </c>
      <c r="CM192" s="88">
        <f t="shared" si="457"/>
        <v>1766</v>
      </c>
      <c r="CN192" s="88">
        <f t="shared" si="458"/>
        <v>8110</v>
      </c>
      <c r="CO192" s="88">
        <f t="shared" si="459"/>
        <v>19930</v>
      </c>
      <c r="CP192" s="88">
        <f t="shared" si="460"/>
        <v>1040</v>
      </c>
      <c r="CQ192" s="88">
        <f t="shared" si="461"/>
        <v>17290</v>
      </c>
      <c r="CR192" s="88">
        <f t="shared" si="462"/>
        <v>720</v>
      </c>
      <c r="CS192" s="88">
        <f t="shared" si="463"/>
        <v>880</v>
      </c>
      <c r="CT192" s="88">
        <f t="shared" si="464"/>
        <v>8578.75</v>
      </c>
      <c r="CU192" s="88">
        <f t="shared" si="465"/>
        <v>5800</v>
      </c>
      <c r="CV192" s="88">
        <f t="shared" si="466"/>
        <v>540</v>
      </c>
      <c r="CW192" s="88">
        <f t="shared" si="467"/>
        <v>770</v>
      </c>
      <c r="CX192" s="88">
        <f t="shared" si="468"/>
        <v>80</v>
      </c>
      <c r="CY192" s="88">
        <f t="shared" si="469"/>
        <v>1050</v>
      </c>
      <c r="CZ192" s="88">
        <f t="shared" si="470"/>
        <v>40203.25</v>
      </c>
      <c r="DA192" s="90">
        <f t="shared" si="471"/>
        <v>30878.075000000001</v>
      </c>
      <c r="DB192" s="90">
        <f t="shared" si="472"/>
        <v>9325.1749999999993</v>
      </c>
      <c r="DC192" s="88">
        <f t="shared" si="473"/>
        <v>3520</v>
      </c>
      <c r="DD192" s="88">
        <f t="shared" si="474"/>
        <v>257501.75</v>
      </c>
      <c r="AUV192" s="699">
        <f t="shared" si="409"/>
        <v>160089.75</v>
      </c>
      <c r="AUW192" s="699">
        <f t="shared" si="410"/>
        <v>122956.8</v>
      </c>
      <c r="AUX192" s="699">
        <f t="shared" si="411"/>
        <v>37132.949999999997</v>
      </c>
      <c r="AUY192" s="699">
        <f t="shared" si="548"/>
        <v>8830</v>
      </c>
      <c r="AUZ192" s="699">
        <f t="shared" si="475"/>
        <v>2206.81</v>
      </c>
      <c r="AVA192" s="699">
        <f t="shared" si="475"/>
        <v>0.25</v>
      </c>
      <c r="AVB192" s="699">
        <f t="shared" si="549"/>
        <v>19930</v>
      </c>
      <c r="AVC192" s="699">
        <f t="shared" si="550"/>
        <v>1040</v>
      </c>
      <c r="AVD192" s="699">
        <f t="shared" si="551"/>
        <v>17290</v>
      </c>
      <c r="AVE192" s="699">
        <f t="shared" si="552"/>
        <v>720</v>
      </c>
      <c r="AVF192" s="699">
        <f t="shared" si="553"/>
        <v>880</v>
      </c>
      <c r="AVG192" s="699">
        <f t="shared" si="554"/>
        <v>8578.75</v>
      </c>
      <c r="AVH192" s="699">
        <f t="shared" si="555"/>
        <v>5800</v>
      </c>
      <c r="AVI192" s="699">
        <f t="shared" si="556"/>
        <v>540</v>
      </c>
      <c r="AVJ192" s="699">
        <f t="shared" si="557"/>
        <v>770</v>
      </c>
      <c r="AVK192" s="699">
        <f t="shared" si="558"/>
        <v>80</v>
      </c>
      <c r="AVL192" s="699">
        <f t="shared" si="559"/>
        <v>1050</v>
      </c>
      <c r="AVM192" s="699">
        <f t="shared" si="560"/>
        <v>40203.25</v>
      </c>
      <c r="AVN192" s="699">
        <f t="shared" si="561"/>
        <v>30878.07</v>
      </c>
      <c r="AVO192" s="699">
        <f t="shared" si="562"/>
        <v>9325.18</v>
      </c>
      <c r="AVP192" s="699">
        <f t="shared" si="563"/>
        <v>3520</v>
      </c>
      <c r="AVQ192" s="699">
        <f t="shared" si="564"/>
        <v>257501.75</v>
      </c>
    </row>
    <row r="193" spans="1:108 1244:1265" ht="30" customHeight="1" x14ac:dyDescent="0.25">
      <c r="A193" s="643">
        <v>1</v>
      </c>
      <c r="B193" s="643">
        <v>11</v>
      </c>
      <c r="C193" s="664" t="s">
        <v>26</v>
      </c>
      <c r="D193" s="2"/>
      <c r="E193" s="101" t="s">
        <v>344</v>
      </c>
      <c r="F193" s="643" t="s">
        <v>31</v>
      </c>
      <c r="G193" s="643">
        <v>1</v>
      </c>
      <c r="H193" s="658" t="s">
        <v>8</v>
      </c>
      <c r="I193" s="643">
        <v>3</v>
      </c>
      <c r="J193" s="101" t="s">
        <v>356</v>
      </c>
      <c r="K193" s="643">
        <v>3</v>
      </c>
      <c r="L193" s="683" t="s">
        <v>349</v>
      </c>
      <c r="M193" s="11" t="s">
        <v>257</v>
      </c>
      <c r="N193" s="101" t="s">
        <v>387</v>
      </c>
      <c r="O193" s="643">
        <v>1</v>
      </c>
      <c r="P193" s="632">
        <v>225</v>
      </c>
      <c r="Q193" s="632">
        <v>225</v>
      </c>
      <c r="R193" s="632">
        <v>225</v>
      </c>
      <c r="S193" s="675">
        <f>SUMIF('Территориальный кк'!$A:$A,'2020'!$B193,'Территориальный кк'!D:D)</f>
        <v>1.2470000000000001</v>
      </c>
      <c r="T193" s="676">
        <f>SUMIF('Территориальный кк'!$A:$A,'2020'!$B193,'Территориальный кк'!E:E)</f>
        <v>3.2010000000000001</v>
      </c>
      <c r="U193" s="618">
        <f>SUMIFS(Нормативы!G:G,Нормативы!$B:$B,$G193,Нормативы!$D:$D,'2020'!$I193,Нормативы!$F:$F,'2020'!$K193)*O193</f>
        <v>6419</v>
      </c>
      <c r="V193" s="618">
        <f t="shared" si="476"/>
        <v>4930.1000000000004</v>
      </c>
      <c r="W193" s="618">
        <f t="shared" si="477"/>
        <v>1488.9</v>
      </c>
      <c r="X193" s="618">
        <f>SUMIFS(Нормативы!J:J,Нормативы!$B:$B,$G193,Нормативы!$D:$D,'2020'!$I193,Нормативы!$F:$F,'2020'!$K193)</f>
        <v>883</v>
      </c>
      <c r="Y193" s="618">
        <f>SUMIFS(Нормативы!K:K,Нормативы!$B:$B,$G193,Нормативы!$D:$D,'2020'!$I193,Нормативы!$F:$F,'2020'!$K193)</f>
        <v>177</v>
      </c>
      <c r="Z193" s="618">
        <f>SUMIFS(Нормативы!L:L,Нормативы!$B:$B,$G193,Нормативы!$D:$D,'2020'!$I193,Нормативы!$F:$F,'2020'!$K193)</f>
        <v>811</v>
      </c>
      <c r="AA193" s="618">
        <f t="shared" si="478"/>
        <v>1905</v>
      </c>
      <c r="AB193" s="618">
        <f>SUMIFS(Нормативы!N:N,Нормативы!$B:$B,$G193,Нормативы!$D:$D,'2020'!$I193,Нормативы!$F:$F,'2020'!$K193)*O193</f>
        <v>52</v>
      </c>
      <c r="AC193" s="618">
        <f>SUMIFS(Нормативы!O:O,Нормативы!$B:$B,$G193,Нормативы!$D:$D,'2020'!$I193,Нормативы!$F:$F,'2020'!$K193)</f>
        <v>1729</v>
      </c>
      <c r="AD193" s="618">
        <f>SUMIFS(Нормативы!P:P,Нормативы!$B:$B,$G193,Нормативы!$D:$D,'2020'!$I193,Нормативы!$F:$F,'2020'!$K193)*O193</f>
        <v>36</v>
      </c>
      <c r="AE193" s="618">
        <f>SUMIFS(Нормативы!Q:Q,Нормативы!$B:$B,$G193,Нормативы!$D:$D,'2020'!$I193,Нормативы!$F:$F,'2020'!$K193)</f>
        <v>88</v>
      </c>
      <c r="AF193" s="618">
        <f>SUMIFS(Нормативы!R:R,Нормативы!$B:$B,$G193,Нормативы!$D:$D,'2020'!$I193,Нормативы!$F:$F,'2020'!$K193)</f>
        <v>268</v>
      </c>
      <c r="AG193" s="618">
        <f>SUMIFS(Нормативы!S:S,Нормативы!$B:$B,$G193,Нормативы!$D:$D,'2020'!$I193,Нормативы!$F:$F,'2020'!$K193)</f>
        <v>580</v>
      </c>
      <c r="AH193" s="618">
        <f>SUMIFS(Нормативы!T:T,Нормативы!$B:$B,$G193,Нормативы!$D:$D,'2020'!$I193,Нормативы!$F:$F,'2020'!$K193)</f>
        <v>54</v>
      </c>
      <c r="AI193" s="618">
        <f>SUMIFS(Нормативы!U:U,Нормативы!$B:$B,$G193,Нормативы!$D:$D,'2020'!$I193,Нормативы!$F:$F,'2020'!$K193)</f>
        <v>77</v>
      </c>
      <c r="AJ193" s="618">
        <f>SUMIFS(Нормативы!V:V,Нормативы!$B:$B,$G193,Нормативы!$D:$D,'2020'!$I193,Нормативы!$F:$F,'2020'!$K193)</f>
        <v>8</v>
      </c>
      <c r="AK193" s="618">
        <f>SUMIFS(Нормативы!W:W,Нормативы!$B:$B,$G193,Нормативы!$D:$D,'2020'!$I193,Нормативы!$F:$F,'2020'!$K193)</f>
        <v>105</v>
      </c>
      <c r="AL193" s="618">
        <f>SUMIFS(Нормативы!X:X,Нормативы!$B:$B,$G193,Нормативы!$D:$D,'2020'!$I193,Нормативы!$F:$F,'2020'!$K193)*O193</f>
        <v>1612</v>
      </c>
      <c r="AM193" s="618">
        <f t="shared" si="479"/>
        <v>1238.0999999999999</v>
      </c>
      <c r="AN193" s="618">
        <f t="shared" si="480"/>
        <v>373.9</v>
      </c>
      <c r="AO193" s="618">
        <f>SUMIFS(Нормативы!AA:AA,Нормативы!$B:$B,$G193,Нормативы!$D:$D,'2020'!$I193,Нормативы!$F:$F,'2020'!$K193)</f>
        <v>0</v>
      </c>
      <c r="AP193" s="619">
        <f t="shared" si="481"/>
        <v>12722</v>
      </c>
      <c r="AQ193" s="413">
        <f t="shared" si="418"/>
        <v>1444275</v>
      </c>
      <c r="AR193" s="618">
        <f t="shared" si="482"/>
        <v>1109274.2</v>
      </c>
      <c r="AS193" s="618">
        <f t="shared" si="483"/>
        <v>335000.8</v>
      </c>
      <c r="AT193" s="616">
        <f t="shared" si="419"/>
        <v>198675</v>
      </c>
      <c r="AU193" s="616">
        <f t="shared" si="420"/>
        <v>39825</v>
      </c>
      <c r="AV193" s="616">
        <f t="shared" si="421"/>
        <v>182475</v>
      </c>
      <c r="AW193" s="616">
        <f t="shared" si="422"/>
        <v>428625</v>
      </c>
      <c r="AX193" s="616">
        <f t="shared" si="423"/>
        <v>11700</v>
      </c>
      <c r="AY193" s="616">
        <f t="shared" si="424"/>
        <v>389025</v>
      </c>
      <c r="AZ193" s="616">
        <f t="shared" si="425"/>
        <v>8100</v>
      </c>
      <c r="BA193" s="616">
        <f t="shared" si="426"/>
        <v>19800</v>
      </c>
      <c r="BB193" s="616">
        <f t="shared" si="427"/>
        <v>60300</v>
      </c>
      <c r="BC193" s="616">
        <f t="shared" si="428"/>
        <v>130500</v>
      </c>
      <c r="BD193" s="616">
        <f t="shared" si="429"/>
        <v>12150</v>
      </c>
      <c r="BE193" s="616">
        <f t="shared" si="430"/>
        <v>17325</v>
      </c>
      <c r="BF193" s="616">
        <f t="shared" si="431"/>
        <v>1800</v>
      </c>
      <c r="BG193" s="616">
        <f t="shared" si="432"/>
        <v>23625</v>
      </c>
      <c r="BH193" s="616">
        <f t="shared" si="433"/>
        <v>362700</v>
      </c>
      <c r="BI193" s="618">
        <f t="shared" si="484"/>
        <v>278571.40000000002</v>
      </c>
      <c r="BJ193" s="618">
        <f t="shared" si="485"/>
        <v>84128.6</v>
      </c>
      <c r="BK193" s="616">
        <f t="shared" si="434"/>
        <v>0</v>
      </c>
      <c r="BL193" s="620">
        <f t="shared" si="435"/>
        <v>2862450</v>
      </c>
      <c r="BM193" s="616">
        <f t="shared" si="436"/>
        <v>1801011</v>
      </c>
      <c r="BN193" s="618">
        <f t="shared" si="437"/>
        <v>1383265</v>
      </c>
      <c r="BO193" s="618">
        <f t="shared" si="438"/>
        <v>417746</v>
      </c>
      <c r="BP193" s="616">
        <f t="shared" si="486"/>
        <v>198675</v>
      </c>
      <c r="BQ193" s="616">
        <f t="shared" si="487"/>
        <v>39825</v>
      </c>
      <c r="BR193" s="616">
        <f t="shared" si="488"/>
        <v>182475</v>
      </c>
      <c r="BS193" s="616">
        <f t="shared" si="439"/>
        <v>428625</v>
      </c>
      <c r="BT193" s="616">
        <f t="shared" si="440"/>
        <v>11700</v>
      </c>
      <c r="BU193" s="616">
        <f t="shared" si="441"/>
        <v>389025</v>
      </c>
      <c r="BV193" s="616">
        <f t="shared" si="442"/>
        <v>8100</v>
      </c>
      <c r="BW193" s="616">
        <f t="shared" si="443"/>
        <v>19800</v>
      </c>
      <c r="BX193" s="616">
        <f t="shared" si="444"/>
        <v>193020</v>
      </c>
      <c r="BY193" s="616">
        <f t="shared" si="445"/>
        <v>130500</v>
      </c>
      <c r="BZ193" s="616">
        <f t="shared" si="446"/>
        <v>12150</v>
      </c>
      <c r="CA193" s="616">
        <f t="shared" si="447"/>
        <v>17325</v>
      </c>
      <c r="CB193" s="616">
        <f t="shared" si="448"/>
        <v>1800</v>
      </c>
      <c r="CC193" s="616">
        <f t="shared" si="449"/>
        <v>23625</v>
      </c>
      <c r="CD193" s="616">
        <f t="shared" si="450"/>
        <v>452287</v>
      </c>
      <c r="CE193" s="618">
        <f t="shared" si="489"/>
        <v>347378.6</v>
      </c>
      <c r="CF193" s="618">
        <f t="shared" si="490"/>
        <v>104908.4</v>
      </c>
      <c r="CG193" s="616">
        <f t="shared" si="451"/>
        <v>0</v>
      </c>
      <c r="CH193" s="621">
        <f t="shared" si="452"/>
        <v>3441493</v>
      </c>
      <c r="CI193" s="88">
        <f t="shared" si="453"/>
        <v>8004.4933000000001</v>
      </c>
      <c r="CJ193" s="90">
        <f t="shared" si="454"/>
        <v>6147.8444</v>
      </c>
      <c r="CK193" s="90">
        <f t="shared" si="455"/>
        <v>1856.6488999999999</v>
      </c>
      <c r="CL193" s="88">
        <f t="shared" si="456"/>
        <v>883</v>
      </c>
      <c r="CM193" s="88">
        <f t="shared" si="457"/>
        <v>177</v>
      </c>
      <c r="CN193" s="88">
        <f t="shared" si="458"/>
        <v>811</v>
      </c>
      <c r="CO193" s="88">
        <f t="shared" si="459"/>
        <v>1905</v>
      </c>
      <c r="CP193" s="88">
        <f t="shared" si="460"/>
        <v>52</v>
      </c>
      <c r="CQ193" s="88">
        <f t="shared" si="461"/>
        <v>1729</v>
      </c>
      <c r="CR193" s="88">
        <f t="shared" si="462"/>
        <v>36</v>
      </c>
      <c r="CS193" s="88">
        <f t="shared" si="463"/>
        <v>88</v>
      </c>
      <c r="CT193" s="88">
        <f t="shared" si="464"/>
        <v>857.86670000000004</v>
      </c>
      <c r="CU193" s="88">
        <f t="shared" si="465"/>
        <v>580</v>
      </c>
      <c r="CV193" s="88">
        <f t="shared" si="466"/>
        <v>54</v>
      </c>
      <c r="CW193" s="88">
        <f t="shared" si="467"/>
        <v>77</v>
      </c>
      <c r="CX193" s="88">
        <f t="shared" si="468"/>
        <v>8</v>
      </c>
      <c r="CY193" s="88">
        <f t="shared" si="469"/>
        <v>105</v>
      </c>
      <c r="CZ193" s="88">
        <f t="shared" si="470"/>
        <v>2010.1643999999999</v>
      </c>
      <c r="DA193" s="90">
        <f t="shared" si="471"/>
        <v>1543.9049</v>
      </c>
      <c r="DB193" s="90">
        <f t="shared" si="472"/>
        <v>466.25959999999998</v>
      </c>
      <c r="DC193" s="88">
        <f t="shared" si="473"/>
        <v>0</v>
      </c>
      <c r="DD193" s="88">
        <f t="shared" si="474"/>
        <v>15295.5244</v>
      </c>
      <c r="AUV193" s="699">
        <f t="shared" si="409"/>
        <v>8004.49</v>
      </c>
      <c r="AUW193" s="699">
        <f t="shared" si="410"/>
        <v>6147.84</v>
      </c>
      <c r="AUX193" s="699">
        <f t="shared" si="411"/>
        <v>1856.65</v>
      </c>
      <c r="AUY193" s="699">
        <f t="shared" si="548"/>
        <v>883</v>
      </c>
      <c r="AUZ193" s="699">
        <f t="shared" si="475"/>
        <v>12441.42</v>
      </c>
      <c r="AVA193" s="699">
        <f t="shared" si="475"/>
        <v>28.43</v>
      </c>
      <c r="AVB193" s="699">
        <f t="shared" si="549"/>
        <v>1905</v>
      </c>
      <c r="AVC193" s="699">
        <f t="shared" si="550"/>
        <v>52</v>
      </c>
      <c r="AVD193" s="699">
        <f t="shared" si="551"/>
        <v>1729</v>
      </c>
      <c r="AVE193" s="699">
        <f t="shared" si="552"/>
        <v>36</v>
      </c>
      <c r="AVF193" s="699">
        <f t="shared" si="553"/>
        <v>88</v>
      </c>
      <c r="AVG193" s="699">
        <f t="shared" si="554"/>
        <v>857.87</v>
      </c>
      <c r="AVH193" s="699">
        <f t="shared" si="555"/>
        <v>580</v>
      </c>
      <c r="AVI193" s="699">
        <f t="shared" si="556"/>
        <v>54</v>
      </c>
      <c r="AVJ193" s="699">
        <f t="shared" si="557"/>
        <v>77</v>
      </c>
      <c r="AVK193" s="699">
        <f t="shared" si="558"/>
        <v>8</v>
      </c>
      <c r="AVL193" s="699">
        <f t="shared" si="559"/>
        <v>105</v>
      </c>
      <c r="AVM193" s="699">
        <f t="shared" si="560"/>
        <v>2010.16</v>
      </c>
      <c r="AVN193" s="699">
        <f t="shared" si="561"/>
        <v>1543.9</v>
      </c>
      <c r="AVO193" s="699">
        <f t="shared" si="562"/>
        <v>466.26</v>
      </c>
      <c r="AVP193" s="699">
        <f t="shared" si="563"/>
        <v>0</v>
      </c>
      <c r="AVQ193" s="699">
        <f t="shared" si="564"/>
        <v>15295.52</v>
      </c>
    </row>
    <row r="194" spans="1:108 1244:1265" ht="30" customHeight="1" x14ac:dyDescent="0.25">
      <c r="A194" s="643">
        <v>1</v>
      </c>
      <c r="B194" s="643">
        <v>11</v>
      </c>
      <c r="C194" s="664" t="s">
        <v>26</v>
      </c>
      <c r="D194" s="2"/>
      <c r="E194" s="101" t="s">
        <v>344</v>
      </c>
      <c r="F194" s="643" t="s">
        <v>31</v>
      </c>
      <c r="G194" s="643">
        <v>1</v>
      </c>
      <c r="H194" s="658" t="s">
        <v>10</v>
      </c>
      <c r="I194" s="643">
        <v>0</v>
      </c>
      <c r="J194" s="101" t="s">
        <v>357</v>
      </c>
      <c r="K194" s="643">
        <v>3</v>
      </c>
      <c r="L194" s="683" t="s">
        <v>349</v>
      </c>
      <c r="M194" s="11" t="s">
        <v>258</v>
      </c>
      <c r="N194" s="101" t="s">
        <v>387</v>
      </c>
      <c r="O194" s="643">
        <v>1</v>
      </c>
      <c r="P194" s="632">
        <v>52</v>
      </c>
      <c r="Q194" s="632">
        <v>52</v>
      </c>
      <c r="R194" s="632">
        <v>52</v>
      </c>
      <c r="S194" s="675">
        <f>SUMIF('Территориальный кк'!$A:$A,'2020'!$B194,'Территориальный кк'!D:D)</f>
        <v>1.2470000000000001</v>
      </c>
      <c r="T194" s="676">
        <f>SUMIF('Территориальный кк'!$A:$A,'2020'!$B194,'Территориальный кк'!E:E)</f>
        <v>3.2010000000000001</v>
      </c>
      <c r="U194" s="618">
        <f>SUMIFS(Нормативы!G:G,Нормативы!$B:$B,$G194,Нормативы!$D:$D,'2020'!$I194,Нормативы!$F:$F,'2020'!$K194)*O194</f>
        <v>64190</v>
      </c>
      <c r="V194" s="618">
        <f t="shared" si="476"/>
        <v>49301.1</v>
      </c>
      <c r="W194" s="618">
        <f t="shared" si="477"/>
        <v>14888.9</v>
      </c>
      <c r="X194" s="618">
        <f>SUMIFS(Нормативы!J:J,Нормативы!$B:$B,$G194,Нормативы!$D:$D,'2020'!$I194,Нормативы!$F:$F,'2020'!$K194)</f>
        <v>8830</v>
      </c>
      <c r="Y194" s="618">
        <f>SUMIFS(Нормативы!K:K,Нормативы!$B:$B,$G194,Нормативы!$D:$D,'2020'!$I194,Нормативы!$F:$F,'2020'!$K194)</f>
        <v>1766</v>
      </c>
      <c r="Z194" s="618">
        <f>SUMIFS(Нормативы!L:L,Нормативы!$B:$B,$G194,Нормативы!$D:$D,'2020'!$I194,Нормативы!$F:$F,'2020'!$K194)</f>
        <v>8110</v>
      </c>
      <c r="AA194" s="618">
        <f t="shared" si="478"/>
        <v>19050</v>
      </c>
      <c r="AB194" s="618">
        <f>SUMIFS(Нормативы!N:N,Нормативы!$B:$B,$G194,Нормативы!$D:$D,'2020'!$I194,Нормативы!$F:$F,'2020'!$K194)*O194</f>
        <v>520</v>
      </c>
      <c r="AC194" s="618">
        <f>SUMIFS(Нормативы!O:O,Нормативы!$B:$B,$G194,Нормативы!$D:$D,'2020'!$I194,Нормативы!$F:$F,'2020'!$K194)</f>
        <v>17290</v>
      </c>
      <c r="AD194" s="618">
        <f>SUMIFS(Нормативы!P:P,Нормативы!$B:$B,$G194,Нормативы!$D:$D,'2020'!$I194,Нормативы!$F:$F,'2020'!$K194)*O194</f>
        <v>360</v>
      </c>
      <c r="AE194" s="618">
        <f>SUMIFS(Нормативы!Q:Q,Нормативы!$B:$B,$G194,Нормативы!$D:$D,'2020'!$I194,Нормативы!$F:$F,'2020'!$K194)</f>
        <v>880</v>
      </c>
      <c r="AF194" s="618">
        <f>SUMIFS(Нормативы!R:R,Нормативы!$B:$B,$G194,Нормативы!$D:$D,'2020'!$I194,Нормативы!$F:$F,'2020'!$K194)</f>
        <v>2680</v>
      </c>
      <c r="AG194" s="618">
        <f>SUMIFS(Нормативы!S:S,Нормативы!$B:$B,$G194,Нормативы!$D:$D,'2020'!$I194,Нормативы!$F:$F,'2020'!$K194)</f>
        <v>5800</v>
      </c>
      <c r="AH194" s="618">
        <f>SUMIFS(Нормативы!T:T,Нормативы!$B:$B,$G194,Нормативы!$D:$D,'2020'!$I194,Нормативы!$F:$F,'2020'!$K194)</f>
        <v>540</v>
      </c>
      <c r="AI194" s="618">
        <f>SUMIFS(Нормативы!U:U,Нормативы!$B:$B,$G194,Нормативы!$D:$D,'2020'!$I194,Нормативы!$F:$F,'2020'!$K194)</f>
        <v>770</v>
      </c>
      <c r="AJ194" s="618">
        <f>SUMIFS(Нормативы!V:V,Нормативы!$B:$B,$G194,Нормативы!$D:$D,'2020'!$I194,Нормативы!$F:$F,'2020'!$K194)</f>
        <v>80</v>
      </c>
      <c r="AK194" s="618">
        <f>SUMIFS(Нормативы!W:W,Нормативы!$B:$B,$G194,Нормативы!$D:$D,'2020'!$I194,Нормативы!$F:$F,'2020'!$K194)</f>
        <v>1050</v>
      </c>
      <c r="AL194" s="618">
        <f>SUMIFS(Нормативы!X:X,Нормативы!$B:$B,$G194,Нормативы!$D:$D,'2020'!$I194,Нормативы!$F:$F,'2020'!$K194)*O194</f>
        <v>16120</v>
      </c>
      <c r="AM194" s="618">
        <f t="shared" si="479"/>
        <v>12381</v>
      </c>
      <c r="AN194" s="618">
        <f t="shared" si="480"/>
        <v>3739</v>
      </c>
      <c r="AO194" s="618">
        <f>SUMIFS(Нормативы!AA:AA,Нормативы!$B:$B,$G194,Нормативы!$D:$D,'2020'!$I194,Нормативы!$F:$F,'2020'!$K194)</f>
        <v>3520</v>
      </c>
      <c r="AP194" s="619">
        <f t="shared" si="481"/>
        <v>130740</v>
      </c>
      <c r="AQ194" s="413">
        <f t="shared" si="418"/>
        <v>3337880</v>
      </c>
      <c r="AR194" s="618">
        <f t="shared" si="482"/>
        <v>2563655.9</v>
      </c>
      <c r="AS194" s="618">
        <f t="shared" si="483"/>
        <v>774224.1</v>
      </c>
      <c r="AT194" s="616">
        <f t="shared" si="419"/>
        <v>459160</v>
      </c>
      <c r="AU194" s="616">
        <f t="shared" si="420"/>
        <v>91832</v>
      </c>
      <c r="AV194" s="616">
        <f t="shared" si="421"/>
        <v>421720</v>
      </c>
      <c r="AW194" s="616">
        <f t="shared" si="422"/>
        <v>990600</v>
      </c>
      <c r="AX194" s="616">
        <f t="shared" si="423"/>
        <v>27040</v>
      </c>
      <c r="AY194" s="616">
        <f t="shared" si="424"/>
        <v>899080</v>
      </c>
      <c r="AZ194" s="616">
        <f t="shared" si="425"/>
        <v>18720</v>
      </c>
      <c r="BA194" s="616">
        <f t="shared" si="426"/>
        <v>45760</v>
      </c>
      <c r="BB194" s="616">
        <f t="shared" si="427"/>
        <v>139360</v>
      </c>
      <c r="BC194" s="616">
        <f t="shared" si="428"/>
        <v>301600</v>
      </c>
      <c r="BD194" s="616">
        <f t="shared" si="429"/>
        <v>28080</v>
      </c>
      <c r="BE194" s="616">
        <f t="shared" si="430"/>
        <v>40040</v>
      </c>
      <c r="BF194" s="616">
        <f t="shared" si="431"/>
        <v>4160</v>
      </c>
      <c r="BG194" s="616">
        <f t="shared" si="432"/>
        <v>54600</v>
      </c>
      <c r="BH194" s="616">
        <f t="shared" si="433"/>
        <v>838240</v>
      </c>
      <c r="BI194" s="618">
        <f t="shared" si="484"/>
        <v>643809.5</v>
      </c>
      <c r="BJ194" s="618">
        <f t="shared" si="485"/>
        <v>194430.5</v>
      </c>
      <c r="BK194" s="616">
        <f t="shared" si="434"/>
        <v>183040</v>
      </c>
      <c r="BL194" s="620">
        <f t="shared" si="435"/>
        <v>6798480</v>
      </c>
      <c r="BM194" s="616">
        <f t="shared" si="436"/>
        <v>4162336</v>
      </c>
      <c r="BN194" s="618">
        <f t="shared" si="437"/>
        <v>3196878.6</v>
      </c>
      <c r="BO194" s="618">
        <f t="shared" si="438"/>
        <v>965457.4</v>
      </c>
      <c r="BP194" s="616">
        <f t="shared" si="486"/>
        <v>459160</v>
      </c>
      <c r="BQ194" s="616">
        <f t="shared" si="487"/>
        <v>91832</v>
      </c>
      <c r="BR194" s="616">
        <f t="shared" si="488"/>
        <v>421720</v>
      </c>
      <c r="BS194" s="616">
        <f t="shared" si="439"/>
        <v>990600</v>
      </c>
      <c r="BT194" s="616">
        <f t="shared" si="440"/>
        <v>27040</v>
      </c>
      <c r="BU194" s="616">
        <f t="shared" si="441"/>
        <v>899080</v>
      </c>
      <c r="BV194" s="616">
        <f t="shared" si="442"/>
        <v>18720</v>
      </c>
      <c r="BW194" s="616">
        <f t="shared" si="443"/>
        <v>45760</v>
      </c>
      <c r="BX194" s="616">
        <f t="shared" si="444"/>
        <v>446091</v>
      </c>
      <c r="BY194" s="616">
        <f t="shared" si="445"/>
        <v>301600</v>
      </c>
      <c r="BZ194" s="616">
        <f t="shared" si="446"/>
        <v>28080</v>
      </c>
      <c r="CA194" s="616">
        <f t="shared" si="447"/>
        <v>40040</v>
      </c>
      <c r="CB194" s="616">
        <f t="shared" si="448"/>
        <v>4160</v>
      </c>
      <c r="CC194" s="616">
        <f t="shared" si="449"/>
        <v>54600</v>
      </c>
      <c r="CD194" s="616">
        <f t="shared" si="450"/>
        <v>1045285</v>
      </c>
      <c r="CE194" s="618">
        <f t="shared" si="489"/>
        <v>802830.3</v>
      </c>
      <c r="CF194" s="618">
        <f t="shared" si="490"/>
        <v>242454.7</v>
      </c>
      <c r="CG194" s="616">
        <f t="shared" si="451"/>
        <v>183040</v>
      </c>
      <c r="CH194" s="621">
        <f t="shared" si="452"/>
        <v>8136712</v>
      </c>
      <c r="CI194" s="88">
        <f t="shared" si="453"/>
        <v>80044.9231</v>
      </c>
      <c r="CJ194" s="90">
        <f t="shared" si="454"/>
        <v>61478.434600000001</v>
      </c>
      <c r="CK194" s="90">
        <f t="shared" si="455"/>
        <v>18566.488499999999</v>
      </c>
      <c r="CL194" s="88">
        <f t="shared" si="456"/>
        <v>8830</v>
      </c>
      <c r="CM194" s="88">
        <f t="shared" si="457"/>
        <v>1766</v>
      </c>
      <c r="CN194" s="88">
        <f t="shared" si="458"/>
        <v>8110</v>
      </c>
      <c r="CO194" s="88">
        <f t="shared" si="459"/>
        <v>19050</v>
      </c>
      <c r="CP194" s="88">
        <f t="shared" si="460"/>
        <v>520</v>
      </c>
      <c r="CQ194" s="88">
        <f t="shared" si="461"/>
        <v>17290</v>
      </c>
      <c r="CR194" s="88">
        <f t="shared" si="462"/>
        <v>360</v>
      </c>
      <c r="CS194" s="88">
        <f t="shared" si="463"/>
        <v>880</v>
      </c>
      <c r="CT194" s="88">
        <f t="shared" si="464"/>
        <v>8578.6731</v>
      </c>
      <c r="CU194" s="88">
        <f t="shared" si="465"/>
        <v>5800</v>
      </c>
      <c r="CV194" s="88">
        <f t="shared" si="466"/>
        <v>540</v>
      </c>
      <c r="CW194" s="88">
        <f t="shared" si="467"/>
        <v>770</v>
      </c>
      <c r="CX194" s="88">
        <f t="shared" si="468"/>
        <v>80</v>
      </c>
      <c r="CY194" s="88">
        <f t="shared" si="469"/>
        <v>1050</v>
      </c>
      <c r="CZ194" s="88">
        <f t="shared" si="470"/>
        <v>20101.634600000001</v>
      </c>
      <c r="DA194" s="90">
        <f t="shared" si="471"/>
        <v>15439.0442</v>
      </c>
      <c r="DB194" s="90">
        <f t="shared" si="472"/>
        <v>4662.5904</v>
      </c>
      <c r="DC194" s="88">
        <f t="shared" si="473"/>
        <v>3520</v>
      </c>
      <c r="DD194" s="88">
        <f t="shared" si="474"/>
        <v>156475.23079999999</v>
      </c>
      <c r="AUV194" s="699">
        <f t="shared" si="409"/>
        <v>80044.92</v>
      </c>
      <c r="AUW194" s="699">
        <f t="shared" si="410"/>
        <v>61478.43</v>
      </c>
      <c r="AUX194" s="699">
        <f t="shared" si="411"/>
        <v>18566.490000000002</v>
      </c>
      <c r="AUY194" s="699">
        <f t="shared" si="548"/>
        <v>8830</v>
      </c>
      <c r="AUZ194" s="699">
        <f t="shared" si="475"/>
        <v>28688.53</v>
      </c>
      <c r="AVA194" s="699">
        <f t="shared" si="475"/>
        <v>6.57</v>
      </c>
      <c r="AVB194" s="699">
        <f t="shared" si="549"/>
        <v>19050</v>
      </c>
      <c r="AVC194" s="699">
        <f t="shared" si="550"/>
        <v>520</v>
      </c>
      <c r="AVD194" s="699">
        <f t="shared" si="551"/>
        <v>17290</v>
      </c>
      <c r="AVE194" s="699">
        <f t="shared" si="552"/>
        <v>360</v>
      </c>
      <c r="AVF194" s="699">
        <f t="shared" si="553"/>
        <v>880</v>
      </c>
      <c r="AVG194" s="699">
        <f t="shared" si="554"/>
        <v>8578.67</v>
      </c>
      <c r="AVH194" s="699">
        <f t="shared" si="555"/>
        <v>5800</v>
      </c>
      <c r="AVI194" s="699">
        <f t="shared" si="556"/>
        <v>540</v>
      </c>
      <c r="AVJ194" s="699">
        <f t="shared" si="557"/>
        <v>770</v>
      </c>
      <c r="AVK194" s="699">
        <f t="shared" si="558"/>
        <v>80</v>
      </c>
      <c r="AVL194" s="699">
        <f t="shared" si="559"/>
        <v>1050</v>
      </c>
      <c r="AVM194" s="699">
        <f t="shared" si="560"/>
        <v>20101.63</v>
      </c>
      <c r="AVN194" s="699">
        <f t="shared" si="561"/>
        <v>15439.04</v>
      </c>
      <c r="AVO194" s="699">
        <f t="shared" si="562"/>
        <v>4662.59</v>
      </c>
      <c r="AVP194" s="699">
        <f t="shared" si="563"/>
        <v>3520</v>
      </c>
      <c r="AVQ194" s="699">
        <f t="shared" si="564"/>
        <v>156475.23000000001</v>
      </c>
    </row>
    <row r="195" spans="1:108 1244:1265" ht="30" customHeight="1" x14ac:dyDescent="0.25">
      <c r="A195" s="643">
        <v>1</v>
      </c>
      <c r="B195" s="643">
        <v>11</v>
      </c>
      <c r="C195" s="664" t="s">
        <v>26</v>
      </c>
      <c r="D195" s="2"/>
      <c r="E195" s="101" t="s">
        <v>344</v>
      </c>
      <c r="F195" s="643" t="s">
        <v>31</v>
      </c>
      <c r="G195" s="643">
        <v>1</v>
      </c>
      <c r="H195" s="658" t="s">
        <v>10</v>
      </c>
      <c r="I195" s="643">
        <v>0</v>
      </c>
      <c r="J195" s="101" t="s">
        <v>357</v>
      </c>
      <c r="K195" s="643">
        <v>3</v>
      </c>
      <c r="L195" s="683" t="s">
        <v>349</v>
      </c>
      <c r="M195" s="11" t="s">
        <v>259</v>
      </c>
      <c r="N195" s="101" t="s">
        <v>401</v>
      </c>
      <c r="O195" s="643">
        <v>2</v>
      </c>
      <c r="P195" s="632">
        <v>3</v>
      </c>
      <c r="Q195" s="632">
        <v>3</v>
      </c>
      <c r="R195" s="632">
        <v>3</v>
      </c>
      <c r="S195" s="675">
        <f>SUMIF('Территориальный кк'!$A:$A,'2020'!$B195,'Территориальный кк'!D:D)</f>
        <v>1.2470000000000001</v>
      </c>
      <c r="T195" s="676">
        <f>SUMIF('Территориальный кк'!$A:$A,'2020'!$B195,'Территориальный кк'!E:E)</f>
        <v>3.2010000000000001</v>
      </c>
      <c r="U195" s="618">
        <f>SUMIFS(Нормативы!G:G,Нормативы!$B:$B,$G195,Нормативы!$D:$D,'2020'!$I195,Нормативы!$F:$F,'2020'!$K195)*O195</f>
        <v>128380</v>
      </c>
      <c r="V195" s="618">
        <f t="shared" si="476"/>
        <v>98602.2</v>
      </c>
      <c r="W195" s="618">
        <f t="shared" si="477"/>
        <v>29777.8</v>
      </c>
      <c r="X195" s="618">
        <f>SUMIFS(Нормативы!J:J,Нормативы!$B:$B,$G195,Нормативы!$D:$D,'2020'!$I195,Нормативы!$F:$F,'2020'!$K195)</f>
        <v>8830</v>
      </c>
      <c r="Y195" s="618">
        <f>SUMIFS(Нормативы!K:K,Нормативы!$B:$B,$G195,Нормативы!$D:$D,'2020'!$I195,Нормативы!$F:$F,'2020'!$K195)</f>
        <v>1766</v>
      </c>
      <c r="Z195" s="618">
        <f>SUMIFS(Нормативы!L:L,Нормативы!$B:$B,$G195,Нормативы!$D:$D,'2020'!$I195,Нормативы!$F:$F,'2020'!$K195)</f>
        <v>8110</v>
      </c>
      <c r="AA195" s="618">
        <f t="shared" si="478"/>
        <v>19930</v>
      </c>
      <c r="AB195" s="618">
        <f>SUMIFS(Нормативы!N:N,Нормативы!$B:$B,$G195,Нормативы!$D:$D,'2020'!$I195,Нормативы!$F:$F,'2020'!$K195)*O195</f>
        <v>1040</v>
      </c>
      <c r="AC195" s="618">
        <f>SUMIFS(Нормативы!O:O,Нормативы!$B:$B,$G195,Нормативы!$D:$D,'2020'!$I195,Нормативы!$F:$F,'2020'!$K195)</f>
        <v>17290</v>
      </c>
      <c r="AD195" s="618">
        <f>SUMIFS(Нормативы!P:P,Нормативы!$B:$B,$G195,Нормативы!$D:$D,'2020'!$I195,Нормативы!$F:$F,'2020'!$K195)*O195</f>
        <v>720</v>
      </c>
      <c r="AE195" s="618">
        <f>SUMIFS(Нормативы!Q:Q,Нормативы!$B:$B,$G195,Нормативы!$D:$D,'2020'!$I195,Нормативы!$F:$F,'2020'!$K195)</f>
        <v>880</v>
      </c>
      <c r="AF195" s="618">
        <f>SUMIFS(Нормативы!R:R,Нормативы!$B:$B,$G195,Нормативы!$D:$D,'2020'!$I195,Нормативы!$F:$F,'2020'!$K195)</f>
        <v>2680</v>
      </c>
      <c r="AG195" s="618">
        <f>SUMIFS(Нормативы!S:S,Нормативы!$B:$B,$G195,Нормативы!$D:$D,'2020'!$I195,Нормативы!$F:$F,'2020'!$K195)</f>
        <v>5800</v>
      </c>
      <c r="AH195" s="618">
        <f>SUMIFS(Нормативы!T:T,Нормативы!$B:$B,$G195,Нормативы!$D:$D,'2020'!$I195,Нормативы!$F:$F,'2020'!$K195)</f>
        <v>540</v>
      </c>
      <c r="AI195" s="618">
        <f>SUMIFS(Нормативы!U:U,Нормативы!$B:$B,$G195,Нормативы!$D:$D,'2020'!$I195,Нормативы!$F:$F,'2020'!$K195)</f>
        <v>770</v>
      </c>
      <c r="AJ195" s="618">
        <f>SUMIFS(Нормативы!V:V,Нормативы!$B:$B,$G195,Нормативы!$D:$D,'2020'!$I195,Нормативы!$F:$F,'2020'!$K195)</f>
        <v>80</v>
      </c>
      <c r="AK195" s="618">
        <f>SUMIFS(Нормативы!W:W,Нормативы!$B:$B,$G195,Нормативы!$D:$D,'2020'!$I195,Нормативы!$F:$F,'2020'!$K195)</f>
        <v>1050</v>
      </c>
      <c r="AL195" s="618">
        <f>SUMIFS(Нормативы!X:X,Нормативы!$B:$B,$G195,Нормативы!$D:$D,'2020'!$I195,Нормативы!$F:$F,'2020'!$K195)*O195</f>
        <v>32240</v>
      </c>
      <c r="AM195" s="618">
        <f t="shared" si="479"/>
        <v>24761.9</v>
      </c>
      <c r="AN195" s="618">
        <f t="shared" si="480"/>
        <v>7478.1</v>
      </c>
      <c r="AO195" s="618">
        <f>SUMIFS(Нормативы!AA:AA,Нормативы!$B:$B,$G195,Нормативы!$D:$D,'2020'!$I195,Нормативы!$F:$F,'2020'!$K195)</f>
        <v>3520</v>
      </c>
      <c r="AP195" s="619">
        <f t="shared" si="481"/>
        <v>211930</v>
      </c>
      <c r="AQ195" s="413">
        <f t="shared" si="418"/>
        <v>385140</v>
      </c>
      <c r="AR195" s="618">
        <f t="shared" si="482"/>
        <v>295806.5</v>
      </c>
      <c r="AS195" s="618">
        <f t="shared" si="483"/>
        <v>89333.5</v>
      </c>
      <c r="AT195" s="616">
        <f t="shared" si="419"/>
        <v>26490</v>
      </c>
      <c r="AU195" s="616">
        <f t="shared" si="420"/>
        <v>5298</v>
      </c>
      <c r="AV195" s="616">
        <f t="shared" si="421"/>
        <v>24330</v>
      </c>
      <c r="AW195" s="616">
        <f t="shared" si="422"/>
        <v>59790</v>
      </c>
      <c r="AX195" s="616">
        <f t="shared" si="423"/>
        <v>3120</v>
      </c>
      <c r="AY195" s="616">
        <f t="shared" si="424"/>
        <v>51870</v>
      </c>
      <c r="AZ195" s="616">
        <f t="shared" si="425"/>
        <v>2160</v>
      </c>
      <c r="BA195" s="616">
        <f t="shared" si="426"/>
        <v>2640</v>
      </c>
      <c r="BB195" s="616">
        <f t="shared" si="427"/>
        <v>8040</v>
      </c>
      <c r="BC195" s="616">
        <f t="shared" si="428"/>
        <v>17400</v>
      </c>
      <c r="BD195" s="616">
        <f t="shared" si="429"/>
        <v>1620</v>
      </c>
      <c r="BE195" s="616">
        <f t="shared" si="430"/>
        <v>2310</v>
      </c>
      <c r="BF195" s="616">
        <f t="shared" si="431"/>
        <v>240</v>
      </c>
      <c r="BG195" s="616">
        <f t="shared" si="432"/>
        <v>3150</v>
      </c>
      <c r="BH195" s="616">
        <f t="shared" si="433"/>
        <v>96720</v>
      </c>
      <c r="BI195" s="618">
        <f t="shared" si="484"/>
        <v>74285.7</v>
      </c>
      <c r="BJ195" s="618">
        <f t="shared" si="485"/>
        <v>22434.3</v>
      </c>
      <c r="BK195" s="616">
        <f t="shared" si="434"/>
        <v>10560</v>
      </c>
      <c r="BL195" s="620">
        <f t="shared" si="435"/>
        <v>635790</v>
      </c>
      <c r="BM195" s="616">
        <f t="shared" si="436"/>
        <v>480270</v>
      </c>
      <c r="BN195" s="618">
        <f t="shared" si="437"/>
        <v>368871</v>
      </c>
      <c r="BO195" s="618">
        <f t="shared" si="438"/>
        <v>111399</v>
      </c>
      <c r="BP195" s="616">
        <f t="shared" si="486"/>
        <v>26490</v>
      </c>
      <c r="BQ195" s="616">
        <f t="shared" si="487"/>
        <v>5298</v>
      </c>
      <c r="BR195" s="616">
        <f t="shared" si="488"/>
        <v>24330</v>
      </c>
      <c r="BS195" s="616">
        <f t="shared" si="439"/>
        <v>59790</v>
      </c>
      <c r="BT195" s="616">
        <f t="shared" si="440"/>
        <v>3120</v>
      </c>
      <c r="BU195" s="616">
        <f t="shared" si="441"/>
        <v>51870</v>
      </c>
      <c r="BV195" s="616">
        <f t="shared" si="442"/>
        <v>2160</v>
      </c>
      <c r="BW195" s="616">
        <f t="shared" si="443"/>
        <v>2640</v>
      </c>
      <c r="BX195" s="616">
        <f t="shared" si="444"/>
        <v>25736</v>
      </c>
      <c r="BY195" s="616">
        <f t="shared" si="445"/>
        <v>17400</v>
      </c>
      <c r="BZ195" s="616">
        <f t="shared" si="446"/>
        <v>1620</v>
      </c>
      <c r="CA195" s="616">
        <f t="shared" si="447"/>
        <v>2310</v>
      </c>
      <c r="CB195" s="616">
        <f t="shared" si="448"/>
        <v>240</v>
      </c>
      <c r="CC195" s="616">
        <f t="shared" si="449"/>
        <v>3150</v>
      </c>
      <c r="CD195" s="616">
        <f t="shared" si="450"/>
        <v>120610</v>
      </c>
      <c r="CE195" s="618">
        <f t="shared" si="489"/>
        <v>92634.4</v>
      </c>
      <c r="CF195" s="618">
        <f t="shared" si="490"/>
        <v>27975.599999999999</v>
      </c>
      <c r="CG195" s="616">
        <f t="shared" si="451"/>
        <v>10560</v>
      </c>
      <c r="CH195" s="621">
        <f t="shared" si="452"/>
        <v>772506</v>
      </c>
      <c r="CI195" s="88">
        <f t="shared" si="453"/>
        <v>160090</v>
      </c>
      <c r="CJ195" s="90">
        <f t="shared" si="454"/>
        <v>122957</v>
      </c>
      <c r="CK195" s="90">
        <f t="shared" si="455"/>
        <v>37133</v>
      </c>
      <c r="CL195" s="88">
        <f t="shared" si="456"/>
        <v>8830</v>
      </c>
      <c r="CM195" s="88">
        <f t="shared" si="457"/>
        <v>1766</v>
      </c>
      <c r="CN195" s="88">
        <f t="shared" si="458"/>
        <v>8110</v>
      </c>
      <c r="CO195" s="88">
        <f t="shared" si="459"/>
        <v>19930</v>
      </c>
      <c r="CP195" s="88">
        <f t="shared" si="460"/>
        <v>1040</v>
      </c>
      <c r="CQ195" s="88">
        <f t="shared" si="461"/>
        <v>17290</v>
      </c>
      <c r="CR195" s="88">
        <f t="shared" si="462"/>
        <v>720</v>
      </c>
      <c r="CS195" s="88">
        <f t="shared" si="463"/>
        <v>880</v>
      </c>
      <c r="CT195" s="88">
        <f t="shared" si="464"/>
        <v>8578.6666999999998</v>
      </c>
      <c r="CU195" s="88">
        <f t="shared" si="465"/>
        <v>5800</v>
      </c>
      <c r="CV195" s="88">
        <f t="shared" si="466"/>
        <v>540</v>
      </c>
      <c r="CW195" s="88">
        <f t="shared" si="467"/>
        <v>770</v>
      </c>
      <c r="CX195" s="88">
        <f t="shared" si="468"/>
        <v>80</v>
      </c>
      <c r="CY195" s="88">
        <f t="shared" si="469"/>
        <v>1050</v>
      </c>
      <c r="CZ195" s="88">
        <f t="shared" si="470"/>
        <v>40203.333299999998</v>
      </c>
      <c r="DA195" s="90">
        <f t="shared" si="471"/>
        <v>30878.133300000001</v>
      </c>
      <c r="DB195" s="90">
        <f t="shared" si="472"/>
        <v>9325.2000000000007</v>
      </c>
      <c r="DC195" s="88">
        <f t="shared" si="473"/>
        <v>3520</v>
      </c>
      <c r="DD195" s="88">
        <f t="shared" si="474"/>
        <v>257502</v>
      </c>
      <c r="AUV195" s="699">
        <f t="shared" si="409"/>
        <v>160090</v>
      </c>
      <c r="AUW195" s="699">
        <f t="shared" si="410"/>
        <v>122956.99</v>
      </c>
      <c r="AUX195" s="699">
        <f t="shared" si="411"/>
        <v>37133.01</v>
      </c>
      <c r="AUY195" s="699">
        <f t="shared" si="548"/>
        <v>8830</v>
      </c>
      <c r="AUZ195" s="699">
        <f t="shared" si="475"/>
        <v>1655.11</v>
      </c>
      <c r="AVA195" s="699">
        <f t="shared" si="475"/>
        <v>0.19</v>
      </c>
      <c r="AVB195" s="699">
        <f t="shared" si="549"/>
        <v>19930</v>
      </c>
      <c r="AVC195" s="699">
        <f t="shared" si="550"/>
        <v>1040</v>
      </c>
      <c r="AVD195" s="699">
        <f t="shared" si="551"/>
        <v>17290</v>
      </c>
      <c r="AVE195" s="699">
        <f t="shared" si="552"/>
        <v>720</v>
      </c>
      <c r="AVF195" s="699">
        <f t="shared" si="553"/>
        <v>880</v>
      </c>
      <c r="AVG195" s="699">
        <f t="shared" si="554"/>
        <v>8578.67</v>
      </c>
      <c r="AVH195" s="699">
        <f t="shared" si="555"/>
        <v>5800</v>
      </c>
      <c r="AVI195" s="699">
        <f t="shared" si="556"/>
        <v>540</v>
      </c>
      <c r="AVJ195" s="699">
        <f t="shared" si="557"/>
        <v>770</v>
      </c>
      <c r="AVK195" s="699">
        <f t="shared" si="558"/>
        <v>80</v>
      </c>
      <c r="AVL195" s="699">
        <f t="shared" si="559"/>
        <v>1050</v>
      </c>
      <c r="AVM195" s="699">
        <f t="shared" si="560"/>
        <v>40203.33</v>
      </c>
      <c r="AVN195" s="699">
        <f t="shared" si="561"/>
        <v>30878.13</v>
      </c>
      <c r="AVO195" s="699">
        <f t="shared" si="562"/>
        <v>9325.2000000000007</v>
      </c>
      <c r="AVP195" s="699">
        <f t="shared" si="563"/>
        <v>3520</v>
      </c>
      <c r="AVQ195" s="699">
        <f t="shared" si="564"/>
        <v>257502</v>
      </c>
    </row>
    <row r="196" spans="1:108 1244:1265" ht="30" customHeight="1" x14ac:dyDescent="0.25">
      <c r="A196" s="643">
        <v>1</v>
      </c>
      <c r="B196" s="643">
        <v>11</v>
      </c>
      <c r="C196" s="664" t="s">
        <v>26</v>
      </c>
      <c r="D196" s="2"/>
      <c r="E196" s="101" t="s">
        <v>344</v>
      </c>
      <c r="F196" s="643" t="s">
        <v>31</v>
      </c>
      <c r="G196" s="643">
        <v>1</v>
      </c>
      <c r="H196" s="658" t="s">
        <v>8</v>
      </c>
      <c r="I196" s="643">
        <v>3</v>
      </c>
      <c r="J196" s="101" t="s">
        <v>357</v>
      </c>
      <c r="K196" s="643">
        <v>3</v>
      </c>
      <c r="L196" s="683" t="s">
        <v>349</v>
      </c>
      <c r="M196" s="11" t="s">
        <v>260</v>
      </c>
      <c r="N196" s="101" t="s">
        <v>387</v>
      </c>
      <c r="O196" s="643">
        <v>1</v>
      </c>
      <c r="P196" s="632">
        <v>39</v>
      </c>
      <c r="Q196" s="632">
        <v>39</v>
      </c>
      <c r="R196" s="632">
        <v>39</v>
      </c>
      <c r="S196" s="675">
        <f>SUMIF('Территориальный кк'!$A:$A,'2020'!$B196,'Территориальный кк'!D:D)</f>
        <v>1.2470000000000001</v>
      </c>
      <c r="T196" s="676">
        <f>SUMIF('Территориальный кк'!$A:$A,'2020'!$B196,'Территориальный кк'!E:E)</f>
        <v>3.2010000000000001</v>
      </c>
      <c r="U196" s="618">
        <f>SUMIFS(Нормативы!G:G,Нормативы!$B:$B,$G196,Нормативы!$D:$D,'2020'!$I196,Нормативы!$F:$F,'2020'!$K196)*O196</f>
        <v>6419</v>
      </c>
      <c r="V196" s="618">
        <f t="shared" si="476"/>
        <v>4930.1000000000004</v>
      </c>
      <c r="W196" s="618">
        <f t="shared" si="477"/>
        <v>1488.9</v>
      </c>
      <c r="X196" s="618">
        <f>SUMIFS(Нормативы!J:J,Нормативы!$B:$B,$G196,Нормативы!$D:$D,'2020'!$I196,Нормативы!$F:$F,'2020'!$K196)</f>
        <v>883</v>
      </c>
      <c r="Y196" s="618">
        <f>SUMIFS(Нормативы!K:K,Нормативы!$B:$B,$G196,Нормативы!$D:$D,'2020'!$I196,Нормативы!$F:$F,'2020'!$K196)</f>
        <v>177</v>
      </c>
      <c r="Z196" s="618">
        <f>SUMIFS(Нормативы!L:L,Нормативы!$B:$B,$G196,Нормативы!$D:$D,'2020'!$I196,Нормативы!$F:$F,'2020'!$K196)</f>
        <v>811</v>
      </c>
      <c r="AA196" s="618">
        <f t="shared" si="478"/>
        <v>1905</v>
      </c>
      <c r="AB196" s="618">
        <f>SUMIFS(Нормативы!N:N,Нормативы!$B:$B,$G196,Нормативы!$D:$D,'2020'!$I196,Нормативы!$F:$F,'2020'!$K196)*O196</f>
        <v>52</v>
      </c>
      <c r="AC196" s="618">
        <f>SUMIFS(Нормативы!O:O,Нормативы!$B:$B,$G196,Нормативы!$D:$D,'2020'!$I196,Нормативы!$F:$F,'2020'!$K196)</f>
        <v>1729</v>
      </c>
      <c r="AD196" s="618">
        <f>SUMIFS(Нормативы!P:P,Нормативы!$B:$B,$G196,Нормативы!$D:$D,'2020'!$I196,Нормативы!$F:$F,'2020'!$K196)*O196</f>
        <v>36</v>
      </c>
      <c r="AE196" s="618">
        <f>SUMIFS(Нормативы!Q:Q,Нормативы!$B:$B,$G196,Нормативы!$D:$D,'2020'!$I196,Нормативы!$F:$F,'2020'!$K196)</f>
        <v>88</v>
      </c>
      <c r="AF196" s="618">
        <f>SUMIFS(Нормативы!R:R,Нормативы!$B:$B,$G196,Нормативы!$D:$D,'2020'!$I196,Нормативы!$F:$F,'2020'!$K196)</f>
        <v>268</v>
      </c>
      <c r="AG196" s="618">
        <f>SUMIFS(Нормативы!S:S,Нормативы!$B:$B,$G196,Нормативы!$D:$D,'2020'!$I196,Нормативы!$F:$F,'2020'!$K196)</f>
        <v>580</v>
      </c>
      <c r="AH196" s="618">
        <f>SUMIFS(Нормативы!T:T,Нормативы!$B:$B,$G196,Нормативы!$D:$D,'2020'!$I196,Нормативы!$F:$F,'2020'!$K196)</f>
        <v>54</v>
      </c>
      <c r="AI196" s="618">
        <f>SUMIFS(Нормативы!U:U,Нормативы!$B:$B,$G196,Нормативы!$D:$D,'2020'!$I196,Нормативы!$F:$F,'2020'!$K196)</f>
        <v>77</v>
      </c>
      <c r="AJ196" s="618">
        <f>SUMIFS(Нормативы!V:V,Нормативы!$B:$B,$G196,Нормативы!$D:$D,'2020'!$I196,Нормативы!$F:$F,'2020'!$K196)</f>
        <v>8</v>
      </c>
      <c r="AK196" s="618">
        <f>SUMIFS(Нормативы!W:W,Нормативы!$B:$B,$G196,Нормативы!$D:$D,'2020'!$I196,Нормативы!$F:$F,'2020'!$K196)</f>
        <v>105</v>
      </c>
      <c r="AL196" s="618">
        <f>SUMIFS(Нормативы!X:X,Нормативы!$B:$B,$G196,Нормативы!$D:$D,'2020'!$I196,Нормативы!$F:$F,'2020'!$K196)*O196</f>
        <v>1612</v>
      </c>
      <c r="AM196" s="618">
        <f t="shared" si="479"/>
        <v>1238.0999999999999</v>
      </c>
      <c r="AN196" s="618">
        <f t="shared" si="480"/>
        <v>373.9</v>
      </c>
      <c r="AO196" s="618">
        <f>SUMIFS(Нормативы!AA:AA,Нормативы!$B:$B,$G196,Нормативы!$D:$D,'2020'!$I196,Нормативы!$F:$F,'2020'!$K196)</f>
        <v>0</v>
      </c>
      <c r="AP196" s="619">
        <f t="shared" si="481"/>
        <v>12722</v>
      </c>
      <c r="AQ196" s="413">
        <f t="shared" si="418"/>
        <v>250341</v>
      </c>
      <c r="AR196" s="618">
        <f t="shared" si="482"/>
        <v>192274.2</v>
      </c>
      <c r="AS196" s="618">
        <f t="shared" si="483"/>
        <v>58066.8</v>
      </c>
      <c r="AT196" s="616">
        <f t="shared" si="419"/>
        <v>34437</v>
      </c>
      <c r="AU196" s="616">
        <f t="shared" si="420"/>
        <v>6903</v>
      </c>
      <c r="AV196" s="616">
        <f t="shared" si="421"/>
        <v>31629</v>
      </c>
      <c r="AW196" s="616">
        <f t="shared" si="422"/>
        <v>74295</v>
      </c>
      <c r="AX196" s="616">
        <f t="shared" si="423"/>
        <v>2028</v>
      </c>
      <c r="AY196" s="616">
        <f t="shared" si="424"/>
        <v>67431</v>
      </c>
      <c r="AZ196" s="616">
        <f t="shared" si="425"/>
        <v>1404</v>
      </c>
      <c r="BA196" s="616">
        <f t="shared" si="426"/>
        <v>3432</v>
      </c>
      <c r="BB196" s="616">
        <f t="shared" si="427"/>
        <v>10452</v>
      </c>
      <c r="BC196" s="616">
        <f t="shared" si="428"/>
        <v>22620</v>
      </c>
      <c r="BD196" s="616">
        <f t="shared" si="429"/>
        <v>2106</v>
      </c>
      <c r="BE196" s="616">
        <f t="shared" si="430"/>
        <v>3003</v>
      </c>
      <c r="BF196" s="616">
        <f t="shared" si="431"/>
        <v>312</v>
      </c>
      <c r="BG196" s="616">
        <f t="shared" si="432"/>
        <v>4095</v>
      </c>
      <c r="BH196" s="616">
        <f t="shared" si="433"/>
        <v>62868</v>
      </c>
      <c r="BI196" s="618">
        <f t="shared" si="484"/>
        <v>48285.7</v>
      </c>
      <c r="BJ196" s="618">
        <f t="shared" si="485"/>
        <v>14582.3</v>
      </c>
      <c r="BK196" s="616">
        <f t="shared" si="434"/>
        <v>0</v>
      </c>
      <c r="BL196" s="620">
        <f t="shared" si="435"/>
        <v>496158</v>
      </c>
      <c r="BM196" s="616">
        <f t="shared" si="436"/>
        <v>312175</v>
      </c>
      <c r="BN196" s="618">
        <f t="shared" si="437"/>
        <v>239765.7</v>
      </c>
      <c r="BO196" s="618">
        <f t="shared" si="438"/>
        <v>72409.3</v>
      </c>
      <c r="BP196" s="616">
        <f t="shared" si="486"/>
        <v>34437</v>
      </c>
      <c r="BQ196" s="616">
        <f t="shared" si="487"/>
        <v>6903</v>
      </c>
      <c r="BR196" s="616">
        <f t="shared" si="488"/>
        <v>31629</v>
      </c>
      <c r="BS196" s="616">
        <f t="shared" si="439"/>
        <v>74295</v>
      </c>
      <c r="BT196" s="616">
        <f t="shared" si="440"/>
        <v>2028</v>
      </c>
      <c r="BU196" s="616">
        <f t="shared" si="441"/>
        <v>67431</v>
      </c>
      <c r="BV196" s="616">
        <f t="shared" si="442"/>
        <v>1404</v>
      </c>
      <c r="BW196" s="616">
        <f t="shared" si="443"/>
        <v>3432</v>
      </c>
      <c r="BX196" s="616">
        <f t="shared" si="444"/>
        <v>33457</v>
      </c>
      <c r="BY196" s="616">
        <f t="shared" si="445"/>
        <v>22620</v>
      </c>
      <c r="BZ196" s="616">
        <f t="shared" si="446"/>
        <v>2106</v>
      </c>
      <c r="CA196" s="616">
        <f t="shared" si="447"/>
        <v>3003</v>
      </c>
      <c r="CB196" s="616">
        <f t="shared" si="448"/>
        <v>312</v>
      </c>
      <c r="CC196" s="616">
        <f t="shared" si="449"/>
        <v>4095</v>
      </c>
      <c r="CD196" s="616">
        <f t="shared" si="450"/>
        <v>78396</v>
      </c>
      <c r="CE196" s="618">
        <f t="shared" si="489"/>
        <v>60212</v>
      </c>
      <c r="CF196" s="618">
        <f t="shared" si="490"/>
        <v>18184</v>
      </c>
      <c r="CG196" s="616">
        <f t="shared" si="451"/>
        <v>0</v>
      </c>
      <c r="CH196" s="621">
        <f t="shared" si="452"/>
        <v>596525</v>
      </c>
      <c r="CI196" s="88">
        <f t="shared" si="453"/>
        <v>8004.4871999999996</v>
      </c>
      <c r="CJ196" s="90">
        <f t="shared" si="454"/>
        <v>6147.8384999999998</v>
      </c>
      <c r="CK196" s="90">
        <f t="shared" si="455"/>
        <v>1856.6487</v>
      </c>
      <c r="CL196" s="88">
        <f t="shared" si="456"/>
        <v>883</v>
      </c>
      <c r="CM196" s="88">
        <f t="shared" si="457"/>
        <v>177</v>
      </c>
      <c r="CN196" s="88">
        <f t="shared" si="458"/>
        <v>811</v>
      </c>
      <c r="CO196" s="88">
        <f t="shared" si="459"/>
        <v>1905</v>
      </c>
      <c r="CP196" s="88">
        <f t="shared" si="460"/>
        <v>52</v>
      </c>
      <c r="CQ196" s="88">
        <f t="shared" si="461"/>
        <v>1729</v>
      </c>
      <c r="CR196" s="88">
        <f t="shared" si="462"/>
        <v>36</v>
      </c>
      <c r="CS196" s="88">
        <f t="shared" si="463"/>
        <v>88</v>
      </c>
      <c r="CT196" s="88">
        <f t="shared" si="464"/>
        <v>857.87180000000001</v>
      </c>
      <c r="CU196" s="88">
        <f t="shared" si="465"/>
        <v>580</v>
      </c>
      <c r="CV196" s="88">
        <f t="shared" si="466"/>
        <v>54</v>
      </c>
      <c r="CW196" s="88">
        <f t="shared" si="467"/>
        <v>77</v>
      </c>
      <c r="CX196" s="88">
        <f t="shared" si="468"/>
        <v>8</v>
      </c>
      <c r="CY196" s="88">
        <f t="shared" si="469"/>
        <v>105</v>
      </c>
      <c r="CZ196" s="88">
        <f t="shared" si="470"/>
        <v>2010.1538</v>
      </c>
      <c r="DA196" s="90">
        <f t="shared" si="471"/>
        <v>1543.8974000000001</v>
      </c>
      <c r="DB196" s="90">
        <f t="shared" si="472"/>
        <v>466.25639999999999</v>
      </c>
      <c r="DC196" s="88">
        <f t="shared" si="473"/>
        <v>0</v>
      </c>
      <c r="DD196" s="88">
        <f t="shared" si="474"/>
        <v>15295.5128</v>
      </c>
      <c r="AUV196" s="699">
        <f t="shared" si="409"/>
        <v>8004.49</v>
      </c>
      <c r="AUW196" s="699">
        <f t="shared" si="410"/>
        <v>6147.84</v>
      </c>
      <c r="AUX196" s="699">
        <f t="shared" si="411"/>
        <v>1856.65</v>
      </c>
      <c r="AUY196" s="699">
        <f t="shared" si="548"/>
        <v>883</v>
      </c>
      <c r="AUZ196" s="699">
        <f t="shared" si="475"/>
        <v>2156.5100000000002</v>
      </c>
      <c r="AVA196" s="699">
        <f t="shared" si="475"/>
        <v>4.93</v>
      </c>
      <c r="AVB196" s="699">
        <f t="shared" si="549"/>
        <v>1905</v>
      </c>
      <c r="AVC196" s="699">
        <f t="shared" si="550"/>
        <v>52</v>
      </c>
      <c r="AVD196" s="699">
        <f t="shared" si="551"/>
        <v>1729</v>
      </c>
      <c r="AVE196" s="699">
        <f t="shared" si="552"/>
        <v>36</v>
      </c>
      <c r="AVF196" s="699">
        <f t="shared" si="553"/>
        <v>88</v>
      </c>
      <c r="AVG196" s="699">
        <f t="shared" si="554"/>
        <v>857.87</v>
      </c>
      <c r="AVH196" s="699">
        <f t="shared" si="555"/>
        <v>580</v>
      </c>
      <c r="AVI196" s="699">
        <f t="shared" si="556"/>
        <v>54</v>
      </c>
      <c r="AVJ196" s="699">
        <f t="shared" si="557"/>
        <v>77</v>
      </c>
      <c r="AVK196" s="699">
        <f t="shared" si="558"/>
        <v>8</v>
      </c>
      <c r="AVL196" s="699">
        <f t="shared" si="559"/>
        <v>105</v>
      </c>
      <c r="AVM196" s="699">
        <f t="shared" si="560"/>
        <v>2010.15</v>
      </c>
      <c r="AVN196" s="699">
        <f t="shared" si="561"/>
        <v>1543.89</v>
      </c>
      <c r="AVO196" s="699">
        <f t="shared" si="562"/>
        <v>466.26</v>
      </c>
      <c r="AVP196" s="699">
        <f t="shared" si="563"/>
        <v>0</v>
      </c>
      <c r="AVQ196" s="699">
        <f t="shared" si="564"/>
        <v>15295.51</v>
      </c>
    </row>
    <row r="197" spans="1:108 1244:1265" ht="30" customHeight="1" x14ac:dyDescent="0.25">
      <c r="A197" s="643">
        <v>1</v>
      </c>
      <c r="B197" s="643">
        <v>11</v>
      </c>
      <c r="C197" s="664" t="s">
        <v>26</v>
      </c>
      <c r="D197" s="2"/>
      <c r="E197" s="101" t="s">
        <v>344</v>
      </c>
      <c r="F197" s="643" t="s">
        <v>31</v>
      </c>
      <c r="G197" s="643">
        <v>1</v>
      </c>
      <c r="H197" s="658" t="s">
        <v>8</v>
      </c>
      <c r="I197" s="643">
        <v>3</v>
      </c>
      <c r="J197" s="101" t="s">
        <v>357</v>
      </c>
      <c r="K197" s="643">
        <v>3</v>
      </c>
      <c r="L197" s="683" t="s">
        <v>349</v>
      </c>
      <c r="M197" s="11" t="s">
        <v>261</v>
      </c>
      <c r="N197" s="101" t="s">
        <v>401</v>
      </c>
      <c r="O197" s="643">
        <v>2</v>
      </c>
      <c r="P197" s="632">
        <v>4</v>
      </c>
      <c r="Q197" s="632">
        <v>4</v>
      </c>
      <c r="R197" s="632">
        <v>4</v>
      </c>
      <c r="S197" s="675">
        <f>SUMIF('Территориальный кк'!$A:$A,'2020'!$B197,'Территориальный кк'!D:D)</f>
        <v>1.2470000000000001</v>
      </c>
      <c r="T197" s="676">
        <f>SUMIF('Территориальный кк'!$A:$A,'2020'!$B197,'Территориальный кк'!E:E)</f>
        <v>3.2010000000000001</v>
      </c>
      <c r="U197" s="618">
        <f>SUMIFS(Нормативы!G:G,Нормативы!$B:$B,$G197,Нормативы!$D:$D,'2020'!$I197,Нормативы!$F:$F,'2020'!$K197)*O197</f>
        <v>12838</v>
      </c>
      <c r="V197" s="618">
        <f t="shared" si="476"/>
        <v>9860.2000000000007</v>
      </c>
      <c r="W197" s="618">
        <f t="shared" si="477"/>
        <v>2977.8</v>
      </c>
      <c r="X197" s="618">
        <f>SUMIFS(Нормативы!J:J,Нормативы!$B:$B,$G197,Нормативы!$D:$D,'2020'!$I197,Нормативы!$F:$F,'2020'!$K197)</f>
        <v>883</v>
      </c>
      <c r="Y197" s="618">
        <f>SUMIFS(Нормативы!K:K,Нормативы!$B:$B,$G197,Нормативы!$D:$D,'2020'!$I197,Нормативы!$F:$F,'2020'!$K197)</f>
        <v>177</v>
      </c>
      <c r="Z197" s="618">
        <f>SUMIFS(Нормативы!L:L,Нормативы!$B:$B,$G197,Нормативы!$D:$D,'2020'!$I197,Нормативы!$F:$F,'2020'!$K197)</f>
        <v>811</v>
      </c>
      <c r="AA197" s="618">
        <f t="shared" si="478"/>
        <v>1993</v>
      </c>
      <c r="AB197" s="618">
        <f>SUMIFS(Нормативы!N:N,Нормативы!$B:$B,$G197,Нормативы!$D:$D,'2020'!$I197,Нормативы!$F:$F,'2020'!$K197)*O197</f>
        <v>104</v>
      </c>
      <c r="AC197" s="618">
        <f>SUMIFS(Нормативы!O:O,Нормативы!$B:$B,$G197,Нормативы!$D:$D,'2020'!$I197,Нормативы!$F:$F,'2020'!$K197)</f>
        <v>1729</v>
      </c>
      <c r="AD197" s="618">
        <f>SUMIFS(Нормативы!P:P,Нормативы!$B:$B,$G197,Нормативы!$D:$D,'2020'!$I197,Нормативы!$F:$F,'2020'!$K197)*O197</f>
        <v>72</v>
      </c>
      <c r="AE197" s="618">
        <f>SUMIFS(Нормативы!Q:Q,Нормативы!$B:$B,$G197,Нормативы!$D:$D,'2020'!$I197,Нормативы!$F:$F,'2020'!$K197)</f>
        <v>88</v>
      </c>
      <c r="AF197" s="618">
        <f>SUMIFS(Нормативы!R:R,Нормативы!$B:$B,$G197,Нормативы!$D:$D,'2020'!$I197,Нормативы!$F:$F,'2020'!$K197)</f>
        <v>268</v>
      </c>
      <c r="AG197" s="618">
        <f>SUMIFS(Нормативы!S:S,Нормативы!$B:$B,$G197,Нормативы!$D:$D,'2020'!$I197,Нормативы!$F:$F,'2020'!$K197)</f>
        <v>580</v>
      </c>
      <c r="AH197" s="618">
        <f>SUMIFS(Нормативы!T:T,Нормативы!$B:$B,$G197,Нормативы!$D:$D,'2020'!$I197,Нормативы!$F:$F,'2020'!$K197)</f>
        <v>54</v>
      </c>
      <c r="AI197" s="618">
        <f>SUMIFS(Нормативы!U:U,Нормативы!$B:$B,$G197,Нормативы!$D:$D,'2020'!$I197,Нормативы!$F:$F,'2020'!$K197)</f>
        <v>77</v>
      </c>
      <c r="AJ197" s="618">
        <f>SUMIFS(Нормативы!V:V,Нормативы!$B:$B,$G197,Нормативы!$D:$D,'2020'!$I197,Нормативы!$F:$F,'2020'!$K197)</f>
        <v>8</v>
      </c>
      <c r="AK197" s="618">
        <f>SUMIFS(Нормативы!W:W,Нормативы!$B:$B,$G197,Нормативы!$D:$D,'2020'!$I197,Нормативы!$F:$F,'2020'!$K197)</f>
        <v>105</v>
      </c>
      <c r="AL197" s="618">
        <f>SUMIFS(Нормативы!X:X,Нормативы!$B:$B,$G197,Нормативы!$D:$D,'2020'!$I197,Нормативы!$F:$F,'2020'!$K197)*O197</f>
        <v>3224</v>
      </c>
      <c r="AM197" s="618">
        <f t="shared" si="479"/>
        <v>2476.1999999999998</v>
      </c>
      <c r="AN197" s="618">
        <f t="shared" si="480"/>
        <v>747.8</v>
      </c>
      <c r="AO197" s="618">
        <f>SUMIFS(Нормативы!AA:AA,Нормативы!$B:$B,$G197,Нормативы!$D:$D,'2020'!$I197,Нормативы!$F:$F,'2020'!$K197)</f>
        <v>0</v>
      </c>
      <c r="AP197" s="619">
        <f t="shared" si="481"/>
        <v>20841</v>
      </c>
      <c r="AQ197" s="413">
        <f t="shared" si="418"/>
        <v>51352</v>
      </c>
      <c r="AR197" s="618">
        <f t="shared" si="482"/>
        <v>39440.9</v>
      </c>
      <c r="AS197" s="618">
        <f t="shared" si="483"/>
        <v>11911.1</v>
      </c>
      <c r="AT197" s="616">
        <f t="shared" si="419"/>
        <v>3532</v>
      </c>
      <c r="AU197" s="616">
        <f t="shared" si="420"/>
        <v>708</v>
      </c>
      <c r="AV197" s="616">
        <f t="shared" si="421"/>
        <v>3244</v>
      </c>
      <c r="AW197" s="616">
        <f t="shared" si="422"/>
        <v>7972</v>
      </c>
      <c r="AX197" s="616">
        <f t="shared" si="423"/>
        <v>416</v>
      </c>
      <c r="AY197" s="616">
        <f t="shared" si="424"/>
        <v>6916</v>
      </c>
      <c r="AZ197" s="616">
        <f t="shared" si="425"/>
        <v>288</v>
      </c>
      <c r="BA197" s="616">
        <f t="shared" si="426"/>
        <v>352</v>
      </c>
      <c r="BB197" s="616">
        <f t="shared" si="427"/>
        <v>1072</v>
      </c>
      <c r="BC197" s="616">
        <f t="shared" si="428"/>
        <v>2320</v>
      </c>
      <c r="BD197" s="616">
        <f t="shared" si="429"/>
        <v>216</v>
      </c>
      <c r="BE197" s="616">
        <f t="shared" si="430"/>
        <v>308</v>
      </c>
      <c r="BF197" s="616">
        <f t="shared" si="431"/>
        <v>32</v>
      </c>
      <c r="BG197" s="616">
        <f t="shared" si="432"/>
        <v>420</v>
      </c>
      <c r="BH197" s="616">
        <f t="shared" si="433"/>
        <v>12896</v>
      </c>
      <c r="BI197" s="618">
        <f t="shared" si="484"/>
        <v>9904.7999999999993</v>
      </c>
      <c r="BJ197" s="618">
        <f t="shared" si="485"/>
        <v>2991.2</v>
      </c>
      <c r="BK197" s="616">
        <f t="shared" si="434"/>
        <v>0</v>
      </c>
      <c r="BL197" s="620">
        <f t="shared" si="435"/>
        <v>83364</v>
      </c>
      <c r="BM197" s="616">
        <f t="shared" si="436"/>
        <v>64036</v>
      </c>
      <c r="BN197" s="618">
        <f t="shared" si="437"/>
        <v>49182.8</v>
      </c>
      <c r="BO197" s="618">
        <f t="shared" si="438"/>
        <v>14853.2</v>
      </c>
      <c r="BP197" s="616">
        <f t="shared" si="486"/>
        <v>3532</v>
      </c>
      <c r="BQ197" s="616">
        <f t="shared" si="487"/>
        <v>708</v>
      </c>
      <c r="BR197" s="616">
        <f t="shared" si="488"/>
        <v>3244</v>
      </c>
      <c r="BS197" s="616">
        <f t="shared" si="439"/>
        <v>7972</v>
      </c>
      <c r="BT197" s="616">
        <f t="shared" si="440"/>
        <v>416</v>
      </c>
      <c r="BU197" s="616">
        <f t="shared" si="441"/>
        <v>6916</v>
      </c>
      <c r="BV197" s="616">
        <f t="shared" si="442"/>
        <v>288</v>
      </c>
      <c r="BW197" s="616">
        <f t="shared" si="443"/>
        <v>352</v>
      </c>
      <c r="BX197" s="616">
        <f t="shared" si="444"/>
        <v>3431</v>
      </c>
      <c r="BY197" s="616">
        <f t="shared" si="445"/>
        <v>2320</v>
      </c>
      <c r="BZ197" s="616">
        <f t="shared" si="446"/>
        <v>216</v>
      </c>
      <c r="CA197" s="616">
        <f t="shared" si="447"/>
        <v>308</v>
      </c>
      <c r="CB197" s="616">
        <f t="shared" si="448"/>
        <v>32</v>
      </c>
      <c r="CC197" s="616">
        <f t="shared" si="449"/>
        <v>420</v>
      </c>
      <c r="CD197" s="616">
        <f t="shared" si="450"/>
        <v>16081</v>
      </c>
      <c r="CE197" s="618">
        <f t="shared" si="489"/>
        <v>12351</v>
      </c>
      <c r="CF197" s="618">
        <f t="shared" si="490"/>
        <v>3730</v>
      </c>
      <c r="CG197" s="616">
        <f t="shared" si="451"/>
        <v>0</v>
      </c>
      <c r="CH197" s="621">
        <f t="shared" si="452"/>
        <v>101592</v>
      </c>
      <c r="CI197" s="88">
        <f t="shared" si="453"/>
        <v>16009</v>
      </c>
      <c r="CJ197" s="90">
        <f t="shared" si="454"/>
        <v>12295.7</v>
      </c>
      <c r="CK197" s="90">
        <f t="shared" si="455"/>
        <v>3713.3</v>
      </c>
      <c r="CL197" s="88">
        <f t="shared" si="456"/>
        <v>883</v>
      </c>
      <c r="CM197" s="88">
        <f t="shared" si="457"/>
        <v>177</v>
      </c>
      <c r="CN197" s="88">
        <f t="shared" si="458"/>
        <v>811</v>
      </c>
      <c r="CO197" s="88">
        <f t="shared" si="459"/>
        <v>1993</v>
      </c>
      <c r="CP197" s="88">
        <f t="shared" si="460"/>
        <v>104</v>
      </c>
      <c r="CQ197" s="88">
        <f t="shared" si="461"/>
        <v>1729</v>
      </c>
      <c r="CR197" s="88">
        <f t="shared" si="462"/>
        <v>72</v>
      </c>
      <c r="CS197" s="88">
        <f t="shared" si="463"/>
        <v>88</v>
      </c>
      <c r="CT197" s="88">
        <f t="shared" si="464"/>
        <v>857.75</v>
      </c>
      <c r="CU197" s="88">
        <f t="shared" si="465"/>
        <v>580</v>
      </c>
      <c r="CV197" s="88">
        <f t="shared" si="466"/>
        <v>54</v>
      </c>
      <c r="CW197" s="88">
        <f t="shared" si="467"/>
        <v>77</v>
      </c>
      <c r="CX197" s="88">
        <f t="shared" si="468"/>
        <v>8</v>
      </c>
      <c r="CY197" s="88">
        <f t="shared" si="469"/>
        <v>105</v>
      </c>
      <c r="CZ197" s="88">
        <f t="shared" si="470"/>
        <v>4020.25</v>
      </c>
      <c r="DA197" s="90">
        <f t="shared" si="471"/>
        <v>3087.75</v>
      </c>
      <c r="DB197" s="90">
        <f t="shared" si="472"/>
        <v>932.5</v>
      </c>
      <c r="DC197" s="88">
        <f t="shared" si="473"/>
        <v>0</v>
      </c>
      <c r="DD197" s="88">
        <f t="shared" si="474"/>
        <v>25398</v>
      </c>
      <c r="AUV197" s="699">
        <f t="shared" si="409"/>
        <v>16009</v>
      </c>
      <c r="AUW197" s="699">
        <f t="shared" si="410"/>
        <v>12295.7</v>
      </c>
      <c r="AUX197" s="699">
        <f t="shared" si="411"/>
        <v>3713.3</v>
      </c>
      <c r="AUY197" s="699">
        <f t="shared" si="548"/>
        <v>883</v>
      </c>
      <c r="AUZ197" s="699">
        <f t="shared" si="475"/>
        <v>221.18</v>
      </c>
      <c r="AVA197" s="699">
        <f t="shared" si="475"/>
        <v>0.25</v>
      </c>
      <c r="AVB197" s="699">
        <f t="shared" si="549"/>
        <v>1993</v>
      </c>
      <c r="AVC197" s="699">
        <f t="shared" si="550"/>
        <v>104</v>
      </c>
      <c r="AVD197" s="699">
        <f t="shared" si="551"/>
        <v>1729</v>
      </c>
      <c r="AVE197" s="699">
        <f t="shared" si="552"/>
        <v>72</v>
      </c>
      <c r="AVF197" s="699">
        <f t="shared" si="553"/>
        <v>88</v>
      </c>
      <c r="AVG197" s="699">
        <f t="shared" si="554"/>
        <v>857.75</v>
      </c>
      <c r="AVH197" s="699">
        <f t="shared" si="555"/>
        <v>580</v>
      </c>
      <c r="AVI197" s="699">
        <f t="shared" si="556"/>
        <v>54</v>
      </c>
      <c r="AVJ197" s="699">
        <f t="shared" si="557"/>
        <v>77</v>
      </c>
      <c r="AVK197" s="699">
        <f t="shared" si="558"/>
        <v>8</v>
      </c>
      <c r="AVL197" s="699">
        <f t="shared" si="559"/>
        <v>105</v>
      </c>
      <c r="AVM197" s="699">
        <f t="shared" si="560"/>
        <v>4020.25</v>
      </c>
      <c r="AVN197" s="699">
        <f t="shared" si="561"/>
        <v>3087.75</v>
      </c>
      <c r="AVO197" s="699">
        <f t="shared" si="562"/>
        <v>932.5</v>
      </c>
      <c r="AVP197" s="699">
        <f t="shared" si="563"/>
        <v>0</v>
      </c>
      <c r="AVQ197" s="699">
        <f t="shared" si="564"/>
        <v>25398</v>
      </c>
    </row>
    <row r="198" spans="1:108 1244:1265" s="608" customFormat="1" ht="30" customHeight="1" x14ac:dyDescent="0.25">
      <c r="A198" s="634">
        <v>1</v>
      </c>
      <c r="B198" s="634">
        <v>11</v>
      </c>
      <c r="C198" s="633" t="s">
        <v>26</v>
      </c>
      <c r="D198" s="2"/>
      <c r="E198" s="602" t="s">
        <v>344</v>
      </c>
      <c r="F198" s="634" t="s">
        <v>31</v>
      </c>
      <c r="G198" s="634">
        <v>1</v>
      </c>
      <c r="H198" s="656" t="s">
        <v>10</v>
      </c>
      <c r="I198" s="634">
        <v>0</v>
      </c>
      <c r="J198" s="602" t="s">
        <v>373</v>
      </c>
      <c r="K198" s="634">
        <v>3</v>
      </c>
      <c r="L198" s="681" t="s">
        <v>349</v>
      </c>
      <c r="M198" s="601"/>
      <c r="N198" s="602" t="s">
        <v>401</v>
      </c>
      <c r="O198" s="634">
        <v>2</v>
      </c>
      <c r="P198" s="633">
        <v>1</v>
      </c>
      <c r="Q198" s="633">
        <v>1</v>
      </c>
      <c r="R198" s="633">
        <v>1</v>
      </c>
      <c r="S198" s="671">
        <f>'Территориальный кк'!D14</f>
        <v>1.2470000000000001</v>
      </c>
      <c r="T198" s="672">
        <f>'Территориальный кк'!E14</f>
        <v>3.2010000000000001</v>
      </c>
      <c r="U198" s="618">
        <f>SUMIFS(Нормативы!G:G,Нормативы!$B:$B,$G198,Нормативы!$D:$D,'2020'!$I198,Нормативы!$F:$F,'2020'!$K198)*O198</f>
        <v>128380</v>
      </c>
      <c r="V198" s="618">
        <f t="shared" ref="V198" si="579">ROUND(U198/1.302,1)</f>
        <v>98602.2</v>
      </c>
      <c r="W198" s="618">
        <f t="shared" ref="W198" si="580">U198-V198</f>
        <v>29777.8</v>
      </c>
      <c r="X198" s="618">
        <f>SUMIFS(Нормативы!J:J,Нормативы!$B:$B,$G198,Нормативы!$D:$D,'2020'!$I198,Нормативы!$F:$F,'2020'!$K198)</f>
        <v>8830</v>
      </c>
      <c r="Y198" s="618">
        <f>SUMIFS(Нормативы!K:K,Нормативы!$B:$B,$G198,Нормативы!$D:$D,'2020'!$I198,Нормативы!$F:$F,'2020'!$K198)</f>
        <v>1766</v>
      </c>
      <c r="Z198" s="618">
        <f>SUMIFS(Нормативы!L:L,Нормативы!$B:$B,$G198,Нормативы!$D:$D,'2020'!$I198,Нормативы!$F:$F,'2020'!$K198)</f>
        <v>8110</v>
      </c>
      <c r="AA198" s="618">
        <f t="shared" ref="AA198" si="581">AB198+AC198+AD198+AE198</f>
        <v>19930</v>
      </c>
      <c r="AB198" s="618">
        <f>SUMIFS(Нормативы!N:N,Нормативы!$B:$B,$G198,Нормативы!$D:$D,'2020'!$I198,Нормативы!$F:$F,'2020'!$K198)*O198</f>
        <v>1040</v>
      </c>
      <c r="AC198" s="618">
        <f>SUMIFS(Нормативы!O:O,Нормативы!$B:$B,$G198,Нормативы!$D:$D,'2020'!$I198,Нормативы!$F:$F,'2020'!$K198)</f>
        <v>17290</v>
      </c>
      <c r="AD198" s="618">
        <f>SUMIFS(Нормативы!P:P,Нормативы!$B:$B,$G198,Нормативы!$D:$D,'2020'!$I198,Нормативы!$F:$F,'2020'!$K198)*O198</f>
        <v>720</v>
      </c>
      <c r="AE198" s="618">
        <f>SUMIFS(Нормативы!Q:Q,Нормативы!$B:$B,$G198,Нормативы!$D:$D,'2020'!$I198,Нормативы!$F:$F,'2020'!$K198)</f>
        <v>880</v>
      </c>
      <c r="AF198" s="618">
        <f>SUMIFS(Нормативы!R:R,Нормативы!$B:$B,$G198,Нормативы!$D:$D,'2020'!$I198,Нормативы!$F:$F,'2020'!$K198)</f>
        <v>2680</v>
      </c>
      <c r="AG198" s="618">
        <f>SUMIFS(Нормативы!S:S,Нормативы!$B:$B,$G198,Нормативы!$D:$D,'2020'!$I198,Нормативы!$F:$F,'2020'!$K198)</f>
        <v>5800</v>
      </c>
      <c r="AH198" s="618">
        <f>SUMIFS(Нормативы!T:T,Нормативы!$B:$B,$G198,Нормативы!$D:$D,'2020'!$I198,Нормативы!$F:$F,'2020'!$K198)</f>
        <v>540</v>
      </c>
      <c r="AI198" s="618">
        <f>SUMIFS(Нормативы!U:U,Нормативы!$B:$B,$G198,Нормативы!$D:$D,'2020'!$I198,Нормативы!$F:$F,'2020'!$K198)</f>
        <v>770</v>
      </c>
      <c r="AJ198" s="618">
        <f>SUMIFS(Нормативы!V:V,Нормативы!$B:$B,$G198,Нормативы!$D:$D,'2020'!$I198,Нормативы!$F:$F,'2020'!$K198)</f>
        <v>80</v>
      </c>
      <c r="AK198" s="618">
        <f>SUMIFS(Нормативы!W:W,Нормативы!$B:$B,$G198,Нормативы!$D:$D,'2020'!$I198,Нормативы!$F:$F,'2020'!$K198)</f>
        <v>1050</v>
      </c>
      <c r="AL198" s="618">
        <f>SUMIFS(Нормативы!X:X,Нормативы!$B:$B,$G198,Нормативы!$D:$D,'2020'!$I198,Нормативы!$F:$F,'2020'!$K198)*O198</f>
        <v>32240</v>
      </c>
      <c r="AM198" s="618">
        <f t="shared" ref="AM198" si="582">ROUND(AL198/1.302,1)</f>
        <v>24761.9</v>
      </c>
      <c r="AN198" s="618">
        <f t="shared" ref="AN198" si="583">AL198-AM198</f>
        <v>7478.1</v>
      </c>
      <c r="AO198" s="618">
        <f>SUMIFS(Нормативы!AA:AA,Нормативы!$B:$B,$G198,Нормативы!$D:$D,'2020'!$I198,Нормативы!$F:$F,'2020'!$K198)</f>
        <v>3520</v>
      </c>
      <c r="AP198" s="619">
        <f t="shared" ref="AP198" si="584">U198+X198+Z198+AA198++AF198+AG198+AH198+AI198+AJ198+AK198+AL198+AO198</f>
        <v>211930</v>
      </c>
      <c r="AQ198" s="611">
        <f t="shared" si="418"/>
        <v>128380</v>
      </c>
      <c r="AR198" s="622">
        <f t="shared" si="482"/>
        <v>98602.2</v>
      </c>
      <c r="AS198" s="622">
        <f t="shared" si="483"/>
        <v>29777.8</v>
      </c>
      <c r="AT198" s="614">
        <f t="shared" si="419"/>
        <v>8830</v>
      </c>
      <c r="AU198" s="614">
        <f t="shared" si="420"/>
        <v>1766</v>
      </c>
      <c r="AV198" s="614">
        <f t="shared" si="421"/>
        <v>8110</v>
      </c>
      <c r="AW198" s="614">
        <f t="shared" si="422"/>
        <v>19930</v>
      </c>
      <c r="AX198" s="614">
        <f t="shared" si="423"/>
        <v>1040</v>
      </c>
      <c r="AY198" s="614">
        <f t="shared" si="424"/>
        <v>17290</v>
      </c>
      <c r="AZ198" s="614">
        <f t="shared" si="425"/>
        <v>720</v>
      </c>
      <c r="BA198" s="614">
        <f t="shared" si="426"/>
        <v>880</v>
      </c>
      <c r="BB198" s="614">
        <f t="shared" si="427"/>
        <v>2680</v>
      </c>
      <c r="BC198" s="614">
        <f t="shared" si="428"/>
        <v>5800</v>
      </c>
      <c r="BD198" s="614">
        <f t="shared" si="429"/>
        <v>540</v>
      </c>
      <c r="BE198" s="614">
        <f t="shared" si="430"/>
        <v>770</v>
      </c>
      <c r="BF198" s="614">
        <f t="shared" si="431"/>
        <v>80</v>
      </c>
      <c r="BG198" s="614">
        <f t="shared" si="432"/>
        <v>1050</v>
      </c>
      <c r="BH198" s="614">
        <f t="shared" si="433"/>
        <v>32240</v>
      </c>
      <c r="BI198" s="622">
        <f t="shared" si="484"/>
        <v>24761.9</v>
      </c>
      <c r="BJ198" s="622">
        <f t="shared" si="485"/>
        <v>7478.1</v>
      </c>
      <c r="BK198" s="614">
        <f t="shared" si="434"/>
        <v>3520</v>
      </c>
      <c r="BL198" s="620">
        <f t="shared" si="435"/>
        <v>211930</v>
      </c>
      <c r="BM198" s="614">
        <f t="shared" si="436"/>
        <v>160090</v>
      </c>
      <c r="BN198" s="622">
        <f t="shared" si="437"/>
        <v>122957</v>
      </c>
      <c r="BO198" s="622">
        <f t="shared" si="438"/>
        <v>37133</v>
      </c>
      <c r="BP198" s="614">
        <f t="shared" si="486"/>
        <v>8830</v>
      </c>
      <c r="BQ198" s="614">
        <f t="shared" si="487"/>
        <v>1766</v>
      </c>
      <c r="BR198" s="614">
        <f t="shared" si="488"/>
        <v>8110</v>
      </c>
      <c r="BS198" s="614">
        <f t="shared" si="439"/>
        <v>19930</v>
      </c>
      <c r="BT198" s="614">
        <f t="shared" si="440"/>
        <v>1040</v>
      </c>
      <c r="BU198" s="614">
        <f t="shared" si="441"/>
        <v>17290</v>
      </c>
      <c r="BV198" s="614">
        <f t="shared" si="442"/>
        <v>720</v>
      </c>
      <c r="BW198" s="614">
        <f t="shared" si="443"/>
        <v>880</v>
      </c>
      <c r="BX198" s="614">
        <f t="shared" ref="BX198" si="585">BB198</f>
        <v>2680</v>
      </c>
      <c r="BY198" s="614">
        <f t="shared" si="445"/>
        <v>5800</v>
      </c>
      <c r="BZ198" s="614">
        <f t="shared" si="446"/>
        <v>540</v>
      </c>
      <c r="CA198" s="614">
        <f t="shared" si="447"/>
        <v>770</v>
      </c>
      <c r="CB198" s="614">
        <f t="shared" si="448"/>
        <v>80</v>
      </c>
      <c r="CC198" s="614">
        <f t="shared" si="449"/>
        <v>1050</v>
      </c>
      <c r="CD198" s="614">
        <f t="shared" si="450"/>
        <v>40203</v>
      </c>
      <c r="CE198" s="622">
        <f t="shared" si="489"/>
        <v>30877.9</v>
      </c>
      <c r="CF198" s="622">
        <f t="shared" si="490"/>
        <v>9325.1</v>
      </c>
      <c r="CG198" s="614">
        <f t="shared" si="451"/>
        <v>3520</v>
      </c>
      <c r="CH198" s="621">
        <f t="shared" si="452"/>
        <v>251603</v>
      </c>
      <c r="CI198" s="607"/>
      <c r="CJ198" s="607"/>
      <c r="CK198" s="607"/>
      <c r="CL198" s="607"/>
      <c r="CM198" s="607"/>
      <c r="CN198" s="607"/>
      <c r="CO198" s="607"/>
      <c r="CP198" s="607"/>
      <c r="CQ198" s="607"/>
      <c r="CR198" s="607"/>
      <c r="CS198" s="607"/>
      <c r="CT198" s="607"/>
      <c r="CU198" s="607"/>
      <c r="CV198" s="607"/>
      <c r="CW198" s="607"/>
      <c r="CX198" s="607"/>
      <c r="CY198" s="607"/>
      <c r="CZ198" s="607"/>
      <c r="DA198" s="607"/>
      <c r="DB198" s="607"/>
      <c r="DC198" s="607"/>
      <c r="DD198" s="607"/>
      <c r="AUV198" s="699">
        <f t="shared" ref="AUV198:AUV261" si="586">BM198/P198</f>
        <v>160090</v>
      </c>
      <c r="AUW198" s="699">
        <f t="shared" ref="AUW198:AUW261" si="587">AUV198/1.302</f>
        <v>122956.99</v>
      </c>
      <c r="AUX198" s="699">
        <f t="shared" ref="AUX198:AUX261" si="588">AUV198-AUW198</f>
        <v>37133.01</v>
      </c>
      <c r="AUY198" s="699">
        <f t="shared" si="548"/>
        <v>8830</v>
      </c>
      <c r="AUZ198" s="699">
        <f t="shared" si="475"/>
        <v>551.70000000000005</v>
      </c>
      <c r="AVA198" s="699">
        <f t="shared" si="475"/>
        <v>0.06</v>
      </c>
      <c r="AVB198" s="699">
        <f t="shared" si="549"/>
        <v>19930</v>
      </c>
      <c r="AVC198" s="699">
        <f t="shared" si="550"/>
        <v>1040</v>
      </c>
      <c r="AVD198" s="699">
        <f t="shared" si="551"/>
        <v>17290</v>
      </c>
      <c r="AVE198" s="699">
        <f t="shared" si="552"/>
        <v>720</v>
      </c>
      <c r="AVF198" s="699">
        <f t="shared" si="553"/>
        <v>880</v>
      </c>
      <c r="AVG198" s="699">
        <f t="shared" si="554"/>
        <v>2680</v>
      </c>
      <c r="AVH198" s="699">
        <f t="shared" si="555"/>
        <v>5800</v>
      </c>
      <c r="AVI198" s="699">
        <f t="shared" si="556"/>
        <v>540</v>
      </c>
      <c r="AVJ198" s="699">
        <f t="shared" si="557"/>
        <v>770</v>
      </c>
      <c r="AVK198" s="699">
        <f t="shared" si="558"/>
        <v>80</v>
      </c>
      <c r="AVL198" s="699">
        <f t="shared" si="559"/>
        <v>1050</v>
      </c>
      <c r="AVM198" s="699">
        <f t="shared" si="560"/>
        <v>40203</v>
      </c>
      <c r="AVN198" s="699">
        <f t="shared" si="561"/>
        <v>30877.88</v>
      </c>
      <c r="AVO198" s="699">
        <f t="shared" si="562"/>
        <v>9325.1200000000008</v>
      </c>
      <c r="AVP198" s="699">
        <f t="shared" si="563"/>
        <v>3520</v>
      </c>
      <c r="AVQ198" s="699">
        <f t="shared" si="564"/>
        <v>251603</v>
      </c>
    </row>
    <row r="199" spans="1:108 1244:1265" ht="30" customHeight="1" x14ac:dyDescent="0.25">
      <c r="A199" s="643">
        <v>1</v>
      </c>
      <c r="B199" s="643">
        <v>11</v>
      </c>
      <c r="C199" s="664" t="s">
        <v>26</v>
      </c>
      <c r="D199" s="2"/>
      <c r="E199" s="101" t="s">
        <v>344</v>
      </c>
      <c r="F199" s="643" t="s">
        <v>31</v>
      </c>
      <c r="G199" s="643">
        <v>1</v>
      </c>
      <c r="H199" s="658" t="s">
        <v>10</v>
      </c>
      <c r="I199" s="643">
        <v>0</v>
      </c>
      <c r="J199" s="101" t="s">
        <v>373</v>
      </c>
      <c r="K199" s="643">
        <v>3</v>
      </c>
      <c r="L199" s="683" t="s">
        <v>349</v>
      </c>
      <c r="M199" s="11" t="s">
        <v>281</v>
      </c>
      <c r="N199" s="101" t="s">
        <v>387</v>
      </c>
      <c r="O199" s="643">
        <v>1</v>
      </c>
      <c r="P199" s="632">
        <v>38</v>
      </c>
      <c r="Q199" s="632">
        <v>38</v>
      </c>
      <c r="R199" s="632">
        <v>38</v>
      </c>
      <c r="S199" s="675">
        <f>SUMIF('Территориальный кк'!$A:$A,'2020'!$B199,'Территориальный кк'!D:D)</f>
        <v>1.2470000000000001</v>
      </c>
      <c r="T199" s="676">
        <f>SUMIF('Территориальный кк'!$A:$A,'2020'!$B199,'Территориальный кк'!E:E)</f>
        <v>3.2010000000000001</v>
      </c>
      <c r="U199" s="618">
        <f>SUMIFS(Нормативы!G:G,Нормативы!$B:$B,$G199,Нормативы!$D:$D,'2020'!$I199,Нормативы!$F:$F,'2020'!$K199)*O199</f>
        <v>64190</v>
      </c>
      <c r="V199" s="618">
        <f t="shared" si="476"/>
        <v>49301.1</v>
      </c>
      <c r="W199" s="618">
        <f t="shared" si="477"/>
        <v>14888.9</v>
      </c>
      <c r="X199" s="618">
        <f>SUMIFS(Нормативы!J:J,Нормативы!$B:$B,$G199,Нормативы!$D:$D,'2020'!$I199,Нормативы!$F:$F,'2020'!$K199)</f>
        <v>8830</v>
      </c>
      <c r="Y199" s="618">
        <f>SUMIFS(Нормативы!K:K,Нормативы!$B:$B,$G199,Нормативы!$D:$D,'2020'!$I199,Нормативы!$F:$F,'2020'!$K199)</f>
        <v>1766</v>
      </c>
      <c r="Z199" s="618">
        <f>SUMIFS(Нормативы!L:L,Нормативы!$B:$B,$G199,Нормативы!$D:$D,'2020'!$I199,Нормативы!$F:$F,'2020'!$K199)</f>
        <v>8110</v>
      </c>
      <c r="AA199" s="618">
        <f t="shared" si="478"/>
        <v>19050</v>
      </c>
      <c r="AB199" s="618">
        <f>SUMIFS(Нормативы!N:N,Нормативы!$B:$B,$G199,Нормативы!$D:$D,'2020'!$I199,Нормативы!$F:$F,'2020'!$K199)*O199</f>
        <v>520</v>
      </c>
      <c r="AC199" s="618">
        <f>SUMIFS(Нормативы!O:O,Нормативы!$B:$B,$G199,Нормативы!$D:$D,'2020'!$I199,Нормативы!$F:$F,'2020'!$K199)</f>
        <v>17290</v>
      </c>
      <c r="AD199" s="618">
        <f>SUMIFS(Нормативы!P:P,Нормативы!$B:$B,$G199,Нормативы!$D:$D,'2020'!$I199,Нормативы!$F:$F,'2020'!$K199)*O199</f>
        <v>360</v>
      </c>
      <c r="AE199" s="618">
        <f>SUMIFS(Нормативы!Q:Q,Нормативы!$B:$B,$G199,Нормативы!$D:$D,'2020'!$I199,Нормативы!$F:$F,'2020'!$K199)</f>
        <v>880</v>
      </c>
      <c r="AF199" s="618">
        <f>SUMIFS(Нормативы!R:R,Нормативы!$B:$B,$G199,Нормативы!$D:$D,'2020'!$I199,Нормативы!$F:$F,'2020'!$K199)</f>
        <v>2680</v>
      </c>
      <c r="AG199" s="618">
        <f>SUMIFS(Нормативы!S:S,Нормативы!$B:$B,$G199,Нормативы!$D:$D,'2020'!$I199,Нормативы!$F:$F,'2020'!$K199)</f>
        <v>5800</v>
      </c>
      <c r="AH199" s="618">
        <f>SUMIFS(Нормативы!T:T,Нормативы!$B:$B,$G199,Нормативы!$D:$D,'2020'!$I199,Нормативы!$F:$F,'2020'!$K199)</f>
        <v>540</v>
      </c>
      <c r="AI199" s="618">
        <f>SUMIFS(Нормативы!U:U,Нормативы!$B:$B,$G199,Нормативы!$D:$D,'2020'!$I199,Нормативы!$F:$F,'2020'!$K199)</f>
        <v>770</v>
      </c>
      <c r="AJ199" s="618">
        <f>SUMIFS(Нормативы!V:V,Нормативы!$B:$B,$G199,Нормативы!$D:$D,'2020'!$I199,Нормативы!$F:$F,'2020'!$K199)</f>
        <v>80</v>
      </c>
      <c r="AK199" s="618">
        <f>SUMIFS(Нормативы!W:W,Нормативы!$B:$B,$G199,Нормативы!$D:$D,'2020'!$I199,Нормативы!$F:$F,'2020'!$K199)</f>
        <v>1050</v>
      </c>
      <c r="AL199" s="618">
        <f>SUMIFS(Нормативы!X:X,Нормативы!$B:$B,$G199,Нормативы!$D:$D,'2020'!$I199,Нормативы!$F:$F,'2020'!$K199)*O199</f>
        <v>16120</v>
      </c>
      <c r="AM199" s="618">
        <f t="shared" si="479"/>
        <v>12381</v>
      </c>
      <c r="AN199" s="618">
        <f t="shared" si="480"/>
        <v>3739</v>
      </c>
      <c r="AO199" s="618">
        <f>SUMIFS(Нормативы!AA:AA,Нормативы!$B:$B,$G199,Нормативы!$D:$D,'2020'!$I199,Нормативы!$F:$F,'2020'!$K199)</f>
        <v>3520</v>
      </c>
      <c r="AP199" s="619">
        <f t="shared" si="481"/>
        <v>130740</v>
      </c>
      <c r="AQ199" s="413">
        <f t="shared" si="418"/>
        <v>2439220</v>
      </c>
      <c r="AR199" s="618">
        <f t="shared" si="482"/>
        <v>1873440.9</v>
      </c>
      <c r="AS199" s="618">
        <f t="shared" si="483"/>
        <v>565779.1</v>
      </c>
      <c r="AT199" s="616">
        <f t="shared" si="419"/>
        <v>335540</v>
      </c>
      <c r="AU199" s="616">
        <f t="shared" si="420"/>
        <v>67108</v>
      </c>
      <c r="AV199" s="616">
        <f t="shared" si="421"/>
        <v>308180</v>
      </c>
      <c r="AW199" s="616">
        <f t="shared" si="422"/>
        <v>723900</v>
      </c>
      <c r="AX199" s="616">
        <f t="shared" si="423"/>
        <v>19760</v>
      </c>
      <c r="AY199" s="616">
        <f t="shared" si="424"/>
        <v>657020</v>
      </c>
      <c r="AZ199" s="616">
        <f t="shared" si="425"/>
        <v>13680</v>
      </c>
      <c r="BA199" s="616">
        <f t="shared" si="426"/>
        <v>33440</v>
      </c>
      <c r="BB199" s="616">
        <f t="shared" si="427"/>
        <v>101840</v>
      </c>
      <c r="BC199" s="616">
        <f t="shared" si="428"/>
        <v>220400</v>
      </c>
      <c r="BD199" s="616">
        <f t="shared" si="429"/>
        <v>20520</v>
      </c>
      <c r="BE199" s="616">
        <f t="shared" si="430"/>
        <v>29260</v>
      </c>
      <c r="BF199" s="616">
        <f t="shared" si="431"/>
        <v>3040</v>
      </c>
      <c r="BG199" s="616">
        <f t="shared" si="432"/>
        <v>39900</v>
      </c>
      <c r="BH199" s="616">
        <f t="shared" si="433"/>
        <v>612560</v>
      </c>
      <c r="BI199" s="618">
        <f t="shared" si="484"/>
        <v>470476.2</v>
      </c>
      <c r="BJ199" s="618">
        <f t="shared" si="485"/>
        <v>142083.79999999999</v>
      </c>
      <c r="BK199" s="616">
        <f t="shared" si="434"/>
        <v>133760</v>
      </c>
      <c r="BL199" s="620">
        <f t="shared" si="435"/>
        <v>4968120</v>
      </c>
      <c r="BM199" s="616">
        <f t="shared" si="436"/>
        <v>3041707</v>
      </c>
      <c r="BN199" s="618">
        <f t="shared" si="437"/>
        <v>2336180.5</v>
      </c>
      <c r="BO199" s="618">
        <f t="shared" si="438"/>
        <v>705526.5</v>
      </c>
      <c r="BP199" s="616">
        <f t="shared" si="486"/>
        <v>335540</v>
      </c>
      <c r="BQ199" s="616">
        <f t="shared" si="487"/>
        <v>67108</v>
      </c>
      <c r="BR199" s="616">
        <f t="shared" si="488"/>
        <v>308180</v>
      </c>
      <c r="BS199" s="616">
        <f t="shared" si="439"/>
        <v>723900</v>
      </c>
      <c r="BT199" s="616">
        <f t="shared" si="440"/>
        <v>19760</v>
      </c>
      <c r="BU199" s="616">
        <f t="shared" si="441"/>
        <v>657020</v>
      </c>
      <c r="BV199" s="616">
        <f t="shared" si="442"/>
        <v>13680</v>
      </c>
      <c r="BW199" s="616">
        <f t="shared" si="443"/>
        <v>33440</v>
      </c>
      <c r="BX199" s="616">
        <f t="shared" si="444"/>
        <v>325990</v>
      </c>
      <c r="BY199" s="616">
        <f t="shared" si="445"/>
        <v>220400</v>
      </c>
      <c r="BZ199" s="616">
        <f t="shared" si="446"/>
        <v>20520</v>
      </c>
      <c r="CA199" s="616">
        <f t="shared" si="447"/>
        <v>29260</v>
      </c>
      <c r="CB199" s="616">
        <f t="shared" si="448"/>
        <v>3040</v>
      </c>
      <c r="CC199" s="616">
        <f t="shared" si="449"/>
        <v>39900</v>
      </c>
      <c r="CD199" s="616">
        <f t="shared" si="450"/>
        <v>763862</v>
      </c>
      <c r="CE199" s="618">
        <f t="shared" si="489"/>
        <v>586683.6</v>
      </c>
      <c r="CF199" s="618">
        <f t="shared" si="490"/>
        <v>177178.4</v>
      </c>
      <c r="CG199" s="616">
        <f t="shared" si="451"/>
        <v>133760</v>
      </c>
      <c r="CH199" s="621">
        <f t="shared" si="452"/>
        <v>5946059</v>
      </c>
      <c r="CI199" s="88">
        <f t="shared" si="453"/>
        <v>80044.921100000007</v>
      </c>
      <c r="CJ199" s="90">
        <f t="shared" si="454"/>
        <v>61478.434200000003</v>
      </c>
      <c r="CK199" s="90">
        <f t="shared" si="455"/>
        <v>18566.486799999999</v>
      </c>
      <c r="CL199" s="88">
        <f t="shared" si="456"/>
        <v>8830</v>
      </c>
      <c r="CM199" s="88">
        <f t="shared" si="457"/>
        <v>1766</v>
      </c>
      <c r="CN199" s="88">
        <f t="shared" si="458"/>
        <v>8110</v>
      </c>
      <c r="CO199" s="88">
        <f t="shared" si="459"/>
        <v>19050</v>
      </c>
      <c r="CP199" s="88">
        <f t="shared" si="460"/>
        <v>520</v>
      </c>
      <c r="CQ199" s="88">
        <f t="shared" si="461"/>
        <v>17290</v>
      </c>
      <c r="CR199" s="88">
        <f t="shared" si="462"/>
        <v>360</v>
      </c>
      <c r="CS199" s="88">
        <f t="shared" si="463"/>
        <v>880</v>
      </c>
      <c r="CT199" s="88">
        <f t="shared" si="464"/>
        <v>8578.6841999999997</v>
      </c>
      <c r="CU199" s="88">
        <f t="shared" si="465"/>
        <v>5800</v>
      </c>
      <c r="CV199" s="88">
        <f t="shared" si="466"/>
        <v>540</v>
      </c>
      <c r="CW199" s="88">
        <f t="shared" si="467"/>
        <v>770</v>
      </c>
      <c r="CX199" s="88">
        <f t="shared" si="468"/>
        <v>80</v>
      </c>
      <c r="CY199" s="88">
        <f t="shared" si="469"/>
        <v>1050</v>
      </c>
      <c r="CZ199" s="88">
        <f t="shared" si="470"/>
        <v>20101.631600000001</v>
      </c>
      <c r="DA199" s="90">
        <f t="shared" si="471"/>
        <v>15439.042100000001</v>
      </c>
      <c r="DB199" s="90">
        <f t="shared" si="472"/>
        <v>4662.5895</v>
      </c>
      <c r="DC199" s="88">
        <f t="shared" si="473"/>
        <v>3520</v>
      </c>
      <c r="DD199" s="88">
        <f t="shared" si="474"/>
        <v>156475.23680000001</v>
      </c>
      <c r="AUV199" s="699">
        <f t="shared" si="586"/>
        <v>80044.92</v>
      </c>
      <c r="AUW199" s="699">
        <f t="shared" si="587"/>
        <v>61478.43</v>
      </c>
      <c r="AUX199" s="699">
        <f t="shared" si="588"/>
        <v>18566.490000000002</v>
      </c>
      <c r="AUY199" s="699">
        <f t="shared" si="548"/>
        <v>8830</v>
      </c>
      <c r="AUZ199" s="699">
        <f t="shared" si="475"/>
        <v>20964.7</v>
      </c>
      <c r="AVA199" s="699">
        <f t="shared" si="475"/>
        <v>4.8</v>
      </c>
      <c r="AVB199" s="699">
        <f t="shared" si="549"/>
        <v>19050</v>
      </c>
      <c r="AVC199" s="699">
        <f t="shared" si="550"/>
        <v>520</v>
      </c>
      <c r="AVD199" s="699">
        <f t="shared" si="551"/>
        <v>17290</v>
      </c>
      <c r="AVE199" s="699">
        <f t="shared" si="552"/>
        <v>360</v>
      </c>
      <c r="AVF199" s="699">
        <f t="shared" si="553"/>
        <v>880</v>
      </c>
      <c r="AVG199" s="699">
        <f t="shared" si="554"/>
        <v>8578.68</v>
      </c>
      <c r="AVH199" s="699">
        <f t="shared" si="555"/>
        <v>5800</v>
      </c>
      <c r="AVI199" s="699">
        <f t="shared" si="556"/>
        <v>540</v>
      </c>
      <c r="AVJ199" s="699">
        <f t="shared" si="557"/>
        <v>770</v>
      </c>
      <c r="AVK199" s="699">
        <f t="shared" si="558"/>
        <v>80</v>
      </c>
      <c r="AVL199" s="699">
        <f t="shared" si="559"/>
        <v>1050</v>
      </c>
      <c r="AVM199" s="699">
        <f t="shared" si="560"/>
        <v>20101.63</v>
      </c>
      <c r="AVN199" s="699">
        <f t="shared" si="561"/>
        <v>15439.04</v>
      </c>
      <c r="AVO199" s="699">
        <f t="shared" si="562"/>
        <v>4662.59</v>
      </c>
      <c r="AVP199" s="699">
        <f t="shared" si="563"/>
        <v>3520</v>
      </c>
      <c r="AVQ199" s="699">
        <f t="shared" si="564"/>
        <v>156475.24</v>
      </c>
    </row>
    <row r="200" spans="1:108 1244:1265" ht="30" customHeight="1" x14ac:dyDescent="0.25">
      <c r="A200" s="643">
        <v>1</v>
      </c>
      <c r="B200" s="643">
        <v>11</v>
      </c>
      <c r="C200" s="664" t="s">
        <v>26</v>
      </c>
      <c r="D200" s="2"/>
      <c r="E200" s="101" t="s">
        <v>344</v>
      </c>
      <c r="F200" s="643" t="s">
        <v>31</v>
      </c>
      <c r="G200" s="643">
        <v>1</v>
      </c>
      <c r="H200" s="658" t="s">
        <v>8</v>
      </c>
      <c r="I200" s="643">
        <v>3</v>
      </c>
      <c r="J200" s="101" t="s">
        <v>373</v>
      </c>
      <c r="K200" s="643">
        <v>3</v>
      </c>
      <c r="L200" s="683" t="s">
        <v>349</v>
      </c>
      <c r="M200" s="11" t="s">
        <v>282</v>
      </c>
      <c r="N200" s="101" t="s">
        <v>387</v>
      </c>
      <c r="O200" s="643">
        <v>1</v>
      </c>
      <c r="P200" s="632">
        <v>23</v>
      </c>
      <c r="Q200" s="632">
        <v>23</v>
      </c>
      <c r="R200" s="632">
        <v>23</v>
      </c>
      <c r="S200" s="675">
        <f>SUMIF('Территориальный кк'!$A:$A,'2020'!$B200,'Территориальный кк'!D:D)</f>
        <v>1.2470000000000001</v>
      </c>
      <c r="T200" s="676">
        <f>SUMIF('Территориальный кк'!$A:$A,'2020'!$B200,'Территориальный кк'!E:E)</f>
        <v>3.2010000000000001</v>
      </c>
      <c r="U200" s="618">
        <f>SUMIFS(Нормативы!G:G,Нормативы!$B:$B,$G200,Нормативы!$D:$D,'2020'!$I200,Нормативы!$F:$F,'2020'!$K200)*O200</f>
        <v>6419</v>
      </c>
      <c r="V200" s="618">
        <f t="shared" si="476"/>
        <v>4930.1000000000004</v>
      </c>
      <c r="W200" s="618">
        <f t="shared" si="477"/>
        <v>1488.9</v>
      </c>
      <c r="X200" s="618">
        <f>SUMIFS(Нормативы!J:J,Нормативы!$B:$B,$G200,Нормативы!$D:$D,'2020'!$I200,Нормативы!$F:$F,'2020'!$K200)</f>
        <v>883</v>
      </c>
      <c r="Y200" s="618">
        <f>SUMIFS(Нормативы!K:K,Нормативы!$B:$B,$G200,Нормативы!$D:$D,'2020'!$I200,Нормативы!$F:$F,'2020'!$K200)</f>
        <v>177</v>
      </c>
      <c r="Z200" s="618">
        <f>SUMIFS(Нормативы!L:L,Нормативы!$B:$B,$G200,Нормативы!$D:$D,'2020'!$I200,Нормативы!$F:$F,'2020'!$K200)</f>
        <v>811</v>
      </c>
      <c r="AA200" s="618">
        <f t="shared" si="478"/>
        <v>1905</v>
      </c>
      <c r="AB200" s="618">
        <f>SUMIFS(Нормативы!N:N,Нормативы!$B:$B,$G200,Нормативы!$D:$D,'2020'!$I200,Нормативы!$F:$F,'2020'!$K200)*O200</f>
        <v>52</v>
      </c>
      <c r="AC200" s="618">
        <f>SUMIFS(Нормативы!O:O,Нормативы!$B:$B,$G200,Нормативы!$D:$D,'2020'!$I200,Нормативы!$F:$F,'2020'!$K200)</f>
        <v>1729</v>
      </c>
      <c r="AD200" s="618">
        <f>SUMIFS(Нормативы!P:P,Нормативы!$B:$B,$G200,Нормативы!$D:$D,'2020'!$I200,Нормативы!$F:$F,'2020'!$K200)*O200</f>
        <v>36</v>
      </c>
      <c r="AE200" s="618">
        <f>SUMIFS(Нормативы!Q:Q,Нормативы!$B:$B,$G200,Нормативы!$D:$D,'2020'!$I200,Нормативы!$F:$F,'2020'!$K200)</f>
        <v>88</v>
      </c>
      <c r="AF200" s="618">
        <f>SUMIFS(Нормативы!R:R,Нормативы!$B:$B,$G200,Нормативы!$D:$D,'2020'!$I200,Нормативы!$F:$F,'2020'!$K200)</f>
        <v>268</v>
      </c>
      <c r="AG200" s="618">
        <f>SUMIFS(Нормативы!S:S,Нормативы!$B:$B,$G200,Нормативы!$D:$D,'2020'!$I200,Нормативы!$F:$F,'2020'!$K200)</f>
        <v>580</v>
      </c>
      <c r="AH200" s="618">
        <f>SUMIFS(Нормативы!T:T,Нормативы!$B:$B,$G200,Нормативы!$D:$D,'2020'!$I200,Нормативы!$F:$F,'2020'!$K200)</f>
        <v>54</v>
      </c>
      <c r="AI200" s="618">
        <f>SUMIFS(Нормативы!U:U,Нормативы!$B:$B,$G200,Нормативы!$D:$D,'2020'!$I200,Нормативы!$F:$F,'2020'!$K200)</f>
        <v>77</v>
      </c>
      <c r="AJ200" s="618">
        <f>SUMIFS(Нормативы!V:V,Нормативы!$B:$B,$G200,Нормативы!$D:$D,'2020'!$I200,Нормативы!$F:$F,'2020'!$K200)</f>
        <v>8</v>
      </c>
      <c r="AK200" s="618">
        <f>SUMIFS(Нормативы!W:W,Нормативы!$B:$B,$G200,Нормативы!$D:$D,'2020'!$I200,Нормативы!$F:$F,'2020'!$K200)</f>
        <v>105</v>
      </c>
      <c r="AL200" s="618">
        <f>SUMIFS(Нормативы!X:X,Нормативы!$B:$B,$G200,Нормативы!$D:$D,'2020'!$I200,Нормативы!$F:$F,'2020'!$K200)*O200</f>
        <v>1612</v>
      </c>
      <c r="AM200" s="618">
        <f t="shared" si="479"/>
        <v>1238.0999999999999</v>
      </c>
      <c r="AN200" s="618">
        <f t="shared" si="480"/>
        <v>373.9</v>
      </c>
      <c r="AO200" s="618">
        <f>SUMIFS(Нормативы!AA:AA,Нормативы!$B:$B,$G200,Нормативы!$D:$D,'2020'!$I200,Нормативы!$F:$F,'2020'!$K200)</f>
        <v>0</v>
      </c>
      <c r="AP200" s="619">
        <f t="shared" si="481"/>
        <v>12722</v>
      </c>
      <c r="AQ200" s="413">
        <f t="shared" si="418"/>
        <v>147637</v>
      </c>
      <c r="AR200" s="618">
        <f t="shared" si="482"/>
        <v>113392.5</v>
      </c>
      <c r="AS200" s="618">
        <f t="shared" si="483"/>
        <v>34244.5</v>
      </c>
      <c r="AT200" s="616">
        <f t="shared" si="419"/>
        <v>20309</v>
      </c>
      <c r="AU200" s="616">
        <f t="shared" si="420"/>
        <v>4071</v>
      </c>
      <c r="AV200" s="616">
        <f t="shared" si="421"/>
        <v>18653</v>
      </c>
      <c r="AW200" s="616">
        <f t="shared" si="422"/>
        <v>43815</v>
      </c>
      <c r="AX200" s="616">
        <f t="shared" si="423"/>
        <v>1196</v>
      </c>
      <c r="AY200" s="616">
        <f t="shared" si="424"/>
        <v>39767</v>
      </c>
      <c r="AZ200" s="616">
        <f t="shared" si="425"/>
        <v>828</v>
      </c>
      <c r="BA200" s="616">
        <f t="shared" si="426"/>
        <v>2024</v>
      </c>
      <c r="BB200" s="616">
        <f t="shared" si="427"/>
        <v>6164</v>
      </c>
      <c r="BC200" s="616">
        <f t="shared" si="428"/>
        <v>13340</v>
      </c>
      <c r="BD200" s="616">
        <f t="shared" si="429"/>
        <v>1242</v>
      </c>
      <c r="BE200" s="616">
        <f t="shared" si="430"/>
        <v>1771</v>
      </c>
      <c r="BF200" s="616">
        <f t="shared" si="431"/>
        <v>184</v>
      </c>
      <c r="BG200" s="616">
        <f t="shared" si="432"/>
        <v>2415</v>
      </c>
      <c r="BH200" s="616">
        <f t="shared" si="433"/>
        <v>37076</v>
      </c>
      <c r="BI200" s="618">
        <f t="shared" si="484"/>
        <v>28476.2</v>
      </c>
      <c r="BJ200" s="618">
        <f t="shared" si="485"/>
        <v>8599.7999999999993</v>
      </c>
      <c r="BK200" s="616">
        <f t="shared" si="434"/>
        <v>0</v>
      </c>
      <c r="BL200" s="620">
        <f t="shared" si="435"/>
        <v>292606</v>
      </c>
      <c r="BM200" s="616">
        <f t="shared" si="436"/>
        <v>184103</v>
      </c>
      <c r="BN200" s="618">
        <f t="shared" si="437"/>
        <v>141400.20000000001</v>
      </c>
      <c r="BO200" s="618">
        <f t="shared" si="438"/>
        <v>42702.8</v>
      </c>
      <c r="BP200" s="616">
        <f t="shared" si="486"/>
        <v>20309</v>
      </c>
      <c r="BQ200" s="616">
        <f t="shared" si="487"/>
        <v>4071</v>
      </c>
      <c r="BR200" s="616">
        <f t="shared" si="488"/>
        <v>18653</v>
      </c>
      <c r="BS200" s="616">
        <f t="shared" si="439"/>
        <v>43815</v>
      </c>
      <c r="BT200" s="616">
        <f t="shared" si="440"/>
        <v>1196</v>
      </c>
      <c r="BU200" s="616">
        <f t="shared" si="441"/>
        <v>39767</v>
      </c>
      <c r="BV200" s="616">
        <f t="shared" si="442"/>
        <v>828</v>
      </c>
      <c r="BW200" s="616">
        <f t="shared" si="443"/>
        <v>2024</v>
      </c>
      <c r="BX200" s="616">
        <f t="shared" si="444"/>
        <v>19731</v>
      </c>
      <c r="BY200" s="616">
        <f t="shared" si="445"/>
        <v>13340</v>
      </c>
      <c r="BZ200" s="616">
        <f t="shared" si="446"/>
        <v>1242</v>
      </c>
      <c r="CA200" s="616">
        <f t="shared" si="447"/>
        <v>1771</v>
      </c>
      <c r="CB200" s="616">
        <f t="shared" si="448"/>
        <v>184</v>
      </c>
      <c r="CC200" s="616">
        <f t="shared" si="449"/>
        <v>2415</v>
      </c>
      <c r="CD200" s="616">
        <f t="shared" si="450"/>
        <v>46234</v>
      </c>
      <c r="CE200" s="618">
        <f t="shared" si="489"/>
        <v>35510</v>
      </c>
      <c r="CF200" s="618">
        <f t="shared" si="490"/>
        <v>10724</v>
      </c>
      <c r="CG200" s="616">
        <f t="shared" si="451"/>
        <v>0</v>
      </c>
      <c r="CH200" s="621">
        <f t="shared" si="452"/>
        <v>351797</v>
      </c>
      <c r="CI200" s="88">
        <f t="shared" si="453"/>
        <v>8004.4782999999998</v>
      </c>
      <c r="CJ200" s="90">
        <f t="shared" si="454"/>
        <v>6147.8347999999996</v>
      </c>
      <c r="CK200" s="90">
        <f t="shared" si="455"/>
        <v>1856.6434999999999</v>
      </c>
      <c r="CL200" s="88">
        <f t="shared" si="456"/>
        <v>883</v>
      </c>
      <c r="CM200" s="88">
        <f t="shared" si="457"/>
        <v>177</v>
      </c>
      <c r="CN200" s="88">
        <f t="shared" si="458"/>
        <v>811</v>
      </c>
      <c r="CO200" s="88">
        <f t="shared" si="459"/>
        <v>1905</v>
      </c>
      <c r="CP200" s="88">
        <f t="shared" si="460"/>
        <v>52</v>
      </c>
      <c r="CQ200" s="88">
        <f t="shared" si="461"/>
        <v>1729</v>
      </c>
      <c r="CR200" s="88">
        <f t="shared" si="462"/>
        <v>36</v>
      </c>
      <c r="CS200" s="88">
        <f t="shared" si="463"/>
        <v>88</v>
      </c>
      <c r="CT200" s="88">
        <f t="shared" si="464"/>
        <v>857.86959999999999</v>
      </c>
      <c r="CU200" s="88">
        <f t="shared" si="465"/>
        <v>580</v>
      </c>
      <c r="CV200" s="88">
        <f t="shared" si="466"/>
        <v>54</v>
      </c>
      <c r="CW200" s="88">
        <f t="shared" si="467"/>
        <v>77</v>
      </c>
      <c r="CX200" s="88">
        <f t="shared" si="468"/>
        <v>8</v>
      </c>
      <c r="CY200" s="88">
        <f t="shared" si="469"/>
        <v>105</v>
      </c>
      <c r="CZ200" s="88">
        <f t="shared" si="470"/>
        <v>2010.1739</v>
      </c>
      <c r="DA200" s="90">
        <f t="shared" si="471"/>
        <v>1543.913</v>
      </c>
      <c r="DB200" s="90">
        <f t="shared" si="472"/>
        <v>466.26089999999999</v>
      </c>
      <c r="DC200" s="88">
        <f t="shared" si="473"/>
        <v>0</v>
      </c>
      <c r="DD200" s="88">
        <f t="shared" si="474"/>
        <v>15295.521699999999</v>
      </c>
      <c r="AUV200" s="699">
        <f t="shared" si="586"/>
        <v>8004.48</v>
      </c>
      <c r="AUW200" s="699">
        <f t="shared" si="587"/>
        <v>6147.83</v>
      </c>
      <c r="AUX200" s="699">
        <f t="shared" si="588"/>
        <v>1856.65</v>
      </c>
      <c r="AUY200" s="699">
        <f t="shared" si="548"/>
        <v>883</v>
      </c>
      <c r="AUZ200" s="699">
        <f t="shared" si="475"/>
        <v>1271.79</v>
      </c>
      <c r="AVA200" s="699">
        <f t="shared" si="475"/>
        <v>2.91</v>
      </c>
      <c r="AVB200" s="699">
        <f t="shared" si="549"/>
        <v>1905</v>
      </c>
      <c r="AVC200" s="699">
        <f t="shared" si="550"/>
        <v>52</v>
      </c>
      <c r="AVD200" s="699">
        <f t="shared" si="551"/>
        <v>1729</v>
      </c>
      <c r="AVE200" s="699">
        <f t="shared" si="552"/>
        <v>36</v>
      </c>
      <c r="AVF200" s="699">
        <f t="shared" si="553"/>
        <v>88</v>
      </c>
      <c r="AVG200" s="699">
        <f t="shared" si="554"/>
        <v>857.87</v>
      </c>
      <c r="AVH200" s="699">
        <f t="shared" si="555"/>
        <v>580</v>
      </c>
      <c r="AVI200" s="699">
        <f t="shared" si="556"/>
        <v>54</v>
      </c>
      <c r="AVJ200" s="699">
        <f t="shared" si="557"/>
        <v>77</v>
      </c>
      <c r="AVK200" s="699">
        <f t="shared" si="558"/>
        <v>8</v>
      </c>
      <c r="AVL200" s="699">
        <f t="shared" si="559"/>
        <v>105</v>
      </c>
      <c r="AVM200" s="699">
        <f t="shared" si="560"/>
        <v>2010.17</v>
      </c>
      <c r="AVN200" s="699">
        <f t="shared" si="561"/>
        <v>1543.91</v>
      </c>
      <c r="AVO200" s="699">
        <f t="shared" si="562"/>
        <v>466.26</v>
      </c>
      <c r="AVP200" s="699">
        <f t="shared" si="563"/>
        <v>0</v>
      </c>
      <c r="AVQ200" s="699">
        <f t="shared" si="564"/>
        <v>15295.52</v>
      </c>
    </row>
    <row r="201" spans="1:108 1244:1265" ht="30" customHeight="1" x14ac:dyDescent="0.25">
      <c r="A201" s="643">
        <v>1</v>
      </c>
      <c r="B201" s="643">
        <v>11</v>
      </c>
      <c r="C201" s="664" t="s">
        <v>26</v>
      </c>
      <c r="D201" s="2"/>
      <c r="E201" s="101" t="s">
        <v>344</v>
      </c>
      <c r="F201" s="643" t="s">
        <v>31</v>
      </c>
      <c r="G201" s="643">
        <v>1</v>
      </c>
      <c r="H201" s="658" t="s">
        <v>10</v>
      </c>
      <c r="I201" s="643">
        <v>0</v>
      </c>
      <c r="J201" s="101" t="s">
        <v>376</v>
      </c>
      <c r="K201" s="643">
        <v>1</v>
      </c>
      <c r="L201" s="683" t="s">
        <v>349</v>
      </c>
      <c r="M201" s="11" t="s">
        <v>286</v>
      </c>
      <c r="N201" s="101" t="s">
        <v>387</v>
      </c>
      <c r="O201" s="643">
        <v>1</v>
      </c>
      <c r="P201" s="632"/>
      <c r="Q201" s="632"/>
      <c r="R201" s="632"/>
      <c r="S201" s="675">
        <f>SUMIF('Территориальный кк'!$A:$A,'2020'!$B201,'Территориальный кк'!D:D)</f>
        <v>1.2470000000000001</v>
      </c>
      <c r="T201" s="676">
        <f>SUMIF('Территориальный кк'!$A:$A,'2020'!$B201,'Территориальный кк'!E:E)</f>
        <v>3.2010000000000001</v>
      </c>
      <c r="U201" s="618">
        <f>SUMIFS(Нормативы!G:G,Нормативы!$B:$B,$G201,Нормативы!$D:$D,'2020'!$I201,Нормативы!$F:$F,'2020'!$K201)*O201</f>
        <v>54020</v>
      </c>
      <c r="V201" s="618">
        <f t="shared" si="476"/>
        <v>41490</v>
      </c>
      <c r="W201" s="618">
        <f t="shared" si="477"/>
        <v>12530</v>
      </c>
      <c r="X201" s="618">
        <f>SUMIFS(Нормативы!J:J,Нормативы!$B:$B,$G201,Нормативы!$D:$D,'2020'!$I201,Нормативы!$F:$F,'2020'!$K201)</f>
        <v>220</v>
      </c>
      <c r="Y201" s="618">
        <f>SUMIFS(Нормативы!K:K,Нормативы!$B:$B,$G201,Нормативы!$D:$D,'2020'!$I201,Нормативы!$F:$F,'2020'!$K201)</f>
        <v>44</v>
      </c>
      <c r="Z201" s="618">
        <f>SUMIFS(Нормативы!L:L,Нормативы!$B:$B,$G201,Нормативы!$D:$D,'2020'!$I201,Нормативы!$F:$F,'2020'!$K201)</f>
        <v>2320</v>
      </c>
      <c r="AA201" s="618">
        <f t="shared" si="478"/>
        <v>3710</v>
      </c>
      <c r="AB201" s="618">
        <f>SUMIFS(Нормативы!N:N,Нормативы!$B:$B,$G201,Нормативы!$D:$D,'2020'!$I201,Нормативы!$F:$F,'2020'!$K201)*O201</f>
        <v>520</v>
      </c>
      <c r="AC201" s="618">
        <f>SUMIFS(Нормативы!O:O,Нормативы!$B:$B,$G201,Нормативы!$D:$D,'2020'!$I201,Нормативы!$F:$F,'2020'!$K201)</f>
        <v>2140</v>
      </c>
      <c r="AD201" s="618">
        <f>SUMIFS(Нормативы!P:P,Нормативы!$B:$B,$G201,Нормативы!$D:$D,'2020'!$I201,Нормативы!$F:$F,'2020'!$K201)*O201</f>
        <v>310</v>
      </c>
      <c r="AE201" s="618">
        <f>SUMIFS(Нормативы!Q:Q,Нормативы!$B:$B,$G201,Нормативы!$D:$D,'2020'!$I201,Нормативы!$F:$F,'2020'!$K201)</f>
        <v>740</v>
      </c>
      <c r="AF201" s="618">
        <f>SUMIFS(Нормативы!R:R,Нормативы!$B:$B,$G201,Нормативы!$D:$D,'2020'!$I201,Нормативы!$F:$F,'2020'!$K201)</f>
        <v>2460</v>
      </c>
      <c r="AG201" s="618">
        <f>SUMIFS(Нормативы!S:S,Нормативы!$B:$B,$G201,Нормативы!$D:$D,'2020'!$I201,Нормативы!$F:$F,'2020'!$K201)</f>
        <v>5080</v>
      </c>
      <c r="AH201" s="618">
        <f>SUMIFS(Нормативы!T:T,Нормативы!$B:$B,$G201,Нормативы!$D:$D,'2020'!$I201,Нормативы!$F:$F,'2020'!$K201)</f>
        <v>540</v>
      </c>
      <c r="AI201" s="618">
        <f>SUMIFS(Нормативы!U:U,Нормативы!$B:$B,$G201,Нормативы!$D:$D,'2020'!$I201,Нормативы!$F:$F,'2020'!$K201)</f>
        <v>770</v>
      </c>
      <c r="AJ201" s="618">
        <f>SUMIFS(Нормативы!V:V,Нормативы!$B:$B,$G201,Нормативы!$D:$D,'2020'!$I201,Нормативы!$F:$F,'2020'!$K201)</f>
        <v>80</v>
      </c>
      <c r="AK201" s="618">
        <f>SUMIFS(Нормативы!W:W,Нормативы!$B:$B,$G201,Нормативы!$D:$D,'2020'!$I201,Нормативы!$F:$F,'2020'!$K201)</f>
        <v>300</v>
      </c>
      <c r="AL201" s="618">
        <f>SUMIFS(Нормативы!X:X,Нормативы!$B:$B,$G201,Нормативы!$D:$D,'2020'!$I201,Нормативы!$F:$F,'2020'!$K201)*O201</f>
        <v>13440</v>
      </c>
      <c r="AM201" s="618">
        <f t="shared" si="479"/>
        <v>10322.6</v>
      </c>
      <c r="AN201" s="618">
        <f t="shared" si="480"/>
        <v>3117.4</v>
      </c>
      <c r="AO201" s="618">
        <f>SUMIFS(Нормативы!AA:AA,Нормативы!$B:$B,$G201,Нормативы!$D:$D,'2020'!$I201,Нормативы!$F:$F,'2020'!$K201)</f>
        <v>3520</v>
      </c>
      <c r="AP201" s="619">
        <f t="shared" si="481"/>
        <v>86460</v>
      </c>
      <c r="AQ201" s="413">
        <f t="shared" si="418"/>
        <v>0</v>
      </c>
      <c r="AR201" s="618">
        <f t="shared" si="482"/>
        <v>0</v>
      </c>
      <c r="AS201" s="618">
        <f t="shared" si="483"/>
        <v>0</v>
      </c>
      <c r="AT201" s="616">
        <f t="shared" si="419"/>
        <v>0</v>
      </c>
      <c r="AU201" s="616">
        <f t="shared" si="420"/>
        <v>0</v>
      </c>
      <c r="AV201" s="616">
        <f t="shared" si="421"/>
        <v>0</v>
      </c>
      <c r="AW201" s="616">
        <f t="shared" si="422"/>
        <v>0</v>
      </c>
      <c r="AX201" s="616">
        <f t="shared" si="423"/>
        <v>0</v>
      </c>
      <c r="AY201" s="616">
        <f t="shared" si="424"/>
        <v>0</v>
      </c>
      <c r="AZ201" s="616">
        <f t="shared" si="425"/>
        <v>0</v>
      </c>
      <c r="BA201" s="616">
        <f t="shared" si="426"/>
        <v>0</v>
      </c>
      <c r="BB201" s="616">
        <f t="shared" si="427"/>
        <v>0</v>
      </c>
      <c r="BC201" s="616">
        <f t="shared" si="428"/>
        <v>0</v>
      </c>
      <c r="BD201" s="616">
        <f t="shared" si="429"/>
        <v>0</v>
      </c>
      <c r="BE201" s="616">
        <f t="shared" si="430"/>
        <v>0</v>
      </c>
      <c r="BF201" s="616">
        <f t="shared" si="431"/>
        <v>0</v>
      </c>
      <c r="BG201" s="616">
        <f t="shared" si="432"/>
        <v>0</v>
      </c>
      <c r="BH201" s="616">
        <f t="shared" si="433"/>
        <v>0</v>
      </c>
      <c r="BI201" s="618">
        <f t="shared" si="484"/>
        <v>0</v>
      </c>
      <c r="BJ201" s="618">
        <f t="shared" si="485"/>
        <v>0</v>
      </c>
      <c r="BK201" s="616">
        <f t="shared" si="434"/>
        <v>0</v>
      </c>
      <c r="BL201" s="620">
        <f t="shared" si="435"/>
        <v>0</v>
      </c>
      <c r="BM201" s="616">
        <f t="shared" si="436"/>
        <v>0</v>
      </c>
      <c r="BN201" s="618">
        <f t="shared" si="437"/>
        <v>0</v>
      </c>
      <c r="BO201" s="618">
        <f t="shared" si="438"/>
        <v>0</v>
      </c>
      <c r="BP201" s="616">
        <f t="shared" si="486"/>
        <v>0</v>
      </c>
      <c r="BQ201" s="616">
        <f t="shared" si="487"/>
        <v>0</v>
      </c>
      <c r="BR201" s="616">
        <f t="shared" si="488"/>
        <v>0</v>
      </c>
      <c r="BS201" s="616">
        <f t="shared" si="439"/>
        <v>0</v>
      </c>
      <c r="BT201" s="616">
        <f t="shared" si="440"/>
        <v>0</v>
      </c>
      <c r="BU201" s="616">
        <f t="shared" si="441"/>
        <v>0</v>
      </c>
      <c r="BV201" s="616">
        <f t="shared" si="442"/>
        <v>0</v>
      </c>
      <c r="BW201" s="616">
        <f t="shared" si="443"/>
        <v>0</v>
      </c>
      <c r="BX201" s="616">
        <f t="shared" si="444"/>
        <v>0</v>
      </c>
      <c r="BY201" s="616">
        <f t="shared" si="445"/>
        <v>0</v>
      </c>
      <c r="BZ201" s="616">
        <f t="shared" si="446"/>
        <v>0</v>
      </c>
      <c r="CA201" s="616">
        <f t="shared" si="447"/>
        <v>0</v>
      </c>
      <c r="CB201" s="616">
        <f t="shared" si="448"/>
        <v>0</v>
      </c>
      <c r="CC201" s="616">
        <f t="shared" si="449"/>
        <v>0</v>
      </c>
      <c r="CD201" s="616">
        <f t="shared" si="450"/>
        <v>0</v>
      </c>
      <c r="CE201" s="618">
        <f t="shared" si="489"/>
        <v>0</v>
      </c>
      <c r="CF201" s="618">
        <f t="shared" si="490"/>
        <v>0</v>
      </c>
      <c r="CG201" s="616">
        <f t="shared" si="451"/>
        <v>0</v>
      </c>
      <c r="CH201" s="621">
        <f t="shared" si="452"/>
        <v>0</v>
      </c>
      <c r="CI201" s="88" t="e">
        <f t="shared" si="453"/>
        <v>#DIV/0!</v>
      </c>
      <c r="CJ201" s="90" t="e">
        <f t="shared" si="454"/>
        <v>#DIV/0!</v>
      </c>
      <c r="CK201" s="90" t="e">
        <f t="shared" si="455"/>
        <v>#DIV/0!</v>
      </c>
      <c r="CL201" s="88" t="e">
        <f t="shared" si="456"/>
        <v>#DIV/0!</v>
      </c>
      <c r="CM201" s="88" t="e">
        <f t="shared" si="457"/>
        <v>#DIV/0!</v>
      </c>
      <c r="CN201" s="88" t="e">
        <f t="shared" si="458"/>
        <v>#DIV/0!</v>
      </c>
      <c r="CO201" s="88" t="e">
        <f t="shared" si="459"/>
        <v>#DIV/0!</v>
      </c>
      <c r="CP201" s="88" t="e">
        <f t="shared" si="460"/>
        <v>#DIV/0!</v>
      </c>
      <c r="CQ201" s="88" t="e">
        <f t="shared" si="461"/>
        <v>#DIV/0!</v>
      </c>
      <c r="CR201" s="88" t="e">
        <f t="shared" si="462"/>
        <v>#DIV/0!</v>
      </c>
      <c r="CS201" s="88" t="e">
        <f t="shared" si="463"/>
        <v>#DIV/0!</v>
      </c>
      <c r="CT201" s="88" t="e">
        <f t="shared" si="464"/>
        <v>#DIV/0!</v>
      </c>
      <c r="CU201" s="88" t="e">
        <f t="shared" si="465"/>
        <v>#DIV/0!</v>
      </c>
      <c r="CV201" s="88" t="e">
        <f t="shared" si="466"/>
        <v>#DIV/0!</v>
      </c>
      <c r="CW201" s="88" t="e">
        <f t="shared" si="467"/>
        <v>#DIV/0!</v>
      </c>
      <c r="CX201" s="88" t="e">
        <f t="shared" si="468"/>
        <v>#DIV/0!</v>
      </c>
      <c r="CY201" s="88" t="e">
        <f t="shared" si="469"/>
        <v>#DIV/0!</v>
      </c>
      <c r="CZ201" s="88" t="e">
        <f t="shared" si="470"/>
        <v>#DIV/0!</v>
      </c>
      <c r="DA201" s="90" t="e">
        <f t="shared" si="471"/>
        <v>#DIV/0!</v>
      </c>
      <c r="DB201" s="90" t="e">
        <f t="shared" si="472"/>
        <v>#DIV/0!</v>
      </c>
      <c r="DC201" s="88" t="e">
        <f t="shared" si="473"/>
        <v>#DIV/0!</v>
      </c>
      <c r="DD201" s="88" t="e">
        <f t="shared" si="474"/>
        <v>#DIV/0!</v>
      </c>
      <c r="AUV201" s="699">
        <v>0</v>
      </c>
      <c r="AUW201" s="699">
        <f t="shared" si="587"/>
        <v>0</v>
      </c>
      <c r="AUX201" s="699">
        <f t="shared" si="588"/>
        <v>0</v>
      </c>
      <c r="AUY201" s="699">
        <f t="shared" si="475"/>
        <v>0</v>
      </c>
      <c r="AUZ201" s="699">
        <f t="shared" si="475"/>
        <v>0</v>
      </c>
      <c r="AVA201" s="699">
        <f t="shared" si="475"/>
        <v>0</v>
      </c>
      <c r="AVB201" s="699">
        <f t="shared" si="475"/>
        <v>0</v>
      </c>
      <c r="AVC201" s="697"/>
      <c r="AVD201" s="697"/>
      <c r="AVE201" s="697"/>
      <c r="AVF201" s="697"/>
      <c r="AVG201" s="697"/>
      <c r="AVH201" s="697"/>
      <c r="AVI201" s="697"/>
      <c r="AVJ201" s="697"/>
      <c r="AVK201" s="697"/>
      <c r="AVL201" s="697"/>
      <c r="AVM201" s="697"/>
      <c r="AVN201" s="697"/>
      <c r="AVO201" s="697"/>
      <c r="AVP201" s="697"/>
      <c r="AVQ201" s="697"/>
    </row>
    <row r="202" spans="1:108 1244:1265" ht="30" customHeight="1" x14ac:dyDescent="0.25">
      <c r="A202" s="643">
        <v>1</v>
      </c>
      <c r="B202" s="643">
        <v>11</v>
      </c>
      <c r="C202" s="664" t="s">
        <v>26</v>
      </c>
      <c r="D202" s="2"/>
      <c r="E202" s="101" t="s">
        <v>344</v>
      </c>
      <c r="F202" s="643" t="s">
        <v>31</v>
      </c>
      <c r="G202" s="643">
        <v>1</v>
      </c>
      <c r="H202" s="658" t="s">
        <v>10</v>
      </c>
      <c r="I202" s="643">
        <v>0</v>
      </c>
      <c r="J202" s="101" t="s">
        <v>359</v>
      </c>
      <c r="K202" s="643">
        <v>1</v>
      </c>
      <c r="L202" s="683" t="s">
        <v>349</v>
      </c>
      <c r="M202" s="11" t="s">
        <v>263</v>
      </c>
      <c r="N202" s="101" t="s">
        <v>387</v>
      </c>
      <c r="O202" s="643">
        <v>1</v>
      </c>
      <c r="P202" s="632">
        <v>12</v>
      </c>
      <c r="Q202" s="632">
        <v>12</v>
      </c>
      <c r="R202" s="632">
        <v>12</v>
      </c>
      <c r="S202" s="675">
        <f>SUMIF('Территориальный кк'!$A:$A,'2020'!$B202,'Территориальный кк'!D:D)</f>
        <v>1.2470000000000001</v>
      </c>
      <c r="T202" s="676">
        <f>SUMIF('Территориальный кк'!$A:$A,'2020'!$B202,'Территориальный кк'!E:E)</f>
        <v>3.2010000000000001</v>
      </c>
      <c r="U202" s="618">
        <f>SUMIFS(Нормативы!G:G,Нормативы!$B:$B,$G202,Нормативы!$D:$D,'2020'!$I202,Нормативы!$F:$F,'2020'!$K202)*O202</f>
        <v>54020</v>
      </c>
      <c r="V202" s="618">
        <f t="shared" si="476"/>
        <v>41490</v>
      </c>
      <c r="W202" s="618">
        <f t="shared" si="477"/>
        <v>12530</v>
      </c>
      <c r="X202" s="618">
        <f>SUMIFS(Нормативы!J:J,Нормативы!$B:$B,$G202,Нормативы!$D:$D,'2020'!$I202,Нормативы!$F:$F,'2020'!$K202)</f>
        <v>220</v>
      </c>
      <c r="Y202" s="618">
        <f>SUMIFS(Нормативы!K:K,Нормативы!$B:$B,$G202,Нормативы!$D:$D,'2020'!$I202,Нормативы!$F:$F,'2020'!$K202)</f>
        <v>44</v>
      </c>
      <c r="Z202" s="618">
        <f>SUMIFS(Нормативы!L:L,Нормативы!$B:$B,$G202,Нормативы!$D:$D,'2020'!$I202,Нормативы!$F:$F,'2020'!$K202)</f>
        <v>2320</v>
      </c>
      <c r="AA202" s="618">
        <f t="shared" si="478"/>
        <v>3710</v>
      </c>
      <c r="AB202" s="618">
        <f>SUMIFS(Нормативы!N:N,Нормативы!$B:$B,$G202,Нормативы!$D:$D,'2020'!$I202,Нормативы!$F:$F,'2020'!$K202)*O202</f>
        <v>520</v>
      </c>
      <c r="AC202" s="618">
        <f>SUMIFS(Нормативы!O:O,Нормативы!$B:$B,$G202,Нормативы!$D:$D,'2020'!$I202,Нормативы!$F:$F,'2020'!$K202)</f>
        <v>2140</v>
      </c>
      <c r="AD202" s="618">
        <f>SUMIFS(Нормативы!P:P,Нормативы!$B:$B,$G202,Нормативы!$D:$D,'2020'!$I202,Нормативы!$F:$F,'2020'!$K202)*O202</f>
        <v>310</v>
      </c>
      <c r="AE202" s="618">
        <f>SUMIFS(Нормативы!Q:Q,Нормативы!$B:$B,$G202,Нормативы!$D:$D,'2020'!$I202,Нормативы!$F:$F,'2020'!$K202)</f>
        <v>740</v>
      </c>
      <c r="AF202" s="618">
        <f>SUMIFS(Нормативы!R:R,Нормативы!$B:$B,$G202,Нормативы!$D:$D,'2020'!$I202,Нормативы!$F:$F,'2020'!$K202)</f>
        <v>2460</v>
      </c>
      <c r="AG202" s="618">
        <f>SUMIFS(Нормативы!S:S,Нормативы!$B:$B,$G202,Нормативы!$D:$D,'2020'!$I202,Нормативы!$F:$F,'2020'!$K202)</f>
        <v>5080</v>
      </c>
      <c r="AH202" s="618">
        <f>SUMIFS(Нормативы!T:T,Нормативы!$B:$B,$G202,Нормативы!$D:$D,'2020'!$I202,Нормативы!$F:$F,'2020'!$K202)</f>
        <v>540</v>
      </c>
      <c r="AI202" s="618">
        <f>SUMIFS(Нормативы!U:U,Нормативы!$B:$B,$G202,Нормативы!$D:$D,'2020'!$I202,Нормативы!$F:$F,'2020'!$K202)</f>
        <v>770</v>
      </c>
      <c r="AJ202" s="618">
        <f>SUMIFS(Нормативы!V:V,Нормативы!$B:$B,$G202,Нормативы!$D:$D,'2020'!$I202,Нормативы!$F:$F,'2020'!$K202)</f>
        <v>80</v>
      </c>
      <c r="AK202" s="618">
        <f>SUMIFS(Нормативы!W:W,Нормативы!$B:$B,$G202,Нормативы!$D:$D,'2020'!$I202,Нормативы!$F:$F,'2020'!$K202)</f>
        <v>300</v>
      </c>
      <c r="AL202" s="618">
        <f>SUMIFS(Нормативы!X:X,Нормативы!$B:$B,$G202,Нормативы!$D:$D,'2020'!$I202,Нормативы!$F:$F,'2020'!$K202)*O202</f>
        <v>13440</v>
      </c>
      <c r="AM202" s="618">
        <f t="shared" si="479"/>
        <v>10322.6</v>
      </c>
      <c r="AN202" s="618">
        <f t="shared" si="480"/>
        <v>3117.4</v>
      </c>
      <c r="AO202" s="618">
        <f>SUMIFS(Нормативы!AA:AA,Нормативы!$B:$B,$G202,Нормативы!$D:$D,'2020'!$I202,Нормативы!$F:$F,'2020'!$K202)</f>
        <v>3520</v>
      </c>
      <c r="AP202" s="619">
        <f t="shared" si="481"/>
        <v>86460</v>
      </c>
      <c r="AQ202" s="413">
        <f t="shared" si="418"/>
        <v>648240</v>
      </c>
      <c r="AR202" s="618">
        <f t="shared" si="482"/>
        <v>497880.2</v>
      </c>
      <c r="AS202" s="618">
        <f t="shared" si="483"/>
        <v>150359.79999999999</v>
      </c>
      <c r="AT202" s="616">
        <f t="shared" si="419"/>
        <v>2640</v>
      </c>
      <c r="AU202" s="616">
        <f t="shared" si="420"/>
        <v>528</v>
      </c>
      <c r="AV202" s="616">
        <f t="shared" si="421"/>
        <v>27840</v>
      </c>
      <c r="AW202" s="616">
        <f t="shared" si="422"/>
        <v>44520</v>
      </c>
      <c r="AX202" s="616">
        <f t="shared" si="423"/>
        <v>6240</v>
      </c>
      <c r="AY202" s="616">
        <f t="shared" si="424"/>
        <v>25680</v>
      </c>
      <c r="AZ202" s="616">
        <f t="shared" si="425"/>
        <v>3720</v>
      </c>
      <c r="BA202" s="616">
        <f t="shared" si="426"/>
        <v>8880</v>
      </c>
      <c r="BB202" s="616">
        <f t="shared" si="427"/>
        <v>29520</v>
      </c>
      <c r="BC202" s="616">
        <f t="shared" si="428"/>
        <v>60960</v>
      </c>
      <c r="BD202" s="616">
        <f t="shared" si="429"/>
        <v>6480</v>
      </c>
      <c r="BE202" s="616">
        <f t="shared" si="430"/>
        <v>9240</v>
      </c>
      <c r="BF202" s="616">
        <f t="shared" si="431"/>
        <v>960</v>
      </c>
      <c r="BG202" s="616">
        <f t="shared" si="432"/>
        <v>3600</v>
      </c>
      <c r="BH202" s="616">
        <f t="shared" si="433"/>
        <v>161280</v>
      </c>
      <c r="BI202" s="618">
        <f t="shared" si="484"/>
        <v>123871</v>
      </c>
      <c r="BJ202" s="618">
        <f t="shared" si="485"/>
        <v>37409</v>
      </c>
      <c r="BK202" s="616">
        <f t="shared" si="434"/>
        <v>42240</v>
      </c>
      <c r="BL202" s="620">
        <f t="shared" si="435"/>
        <v>1037520</v>
      </c>
      <c r="BM202" s="616">
        <f t="shared" si="436"/>
        <v>808355</v>
      </c>
      <c r="BN202" s="618">
        <f t="shared" si="437"/>
        <v>620856.4</v>
      </c>
      <c r="BO202" s="618">
        <f t="shared" si="438"/>
        <v>187498.6</v>
      </c>
      <c r="BP202" s="616">
        <f t="shared" si="486"/>
        <v>2640</v>
      </c>
      <c r="BQ202" s="616">
        <f t="shared" si="487"/>
        <v>528</v>
      </c>
      <c r="BR202" s="616">
        <f t="shared" si="488"/>
        <v>27840</v>
      </c>
      <c r="BS202" s="616">
        <f t="shared" si="439"/>
        <v>44520</v>
      </c>
      <c r="BT202" s="616">
        <f t="shared" si="440"/>
        <v>6240</v>
      </c>
      <c r="BU202" s="616">
        <f t="shared" si="441"/>
        <v>25680</v>
      </c>
      <c r="BV202" s="616">
        <f t="shared" si="442"/>
        <v>3720</v>
      </c>
      <c r="BW202" s="616">
        <f t="shared" si="443"/>
        <v>8880</v>
      </c>
      <c r="BX202" s="616">
        <f t="shared" si="444"/>
        <v>94494</v>
      </c>
      <c r="BY202" s="616">
        <f t="shared" si="445"/>
        <v>60960</v>
      </c>
      <c r="BZ202" s="616">
        <f t="shared" si="446"/>
        <v>6480</v>
      </c>
      <c r="CA202" s="616">
        <f t="shared" si="447"/>
        <v>9240</v>
      </c>
      <c r="CB202" s="616">
        <f t="shared" si="448"/>
        <v>960</v>
      </c>
      <c r="CC202" s="616">
        <f t="shared" si="449"/>
        <v>3600</v>
      </c>
      <c r="CD202" s="616">
        <f t="shared" si="450"/>
        <v>201116</v>
      </c>
      <c r="CE202" s="618">
        <f t="shared" si="489"/>
        <v>154467</v>
      </c>
      <c r="CF202" s="618">
        <f t="shared" si="490"/>
        <v>46649</v>
      </c>
      <c r="CG202" s="616">
        <f t="shared" si="451"/>
        <v>42240</v>
      </c>
      <c r="CH202" s="621">
        <f t="shared" si="452"/>
        <v>1302445</v>
      </c>
      <c r="CI202" s="88">
        <f t="shared" si="453"/>
        <v>67362.916700000002</v>
      </c>
      <c r="CJ202" s="90">
        <f t="shared" si="454"/>
        <v>51738.033300000003</v>
      </c>
      <c r="CK202" s="90">
        <f t="shared" si="455"/>
        <v>15624.8833</v>
      </c>
      <c r="CL202" s="88">
        <f t="shared" si="456"/>
        <v>220</v>
      </c>
      <c r="CM202" s="88">
        <f t="shared" si="457"/>
        <v>44</v>
      </c>
      <c r="CN202" s="88">
        <f t="shared" si="458"/>
        <v>2320</v>
      </c>
      <c r="CO202" s="88">
        <f t="shared" si="459"/>
        <v>3710</v>
      </c>
      <c r="CP202" s="88">
        <f t="shared" si="460"/>
        <v>520</v>
      </c>
      <c r="CQ202" s="88">
        <f t="shared" si="461"/>
        <v>2140</v>
      </c>
      <c r="CR202" s="88">
        <f t="shared" si="462"/>
        <v>310</v>
      </c>
      <c r="CS202" s="88">
        <f t="shared" si="463"/>
        <v>740</v>
      </c>
      <c r="CT202" s="88">
        <f t="shared" si="464"/>
        <v>7874.5</v>
      </c>
      <c r="CU202" s="88">
        <f t="shared" si="465"/>
        <v>5080</v>
      </c>
      <c r="CV202" s="88">
        <f t="shared" si="466"/>
        <v>540</v>
      </c>
      <c r="CW202" s="88">
        <f t="shared" si="467"/>
        <v>770</v>
      </c>
      <c r="CX202" s="88">
        <f t="shared" si="468"/>
        <v>80</v>
      </c>
      <c r="CY202" s="88">
        <f t="shared" si="469"/>
        <v>300</v>
      </c>
      <c r="CZ202" s="88">
        <f t="shared" si="470"/>
        <v>16759.666700000002</v>
      </c>
      <c r="DA202" s="90">
        <f t="shared" si="471"/>
        <v>12872.25</v>
      </c>
      <c r="DB202" s="90">
        <f t="shared" si="472"/>
        <v>3887.4167000000002</v>
      </c>
      <c r="DC202" s="88">
        <f t="shared" si="473"/>
        <v>3520</v>
      </c>
      <c r="DD202" s="88">
        <f t="shared" si="474"/>
        <v>108537.0833</v>
      </c>
      <c r="AUV202" s="699">
        <f t="shared" si="586"/>
        <v>67362.92</v>
      </c>
      <c r="AUW202" s="699">
        <f t="shared" si="587"/>
        <v>51738.03</v>
      </c>
      <c r="AUX202" s="699">
        <f t="shared" si="588"/>
        <v>15624.89</v>
      </c>
      <c r="AUY202" s="699">
        <f t="shared" ref="AUY202:AUY218" si="589">BP202/P202</f>
        <v>220</v>
      </c>
      <c r="AUZ202" s="699">
        <f t="shared" si="475"/>
        <v>164.95</v>
      </c>
      <c r="AVA202" s="699">
        <f t="shared" si="475"/>
        <v>0.52</v>
      </c>
      <c r="AVB202" s="699">
        <f t="shared" ref="AVB202:AVB218" si="590">AVC202+AVD202+AVE202+AVF202</f>
        <v>3710</v>
      </c>
      <c r="AVC202" s="699">
        <f t="shared" ref="AVC202:AVC218" si="591">BT202/P202</f>
        <v>520</v>
      </c>
      <c r="AVD202" s="699">
        <f t="shared" ref="AVD202:AVD218" si="592">BU202/P202</f>
        <v>2140</v>
      </c>
      <c r="AVE202" s="699">
        <f t="shared" ref="AVE202:AVE218" si="593">BV202/P202</f>
        <v>310</v>
      </c>
      <c r="AVF202" s="699">
        <f t="shared" ref="AVF202:AVF218" si="594">BW202/P202</f>
        <v>740</v>
      </c>
      <c r="AVG202" s="699">
        <f t="shared" ref="AVG202:AVG218" si="595">BX202/P202</f>
        <v>7874.5</v>
      </c>
      <c r="AVH202" s="699">
        <f t="shared" ref="AVH202:AVH218" si="596">BY202/P202</f>
        <v>5080</v>
      </c>
      <c r="AVI202" s="699">
        <f t="shared" ref="AVI202:AVI218" si="597">BZ202/P202</f>
        <v>540</v>
      </c>
      <c r="AVJ202" s="699">
        <f t="shared" ref="AVJ202:AVJ218" si="598">CA202/P202</f>
        <v>770</v>
      </c>
      <c r="AVK202" s="699">
        <f t="shared" ref="AVK202:AVK218" si="599">CB202/P202</f>
        <v>80</v>
      </c>
      <c r="AVL202" s="699">
        <f t="shared" ref="AVL202:AVL218" si="600">CC202/P202</f>
        <v>300</v>
      </c>
      <c r="AVM202" s="699">
        <f t="shared" ref="AVM202:AVM218" si="601">CD202/P202</f>
        <v>16759.669999999998</v>
      </c>
      <c r="AVN202" s="699">
        <f t="shared" ref="AVN202:AVN218" si="602">AVM202/1.302</f>
        <v>12872.25</v>
      </c>
      <c r="AVO202" s="699">
        <f t="shared" ref="AVO202:AVO218" si="603">AVM202-AVN202</f>
        <v>3887.42</v>
      </c>
      <c r="AVP202" s="699">
        <f t="shared" ref="AVP202:AVP218" si="604">CG202/P202</f>
        <v>3520</v>
      </c>
      <c r="AVQ202" s="699">
        <f t="shared" ref="AVQ202:AVQ218" si="605">CH202/P202</f>
        <v>108537.08</v>
      </c>
    </row>
    <row r="203" spans="1:108 1244:1265" ht="30" customHeight="1" x14ac:dyDescent="0.25">
      <c r="A203" s="643">
        <v>1</v>
      </c>
      <c r="B203" s="643">
        <v>11</v>
      </c>
      <c r="C203" s="664" t="s">
        <v>26</v>
      </c>
      <c r="D203" s="2"/>
      <c r="E203" s="101" t="s">
        <v>344</v>
      </c>
      <c r="F203" s="643" t="s">
        <v>31</v>
      </c>
      <c r="G203" s="643">
        <v>1</v>
      </c>
      <c r="H203" s="658" t="s">
        <v>10</v>
      </c>
      <c r="I203" s="643">
        <v>0</v>
      </c>
      <c r="J203" s="101" t="s">
        <v>360</v>
      </c>
      <c r="K203" s="643">
        <v>3</v>
      </c>
      <c r="L203" s="683" t="s">
        <v>349</v>
      </c>
      <c r="M203" s="11" t="s">
        <v>265</v>
      </c>
      <c r="N203" s="101" t="s">
        <v>387</v>
      </c>
      <c r="O203" s="643">
        <v>1</v>
      </c>
      <c r="P203" s="632">
        <v>321</v>
      </c>
      <c r="Q203" s="632">
        <v>321</v>
      </c>
      <c r="R203" s="632">
        <v>321</v>
      </c>
      <c r="S203" s="675">
        <f>SUMIF('Территориальный кк'!$A:$A,'2020'!$B203,'Территориальный кк'!D:D)</f>
        <v>1.2470000000000001</v>
      </c>
      <c r="T203" s="676">
        <f>SUMIF('Территориальный кк'!$A:$A,'2020'!$B203,'Территориальный кк'!E:E)</f>
        <v>3.2010000000000001</v>
      </c>
      <c r="U203" s="618">
        <f>SUMIFS(Нормативы!G:G,Нормативы!$B:$B,$G203,Нормативы!$D:$D,'2020'!$I203,Нормативы!$F:$F,'2020'!$K203)*O203</f>
        <v>64190</v>
      </c>
      <c r="V203" s="618">
        <f t="shared" si="476"/>
        <v>49301.1</v>
      </c>
      <c r="W203" s="618">
        <f t="shared" si="477"/>
        <v>14888.9</v>
      </c>
      <c r="X203" s="618">
        <f>SUMIFS(Нормативы!J:J,Нормативы!$B:$B,$G203,Нормативы!$D:$D,'2020'!$I203,Нормативы!$F:$F,'2020'!$K203)</f>
        <v>8830</v>
      </c>
      <c r="Y203" s="618">
        <f>SUMIFS(Нормативы!K:K,Нормативы!$B:$B,$G203,Нормативы!$D:$D,'2020'!$I203,Нормативы!$F:$F,'2020'!$K203)</f>
        <v>1766</v>
      </c>
      <c r="Z203" s="618">
        <f>SUMIFS(Нормативы!L:L,Нормативы!$B:$B,$G203,Нормативы!$D:$D,'2020'!$I203,Нормативы!$F:$F,'2020'!$K203)</f>
        <v>8110</v>
      </c>
      <c r="AA203" s="618">
        <f t="shared" si="478"/>
        <v>19050</v>
      </c>
      <c r="AB203" s="618">
        <f>SUMIFS(Нормативы!N:N,Нормативы!$B:$B,$G203,Нормативы!$D:$D,'2020'!$I203,Нормативы!$F:$F,'2020'!$K203)*O203</f>
        <v>520</v>
      </c>
      <c r="AC203" s="618">
        <f>SUMIFS(Нормативы!O:O,Нормативы!$B:$B,$G203,Нормативы!$D:$D,'2020'!$I203,Нормативы!$F:$F,'2020'!$K203)</f>
        <v>17290</v>
      </c>
      <c r="AD203" s="618">
        <f>SUMIFS(Нормативы!P:P,Нормативы!$B:$B,$G203,Нормативы!$D:$D,'2020'!$I203,Нормативы!$F:$F,'2020'!$K203)*O203</f>
        <v>360</v>
      </c>
      <c r="AE203" s="618">
        <f>SUMIFS(Нормативы!Q:Q,Нормативы!$B:$B,$G203,Нормативы!$D:$D,'2020'!$I203,Нормативы!$F:$F,'2020'!$K203)</f>
        <v>880</v>
      </c>
      <c r="AF203" s="618">
        <f>SUMIFS(Нормативы!R:R,Нормативы!$B:$B,$G203,Нормативы!$D:$D,'2020'!$I203,Нормативы!$F:$F,'2020'!$K203)</f>
        <v>2680</v>
      </c>
      <c r="AG203" s="618">
        <f>SUMIFS(Нормативы!S:S,Нормативы!$B:$B,$G203,Нормативы!$D:$D,'2020'!$I203,Нормативы!$F:$F,'2020'!$K203)</f>
        <v>5800</v>
      </c>
      <c r="AH203" s="618">
        <f>SUMIFS(Нормативы!T:T,Нормативы!$B:$B,$G203,Нормативы!$D:$D,'2020'!$I203,Нормативы!$F:$F,'2020'!$K203)</f>
        <v>540</v>
      </c>
      <c r="AI203" s="618">
        <f>SUMIFS(Нормативы!U:U,Нормативы!$B:$B,$G203,Нормативы!$D:$D,'2020'!$I203,Нормативы!$F:$F,'2020'!$K203)</f>
        <v>770</v>
      </c>
      <c r="AJ203" s="618">
        <f>SUMIFS(Нормативы!V:V,Нормативы!$B:$B,$G203,Нормативы!$D:$D,'2020'!$I203,Нормативы!$F:$F,'2020'!$K203)</f>
        <v>80</v>
      </c>
      <c r="AK203" s="618">
        <f>SUMIFS(Нормативы!W:W,Нормативы!$B:$B,$G203,Нормативы!$D:$D,'2020'!$I203,Нормативы!$F:$F,'2020'!$K203)</f>
        <v>1050</v>
      </c>
      <c r="AL203" s="618">
        <f>SUMIFS(Нормативы!X:X,Нормативы!$B:$B,$G203,Нормативы!$D:$D,'2020'!$I203,Нормативы!$F:$F,'2020'!$K203)*O203</f>
        <v>16120</v>
      </c>
      <c r="AM203" s="618">
        <f t="shared" si="479"/>
        <v>12381</v>
      </c>
      <c r="AN203" s="618">
        <f t="shared" si="480"/>
        <v>3739</v>
      </c>
      <c r="AO203" s="618">
        <f>SUMIFS(Нормативы!AA:AA,Нормативы!$B:$B,$G203,Нормативы!$D:$D,'2020'!$I203,Нормативы!$F:$F,'2020'!$K203)</f>
        <v>3520</v>
      </c>
      <c r="AP203" s="619">
        <f t="shared" si="481"/>
        <v>130740</v>
      </c>
      <c r="AQ203" s="413">
        <f t="shared" si="418"/>
        <v>20604990</v>
      </c>
      <c r="AR203" s="618">
        <f t="shared" si="482"/>
        <v>15825645.199999999</v>
      </c>
      <c r="AS203" s="618">
        <f t="shared" si="483"/>
        <v>4779344.8</v>
      </c>
      <c r="AT203" s="616">
        <f t="shared" si="419"/>
        <v>2834430</v>
      </c>
      <c r="AU203" s="616">
        <f t="shared" si="420"/>
        <v>566886</v>
      </c>
      <c r="AV203" s="616">
        <f t="shared" si="421"/>
        <v>2603310</v>
      </c>
      <c r="AW203" s="616">
        <f t="shared" si="422"/>
        <v>6115050</v>
      </c>
      <c r="AX203" s="616">
        <f t="shared" si="423"/>
        <v>166920</v>
      </c>
      <c r="AY203" s="616">
        <f t="shared" si="424"/>
        <v>5550090</v>
      </c>
      <c r="AZ203" s="616">
        <f t="shared" si="425"/>
        <v>115560</v>
      </c>
      <c r="BA203" s="616">
        <f t="shared" si="426"/>
        <v>282480</v>
      </c>
      <c r="BB203" s="616">
        <f t="shared" si="427"/>
        <v>860280</v>
      </c>
      <c r="BC203" s="616">
        <f t="shared" si="428"/>
        <v>1861800</v>
      </c>
      <c r="BD203" s="616">
        <f t="shared" si="429"/>
        <v>173340</v>
      </c>
      <c r="BE203" s="616">
        <f t="shared" si="430"/>
        <v>247170</v>
      </c>
      <c r="BF203" s="616">
        <f t="shared" si="431"/>
        <v>25680</v>
      </c>
      <c r="BG203" s="616">
        <f t="shared" si="432"/>
        <v>337050</v>
      </c>
      <c r="BH203" s="616">
        <f t="shared" si="433"/>
        <v>5174520</v>
      </c>
      <c r="BI203" s="618">
        <f t="shared" si="484"/>
        <v>3974285.7</v>
      </c>
      <c r="BJ203" s="618">
        <f t="shared" si="485"/>
        <v>1200234.3</v>
      </c>
      <c r="BK203" s="616">
        <f t="shared" si="434"/>
        <v>1129920</v>
      </c>
      <c r="BL203" s="620">
        <f t="shared" si="435"/>
        <v>41967540</v>
      </c>
      <c r="BM203" s="616">
        <f t="shared" si="436"/>
        <v>25694423</v>
      </c>
      <c r="BN203" s="618">
        <f t="shared" si="437"/>
        <v>19734579.899999999</v>
      </c>
      <c r="BO203" s="618">
        <f t="shared" si="438"/>
        <v>5959843.0999999996</v>
      </c>
      <c r="BP203" s="616">
        <f t="shared" si="486"/>
        <v>2834430</v>
      </c>
      <c r="BQ203" s="616">
        <f t="shared" si="487"/>
        <v>566886</v>
      </c>
      <c r="BR203" s="616">
        <f t="shared" si="488"/>
        <v>2603310</v>
      </c>
      <c r="BS203" s="616">
        <f t="shared" si="439"/>
        <v>6115050</v>
      </c>
      <c r="BT203" s="616">
        <f t="shared" si="440"/>
        <v>166920</v>
      </c>
      <c r="BU203" s="616">
        <f t="shared" si="441"/>
        <v>5550090</v>
      </c>
      <c r="BV203" s="616">
        <f t="shared" si="442"/>
        <v>115560</v>
      </c>
      <c r="BW203" s="616">
        <f t="shared" si="443"/>
        <v>282480</v>
      </c>
      <c r="BX203" s="616">
        <f t="shared" si="444"/>
        <v>2753756</v>
      </c>
      <c r="BY203" s="616">
        <f t="shared" si="445"/>
        <v>1861800</v>
      </c>
      <c r="BZ203" s="616">
        <f t="shared" si="446"/>
        <v>173340</v>
      </c>
      <c r="CA203" s="616">
        <f t="shared" si="447"/>
        <v>247170</v>
      </c>
      <c r="CB203" s="616">
        <f t="shared" si="448"/>
        <v>25680</v>
      </c>
      <c r="CC203" s="616">
        <f t="shared" si="449"/>
        <v>337050</v>
      </c>
      <c r="CD203" s="616">
        <f t="shared" si="450"/>
        <v>6452626</v>
      </c>
      <c r="CE203" s="618">
        <f t="shared" si="489"/>
        <v>4955933.9000000004</v>
      </c>
      <c r="CF203" s="618">
        <f t="shared" si="490"/>
        <v>1496692.1</v>
      </c>
      <c r="CG203" s="616">
        <f t="shared" si="451"/>
        <v>1129920</v>
      </c>
      <c r="CH203" s="621">
        <f t="shared" si="452"/>
        <v>50228555</v>
      </c>
      <c r="CI203" s="88">
        <f t="shared" si="453"/>
        <v>80044.931500000006</v>
      </c>
      <c r="CJ203" s="90">
        <f t="shared" si="454"/>
        <v>61478.4421</v>
      </c>
      <c r="CK203" s="90">
        <f t="shared" si="455"/>
        <v>18566.489399999999</v>
      </c>
      <c r="CL203" s="88">
        <f t="shared" si="456"/>
        <v>8830</v>
      </c>
      <c r="CM203" s="88">
        <f t="shared" si="457"/>
        <v>1766</v>
      </c>
      <c r="CN203" s="88">
        <f t="shared" si="458"/>
        <v>8110</v>
      </c>
      <c r="CO203" s="88">
        <f t="shared" si="459"/>
        <v>19050</v>
      </c>
      <c r="CP203" s="88">
        <f t="shared" si="460"/>
        <v>520</v>
      </c>
      <c r="CQ203" s="88">
        <f t="shared" si="461"/>
        <v>17290</v>
      </c>
      <c r="CR203" s="88">
        <f t="shared" si="462"/>
        <v>360</v>
      </c>
      <c r="CS203" s="88">
        <f t="shared" si="463"/>
        <v>880</v>
      </c>
      <c r="CT203" s="88">
        <f t="shared" si="464"/>
        <v>8578.6790999999994</v>
      </c>
      <c r="CU203" s="88">
        <f t="shared" si="465"/>
        <v>5800</v>
      </c>
      <c r="CV203" s="88">
        <f t="shared" si="466"/>
        <v>540</v>
      </c>
      <c r="CW203" s="88">
        <f t="shared" si="467"/>
        <v>770</v>
      </c>
      <c r="CX203" s="88">
        <f t="shared" si="468"/>
        <v>80</v>
      </c>
      <c r="CY203" s="88">
        <f t="shared" si="469"/>
        <v>1050</v>
      </c>
      <c r="CZ203" s="88">
        <f t="shared" si="470"/>
        <v>20101.638599999998</v>
      </c>
      <c r="DA203" s="90">
        <f t="shared" si="471"/>
        <v>15439.046399999999</v>
      </c>
      <c r="DB203" s="90">
        <f t="shared" si="472"/>
        <v>4662.5922</v>
      </c>
      <c r="DC203" s="88">
        <f t="shared" si="473"/>
        <v>3520</v>
      </c>
      <c r="DD203" s="88">
        <f t="shared" si="474"/>
        <v>156475.24919999999</v>
      </c>
      <c r="AUV203" s="699">
        <f t="shared" si="586"/>
        <v>80044.929999999993</v>
      </c>
      <c r="AUW203" s="699">
        <f t="shared" si="587"/>
        <v>61478.44</v>
      </c>
      <c r="AUX203" s="699">
        <f t="shared" si="588"/>
        <v>18566.490000000002</v>
      </c>
      <c r="AUY203" s="699">
        <f t="shared" si="589"/>
        <v>8830</v>
      </c>
      <c r="AUZ203" s="699">
        <f t="shared" si="475"/>
        <v>177096.53</v>
      </c>
      <c r="AVA203" s="699">
        <f t="shared" si="475"/>
        <v>40.56</v>
      </c>
      <c r="AVB203" s="699">
        <f t="shared" si="590"/>
        <v>19050</v>
      </c>
      <c r="AVC203" s="699">
        <f t="shared" si="591"/>
        <v>520</v>
      </c>
      <c r="AVD203" s="699">
        <f t="shared" si="592"/>
        <v>17290</v>
      </c>
      <c r="AVE203" s="699">
        <f t="shared" si="593"/>
        <v>360</v>
      </c>
      <c r="AVF203" s="699">
        <f t="shared" si="594"/>
        <v>880</v>
      </c>
      <c r="AVG203" s="699">
        <f t="shared" si="595"/>
        <v>8578.68</v>
      </c>
      <c r="AVH203" s="699">
        <f t="shared" si="596"/>
        <v>5800</v>
      </c>
      <c r="AVI203" s="699">
        <f t="shared" si="597"/>
        <v>540</v>
      </c>
      <c r="AVJ203" s="699">
        <f t="shared" si="598"/>
        <v>770</v>
      </c>
      <c r="AVK203" s="699">
        <f t="shared" si="599"/>
        <v>80</v>
      </c>
      <c r="AVL203" s="699">
        <f t="shared" si="600"/>
        <v>1050</v>
      </c>
      <c r="AVM203" s="699">
        <f t="shared" si="601"/>
        <v>20101.64</v>
      </c>
      <c r="AVN203" s="699">
        <f t="shared" si="602"/>
        <v>15439.05</v>
      </c>
      <c r="AVO203" s="699">
        <f t="shared" si="603"/>
        <v>4662.59</v>
      </c>
      <c r="AVP203" s="699">
        <f t="shared" si="604"/>
        <v>3520</v>
      </c>
      <c r="AVQ203" s="699">
        <f t="shared" si="605"/>
        <v>156475.25</v>
      </c>
    </row>
    <row r="204" spans="1:108 1244:1265" ht="30" customHeight="1" x14ac:dyDescent="0.25">
      <c r="A204" s="643">
        <v>1</v>
      </c>
      <c r="B204" s="643">
        <v>11</v>
      </c>
      <c r="C204" s="664" t="s">
        <v>26</v>
      </c>
      <c r="D204" s="2"/>
      <c r="E204" s="101" t="s">
        <v>344</v>
      </c>
      <c r="F204" s="643" t="s">
        <v>31</v>
      </c>
      <c r="G204" s="643">
        <v>1</v>
      </c>
      <c r="H204" s="658" t="s">
        <v>8</v>
      </c>
      <c r="I204" s="643">
        <v>3</v>
      </c>
      <c r="J204" s="101" t="s">
        <v>360</v>
      </c>
      <c r="K204" s="643">
        <v>3</v>
      </c>
      <c r="L204" s="683" t="s">
        <v>349</v>
      </c>
      <c r="M204" s="11" t="s">
        <v>266</v>
      </c>
      <c r="N204" s="101" t="s">
        <v>387</v>
      </c>
      <c r="O204" s="643">
        <v>1</v>
      </c>
      <c r="P204" s="632">
        <v>133</v>
      </c>
      <c r="Q204" s="632">
        <v>133</v>
      </c>
      <c r="R204" s="632">
        <v>133</v>
      </c>
      <c r="S204" s="675">
        <f>SUMIF('Территориальный кк'!$A:$A,'2020'!$B204,'Территориальный кк'!D:D)</f>
        <v>1.2470000000000001</v>
      </c>
      <c r="T204" s="676">
        <f>SUMIF('Территориальный кк'!$A:$A,'2020'!$B204,'Территориальный кк'!E:E)</f>
        <v>3.2010000000000001</v>
      </c>
      <c r="U204" s="618">
        <f>SUMIFS(Нормативы!G:G,Нормативы!$B:$B,$G204,Нормативы!$D:$D,'2020'!$I204,Нормативы!$F:$F,'2020'!$K204)*O204</f>
        <v>6419</v>
      </c>
      <c r="V204" s="618">
        <f t="shared" si="476"/>
        <v>4930.1000000000004</v>
      </c>
      <c r="W204" s="618">
        <f t="shared" si="477"/>
        <v>1488.9</v>
      </c>
      <c r="X204" s="618">
        <f>SUMIFS(Нормативы!J:J,Нормативы!$B:$B,$G204,Нормативы!$D:$D,'2020'!$I204,Нормативы!$F:$F,'2020'!$K204)</f>
        <v>883</v>
      </c>
      <c r="Y204" s="618">
        <f>SUMIFS(Нормативы!K:K,Нормативы!$B:$B,$G204,Нормативы!$D:$D,'2020'!$I204,Нормативы!$F:$F,'2020'!$K204)</f>
        <v>177</v>
      </c>
      <c r="Z204" s="618">
        <f>SUMIFS(Нормативы!L:L,Нормативы!$B:$B,$G204,Нормативы!$D:$D,'2020'!$I204,Нормативы!$F:$F,'2020'!$K204)</f>
        <v>811</v>
      </c>
      <c r="AA204" s="618">
        <f t="shared" si="478"/>
        <v>1905</v>
      </c>
      <c r="AB204" s="618">
        <f>SUMIFS(Нормативы!N:N,Нормативы!$B:$B,$G204,Нормативы!$D:$D,'2020'!$I204,Нормативы!$F:$F,'2020'!$K204)*O204</f>
        <v>52</v>
      </c>
      <c r="AC204" s="618">
        <f>SUMIFS(Нормативы!O:O,Нормативы!$B:$B,$G204,Нормативы!$D:$D,'2020'!$I204,Нормативы!$F:$F,'2020'!$K204)</f>
        <v>1729</v>
      </c>
      <c r="AD204" s="618">
        <f>SUMIFS(Нормативы!P:P,Нормативы!$B:$B,$G204,Нормативы!$D:$D,'2020'!$I204,Нормативы!$F:$F,'2020'!$K204)*O204</f>
        <v>36</v>
      </c>
      <c r="AE204" s="618">
        <f>SUMIFS(Нормативы!Q:Q,Нормативы!$B:$B,$G204,Нормативы!$D:$D,'2020'!$I204,Нормативы!$F:$F,'2020'!$K204)</f>
        <v>88</v>
      </c>
      <c r="AF204" s="618">
        <f>SUMIFS(Нормативы!R:R,Нормативы!$B:$B,$G204,Нормативы!$D:$D,'2020'!$I204,Нормативы!$F:$F,'2020'!$K204)</f>
        <v>268</v>
      </c>
      <c r="AG204" s="618">
        <f>SUMIFS(Нормативы!S:S,Нормативы!$B:$B,$G204,Нормативы!$D:$D,'2020'!$I204,Нормативы!$F:$F,'2020'!$K204)</f>
        <v>580</v>
      </c>
      <c r="AH204" s="618">
        <f>SUMIFS(Нормативы!T:T,Нормативы!$B:$B,$G204,Нормативы!$D:$D,'2020'!$I204,Нормативы!$F:$F,'2020'!$K204)</f>
        <v>54</v>
      </c>
      <c r="AI204" s="618">
        <f>SUMIFS(Нормативы!U:U,Нормативы!$B:$B,$G204,Нормативы!$D:$D,'2020'!$I204,Нормативы!$F:$F,'2020'!$K204)</f>
        <v>77</v>
      </c>
      <c r="AJ204" s="618">
        <f>SUMIFS(Нормативы!V:V,Нормативы!$B:$B,$G204,Нормативы!$D:$D,'2020'!$I204,Нормативы!$F:$F,'2020'!$K204)</f>
        <v>8</v>
      </c>
      <c r="AK204" s="618">
        <f>SUMIFS(Нормативы!W:W,Нормативы!$B:$B,$G204,Нормативы!$D:$D,'2020'!$I204,Нормативы!$F:$F,'2020'!$K204)</f>
        <v>105</v>
      </c>
      <c r="AL204" s="618">
        <f>SUMIFS(Нормативы!X:X,Нормативы!$B:$B,$G204,Нормативы!$D:$D,'2020'!$I204,Нормативы!$F:$F,'2020'!$K204)*O204</f>
        <v>1612</v>
      </c>
      <c r="AM204" s="618">
        <f t="shared" si="479"/>
        <v>1238.0999999999999</v>
      </c>
      <c r="AN204" s="618">
        <f t="shared" si="480"/>
        <v>373.9</v>
      </c>
      <c r="AO204" s="618">
        <f>SUMIFS(Нормативы!AA:AA,Нормативы!$B:$B,$G204,Нормативы!$D:$D,'2020'!$I204,Нормативы!$F:$F,'2020'!$K204)</f>
        <v>0</v>
      </c>
      <c r="AP204" s="619">
        <f t="shared" si="481"/>
        <v>12722</v>
      </c>
      <c r="AQ204" s="413">
        <f t="shared" si="418"/>
        <v>853727</v>
      </c>
      <c r="AR204" s="618">
        <f t="shared" si="482"/>
        <v>655704.30000000005</v>
      </c>
      <c r="AS204" s="618">
        <f t="shared" si="483"/>
        <v>198022.7</v>
      </c>
      <c r="AT204" s="616">
        <f t="shared" si="419"/>
        <v>117439</v>
      </c>
      <c r="AU204" s="616">
        <f t="shared" si="420"/>
        <v>23541</v>
      </c>
      <c r="AV204" s="616">
        <f t="shared" si="421"/>
        <v>107863</v>
      </c>
      <c r="AW204" s="616">
        <f t="shared" si="422"/>
        <v>253365</v>
      </c>
      <c r="AX204" s="616">
        <f t="shared" si="423"/>
        <v>6916</v>
      </c>
      <c r="AY204" s="616">
        <f t="shared" si="424"/>
        <v>229957</v>
      </c>
      <c r="AZ204" s="616">
        <f t="shared" si="425"/>
        <v>4788</v>
      </c>
      <c r="BA204" s="616">
        <f t="shared" si="426"/>
        <v>11704</v>
      </c>
      <c r="BB204" s="616">
        <f t="shared" si="427"/>
        <v>35644</v>
      </c>
      <c r="BC204" s="616">
        <f t="shared" si="428"/>
        <v>77140</v>
      </c>
      <c r="BD204" s="616">
        <f t="shared" si="429"/>
        <v>7182</v>
      </c>
      <c r="BE204" s="616">
        <f t="shared" si="430"/>
        <v>10241</v>
      </c>
      <c r="BF204" s="616">
        <f t="shared" si="431"/>
        <v>1064</v>
      </c>
      <c r="BG204" s="616">
        <f t="shared" si="432"/>
        <v>13965</v>
      </c>
      <c r="BH204" s="616">
        <f t="shared" si="433"/>
        <v>214396</v>
      </c>
      <c r="BI204" s="618">
        <f t="shared" si="484"/>
        <v>164666.70000000001</v>
      </c>
      <c r="BJ204" s="618">
        <f t="shared" si="485"/>
        <v>49729.3</v>
      </c>
      <c r="BK204" s="616">
        <f t="shared" si="434"/>
        <v>0</v>
      </c>
      <c r="BL204" s="620">
        <f t="shared" si="435"/>
        <v>1692026</v>
      </c>
      <c r="BM204" s="616">
        <f t="shared" si="436"/>
        <v>1064598</v>
      </c>
      <c r="BN204" s="618">
        <f t="shared" si="437"/>
        <v>817663.6</v>
      </c>
      <c r="BO204" s="618">
        <f t="shared" si="438"/>
        <v>246934.39999999999</v>
      </c>
      <c r="BP204" s="616">
        <f t="shared" si="486"/>
        <v>117439</v>
      </c>
      <c r="BQ204" s="616">
        <f t="shared" si="487"/>
        <v>23541</v>
      </c>
      <c r="BR204" s="616">
        <f t="shared" si="488"/>
        <v>107863</v>
      </c>
      <c r="BS204" s="616">
        <f t="shared" si="439"/>
        <v>253365</v>
      </c>
      <c r="BT204" s="616">
        <f t="shared" si="440"/>
        <v>6916</v>
      </c>
      <c r="BU204" s="616">
        <f t="shared" si="441"/>
        <v>229957</v>
      </c>
      <c r="BV204" s="616">
        <f t="shared" si="442"/>
        <v>4788</v>
      </c>
      <c r="BW204" s="616">
        <f t="shared" si="443"/>
        <v>11704</v>
      </c>
      <c r="BX204" s="616">
        <f t="shared" si="444"/>
        <v>114096</v>
      </c>
      <c r="BY204" s="616">
        <f t="shared" si="445"/>
        <v>77140</v>
      </c>
      <c r="BZ204" s="616">
        <f t="shared" si="446"/>
        <v>7182</v>
      </c>
      <c r="CA204" s="616">
        <f t="shared" si="447"/>
        <v>10241</v>
      </c>
      <c r="CB204" s="616">
        <f t="shared" si="448"/>
        <v>1064</v>
      </c>
      <c r="CC204" s="616">
        <f t="shared" si="449"/>
        <v>13965</v>
      </c>
      <c r="CD204" s="616">
        <f t="shared" si="450"/>
        <v>267352</v>
      </c>
      <c r="CE204" s="618">
        <f t="shared" si="489"/>
        <v>205339.5</v>
      </c>
      <c r="CF204" s="618">
        <f t="shared" si="490"/>
        <v>62012.5</v>
      </c>
      <c r="CG204" s="616">
        <f t="shared" si="451"/>
        <v>0</v>
      </c>
      <c r="CH204" s="621">
        <f t="shared" si="452"/>
        <v>2034305</v>
      </c>
      <c r="CI204" s="88">
        <f t="shared" si="453"/>
        <v>8004.4961999999996</v>
      </c>
      <c r="CJ204" s="90">
        <f t="shared" si="454"/>
        <v>6147.8465999999999</v>
      </c>
      <c r="CK204" s="90">
        <f t="shared" si="455"/>
        <v>1856.6496</v>
      </c>
      <c r="CL204" s="88">
        <f t="shared" si="456"/>
        <v>883</v>
      </c>
      <c r="CM204" s="88">
        <f t="shared" si="457"/>
        <v>177</v>
      </c>
      <c r="CN204" s="88">
        <f t="shared" si="458"/>
        <v>811</v>
      </c>
      <c r="CO204" s="88">
        <f t="shared" si="459"/>
        <v>1905</v>
      </c>
      <c r="CP204" s="88">
        <f t="shared" si="460"/>
        <v>52</v>
      </c>
      <c r="CQ204" s="88">
        <f t="shared" si="461"/>
        <v>1729</v>
      </c>
      <c r="CR204" s="88">
        <f t="shared" si="462"/>
        <v>36</v>
      </c>
      <c r="CS204" s="88">
        <f t="shared" si="463"/>
        <v>88</v>
      </c>
      <c r="CT204" s="88">
        <f t="shared" si="464"/>
        <v>857.86469999999997</v>
      </c>
      <c r="CU204" s="88">
        <f t="shared" si="465"/>
        <v>580</v>
      </c>
      <c r="CV204" s="88">
        <f t="shared" si="466"/>
        <v>54</v>
      </c>
      <c r="CW204" s="88">
        <f t="shared" si="467"/>
        <v>77</v>
      </c>
      <c r="CX204" s="88">
        <f t="shared" si="468"/>
        <v>8</v>
      </c>
      <c r="CY204" s="88">
        <f t="shared" si="469"/>
        <v>105</v>
      </c>
      <c r="CZ204" s="88">
        <f t="shared" si="470"/>
        <v>2010.1654000000001</v>
      </c>
      <c r="DA204" s="90">
        <f t="shared" si="471"/>
        <v>1543.9059999999999</v>
      </c>
      <c r="DB204" s="90">
        <f t="shared" si="472"/>
        <v>466.25940000000003</v>
      </c>
      <c r="DC204" s="88">
        <f t="shared" si="473"/>
        <v>0</v>
      </c>
      <c r="DD204" s="88">
        <f t="shared" si="474"/>
        <v>15295.5263</v>
      </c>
      <c r="AUV204" s="699">
        <f t="shared" si="586"/>
        <v>8004.5</v>
      </c>
      <c r="AUW204" s="699">
        <f t="shared" si="587"/>
        <v>6147.85</v>
      </c>
      <c r="AUX204" s="699">
        <f t="shared" si="588"/>
        <v>1856.65</v>
      </c>
      <c r="AUY204" s="699">
        <f t="shared" si="589"/>
        <v>883</v>
      </c>
      <c r="AUZ204" s="699">
        <f t="shared" si="475"/>
        <v>7354.26</v>
      </c>
      <c r="AVA204" s="699">
        <f t="shared" si="475"/>
        <v>16.8</v>
      </c>
      <c r="AVB204" s="699">
        <f t="shared" si="590"/>
        <v>1905</v>
      </c>
      <c r="AVC204" s="699">
        <f t="shared" si="591"/>
        <v>52</v>
      </c>
      <c r="AVD204" s="699">
        <f t="shared" si="592"/>
        <v>1729</v>
      </c>
      <c r="AVE204" s="699">
        <f t="shared" si="593"/>
        <v>36</v>
      </c>
      <c r="AVF204" s="699">
        <f t="shared" si="594"/>
        <v>88</v>
      </c>
      <c r="AVG204" s="699">
        <f t="shared" si="595"/>
        <v>857.86</v>
      </c>
      <c r="AVH204" s="699">
        <f t="shared" si="596"/>
        <v>580</v>
      </c>
      <c r="AVI204" s="699">
        <f t="shared" si="597"/>
        <v>54</v>
      </c>
      <c r="AVJ204" s="699">
        <f t="shared" si="598"/>
        <v>77</v>
      </c>
      <c r="AVK204" s="699">
        <f t="shared" si="599"/>
        <v>8</v>
      </c>
      <c r="AVL204" s="699">
        <f t="shared" si="600"/>
        <v>105</v>
      </c>
      <c r="AVM204" s="699">
        <f t="shared" si="601"/>
        <v>2010.17</v>
      </c>
      <c r="AVN204" s="699">
        <f t="shared" si="602"/>
        <v>1543.91</v>
      </c>
      <c r="AVO204" s="699">
        <f t="shared" si="603"/>
        <v>466.26</v>
      </c>
      <c r="AVP204" s="699">
        <f t="shared" si="604"/>
        <v>0</v>
      </c>
      <c r="AVQ204" s="699">
        <f t="shared" si="605"/>
        <v>15295.53</v>
      </c>
    </row>
    <row r="205" spans="1:108 1244:1265" ht="30" customHeight="1" x14ac:dyDescent="0.25">
      <c r="A205" s="643">
        <v>1</v>
      </c>
      <c r="B205" s="643">
        <v>11</v>
      </c>
      <c r="C205" s="664" t="s">
        <v>26</v>
      </c>
      <c r="D205" s="2"/>
      <c r="E205" s="101" t="s">
        <v>344</v>
      </c>
      <c r="F205" s="643" t="s">
        <v>31</v>
      </c>
      <c r="G205" s="643">
        <v>1</v>
      </c>
      <c r="H205" s="658" t="s">
        <v>8</v>
      </c>
      <c r="I205" s="643">
        <v>3</v>
      </c>
      <c r="J205" s="101" t="s">
        <v>358</v>
      </c>
      <c r="K205" s="643">
        <v>1</v>
      </c>
      <c r="L205" s="683" t="s">
        <v>349</v>
      </c>
      <c r="M205" s="11" t="s">
        <v>288</v>
      </c>
      <c r="N205" s="101" t="s">
        <v>387</v>
      </c>
      <c r="O205" s="643">
        <v>1</v>
      </c>
      <c r="P205" s="632">
        <v>10</v>
      </c>
      <c r="Q205" s="632">
        <v>10</v>
      </c>
      <c r="R205" s="632">
        <v>10</v>
      </c>
      <c r="S205" s="675">
        <f>SUMIF('Территориальный кк'!$A:$A,'2020'!$B205,'Территориальный кк'!D:D)</f>
        <v>1.2470000000000001</v>
      </c>
      <c r="T205" s="676">
        <f>SUMIF('Территориальный кк'!$A:$A,'2020'!$B205,'Территориальный кк'!E:E)</f>
        <v>3.2010000000000001</v>
      </c>
      <c r="U205" s="618">
        <f>SUMIFS(Нормативы!G:G,Нормативы!$B:$B,$G205,Нормативы!$D:$D,'2020'!$I205,Нормативы!$F:$F,'2020'!$K205)*O205</f>
        <v>5402</v>
      </c>
      <c r="V205" s="618">
        <f t="shared" si="476"/>
        <v>4149</v>
      </c>
      <c r="W205" s="618">
        <f t="shared" si="477"/>
        <v>1253</v>
      </c>
      <c r="X205" s="618">
        <f>SUMIFS(Нормативы!J:J,Нормативы!$B:$B,$G205,Нормативы!$D:$D,'2020'!$I205,Нормативы!$F:$F,'2020'!$K205)</f>
        <v>22</v>
      </c>
      <c r="Y205" s="618">
        <f>SUMIFS(Нормативы!K:K,Нормативы!$B:$B,$G205,Нормативы!$D:$D,'2020'!$I205,Нормативы!$F:$F,'2020'!$K205)</f>
        <v>4</v>
      </c>
      <c r="Z205" s="618">
        <f>SUMIFS(Нормативы!L:L,Нормативы!$B:$B,$G205,Нормативы!$D:$D,'2020'!$I205,Нормативы!$F:$F,'2020'!$K205)</f>
        <v>232</v>
      </c>
      <c r="AA205" s="618">
        <f t="shared" si="478"/>
        <v>371</v>
      </c>
      <c r="AB205" s="618">
        <f>SUMIFS(Нормативы!N:N,Нормативы!$B:$B,$G205,Нормативы!$D:$D,'2020'!$I205,Нормативы!$F:$F,'2020'!$K205)*O205</f>
        <v>52</v>
      </c>
      <c r="AC205" s="618">
        <f>SUMIFS(Нормативы!O:O,Нормативы!$B:$B,$G205,Нормативы!$D:$D,'2020'!$I205,Нормативы!$F:$F,'2020'!$K205)</f>
        <v>214</v>
      </c>
      <c r="AD205" s="618">
        <f>SUMIFS(Нормативы!P:P,Нормативы!$B:$B,$G205,Нормативы!$D:$D,'2020'!$I205,Нормативы!$F:$F,'2020'!$K205)*O205</f>
        <v>31</v>
      </c>
      <c r="AE205" s="618">
        <f>SUMIFS(Нормативы!Q:Q,Нормативы!$B:$B,$G205,Нормативы!$D:$D,'2020'!$I205,Нормативы!$F:$F,'2020'!$K205)</f>
        <v>74</v>
      </c>
      <c r="AF205" s="618">
        <f>SUMIFS(Нормативы!R:R,Нормативы!$B:$B,$G205,Нормативы!$D:$D,'2020'!$I205,Нормативы!$F:$F,'2020'!$K205)</f>
        <v>246</v>
      </c>
      <c r="AG205" s="618">
        <f>SUMIFS(Нормативы!S:S,Нормативы!$B:$B,$G205,Нормативы!$D:$D,'2020'!$I205,Нормативы!$F:$F,'2020'!$K205)</f>
        <v>508</v>
      </c>
      <c r="AH205" s="618">
        <f>SUMIFS(Нормативы!T:T,Нормативы!$B:$B,$G205,Нормативы!$D:$D,'2020'!$I205,Нормативы!$F:$F,'2020'!$K205)</f>
        <v>54</v>
      </c>
      <c r="AI205" s="618">
        <f>SUMIFS(Нормативы!U:U,Нормативы!$B:$B,$G205,Нормативы!$D:$D,'2020'!$I205,Нормативы!$F:$F,'2020'!$K205)</f>
        <v>77</v>
      </c>
      <c r="AJ205" s="618">
        <f>SUMIFS(Нормативы!V:V,Нормативы!$B:$B,$G205,Нормативы!$D:$D,'2020'!$I205,Нормативы!$F:$F,'2020'!$K205)</f>
        <v>8</v>
      </c>
      <c r="AK205" s="618">
        <f>SUMIFS(Нормативы!W:W,Нормативы!$B:$B,$G205,Нормативы!$D:$D,'2020'!$I205,Нормативы!$F:$F,'2020'!$K205)</f>
        <v>30</v>
      </c>
      <c r="AL205" s="618">
        <f>SUMIFS(Нормативы!X:X,Нормативы!$B:$B,$G205,Нормативы!$D:$D,'2020'!$I205,Нормативы!$F:$F,'2020'!$K205)*O205</f>
        <v>1344</v>
      </c>
      <c r="AM205" s="618">
        <f t="shared" si="479"/>
        <v>1032.3</v>
      </c>
      <c r="AN205" s="618">
        <f t="shared" si="480"/>
        <v>311.7</v>
      </c>
      <c r="AO205" s="618">
        <f>SUMIFS(Нормативы!AA:AA,Нормативы!$B:$B,$G205,Нормативы!$D:$D,'2020'!$I205,Нормативы!$F:$F,'2020'!$K205)</f>
        <v>0</v>
      </c>
      <c r="AP205" s="619">
        <f t="shared" si="481"/>
        <v>8294</v>
      </c>
      <c r="AQ205" s="413">
        <f t="shared" si="418"/>
        <v>54020</v>
      </c>
      <c r="AR205" s="618">
        <f t="shared" si="482"/>
        <v>41490</v>
      </c>
      <c r="AS205" s="618">
        <f t="shared" si="483"/>
        <v>12530</v>
      </c>
      <c r="AT205" s="616">
        <f t="shared" si="419"/>
        <v>220</v>
      </c>
      <c r="AU205" s="616">
        <f t="shared" si="420"/>
        <v>40</v>
      </c>
      <c r="AV205" s="616">
        <f t="shared" si="421"/>
        <v>2320</v>
      </c>
      <c r="AW205" s="616">
        <f t="shared" si="422"/>
        <v>3710</v>
      </c>
      <c r="AX205" s="616">
        <f t="shared" si="423"/>
        <v>520</v>
      </c>
      <c r="AY205" s="616">
        <f t="shared" si="424"/>
        <v>2140</v>
      </c>
      <c r="AZ205" s="616">
        <f t="shared" si="425"/>
        <v>310</v>
      </c>
      <c r="BA205" s="616">
        <f t="shared" si="426"/>
        <v>740</v>
      </c>
      <c r="BB205" s="616">
        <f t="shared" si="427"/>
        <v>2460</v>
      </c>
      <c r="BC205" s="616">
        <f t="shared" si="428"/>
        <v>5080</v>
      </c>
      <c r="BD205" s="616">
        <f t="shared" si="429"/>
        <v>540</v>
      </c>
      <c r="BE205" s="616">
        <f t="shared" si="430"/>
        <v>770</v>
      </c>
      <c r="BF205" s="616">
        <f t="shared" si="431"/>
        <v>80</v>
      </c>
      <c r="BG205" s="616">
        <f t="shared" si="432"/>
        <v>300</v>
      </c>
      <c r="BH205" s="616">
        <f t="shared" si="433"/>
        <v>13440</v>
      </c>
      <c r="BI205" s="618">
        <f t="shared" si="484"/>
        <v>10322.6</v>
      </c>
      <c r="BJ205" s="618">
        <f t="shared" si="485"/>
        <v>3117.4</v>
      </c>
      <c r="BK205" s="616">
        <f t="shared" si="434"/>
        <v>0</v>
      </c>
      <c r="BL205" s="620">
        <f t="shared" si="435"/>
        <v>82940</v>
      </c>
      <c r="BM205" s="616">
        <f t="shared" si="436"/>
        <v>67363</v>
      </c>
      <c r="BN205" s="618">
        <f t="shared" si="437"/>
        <v>51738.1</v>
      </c>
      <c r="BO205" s="618">
        <f t="shared" si="438"/>
        <v>15624.9</v>
      </c>
      <c r="BP205" s="616">
        <f t="shared" si="486"/>
        <v>220</v>
      </c>
      <c r="BQ205" s="616">
        <f t="shared" si="487"/>
        <v>40</v>
      </c>
      <c r="BR205" s="616">
        <f t="shared" si="488"/>
        <v>2320</v>
      </c>
      <c r="BS205" s="616">
        <f t="shared" si="439"/>
        <v>3710</v>
      </c>
      <c r="BT205" s="616">
        <f t="shared" si="440"/>
        <v>520</v>
      </c>
      <c r="BU205" s="616">
        <f t="shared" si="441"/>
        <v>2140</v>
      </c>
      <c r="BV205" s="616">
        <f t="shared" si="442"/>
        <v>310</v>
      </c>
      <c r="BW205" s="616">
        <f t="shared" si="443"/>
        <v>740</v>
      </c>
      <c r="BX205" s="616">
        <f t="shared" si="444"/>
        <v>7874</v>
      </c>
      <c r="BY205" s="616">
        <f t="shared" si="445"/>
        <v>5080</v>
      </c>
      <c r="BZ205" s="616">
        <f t="shared" si="446"/>
        <v>540</v>
      </c>
      <c r="CA205" s="616">
        <f t="shared" si="447"/>
        <v>770</v>
      </c>
      <c r="CB205" s="616">
        <f t="shared" si="448"/>
        <v>80</v>
      </c>
      <c r="CC205" s="616">
        <f t="shared" si="449"/>
        <v>300</v>
      </c>
      <c r="CD205" s="616">
        <f t="shared" si="450"/>
        <v>16760</v>
      </c>
      <c r="CE205" s="618">
        <f t="shared" si="489"/>
        <v>12872.5</v>
      </c>
      <c r="CF205" s="618">
        <f t="shared" si="490"/>
        <v>3887.5</v>
      </c>
      <c r="CG205" s="616">
        <f t="shared" si="451"/>
        <v>0</v>
      </c>
      <c r="CH205" s="621">
        <f t="shared" si="452"/>
        <v>105017</v>
      </c>
      <c r="CI205" s="88">
        <f t="shared" si="453"/>
        <v>6736.3</v>
      </c>
      <c r="CJ205" s="90">
        <f t="shared" si="454"/>
        <v>5173.8100000000004</v>
      </c>
      <c r="CK205" s="90">
        <f t="shared" si="455"/>
        <v>1562.49</v>
      </c>
      <c r="CL205" s="88">
        <f t="shared" si="456"/>
        <v>22</v>
      </c>
      <c r="CM205" s="88">
        <f t="shared" si="457"/>
        <v>4</v>
      </c>
      <c r="CN205" s="88">
        <f t="shared" si="458"/>
        <v>232</v>
      </c>
      <c r="CO205" s="88">
        <f t="shared" si="459"/>
        <v>371</v>
      </c>
      <c r="CP205" s="88">
        <f t="shared" si="460"/>
        <v>52</v>
      </c>
      <c r="CQ205" s="88">
        <f t="shared" si="461"/>
        <v>214</v>
      </c>
      <c r="CR205" s="88">
        <f t="shared" si="462"/>
        <v>31</v>
      </c>
      <c r="CS205" s="88">
        <f t="shared" si="463"/>
        <v>74</v>
      </c>
      <c r="CT205" s="88">
        <f t="shared" si="464"/>
        <v>787.4</v>
      </c>
      <c r="CU205" s="88">
        <f t="shared" si="465"/>
        <v>508</v>
      </c>
      <c r="CV205" s="88">
        <f t="shared" si="466"/>
        <v>54</v>
      </c>
      <c r="CW205" s="88">
        <f t="shared" si="467"/>
        <v>77</v>
      </c>
      <c r="CX205" s="88">
        <f t="shared" si="468"/>
        <v>8</v>
      </c>
      <c r="CY205" s="88">
        <f t="shared" si="469"/>
        <v>30</v>
      </c>
      <c r="CZ205" s="88">
        <f t="shared" si="470"/>
        <v>1676</v>
      </c>
      <c r="DA205" s="90">
        <f t="shared" si="471"/>
        <v>1287.25</v>
      </c>
      <c r="DB205" s="90">
        <f t="shared" si="472"/>
        <v>388.75</v>
      </c>
      <c r="DC205" s="88">
        <f t="shared" si="473"/>
        <v>0</v>
      </c>
      <c r="DD205" s="88">
        <f t="shared" si="474"/>
        <v>10501.7</v>
      </c>
      <c r="AUV205" s="699">
        <f t="shared" si="586"/>
        <v>6736.3</v>
      </c>
      <c r="AUW205" s="699">
        <f t="shared" si="587"/>
        <v>5173.8100000000004</v>
      </c>
      <c r="AUX205" s="699">
        <f t="shared" si="588"/>
        <v>1562.49</v>
      </c>
      <c r="AUY205" s="699">
        <f t="shared" si="589"/>
        <v>22</v>
      </c>
      <c r="AUZ205" s="699">
        <f t="shared" si="475"/>
        <v>12.5</v>
      </c>
      <c r="AVA205" s="699">
        <f t="shared" si="475"/>
        <v>0.43</v>
      </c>
      <c r="AVB205" s="699">
        <f t="shared" si="590"/>
        <v>371</v>
      </c>
      <c r="AVC205" s="699">
        <f t="shared" si="591"/>
        <v>52</v>
      </c>
      <c r="AVD205" s="699">
        <f t="shared" si="592"/>
        <v>214</v>
      </c>
      <c r="AVE205" s="699">
        <f t="shared" si="593"/>
        <v>31</v>
      </c>
      <c r="AVF205" s="699">
        <f t="shared" si="594"/>
        <v>74</v>
      </c>
      <c r="AVG205" s="699">
        <f t="shared" si="595"/>
        <v>787.4</v>
      </c>
      <c r="AVH205" s="699">
        <f t="shared" si="596"/>
        <v>508</v>
      </c>
      <c r="AVI205" s="699">
        <f t="shared" si="597"/>
        <v>54</v>
      </c>
      <c r="AVJ205" s="699">
        <f t="shared" si="598"/>
        <v>77</v>
      </c>
      <c r="AVK205" s="699">
        <f t="shared" si="599"/>
        <v>8</v>
      </c>
      <c r="AVL205" s="699">
        <f t="shared" si="600"/>
        <v>30</v>
      </c>
      <c r="AVM205" s="699">
        <f t="shared" si="601"/>
        <v>1676</v>
      </c>
      <c r="AVN205" s="699">
        <f t="shared" si="602"/>
        <v>1287.25</v>
      </c>
      <c r="AVO205" s="699">
        <f t="shared" si="603"/>
        <v>388.75</v>
      </c>
      <c r="AVP205" s="699">
        <f t="shared" si="604"/>
        <v>0</v>
      </c>
      <c r="AVQ205" s="699">
        <f t="shared" si="605"/>
        <v>10501.7</v>
      </c>
    </row>
    <row r="206" spans="1:108 1244:1265" ht="30" customHeight="1" x14ac:dyDescent="0.25">
      <c r="A206" s="643">
        <v>1</v>
      </c>
      <c r="B206" s="643">
        <v>11</v>
      </c>
      <c r="C206" s="664" t="s">
        <v>26</v>
      </c>
      <c r="D206" s="2"/>
      <c r="E206" s="101" t="s">
        <v>344</v>
      </c>
      <c r="F206" s="643" t="s">
        <v>31</v>
      </c>
      <c r="G206" s="643">
        <v>1</v>
      </c>
      <c r="H206" s="658" t="s">
        <v>8</v>
      </c>
      <c r="I206" s="643">
        <v>3</v>
      </c>
      <c r="J206" s="101" t="s">
        <v>376</v>
      </c>
      <c r="K206" s="643">
        <v>1</v>
      </c>
      <c r="L206" s="683" t="s">
        <v>349</v>
      </c>
      <c r="M206" s="11" t="s">
        <v>324</v>
      </c>
      <c r="N206" s="101" t="s">
        <v>387</v>
      </c>
      <c r="O206" s="643">
        <v>1</v>
      </c>
      <c r="P206" s="632">
        <v>10</v>
      </c>
      <c r="Q206" s="632">
        <v>10</v>
      </c>
      <c r="R206" s="632">
        <v>10</v>
      </c>
      <c r="S206" s="675">
        <f>SUMIF('Территориальный кк'!$A:$A,'2020'!$B206,'Территориальный кк'!D:D)</f>
        <v>1.2470000000000001</v>
      </c>
      <c r="T206" s="676">
        <f>SUMIF('Территориальный кк'!$A:$A,'2020'!$B206,'Территориальный кк'!E:E)</f>
        <v>3.2010000000000001</v>
      </c>
      <c r="U206" s="618">
        <f>SUMIFS(Нормативы!G:G,Нормативы!$B:$B,$G206,Нормативы!$D:$D,'2020'!$I206,Нормативы!$F:$F,'2020'!$K206)*O206</f>
        <v>5402</v>
      </c>
      <c r="V206" s="618">
        <f t="shared" si="476"/>
        <v>4149</v>
      </c>
      <c r="W206" s="618">
        <f t="shared" si="477"/>
        <v>1253</v>
      </c>
      <c r="X206" s="618">
        <f>SUMIFS(Нормативы!J:J,Нормативы!$B:$B,$G206,Нормативы!$D:$D,'2020'!$I206,Нормативы!$F:$F,'2020'!$K206)</f>
        <v>22</v>
      </c>
      <c r="Y206" s="618">
        <f>SUMIFS(Нормативы!K:K,Нормативы!$B:$B,$G206,Нормативы!$D:$D,'2020'!$I206,Нормативы!$F:$F,'2020'!$K206)</f>
        <v>4</v>
      </c>
      <c r="Z206" s="618">
        <f>SUMIFS(Нормативы!L:L,Нормативы!$B:$B,$G206,Нормативы!$D:$D,'2020'!$I206,Нормативы!$F:$F,'2020'!$K206)</f>
        <v>232</v>
      </c>
      <c r="AA206" s="618">
        <f t="shared" si="478"/>
        <v>371</v>
      </c>
      <c r="AB206" s="618">
        <f>SUMIFS(Нормативы!N:N,Нормативы!$B:$B,$G206,Нормативы!$D:$D,'2020'!$I206,Нормативы!$F:$F,'2020'!$K206)*O206</f>
        <v>52</v>
      </c>
      <c r="AC206" s="618">
        <f>SUMIFS(Нормативы!O:O,Нормативы!$B:$B,$G206,Нормативы!$D:$D,'2020'!$I206,Нормативы!$F:$F,'2020'!$K206)</f>
        <v>214</v>
      </c>
      <c r="AD206" s="618">
        <f>SUMIFS(Нормативы!P:P,Нормативы!$B:$B,$G206,Нормативы!$D:$D,'2020'!$I206,Нормативы!$F:$F,'2020'!$K206)*O206</f>
        <v>31</v>
      </c>
      <c r="AE206" s="618">
        <f>SUMIFS(Нормативы!Q:Q,Нормативы!$B:$B,$G206,Нормативы!$D:$D,'2020'!$I206,Нормативы!$F:$F,'2020'!$K206)</f>
        <v>74</v>
      </c>
      <c r="AF206" s="618">
        <f>SUMIFS(Нормативы!R:R,Нормативы!$B:$B,$G206,Нормативы!$D:$D,'2020'!$I206,Нормативы!$F:$F,'2020'!$K206)</f>
        <v>246</v>
      </c>
      <c r="AG206" s="618">
        <f>SUMIFS(Нормативы!S:S,Нормативы!$B:$B,$G206,Нормативы!$D:$D,'2020'!$I206,Нормативы!$F:$F,'2020'!$K206)</f>
        <v>508</v>
      </c>
      <c r="AH206" s="618">
        <f>SUMIFS(Нормативы!T:T,Нормативы!$B:$B,$G206,Нормативы!$D:$D,'2020'!$I206,Нормативы!$F:$F,'2020'!$K206)</f>
        <v>54</v>
      </c>
      <c r="AI206" s="618">
        <f>SUMIFS(Нормативы!U:U,Нормативы!$B:$B,$G206,Нормативы!$D:$D,'2020'!$I206,Нормативы!$F:$F,'2020'!$K206)</f>
        <v>77</v>
      </c>
      <c r="AJ206" s="618">
        <f>SUMIFS(Нормативы!V:V,Нормативы!$B:$B,$G206,Нормативы!$D:$D,'2020'!$I206,Нормативы!$F:$F,'2020'!$K206)</f>
        <v>8</v>
      </c>
      <c r="AK206" s="618">
        <f>SUMIFS(Нормативы!W:W,Нормативы!$B:$B,$G206,Нормативы!$D:$D,'2020'!$I206,Нормативы!$F:$F,'2020'!$K206)</f>
        <v>30</v>
      </c>
      <c r="AL206" s="618">
        <f>SUMIFS(Нормативы!X:X,Нормативы!$B:$B,$G206,Нормативы!$D:$D,'2020'!$I206,Нормативы!$F:$F,'2020'!$K206)*O206</f>
        <v>1344</v>
      </c>
      <c r="AM206" s="618">
        <f t="shared" si="479"/>
        <v>1032.3</v>
      </c>
      <c r="AN206" s="618">
        <f t="shared" si="480"/>
        <v>311.7</v>
      </c>
      <c r="AO206" s="618">
        <f>SUMIFS(Нормативы!AA:AA,Нормативы!$B:$B,$G206,Нормативы!$D:$D,'2020'!$I206,Нормативы!$F:$F,'2020'!$K206)</f>
        <v>0</v>
      </c>
      <c r="AP206" s="619">
        <f t="shared" si="481"/>
        <v>8294</v>
      </c>
      <c r="AQ206" s="413">
        <f t="shared" si="418"/>
        <v>54020</v>
      </c>
      <c r="AR206" s="618">
        <f t="shared" si="482"/>
        <v>41490</v>
      </c>
      <c r="AS206" s="618">
        <f t="shared" si="483"/>
        <v>12530</v>
      </c>
      <c r="AT206" s="616">
        <f t="shared" si="419"/>
        <v>220</v>
      </c>
      <c r="AU206" s="616">
        <f t="shared" si="420"/>
        <v>40</v>
      </c>
      <c r="AV206" s="616">
        <f t="shared" si="421"/>
        <v>2320</v>
      </c>
      <c r="AW206" s="616">
        <f t="shared" si="422"/>
        <v>3710</v>
      </c>
      <c r="AX206" s="616">
        <f t="shared" si="423"/>
        <v>520</v>
      </c>
      <c r="AY206" s="616">
        <f t="shared" si="424"/>
        <v>2140</v>
      </c>
      <c r="AZ206" s="616">
        <f t="shared" si="425"/>
        <v>310</v>
      </c>
      <c r="BA206" s="616">
        <f t="shared" si="426"/>
        <v>740</v>
      </c>
      <c r="BB206" s="616">
        <f t="shared" si="427"/>
        <v>2460</v>
      </c>
      <c r="BC206" s="616">
        <f t="shared" si="428"/>
        <v>5080</v>
      </c>
      <c r="BD206" s="616">
        <f t="shared" si="429"/>
        <v>540</v>
      </c>
      <c r="BE206" s="616">
        <f t="shared" si="430"/>
        <v>770</v>
      </c>
      <c r="BF206" s="616">
        <f t="shared" si="431"/>
        <v>80</v>
      </c>
      <c r="BG206" s="616">
        <f t="shared" si="432"/>
        <v>300</v>
      </c>
      <c r="BH206" s="616">
        <f t="shared" si="433"/>
        <v>13440</v>
      </c>
      <c r="BI206" s="618">
        <f t="shared" si="484"/>
        <v>10322.6</v>
      </c>
      <c r="BJ206" s="618">
        <f t="shared" si="485"/>
        <v>3117.4</v>
      </c>
      <c r="BK206" s="616">
        <f t="shared" si="434"/>
        <v>0</v>
      </c>
      <c r="BL206" s="620">
        <f t="shared" si="435"/>
        <v>82940</v>
      </c>
      <c r="BM206" s="616">
        <f t="shared" si="436"/>
        <v>67363</v>
      </c>
      <c r="BN206" s="618">
        <f t="shared" si="437"/>
        <v>51738.1</v>
      </c>
      <c r="BO206" s="618">
        <f t="shared" si="438"/>
        <v>15624.9</v>
      </c>
      <c r="BP206" s="616">
        <f t="shared" si="486"/>
        <v>220</v>
      </c>
      <c r="BQ206" s="616">
        <f t="shared" si="487"/>
        <v>40</v>
      </c>
      <c r="BR206" s="616">
        <f t="shared" si="488"/>
        <v>2320</v>
      </c>
      <c r="BS206" s="616">
        <f t="shared" si="439"/>
        <v>3710</v>
      </c>
      <c r="BT206" s="616">
        <f t="shared" si="440"/>
        <v>520</v>
      </c>
      <c r="BU206" s="616">
        <f t="shared" si="441"/>
        <v>2140</v>
      </c>
      <c r="BV206" s="616">
        <f t="shared" si="442"/>
        <v>310</v>
      </c>
      <c r="BW206" s="616">
        <f t="shared" si="443"/>
        <v>740</v>
      </c>
      <c r="BX206" s="616">
        <f t="shared" si="444"/>
        <v>7874</v>
      </c>
      <c r="BY206" s="616">
        <f t="shared" si="445"/>
        <v>5080</v>
      </c>
      <c r="BZ206" s="616">
        <f t="shared" si="446"/>
        <v>540</v>
      </c>
      <c r="CA206" s="616">
        <f t="shared" si="447"/>
        <v>770</v>
      </c>
      <c r="CB206" s="616">
        <f t="shared" si="448"/>
        <v>80</v>
      </c>
      <c r="CC206" s="616">
        <f t="shared" si="449"/>
        <v>300</v>
      </c>
      <c r="CD206" s="616">
        <f t="shared" si="450"/>
        <v>16760</v>
      </c>
      <c r="CE206" s="618">
        <f t="shared" si="489"/>
        <v>12872.5</v>
      </c>
      <c r="CF206" s="618">
        <f t="shared" si="490"/>
        <v>3887.5</v>
      </c>
      <c r="CG206" s="616">
        <f t="shared" si="451"/>
        <v>0</v>
      </c>
      <c r="CH206" s="621">
        <f t="shared" si="452"/>
        <v>105017</v>
      </c>
      <c r="CI206" s="88">
        <f t="shared" si="453"/>
        <v>6736.3</v>
      </c>
      <c r="CJ206" s="90">
        <f t="shared" si="454"/>
        <v>5173.8100000000004</v>
      </c>
      <c r="CK206" s="90">
        <f t="shared" si="455"/>
        <v>1562.49</v>
      </c>
      <c r="CL206" s="88">
        <f t="shared" si="456"/>
        <v>22</v>
      </c>
      <c r="CM206" s="88">
        <f t="shared" si="457"/>
        <v>4</v>
      </c>
      <c r="CN206" s="88">
        <f t="shared" si="458"/>
        <v>232</v>
      </c>
      <c r="CO206" s="88">
        <f t="shared" si="459"/>
        <v>371</v>
      </c>
      <c r="CP206" s="88">
        <f t="shared" si="460"/>
        <v>52</v>
      </c>
      <c r="CQ206" s="88">
        <f t="shared" si="461"/>
        <v>214</v>
      </c>
      <c r="CR206" s="88">
        <f t="shared" si="462"/>
        <v>31</v>
      </c>
      <c r="CS206" s="88">
        <f t="shared" si="463"/>
        <v>74</v>
      </c>
      <c r="CT206" s="88">
        <f t="shared" si="464"/>
        <v>787.4</v>
      </c>
      <c r="CU206" s="88">
        <f t="shared" si="465"/>
        <v>508</v>
      </c>
      <c r="CV206" s="88">
        <f t="shared" si="466"/>
        <v>54</v>
      </c>
      <c r="CW206" s="88">
        <f t="shared" si="467"/>
        <v>77</v>
      </c>
      <c r="CX206" s="88">
        <f t="shared" si="468"/>
        <v>8</v>
      </c>
      <c r="CY206" s="88">
        <f t="shared" si="469"/>
        <v>30</v>
      </c>
      <c r="CZ206" s="88">
        <f t="shared" si="470"/>
        <v>1676</v>
      </c>
      <c r="DA206" s="90">
        <f t="shared" si="471"/>
        <v>1287.25</v>
      </c>
      <c r="DB206" s="90">
        <f t="shared" si="472"/>
        <v>388.75</v>
      </c>
      <c r="DC206" s="88">
        <f t="shared" si="473"/>
        <v>0</v>
      </c>
      <c r="DD206" s="88">
        <f t="shared" si="474"/>
        <v>10501.7</v>
      </c>
      <c r="AUV206" s="699">
        <f t="shared" si="586"/>
        <v>6736.3</v>
      </c>
      <c r="AUW206" s="699">
        <f t="shared" si="587"/>
        <v>5173.8100000000004</v>
      </c>
      <c r="AUX206" s="699">
        <f t="shared" si="588"/>
        <v>1562.49</v>
      </c>
      <c r="AUY206" s="699">
        <f t="shared" si="589"/>
        <v>22</v>
      </c>
      <c r="AUZ206" s="699">
        <f t="shared" si="475"/>
        <v>12.5</v>
      </c>
      <c r="AVA206" s="699">
        <f t="shared" si="475"/>
        <v>0.43</v>
      </c>
      <c r="AVB206" s="699">
        <f t="shared" si="590"/>
        <v>371</v>
      </c>
      <c r="AVC206" s="699">
        <f t="shared" si="591"/>
        <v>52</v>
      </c>
      <c r="AVD206" s="699">
        <f t="shared" si="592"/>
        <v>214</v>
      </c>
      <c r="AVE206" s="699">
        <f t="shared" si="593"/>
        <v>31</v>
      </c>
      <c r="AVF206" s="699">
        <f t="shared" si="594"/>
        <v>74</v>
      </c>
      <c r="AVG206" s="699">
        <f t="shared" si="595"/>
        <v>787.4</v>
      </c>
      <c r="AVH206" s="699">
        <f t="shared" si="596"/>
        <v>508</v>
      </c>
      <c r="AVI206" s="699">
        <f t="shared" si="597"/>
        <v>54</v>
      </c>
      <c r="AVJ206" s="699">
        <f t="shared" si="598"/>
        <v>77</v>
      </c>
      <c r="AVK206" s="699">
        <f t="shared" si="599"/>
        <v>8</v>
      </c>
      <c r="AVL206" s="699">
        <f t="shared" si="600"/>
        <v>30</v>
      </c>
      <c r="AVM206" s="699">
        <f t="shared" si="601"/>
        <v>1676</v>
      </c>
      <c r="AVN206" s="699">
        <f t="shared" si="602"/>
        <v>1287.25</v>
      </c>
      <c r="AVO206" s="699">
        <f t="shared" si="603"/>
        <v>388.75</v>
      </c>
      <c r="AVP206" s="699">
        <f t="shared" si="604"/>
        <v>0</v>
      </c>
      <c r="AVQ206" s="699">
        <f t="shared" si="605"/>
        <v>10501.7</v>
      </c>
    </row>
    <row r="207" spans="1:108 1244:1265" ht="30" customHeight="1" x14ac:dyDescent="0.25">
      <c r="A207" s="643">
        <v>1</v>
      </c>
      <c r="B207" s="643">
        <v>13</v>
      </c>
      <c r="C207" s="664" t="s">
        <v>29</v>
      </c>
      <c r="D207" s="2"/>
      <c r="E207" s="101" t="s">
        <v>344</v>
      </c>
      <c r="F207" s="643" t="s">
        <v>31</v>
      </c>
      <c r="G207" s="643">
        <v>1</v>
      </c>
      <c r="H207" s="658" t="s">
        <v>8</v>
      </c>
      <c r="I207" s="643">
        <v>3</v>
      </c>
      <c r="J207" s="101" t="s">
        <v>355</v>
      </c>
      <c r="K207" s="643">
        <v>1</v>
      </c>
      <c r="L207" s="683" t="s">
        <v>349</v>
      </c>
      <c r="M207" s="11" t="s">
        <v>254</v>
      </c>
      <c r="N207" s="101" t="s">
        <v>387</v>
      </c>
      <c r="O207" s="643">
        <v>1</v>
      </c>
      <c r="P207" s="632">
        <v>30</v>
      </c>
      <c r="Q207" s="632">
        <v>30</v>
      </c>
      <c r="R207" s="632">
        <v>30</v>
      </c>
      <c r="S207" s="675">
        <f>SUMIF('Территориальный кк'!$A:$A,'2020'!$B207,'Территориальный кк'!D:D)</f>
        <v>1.4650000000000001</v>
      </c>
      <c r="T207" s="676">
        <f>SUMIF('Территориальный кк'!$A:$A,'2020'!$B207,'Территориальный кк'!E:E)</f>
        <v>2.694</v>
      </c>
      <c r="U207" s="618">
        <f>SUMIFS(Нормативы!G:G,Нормативы!$B:$B,$G207,Нормативы!$D:$D,'2020'!$I207,Нормативы!$F:$F,'2020'!$K207)*O207</f>
        <v>5402</v>
      </c>
      <c r="V207" s="618">
        <f t="shared" si="476"/>
        <v>4149</v>
      </c>
      <c r="W207" s="618">
        <f t="shared" si="477"/>
        <v>1253</v>
      </c>
      <c r="X207" s="618">
        <f>SUMIFS(Нормативы!J:J,Нормативы!$B:$B,$G207,Нормативы!$D:$D,'2020'!$I207,Нормативы!$F:$F,'2020'!$K207)</f>
        <v>22</v>
      </c>
      <c r="Y207" s="618">
        <f>SUMIFS(Нормативы!K:K,Нормативы!$B:$B,$G207,Нормативы!$D:$D,'2020'!$I207,Нормативы!$F:$F,'2020'!$K207)</f>
        <v>4</v>
      </c>
      <c r="Z207" s="618">
        <f>SUMIFS(Нормативы!L:L,Нормативы!$B:$B,$G207,Нормативы!$D:$D,'2020'!$I207,Нормативы!$F:$F,'2020'!$K207)</f>
        <v>232</v>
      </c>
      <c r="AA207" s="618">
        <f t="shared" si="478"/>
        <v>371</v>
      </c>
      <c r="AB207" s="618">
        <f>SUMIFS(Нормативы!N:N,Нормативы!$B:$B,$G207,Нормативы!$D:$D,'2020'!$I207,Нормативы!$F:$F,'2020'!$K207)*O207</f>
        <v>52</v>
      </c>
      <c r="AC207" s="618">
        <f>SUMIFS(Нормативы!O:O,Нормативы!$B:$B,$G207,Нормативы!$D:$D,'2020'!$I207,Нормативы!$F:$F,'2020'!$K207)</f>
        <v>214</v>
      </c>
      <c r="AD207" s="618">
        <f>SUMIFS(Нормативы!P:P,Нормативы!$B:$B,$G207,Нормативы!$D:$D,'2020'!$I207,Нормативы!$F:$F,'2020'!$K207)*O207</f>
        <v>31</v>
      </c>
      <c r="AE207" s="618">
        <f>SUMIFS(Нормативы!Q:Q,Нормативы!$B:$B,$G207,Нормативы!$D:$D,'2020'!$I207,Нормативы!$F:$F,'2020'!$K207)</f>
        <v>74</v>
      </c>
      <c r="AF207" s="618">
        <f>SUMIFS(Нормативы!R:R,Нормативы!$B:$B,$G207,Нормативы!$D:$D,'2020'!$I207,Нормативы!$F:$F,'2020'!$K207)</f>
        <v>246</v>
      </c>
      <c r="AG207" s="618">
        <f>SUMIFS(Нормативы!S:S,Нормативы!$B:$B,$G207,Нормативы!$D:$D,'2020'!$I207,Нормативы!$F:$F,'2020'!$K207)</f>
        <v>508</v>
      </c>
      <c r="AH207" s="618">
        <f>SUMIFS(Нормативы!T:T,Нормативы!$B:$B,$G207,Нормативы!$D:$D,'2020'!$I207,Нормативы!$F:$F,'2020'!$K207)</f>
        <v>54</v>
      </c>
      <c r="AI207" s="618">
        <f>SUMIFS(Нормативы!U:U,Нормативы!$B:$B,$G207,Нормативы!$D:$D,'2020'!$I207,Нормативы!$F:$F,'2020'!$K207)</f>
        <v>77</v>
      </c>
      <c r="AJ207" s="618">
        <f>SUMIFS(Нормативы!V:V,Нормативы!$B:$B,$G207,Нормативы!$D:$D,'2020'!$I207,Нормативы!$F:$F,'2020'!$K207)</f>
        <v>8</v>
      </c>
      <c r="AK207" s="618">
        <f>SUMIFS(Нормативы!W:W,Нормативы!$B:$B,$G207,Нормативы!$D:$D,'2020'!$I207,Нормативы!$F:$F,'2020'!$K207)</f>
        <v>30</v>
      </c>
      <c r="AL207" s="618">
        <f>SUMIFS(Нормативы!X:X,Нормативы!$B:$B,$G207,Нормативы!$D:$D,'2020'!$I207,Нормативы!$F:$F,'2020'!$K207)*O207</f>
        <v>1344</v>
      </c>
      <c r="AM207" s="618">
        <f t="shared" si="479"/>
        <v>1032.3</v>
      </c>
      <c r="AN207" s="618">
        <f t="shared" si="480"/>
        <v>311.7</v>
      </c>
      <c r="AO207" s="618">
        <f>SUMIFS(Нормативы!AA:AA,Нормативы!$B:$B,$G207,Нормативы!$D:$D,'2020'!$I207,Нормативы!$F:$F,'2020'!$K207)</f>
        <v>0</v>
      </c>
      <c r="AP207" s="619">
        <f t="shared" si="481"/>
        <v>8294</v>
      </c>
      <c r="AQ207" s="413">
        <f t="shared" si="418"/>
        <v>162060</v>
      </c>
      <c r="AR207" s="618">
        <f t="shared" si="482"/>
        <v>124470</v>
      </c>
      <c r="AS207" s="618">
        <f t="shared" si="483"/>
        <v>37590</v>
      </c>
      <c r="AT207" s="616">
        <f t="shared" si="419"/>
        <v>660</v>
      </c>
      <c r="AU207" s="616">
        <f t="shared" si="420"/>
        <v>120</v>
      </c>
      <c r="AV207" s="616">
        <f t="shared" si="421"/>
        <v>6960</v>
      </c>
      <c r="AW207" s="616">
        <f t="shared" si="422"/>
        <v>11130</v>
      </c>
      <c r="AX207" s="616">
        <f t="shared" si="423"/>
        <v>1560</v>
      </c>
      <c r="AY207" s="616">
        <f t="shared" si="424"/>
        <v>6420</v>
      </c>
      <c r="AZ207" s="616">
        <f t="shared" si="425"/>
        <v>930</v>
      </c>
      <c r="BA207" s="616">
        <f t="shared" si="426"/>
        <v>2220</v>
      </c>
      <c r="BB207" s="616">
        <f t="shared" si="427"/>
        <v>7380</v>
      </c>
      <c r="BC207" s="616">
        <f t="shared" si="428"/>
        <v>15240</v>
      </c>
      <c r="BD207" s="616">
        <f t="shared" si="429"/>
        <v>1620</v>
      </c>
      <c r="BE207" s="616">
        <f t="shared" si="430"/>
        <v>2310</v>
      </c>
      <c r="BF207" s="616">
        <f t="shared" si="431"/>
        <v>240</v>
      </c>
      <c r="BG207" s="616">
        <f t="shared" si="432"/>
        <v>900</v>
      </c>
      <c r="BH207" s="616">
        <f t="shared" si="433"/>
        <v>40320</v>
      </c>
      <c r="BI207" s="618">
        <f t="shared" si="484"/>
        <v>30967.7</v>
      </c>
      <c r="BJ207" s="618">
        <f t="shared" si="485"/>
        <v>9352.2999999999993</v>
      </c>
      <c r="BK207" s="616">
        <f t="shared" si="434"/>
        <v>0</v>
      </c>
      <c r="BL207" s="620">
        <f t="shared" si="435"/>
        <v>248820</v>
      </c>
      <c r="BM207" s="616">
        <f t="shared" si="436"/>
        <v>237418</v>
      </c>
      <c r="BN207" s="618">
        <f t="shared" si="437"/>
        <v>182348.7</v>
      </c>
      <c r="BO207" s="618">
        <f t="shared" si="438"/>
        <v>55069.3</v>
      </c>
      <c r="BP207" s="616">
        <f t="shared" si="486"/>
        <v>660</v>
      </c>
      <c r="BQ207" s="616">
        <f t="shared" si="487"/>
        <v>120</v>
      </c>
      <c r="BR207" s="616">
        <f t="shared" si="488"/>
        <v>6960</v>
      </c>
      <c r="BS207" s="616">
        <f t="shared" si="439"/>
        <v>11130</v>
      </c>
      <c r="BT207" s="616">
        <f t="shared" si="440"/>
        <v>1560</v>
      </c>
      <c r="BU207" s="616">
        <f t="shared" si="441"/>
        <v>6420</v>
      </c>
      <c r="BV207" s="616">
        <f t="shared" si="442"/>
        <v>930</v>
      </c>
      <c r="BW207" s="616">
        <f t="shared" si="443"/>
        <v>2220</v>
      </c>
      <c r="BX207" s="616">
        <f t="shared" si="444"/>
        <v>19882</v>
      </c>
      <c r="BY207" s="616">
        <f t="shared" si="445"/>
        <v>15240</v>
      </c>
      <c r="BZ207" s="616">
        <f t="shared" si="446"/>
        <v>1620</v>
      </c>
      <c r="CA207" s="616">
        <f t="shared" si="447"/>
        <v>2310</v>
      </c>
      <c r="CB207" s="616">
        <f t="shared" si="448"/>
        <v>240</v>
      </c>
      <c r="CC207" s="616">
        <f t="shared" si="449"/>
        <v>900</v>
      </c>
      <c r="CD207" s="616">
        <f t="shared" si="450"/>
        <v>59069</v>
      </c>
      <c r="CE207" s="618">
        <f t="shared" si="489"/>
        <v>45367.9</v>
      </c>
      <c r="CF207" s="618">
        <f t="shared" si="490"/>
        <v>13701.1</v>
      </c>
      <c r="CG207" s="616">
        <f t="shared" si="451"/>
        <v>0</v>
      </c>
      <c r="CH207" s="621">
        <f t="shared" si="452"/>
        <v>355429</v>
      </c>
      <c r="CI207" s="88">
        <f t="shared" si="453"/>
        <v>7913.9332999999997</v>
      </c>
      <c r="CJ207" s="90">
        <f t="shared" si="454"/>
        <v>6078.29</v>
      </c>
      <c r="CK207" s="90">
        <f t="shared" si="455"/>
        <v>1835.6433</v>
      </c>
      <c r="CL207" s="88">
        <f t="shared" si="456"/>
        <v>22</v>
      </c>
      <c r="CM207" s="88">
        <f t="shared" si="457"/>
        <v>4</v>
      </c>
      <c r="CN207" s="88">
        <f t="shared" si="458"/>
        <v>232</v>
      </c>
      <c r="CO207" s="88">
        <f t="shared" si="459"/>
        <v>371</v>
      </c>
      <c r="CP207" s="88">
        <f t="shared" si="460"/>
        <v>52</v>
      </c>
      <c r="CQ207" s="88">
        <f t="shared" si="461"/>
        <v>214</v>
      </c>
      <c r="CR207" s="88">
        <f t="shared" si="462"/>
        <v>31</v>
      </c>
      <c r="CS207" s="88">
        <f t="shared" si="463"/>
        <v>74</v>
      </c>
      <c r="CT207" s="88">
        <f t="shared" si="464"/>
        <v>662.73329999999999</v>
      </c>
      <c r="CU207" s="88">
        <f t="shared" si="465"/>
        <v>508</v>
      </c>
      <c r="CV207" s="88">
        <f t="shared" si="466"/>
        <v>54</v>
      </c>
      <c r="CW207" s="88">
        <f t="shared" si="467"/>
        <v>77</v>
      </c>
      <c r="CX207" s="88">
        <f t="shared" si="468"/>
        <v>8</v>
      </c>
      <c r="CY207" s="88">
        <f t="shared" si="469"/>
        <v>30</v>
      </c>
      <c r="CZ207" s="88">
        <f t="shared" si="470"/>
        <v>1968.9666999999999</v>
      </c>
      <c r="DA207" s="90">
        <f t="shared" si="471"/>
        <v>1512.2633000000001</v>
      </c>
      <c r="DB207" s="90">
        <f t="shared" si="472"/>
        <v>456.70330000000001</v>
      </c>
      <c r="DC207" s="88">
        <f t="shared" si="473"/>
        <v>0</v>
      </c>
      <c r="DD207" s="88">
        <f t="shared" si="474"/>
        <v>11847.6333</v>
      </c>
      <c r="AUV207" s="699">
        <f t="shared" si="586"/>
        <v>7913.93</v>
      </c>
      <c r="AUW207" s="699">
        <f t="shared" si="587"/>
        <v>6078.29</v>
      </c>
      <c r="AUX207" s="699">
        <f t="shared" si="588"/>
        <v>1835.64</v>
      </c>
      <c r="AUY207" s="699">
        <f t="shared" si="589"/>
        <v>22</v>
      </c>
      <c r="AUZ207" s="699">
        <f t="shared" si="475"/>
        <v>44.54</v>
      </c>
      <c r="AVA207" s="699">
        <f t="shared" si="475"/>
        <v>1.29</v>
      </c>
      <c r="AVB207" s="699">
        <f t="shared" si="590"/>
        <v>371</v>
      </c>
      <c r="AVC207" s="699">
        <f t="shared" si="591"/>
        <v>52</v>
      </c>
      <c r="AVD207" s="699">
        <f t="shared" si="592"/>
        <v>214</v>
      </c>
      <c r="AVE207" s="699">
        <f t="shared" si="593"/>
        <v>31</v>
      </c>
      <c r="AVF207" s="699">
        <f t="shared" si="594"/>
        <v>74</v>
      </c>
      <c r="AVG207" s="699">
        <f t="shared" si="595"/>
        <v>662.73</v>
      </c>
      <c r="AVH207" s="699">
        <f t="shared" si="596"/>
        <v>508</v>
      </c>
      <c r="AVI207" s="699">
        <f t="shared" si="597"/>
        <v>54</v>
      </c>
      <c r="AVJ207" s="699">
        <f t="shared" si="598"/>
        <v>77</v>
      </c>
      <c r="AVK207" s="699">
        <f t="shared" si="599"/>
        <v>8</v>
      </c>
      <c r="AVL207" s="699">
        <f t="shared" si="600"/>
        <v>30</v>
      </c>
      <c r="AVM207" s="699">
        <f t="shared" si="601"/>
        <v>1968.97</v>
      </c>
      <c r="AVN207" s="699">
        <f t="shared" si="602"/>
        <v>1512.27</v>
      </c>
      <c r="AVO207" s="699">
        <f t="shared" si="603"/>
        <v>456.7</v>
      </c>
      <c r="AVP207" s="699">
        <f t="shared" si="604"/>
        <v>0</v>
      </c>
      <c r="AVQ207" s="699">
        <f t="shared" si="605"/>
        <v>11847.63</v>
      </c>
    </row>
    <row r="208" spans="1:108 1244:1265" s="608" customFormat="1" ht="30" customHeight="1" x14ac:dyDescent="0.25">
      <c r="A208" s="634">
        <v>1</v>
      </c>
      <c r="B208" s="634">
        <v>13</v>
      </c>
      <c r="C208" s="633" t="s">
        <v>29</v>
      </c>
      <c r="D208" s="2"/>
      <c r="E208" s="602" t="s">
        <v>344</v>
      </c>
      <c r="F208" s="634" t="s">
        <v>31</v>
      </c>
      <c r="G208" s="634">
        <v>1</v>
      </c>
      <c r="H208" s="656" t="s">
        <v>10</v>
      </c>
      <c r="I208" s="634">
        <v>0</v>
      </c>
      <c r="J208" s="602" t="s">
        <v>464</v>
      </c>
      <c r="K208" s="634">
        <v>1</v>
      </c>
      <c r="L208" s="681" t="s">
        <v>349</v>
      </c>
      <c r="M208" s="601"/>
      <c r="N208" s="602" t="s">
        <v>387</v>
      </c>
      <c r="O208" s="634">
        <v>1</v>
      </c>
      <c r="P208" s="633">
        <v>15</v>
      </c>
      <c r="Q208" s="633">
        <v>15</v>
      </c>
      <c r="R208" s="633">
        <v>15</v>
      </c>
      <c r="S208" s="671">
        <f>'Территориальный кк'!D16</f>
        <v>1.4650000000000001</v>
      </c>
      <c r="T208" s="672">
        <f>'Территориальный кк'!E16</f>
        <v>2.694</v>
      </c>
      <c r="U208" s="618">
        <f>SUMIFS(Нормативы!G:G,Нормативы!$B:$B,$G208,Нормативы!$D:$D,'2020'!$I208,Нормативы!$F:$F,'2020'!$K208)*O208</f>
        <v>54020</v>
      </c>
      <c r="V208" s="618">
        <f t="shared" ref="V208" si="606">ROUND(U208/1.302,1)</f>
        <v>41490</v>
      </c>
      <c r="W208" s="618">
        <f t="shared" ref="W208" si="607">U208-V208</f>
        <v>12530</v>
      </c>
      <c r="X208" s="618">
        <f>SUMIFS(Нормативы!J:J,Нормативы!$B:$B,$G208,Нормативы!$D:$D,'2020'!$I208,Нормативы!$F:$F,'2020'!$K208)</f>
        <v>220</v>
      </c>
      <c r="Y208" s="618">
        <f>SUMIFS(Нормативы!K:K,Нормативы!$B:$B,$G208,Нормативы!$D:$D,'2020'!$I208,Нормативы!$F:$F,'2020'!$K208)</f>
        <v>44</v>
      </c>
      <c r="Z208" s="618">
        <f>SUMIFS(Нормативы!L:L,Нормативы!$B:$B,$G208,Нормативы!$D:$D,'2020'!$I208,Нормативы!$F:$F,'2020'!$K208)</f>
        <v>2320</v>
      </c>
      <c r="AA208" s="618">
        <f t="shared" ref="AA208" si="608">AB208+AC208+AD208+AE208</f>
        <v>3710</v>
      </c>
      <c r="AB208" s="618">
        <f>SUMIFS(Нормативы!N:N,Нормативы!$B:$B,$G208,Нормативы!$D:$D,'2020'!$I208,Нормативы!$F:$F,'2020'!$K208)*O208</f>
        <v>520</v>
      </c>
      <c r="AC208" s="618">
        <f>SUMIFS(Нормативы!O:O,Нормативы!$B:$B,$G208,Нормативы!$D:$D,'2020'!$I208,Нормативы!$F:$F,'2020'!$K208)</f>
        <v>2140</v>
      </c>
      <c r="AD208" s="618">
        <f>SUMIFS(Нормативы!P:P,Нормативы!$B:$B,$G208,Нормативы!$D:$D,'2020'!$I208,Нормативы!$F:$F,'2020'!$K208)*O208</f>
        <v>310</v>
      </c>
      <c r="AE208" s="618">
        <f>SUMIFS(Нормативы!Q:Q,Нормативы!$B:$B,$G208,Нормативы!$D:$D,'2020'!$I208,Нормативы!$F:$F,'2020'!$K208)</f>
        <v>740</v>
      </c>
      <c r="AF208" s="618">
        <f>SUMIFS(Нормативы!R:R,Нормативы!$B:$B,$G208,Нормативы!$D:$D,'2020'!$I208,Нормативы!$F:$F,'2020'!$K208)</f>
        <v>2460</v>
      </c>
      <c r="AG208" s="618">
        <f>SUMIFS(Нормативы!S:S,Нормативы!$B:$B,$G208,Нормативы!$D:$D,'2020'!$I208,Нормативы!$F:$F,'2020'!$K208)</f>
        <v>5080</v>
      </c>
      <c r="AH208" s="618">
        <f>SUMIFS(Нормативы!T:T,Нормативы!$B:$B,$G208,Нормативы!$D:$D,'2020'!$I208,Нормативы!$F:$F,'2020'!$K208)</f>
        <v>540</v>
      </c>
      <c r="AI208" s="618">
        <f>SUMIFS(Нормативы!U:U,Нормативы!$B:$B,$G208,Нормативы!$D:$D,'2020'!$I208,Нормативы!$F:$F,'2020'!$K208)</f>
        <v>770</v>
      </c>
      <c r="AJ208" s="618">
        <f>SUMIFS(Нормативы!V:V,Нормативы!$B:$B,$G208,Нормативы!$D:$D,'2020'!$I208,Нормативы!$F:$F,'2020'!$K208)</f>
        <v>80</v>
      </c>
      <c r="AK208" s="618">
        <f>SUMIFS(Нормативы!W:W,Нормативы!$B:$B,$G208,Нормативы!$D:$D,'2020'!$I208,Нормативы!$F:$F,'2020'!$K208)</f>
        <v>300</v>
      </c>
      <c r="AL208" s="618">
        <f>SUMIFS(Нормативы!X:X,Нормативы!$B:$B,$G208,Нормативы!$D:$D,'2020'!$I208,Нормативы!$F:$F,'2020'!$K208)*O208</f>
        <v>13440</v>
      </c>
      <c r="AM208" s="618">
        <f t="shared" ref="AM208" si="609">ROUND(AL208/1.302,1)</f>
        <v>10322.6</v>
      </c>
      <c r="AN208" s="618">
        <f t="shared" ref="AN208" si="610">AL208-AM208</f>
        <v>3117.4</v>
      </c>
      <c r="AO208" s="618">
        <f>SUMIFS(Нормативы!AA:AA,Нормативы!$B:$B,$G208,Нормативы!$D:$D,'2020'!$I208,Нормативы!$F:$F,'2020'!$K208)</f>
        <v>3520</v>
      </c>
      <c r="AP208" s="619">
        <f t="shared" ref="AP208" si="611">U208+X208+Z208+AA208++AF208+AG208+AH208+AI208+AJ208+AK208+AL208+AO208</f>
        <v>86460</v>
      </c>
      <c r="AQ208" s="611">
        <f t="shared" si="418"/>
        <v>810300</v>
      </c>
      <c r="AR208" s="622">
        <f t="shared" si="482"/>
        <v>622350.19999999995</v>
      </c>
      <c r="AS208" s="622">
        <f t="shared" si="483"/>
        <v>187949.8</v>
      </c>
      <c r="AT208" s="614">
        <f t="shared" si="419"/>
        <v>3300</v>
      </c>
      <c r="AU208" s="614">
        <f t="shared" si="420"/>
        <v>660</v>
      </c>
      <c r="AV208" s="614">
        <f t="shared" si="421"/>
        <v>34800</v>
      </c>
      <c r="AW208" s="614">
        <f t="shared" si="422"/>
        <v>55650</v>
      </c>
      <c r="AX208" s="614">
        <f t="shared" si="423"/>
        <v>7800</v>
      </c>
      <c r="AY208" s="614">
        <f t="shared" si="424"/>
        <v>32100</v>
      </c>
      <c r="AZ208" s="614">
        <f t="shared" si="425"/>
        <v>4650</v>
      </c>
      <c r="BA208" s="614">
        <f t="shared" si="426"/>
        <v>11100</v>
      </c>
      <c r="BB208" s="614">
        <f t="shared" si="427"/>
        <v>36900</v>
      </c>
      <c r="BC208" s="614">
        <f t="shared" si="428"/>
        <v>76200</v>
      </c>
      <c r="BD208" s="614">
        <f t="shared" si="429"/>
        <v>8100</v>
      </c>
      <c r="BE208" s="614">
        <f t="shared" si="430"/>
        <v>11550</v>
      </c>
      <c r="BF208" s="614">
        <f t="shared" si="431"/>
        <v>1200</v>
      </c>
      <c r="BG208" s="614">
        <f t="shared" si="432"/>
        <v>4500</v>
      </c>
      <c r="BH208" s="614">
        <f t="shared" si="433"/>
        <v>201600</v>
      </c>
      <c r="BI208" s="614">
        <f t="shared" ref="BI208" si="612">ROUND($P208*AM208,0)</f>
        <v>154839</v>
      </c>
      <c r="BJ208" s="614">
        <f t="shared" ref="BJ208" si="613">ROUND($P208*AN208,0)</f>
        <v>46761</v>
      </c>
      <c r="BK208" s="614">
        <f t="shared" si="434"/>
        <v>52800</v>
      </c>
      <c r="BL208" s="691">
        <f t="shared" ref="BL208" si="614">ROUND($P208*AP208,0)</f>
        <v>1296900</v>
      </c>
      <c r="BM208" s="690">
        <f t="shared" si="436"/>
        <v>1187090</v>
      </c>
      <c r="BN208" s="692">
        <f t="shared" si="437"/>
        <v>911743.5</v>
      </c>
      <c r="BO208" s="692">
        <f t="shared" si="438"/>
        <v>275346.5</v>
      </c>
      <c r="BP208" s="690">
        <f t="shared" si="486"/>
        <v>3300</v>
      </c>
      <c r="BQ208" s="690">
        <f t="shared" si="487"/>
        <v>660</v>
      </c>
      <c r="BR208" s="690">
        <f t="shared" si="488"/>
        <v>34800</v>
      </c>
      <c r="BS208" s="690">
        <f t="shared" si="439"/>
        <v>55650</v>
      </c>
      <c r="BT208" s="690">
        <f t="shared" si="440"/>
        <v>7800</v>
      </c>
      <c r="BU208" s="690">
        <f t="shared" si="441"/>
        <v>32100</v>
      </c>
      <c r="BV208" s="690">
        <f t="shared" si="442"/>
        <v>4650</v>
      </c>
      <c r="BW208" s="690">
        <f t="shared" si="443"/>
        <v>11100</v>
      </c>
      <c r="BX208" s="690">
        <f t="shared" si="444"/>
        <v>99409</v>
      </c>
      <c r="BY208" s="690">
        <f t="shared" si="445"/>
        <v>76200</v>
      </c>
      <c r="BZ208" s="690">
        <f t="shared" si="446"/>
        <v>8100</v>
      </c>
      <c r="CA208" s="690">
        <f t="shared" si="447"/>
        <v>11550</v>
      </c>
      <c r="CB208" s="690">
        <f t="shared" si="448"/>
        <v>1200</v>
      </c>
      <c r="CC208" s="690">
        <f t="shared" si="449"/>
        <v>4500</v>
      </c>
      <c r="CD208" s="690">
        <f t="shared" si="450"/>
        <v>295344</v>
      </c>
      <c r="CE208" s="692">
        <f t="shared" si="489"/>
        <v>226838.7</v>
      </c>
      <c r="CF208" s="692">
        <f t="shared" si="490"/>
        <v>68505.3</v>
      </c>
      <c r="CG208" s="690">
        <f t="shared" si="451"/>
        <v>52800</v>
      </c>
      <c r="CH208" s="621">
        <f t="shared" si="452"/>
        <v>1829943</v>
      </c>
      <c r="CI208" s="607"/>
      <c r="CJ208" s="607"/>
      <c r="CK208" s="607"/>
      <c r="CL208" s="607"/>
      <c r="CM208" s="607"/>
      <c r="CN208" s="607"/>
      <c r="CO208" s="607"/>
      <c r="CP208" s="607"/>
      <c r="CQ208" s="607"/>
      <c r="CR208" s="607"/>
      <c r="CS208" s="607"/>
      <c r="CT208" s="607"/>
      <c r="CU208" s="607"/>
      <c r="CV208" s="607"/>
      <c r="CW208" s="607"/>
      <c r="CX208" s="607"/>
      <c r="CY208" s="607"/>
      <c r="CZ208" s="607"/>
      <c r="DA208" s="607"/>
      <c r="DB208" s="607"/>
      <c r="DC208" s="607"/>
      <c r="DD208" s="607"/>
      <c r="AUV208" s="699">
        <f t="shared" si="586"/>
        <v>79139.33</v>
      </c>
      <c r="AUW208" s="699">
        <f t="shared" si="587"/>
        <v>60782.9</v>
      </c>
      <c r="AUX208" s="699">
        <f t="shared" si="588"/>
        <v>18356.43</v>
      </c>
      <c r="AUY208" s="699">
        <f t="shared" si="589"/>
        <v>220</v>
      </c>
      <c r="AUZ208" s="699">
        <f t="shared" si="475"/>
        <v>244.99</v>
      </c>
      <c r="AVA208" s="699">
        <f t="shared" si="475"/>
        <v>0.64</v>
      </c>
      <c r="AVB208" s="699">
        <f t="shared" si="590"/>
        <v>3710</v>
      </c>
      <c r="AVC208" s="699">
        <f t="shared" si="591"/>
        <v>520</v>
      </c>
      <c r="AVD208" s="699">
        <f t="shared" si="592"/>
        <v>2140</v>
      </c>
      <c r="AVE208" s="699">
        <f t="shared" si="593"/>
        <v>310</v>
      </c>
      <c r="AVF208" s="699">
        <f t="shared" si="594"/>
        <v>740</v>
      </c>
      <c r="AVG208" s="699">
        <f t="shared" si="595"/>
        <v>6627.27</v>
      </c>
      <c r="AVH208" s="699">
        <f t="shared" si="596"/>
        <v>5080</v>
      </c>
      <c r="AVI208" s="699">
        <f t="shared" si="597"/>
        <v>540</v>
      </c>
      <c r="AVJ208" s="699">
        <f t="shared" si="598"/>
        <v>770</v>
      </c>
      <c r="AVK208" s="699">
        <f t="shared" si="599"/>
        <v>80</v>
      </c>
      <c r="AVL208" s="699">
        <f t="shared" si="600"/>
        <v>300</v>
      </c>
      <c r="AVM208" s="699">
        <f t="shared" si="601"/>
        <v>19689.599999999999</v>
      </c>
      <c r="AVN208" s="699">
        <f t="shared" si="602"/>
        <v>15122.58</v>
      </c>
      <c r="AVO208" s="699">
        <f t="shared" si="603"/>
        <v>4567.0200000000004</v>
      </c>
      <c r="AVP208" s="699">
        <f t="shared" si="604"/>
        <v>3520</v>
      </c>
      <c r="AVQ208" s="699">
        <f t="shared" si="605"/>
        <v>121996.2</v>
      </c>
    </row>
    <row r="209" spans="1:108 1244:1265" ht="30" customHeight="1" x14ac:dyDescent="0.25">
      <c r="A209" s="643">
        <v>1</v>
      </c>
      <c r="B209" s="643">
        <v>13</v>
      </c>
      <c r="C209" s="664" t="s">
        <v>29</v>
      </c>
      <c r="D209" s="2"/>
      <c r="E209" s="101" t="s">
        <v>344</v>
      </c>
      <c r="F209" s="643" t="s">
        <v>31</v>
      </c>
      <c r="G209" s="643">
        <v>1</v>
      </c>
      <c r="H209" s="658" t="s">
        <v>10</v>
      </c>
      <c r="I209" s="643">
        <v>0</v>
      </c>
      <c r="J209" s="101" t="s">
        <v>356</v>
      </c>
      <c r="K209" s="643">
        <v>3</v>
      </c>
      <c r="L209" s="683" t="s">
        <v>349</v>
      </c>
      <c r="M209" s="11" t="s">
        <v>255</v>
      </c>
      <c r="N209" s="101" t="s">
        <v>387</v>
      </c>
      <c r="O209" s="643">
        <v>1</v>
      </c>
      <c r="P209" s="632">
        <v>257</v>
      </c>
      <c r="Q209" s="632">
        <v>257</v>
      </c>
      <c r="R209" s="632">
        <v>257</v>
      </c>
      <c r="S209" s="675">
        <f>SUMIF('Территориальный кк'!$A:$A,'2020'!$B209,'Территориальный кк'!D:D)</f>
        <v>1.4650000000000001</v>
      </c>
      <c r="T209" s="676">
        <f>SUMIF('Территориальный кк'!$A:$A,'2020'!$B209,'Территориальный кк'!E:E)</f>
        <v>2.694</v>
      </c>
      <c r="U209" s="618">
        <f>SUMIFS(Нормативы!G:G,Нормативы!$B:$B,$G209,Нормативы!$D:$D,'2020'!$I209,Нормативы!$F:$F,'2020'!$K209)*O209</f>
        <v>64190</v>
      </c>
      <c r="V209" s="618">
        <f t="shared" si="476"/>
        <v>49301.1</v>
      </c>
      <c r="W209" s="618">
        <f t="shared" si="477"/>
        <v>14888.9</v>
      </c>
      <c r="X209" s="618">
        <f>SUMIFS(Нормативы!J:J,Нормативы!$B:$B,$G209,Нормативы!$D:$D,'2020'!$I209,Нормативы!$F:$F,'2020'!$K209)</f>
        <v>8830</v>
      </c>
      <c r="Y209" s="618">
        <f>SUMIFS(Нормативы!K:K,Нормативы!$B:$B,$G209,Нормативы!$D:$D,'2020'!$I209,Нормативы!$F:$F,'2020'!$K209)</f>
        <v>1766</v>
      </c>
      <c r="Z209" s="618">
        <f>SUMIFS(Нормативы!L:L,Нормативы!$B:$B,$G209,Нормативы!$D:$D,'2020'!$I209,Нормативы!$F:$F,'2020'!$K209)</f>
        <v>8110</v>
      </c>
      <c r="AA209" s="618">
        <f t="shared" si="478"/>
        <v>19050</v>
      </c>
      <c r="AB209" s="618">
        <f>SUMIFS(Нормативы!N:N,Нормативы!$B:$B,$G209,Нормативы!$D:$D,'2020'!$I209,Нормативы!$F:$F,'2020'!$K209)*O209</f>
        <v>520</v>
      </c>
      <c r="AC209" s="618">
        <f>SUMIFS(Нормативы!O:O,Нормативы!$B:$B,$G209,Нормативы!$D:$D,'2020'!$I209,Нормативы!$F:$F,'2020'!$K209)</f>
        <v>17290</v>
      </c>
      <c r="AD209" s="618">
        <f>SUMIFS(Нормативы!P:P,Нормативы!$B:$B,$G209,Нормативы!$D:$D,'2020'!$I209,Нормативы!$F:$F,'2020'!$K209)*O209</f>
        <v>360</v>
      </c>
      <c r="AE209" s="618">
        <f>SUMIFS(Нормативы!Q:Q,Нормативы!$B:$B,$G209,Нормативы!$D:$D,'2020'!$I209,Нормативы!$F:$F,'2020'!$K209)</f>
        <v>880</v>
      </c>
      <c r="AF209" s="618">
        <f>SUMIFS(Нормативы!R:R,Нормативы!$B:$B,$G209,Нормативы!$D:$D,'2020'!$I209,Нормативы!$F:$F,'2020'!$K209)</f>
        <v>2680</v>
      </c>
      <c r="AG209" s="618">
        <f>SUMIFS(Нормативы!S:S,Нормативы!$B:$B,$G209,Нормативы!$D:$D,'2020'!$I209,Нормативы!$F:$F,'2020'!$K209)</f>
        <v>5800</v>
      </c>
      <c r="AH209" s="618">
        <f>SUMIFS(Нормативы!T:T,Нормативы!$B:$B,$G209,Нормативы!$D:$D,'2020'!$I209,Нормативы!$F:$F,'2020'!$K209)</f>
        <v>540</v>
      </c>
      <c r="AI209" s="618">
        <f>SUMIFS(Нормативы!U:U,Нормативы!$B:$B,$G209,Нормативы!$D:$D,'2020'!$I209,Нормативы!$F:$F,'2020'!$K209)</f>
        <v>770</v>
      </c>
      <c r="AJ209" s="618">
        <f>SUMIFS(Нормативы!V:V,Нормативы!$B:$B,$G209,Нормативы!$D:$D,'2020'!$I209,Нормативы!$F:$F,'2020'!$K209)</f>
        <v>80</v>
      </c>
      <c r="AK209" s="618">
        <f>SUMIFS(Нормативы!W:W,Нормативы!$B:$B,$G209,Нормативы!$D:$D,'2020'!$I209,Нормативы!$F:$F,'2020'!$K209)</f>
        <v>1050</v>
      </c>
      <c r="AL209" s="618">
        <f>SUMIFS(Нормативы!X:X,Нормативы!$B:$B,$G209,Нормативы!$D:$D,'2020'!$I209,Нормативы!$F:$F,'2020'!$K209)*O209</f>
        <v>16120</v>
      </c>
      <c r="AM209" s="618">
        <f t="shared" si="479"/>
        <v>12381</v>
      </c>
      <c r="AN209" s="618">
        <f t="shared" si="480"/>
        <v>3739</v>
      </c>
      <c r="AO209" s="618">
        <f>SUMIFS(Нормативы!AA:AA,Нормативы!$B:$B,$G209,Нормативы!$D:$D,'2020'!$I209,Нормативы!$F:$F,'2020'!$K209)</f>
        <v>3520</v>
      </c>
      <c r="AP209" s="619">
        <f t="shared" si="481"/>
        <v>130740</v>
      </c>
      <c r="AQ209" s="413">
        <f t="shared" si="418"/>
        <v>16496830</v>
      </c>
      <c r="AR209" s="618">
        <f t="shared" si="482"/>
        <v>12670376.300000001</v>
      </c>
      <c r="AS209" s="618">
        <f t="shared" si="483"/>
        <v>3826453.7</v>
      </c>
      <c r="AT209" s="616">
        <f t="shared" si="419"/>
        <v>2269310</v>
      </c>
      <c r="AU209" s="616">
        <f t="shared" si="420"/>
        <v>453862</v>
      </c>
      <c r="AV209" s="616">
        <f t="shared" si="421"/>
        <v>2084270</v>
      </c>
      <c r="AW209" s="616">
        <f t="shared" si="422"/>
        <v>4895850</v>
      </c>
      <c r="AX209" s="616">
        <f t="shared" si="423"/>
        <v>133640</v>
      </c>
      <c r="AY209" s="616">
        <f t="shared" si="424"/>
        <v>4443530</v>
      </c>
      <c r="AZ209" s="616">
        <f t="shared" si="425"/>
        <v>92520</v>
      </c>
      <c r="BA209" s="616">
        <f t="shared" si="426"/>
        <v>226160</v>
      </c>
      <c r="BB209" s="616">
        <f t="shared" si="427"/>
        <v>688760</v>
      </c>
      <c r="BC209" s="616">
        <f t="shared" si="428"/>
        <v>1490600</v>
      </c>
      <c r="BD209" s="616">
        <f t="shared" si="429"/>
        <v>138780</v>
      </c>
      <c r="BE209" s="616">
        <f t="shared" si="430"/>
        <v>197890</v>
      </c>
      <c r="BF209" s="616">
        <f t="shared" si="431"/>
        <v>20560</v>
      </c>
      <c r="BG209" s="616">
        <f t="shared" si="432"/>
        <v>269850</v>
      </c>
      <c r="BH209" s="616">
        <f t="shared" si="433"/>
        <v>4142840</v>
      </c>
      <c r="BI209" s="618">
        <f t="shared" si="484"/>
        <v>3181904.8</v>
      </c>
      <c r="BJ209" s="618">
        <f t="shared" si="485"/>
        <v>960935.2</v>
      </c>
      <c r="BK209" s="616">
        <f t="shared" si="434"/>
        <v>904640</v>
      </c>
      <c r="BL209" s="620">
        <f t="shared" si="435"/>
        <v>33600180</v>
      </c>
      <c r="BM209" s="616">
        <f t="shared" si="436"/>
        <v>24167856</v>
      </c>
      <c r="BN209" s="618">
        <f t="shared" si="437"/>
        <v>18562101.399999999</v>
      </c>
      <c r="BO209" s="618">
        <f t="shared" si="438"/>
        <v>5605754.5999999996</v>
      </c>
      <c r="BP209" s="616">
        <f t="shared" si="486"/>
        <v>2269310</v>
      </c>
      <c r="BQ209" s="616">
        <f t="shared" si="487"/>
        <v>453862</v>
      </c>
      <c r="BR209" s="616">
        <f t="shared" si="488"/>
        <v>2084270</v>
      </c>
      <c r="BS209" s="616">
        <f t="shared" si="439"/>
        <v>4895850</v>
      </c>
      <c r="BT209" s="616">
        <f t="shared" si="440"/>
        <v>133640</v>
      </c>
      <c r="BU209" s="616">
        <f t="shared" si="441"/>
        <v>4443530</v>
      </c>
      <c r="BV209" s="616">
        <f t="shared" si="442"/>
        <v>92520</v>
      </c>
      <c r="BW209" s="616">
        <f t="shared" si="443"/>
        <v>226160</v>
      </c>
      <c r="BX209" s="616">
        <f t="shared" si="444"/>
        <v>1855519</v>
      </c>
      <c r="BY209" s="616">
        <f t="shared" si="445"/>
        <v>1490600</v>
      </c>
      <c r="BZ209" s="616">
        <f t="shared" si="446"/>
        <v>138780</v>
      </c>
      <c r="CA209" s="616">
        <f t="shared" si="447"/>
        <v>197890</v>
      </c>
      <c r="CB209" s="616">
        <f t="shared" si="448"/>
        <v>20560</v>
      </c>
      <c r="CC209" s="616">
        <f t="shared" si="449"/>
        <v>269850</v>
      </c>
      <c r="CD209" s="616">
        <f t="shared" si="450"/>
        <v>6069261</v>
      </c>
      <c r="CE209" s="618">
        <f t="shared" si="489"/>
        <v>4661490.8</v>
      </c>
      <c r="CF209" s="618">
        <f t="shared" si="490"/>
        <v>1407770.2</v>
      </c>
      <c r="CG209" s="616">
        <f t="shared" si="451"/>
        <v>904640</v>
      </c>
      <c r="CH209" s="621">
        <f t="shared" si="452"/>
        <v>44364386</v>
      </c>
      <c r="CI209" s="88">
        <f t="shared" si="453"/>
        <v>94038.350200000001</v>
      </c>
      <c r="CJ209" s="90">
        <f t="shared" si="454"/>
        <v>72226.075500000006</v>
      </c>
      <c r="CK209" s="90">
        <f t="shared" si="455"/>
        <v>21812.274700000002</v>
      </c>
      <c r="CL209" s="88">
        <f t="shared" si="456"/>
        <v>8830</v>
      </c>
      <c r="CM209" s="88">
        <f t="shared" si="457"/>
        <v>1766</v>
      </c>
      <c r="CN209" s="88">
        <f t="shared" si="458"/>
        <v>8110</v>
      </c>
      <c r="CO209" s="88">
        <f t="shared" si="459"/>
        <v>19050</v>
      </c>
      <c r="CP209" s="88">
        <f t="shared" si="460"/>
        <v>520</v>
      </c>
      <c r="CQ209" s="88">
        <f t="shared" si="461"/>
        <v>17290</v>
      </c>
      <c r="CR209" s="88">
        <f t="shared" si="462"/>
        <v>360</v>
      </c>
      <c r="CS209" s="88">
        <f t="shared" si="463"/>
        <v>880</v>
      </c>
      <c r="CT209" s="88">
        <f t="shared" si="464"/>
        <v>7219.9183000000003</v>
      </c>
      <c r="CU209" s="88">
        <f t="shared" si="465"/>
        <v>5800</v>
      </c>
      <c r="CV209" s="88">
        <f t="shared" si="466"/>
        <v>540</v>
      </c>
      <c r="CW209" s="88">
        <f t="shared" si="467"/>
        <v>770</v>
      </c>
      <c r="CX209" s="88">
        <f t="shared" si="468"/>
        <v>80</v>
      </c>
      <c r="CY209" s="88">
        <f t="shared" si="469"/>
        <v>1050</v>
      </c>
      <c r="CZ209" s="88">
        <f t="shared" si="470"/>
        <v>23615.801599999999</v>
      </c>
      <c r="DA209" s="90">
        <f t="shared" si="471"/>
        <v>18138.0965</v>
      </c>
      <c r="DB209" s="90">
        <f t="shared" si="472"/>
        <v>5477.7051000000001</v>
      </c>
      <c r="DC209" s="88">
        <f t="shared" si="473"/>
        <v>3520</v>
      </c>
      <c r="DD209" s="88">
        <f t="shared" si="474"/>
        <v>172624.07</v>
      </c>
      <c r="AUV209" s="699">
        <f t="shared" si="586"/>
        <v>94038.35</v>
      </c>
      <c r="AUW209" s="699">
        <f t="shared" si="587"/>
        <v>72226.080000000002</v>
      </c>
      <c r="AUX209" s="699">
        <f t="shared" si="588"/>
        <v>21812.27</v>
      </c>
      <c r="AUY209" s="699">
        <f t="shared" si="589"/>
        <v>8830</v>
      </c>
      <c r="AUZ209" s="699">
        <f t="shared" si="475"/>
        <v>168471.42</v>
      </c>
      <c r="AVA209" s="699">
        <f t="shared" si="475"/>
        <v>32.47</v>
      </c>
      <c r="AVB209" s="699">
        <f t="shared" si="590"/>
        <v>19050</v>
      </c>
      <c r="AVC209" s="699">
        <f t="shared" si="591"/>
        <v>520</v>
      </c>
      <c r="AVD209" s="699">
        <f t="shared" si="592"/>
        <v>17290</v>
      </c>
      <c r="AVE209" s="699">
        <f t="shared" si="593"/>
        <v>360</v>
      </c>
      <c r="AVF209" s="699">
        <f t="shared" si="594"/>
        <v>880</v>
      </c>
      <c r="AVG209" s="699">
        <f t="shared" si="595"/>
        <v>7219.92</v>
      </c>
      <c r="AVH209" s="699">
        <f t="shared" si="596"/>
        <v>5800</v>
      </c>
      <c r="AVI209" s="699">
        <f t="shared" si="597"/>
        <v>540</v>
      </c>
      <c r="AVJ209" s="699">
        <f t="shared" si="598"/>
        <v>770</v>
      </c>
      <c r="AVK209" s="699">
        <f t="shared" si="599"/>
        <v>80</v>
      </c>
      <c r="AVL209" s="699">
        <f t="shared" si="600"/>
        <v>1050</v>
      </c>
      <c r="AVM209" s="699">
        <f t="shared" si="601"/>
        <v>23615.8</v>
      </c>
      <c r="AVN209" s="699">
        <f t="shared" si="602"/>
        <v>18138.099999999999</v>
      </c>
      <c r="AVO209" s="699">
        <f t="shared" si="603"/>
        <v>5477.7</v>
      </c>
      <c r="AVP209" s="699">
        <f t="shared" si="604"/>
        <v>3520</v>
      </c>
      <c r="AVQ209" s="699">
        <f t="shared" si="605"/>
        <v>172624.07</v>
      </c>
    </row>
    <row r="210" spans="1:108 1244:1265" ht="30" customHeight="1" x14ac:dyDescent="0.25">
      <c r="A210" s="643">
        <v>1</v>
      </c>
      <c r="B210" s="643">
        <v>13</v>
      </c>
      <c r="C210" s="664" t="s">
        <v>29</v>
      </c>
      <c r="D210" s="2"/>
      <c r="E210" s="101" t="s">
        <v>344</v>
      </c>
      <c r="F210" s="643" t="s">
        <v>31</v>
      </c>
      <c r="G210" s="643">
        <v>1</v>
      </c>
      <c r="H210" s="658" t="s">
        <v>10</v>
      </c>
      <c r="I210" s="643">
        <v>0</v>
      </c>
      <c r="J210" s="101" t="s">
        <v>356</v>
      </c>
      <c r="K210" s="643">
        <v>3</v>
      </c>
      <c r="L210" s="683" t="s">
        <v>349</v>
      </c>
      <c r="M210" s="11" t="s">
        <v>256</v>
      </c>
      <c r="N210" s="101" t="s">
        <v>401</v>
      </c>
      <c r="O210" s="643">
        <v>2</v>
      </c>
      <c r="P210" s="632">
        <v>3</v>
      </c>
      <c r="Q210" s="632">
        <v>3</v>
      </c>
      <c r="R210" s="632">
        <v>3</v>
      </c>
      <c r="S210" s="675">
        <f>SUMIF('Территориальный кк'!$A:$A,'2020'!$B210,'Территориальный кк'!D:D)</f>
        <v>1.4650000000000001</v>
      </c>
      <c r="T210" s="676">
        <f>SUMIF('Территориальный кк'!$A:$A,'2020'!$B210,'Территориальный кк'!E:E)</f>
        <v>2.694</v>
      </c>
      <c r="U210" s="618">
        <f>SUMIFS(Нормативы!G:G,Нормативы!$B:$B,$G210,Нормативы!$D:$D,'2020'!$I210,Нормативы!$F:$F,'2020'!$K210)*O210</f>
        <v>128380</v>
      </c>
      <c r="V210" s="618">
        <f t="shared" si="476"/>
        <v>98602.2</v>
      </c>
      <c r="W210" s="618">
        <f t="shared" si="477"/>
        <v>29777.8</v>
      </c>
      <c r="X210" s="618">
        <f>SUMIFS(Нормативы!J:J,Нормативы!$B:$B,$G210,Нормативы!$D:$D,'2020'!$I210,Нормативы!$F:$F,'2020'!$K210)</f>
        <v>8830</v>
      </c>
      <c r="Y210" s="618">
        <f>SUMIFS(Нормативы!K:K,Нормативы!$B:$B,$G210,Нормативы!$D:$D,'2020'!$I210,Нормативы!$F:$F,'2020'!$K210)</f>
        <v>1766</v>
      </c>
      <c r="Z210" s="618">
        <f>SUMIFS(Нормативы!L:L,Нормативы!$B:$B,$G210,Нормативы!$D:$D,'2020'!$I210,Нормативы!$F:$F,'2020'!$K210)</f>
        <v>8110</v>
      </c>
      <c r="AA210" s="618">
        <f t="shared" si="478"/>
        <v>19930</v>
      </c>
      <c r="AB210" s="618">
        <f>SUMIFS(Нормативы!N:N,Нормативы!$B:$B,$G210,Нормативы!$D:$D,'2020'!$I210,Нормативы!$F:$F,'2020'!$K210)*O210</f>
        <v>1040</v>
      </c>
      <c r="AC210" s="618">
        <f>SUMIFS(Нормативы!O:O,Нормативы!$B:$B,$G210,Нормативы!$D:$D,'2020'!$I210,Нормативы!$F:$F,'2020'!$K210)</f>
        <v>17290</v>
      </c>
      <c r="AD210" s="618">
        <f>SUMIFS(Нормативы!P:P,Нормативы!$B:$B,$G210,Нормативы!$D:$D,'2020'!$I210,Нормативы!$F:$F,'2020'!$K210)*O210</f>
        <v>720</v>
      </c>
      <c r="AE210" s="618">
        <f>SUMIFS(Нормативы!Q:Q,Нормативы!$B:$B,$G210,Нормативы!$D:$D,'2020'!$I210,Нормативы!$F:$F,'2020'!$K210)</f>
        <v>880</v>
      </c>
      <c r="AF210" s="618">
        <f>SUMIFS(Нормативы!R:R,Нормативы!$B:$B,$G210,Нормативы!$D:$D,'2020'!$I210,Нормативы!$F:$F,'2020'!$K210)</f>
        <v>2680</v>
      </c>
      <c r="AG210" s="618">
        <f>SUMIFS(Нормативы!S:S,Нормативы!$B:$B,$G210,Нормативы!$D:$D,'2020'!$I210,Нормативы!$F:$F,'2020'!$K210)</f>
        <v>5800</v>
      </c>
      <c r="AH210" s="618">
        <f>SUMIFS(Нормативы!T:T,Нормативы!$B:$B,$G210,Нормативы!$D:$D,'2020'!$I210,Нормативы!$F:$F,'2020'!$K210)</f>
        <v>540</v>
      </c>
      <c r="AI210" s="618">
        <f>SUMIFS(Нормативы!U:U,Нормативы!$B:$B,$G210,Нормативы!$D:$D,'2020'!$I210,Нормативы!$F:$F,'2020'!$K210)</f>
        <v>770</v>
      </c>
      <c r="AJ210" s="618">
        <f>SUMIFS(Нормативы!V:V,Нормативы!$B:$B,$G210,Нормативы!$D:$D,'2020'!$I210,Нормативы!$F:$F,'2020'!$K210)</f>
        <v>80</v>
      </c>
      <c r="AK210" s="618">
        <f>SUMIFS(Нормативы!W:W,Нормативы!$B:$B,$G210,Нормативы!$D:$D,'2020'!$I210,Нормативы!$F:$F,'2020'!$K210)</f>
        <v>1050</v>
      </c>
      <c r="AL210" s="618">
        <f>SUMIFS(Нормативы!X:X,Нормативы!$B:$B,$G210,Нормативы!$D:$D,'2020'!$I210,Нормативы!$F:$F,'2020'!$K210)*O210</f>
        <v>32240</v>
      </c>
      <c r="AM210" s="618">
        <f t="shared" si="479"/>
        <v>24761.9</v>
      </c>
      <c r="AN210" s="618">
        <f t="shared" si="480"/>
        <v>7478.1</v>
      </c>
      <c r="AO210" s="618">
        <f>SUMIFS(Нормативы!AA:AA,Нормативы!$B:$B,$G210,Нормативы!$D:$D,'2020'!$I210,Нормативы!$F:$F,'2020'!$K210)</f>
        <v>3520</v>
      </c>
      <c r="AP210" s="619">
        <f t="shared" si="481"/>
        <v>211930</v>
      </c>
      <c r="AQ210" s="413">
        <f t="shared" si="418"/>
        <v>385140</v>
      </c>
      <c r="AR210" s="618">
        <f t="shared" si="482"/>
        <v>295806.5</v>
      </c>
      <c r="AS210" s="618">
        <f t="shared" si="483"/>
        <v>89333.5</v>
      </c>
      <c r="AT210" s="616">
        <f t="shared" si="419"/>
        <v>26490</v>
      </c>
      <c r="AU210" s="616">
        <f t="shared" si="420"/>
        <v>5298</v>
      </c>
      <c r="AV210" s="616">
        <f t="shared" si="421"/>
        <v>24330</v>
      </c>
      <c r="AW210" s="616">
        <f t="shared" si="422"/>
        <v>59790</v>
      </c>
      <c r="AX210" s="616">
        <f t="shared" si="423"/>
        <v>3120</v>
      </c>
      <c r="AY210" s="616">
        <f t="shared" si="424"/>
        <v>51870</v>
      </c>
      <c r="AZ210" s="616">
        <f t="shared" si="425"/>
        <v>2160</v>
      </c>
      <c r="BA210" s="616">
        <f t="shared" si="426"/>
        <v>2640</v>
      </c>
      <c r="BB210" s="616">
        <f t="shared" si="427"/>
        <v>8040</v>
      </c>
      <c r="BC210" s="616">
        <f t="shared" si="428"/>
        <v>17400</v>
      </c>
      <c r="BD210" s="616">
        <f t="shared" si="429"/>
        <v>1620</v>
      </c>
      <c r="BE210" s="616">
        <f t="shared" si="430"/>
        <v>2310</v>
      </c>
      <c r="BF210" s="616">
        <f t="shared" si="431"/>
        <v>240</v>
      </c>
      <c r="BG210" s="616">
        <f t="shared" si="432"/>
        <v>3150</v>
      </c>
      <c r="BH210" s="616">
        <f t="shared" si="433"/>
        <v>96720</v>
      </c>
      <c r="BI210" s="618">
        <f t="shared" si="484"/>
        <v>74285.7</v>
      </c>
      <c r="BJ210" s="618">
        <f t="shared" si="485"/>
        <v>22434.3</v>
      </c>
      <c r="BK210" s="616">
        <f t="shared" si="434"/>
        <v>10560</v>
      </c>
      <c r="BL210" s="620">
        <f t="shared" si="435"/>
        <v>635790</v>
      </c>
      <c r="BM210" s="616">
        <f t="shared" si="436"/>
        <v>564230</v>
      </c>
      <c r="BN210" s="618">
        <f t="shared" si="437"/>
        <v>433356.4</v>
      </c>
      <c r="BO210" s="618">
        <f t="shared" si="438"/>
        <v>130873.60000000001</v>
      </c>
      <c r="BP210" s="616">
        <f t="shared" si="486"/>
        <v>26490</v>
      </c>
      <c r="BQ210" s="616">
        <f t="shared" si="487"/>
        <v>5298</v>
      </c>
      <c r="BR210" s="616">
        <f t="shared" si="488"/>
        <v>24330</v>
      </c>
      <c r="BS210" s="616">
        <f t="shared" si="439"/>
        <v>59790</v>
      </c>
      <c r="BT210" s="616">
        <f t="shared" si="440"/>
        <v>3120</v>
      </c>
      <c r="BU210" s="616">
        <f t="shared" si="441"/>
        <v>51870</v>
      </c>
      <c r="BV210" s="616">
        <f t="shared" si="442"/>
        <v>2160</v>
      </c>
      <c r="BW210" s="616">
        <f t="shared" si="443"/>
        <v>2640</v>
      </c>
      <c r="BX210" s="616">
        <f t="shared" si="444"/>
        <v>21660</v>
      </c>
      <c r="BY210" s="616">
        <f t="shared" si="445"/>
        <v>17400</v>
      </c>
      <c r="BZ210" s="616">
        <f t="shared" si="446"/>
        <v>1620</v>
      </c>
      <c r="CA210" s="616">
        <f t="shared" si="447"/>
        <v>2310</v>
      </c>
      <c r="CB210" s="616">
        <f t="shared" si="448"/>
        <v>240</v>
      </c>
      <c r="CC210" s="616">
        <f t="shared" si="449"/>
        <v>3150</v>
      </c>
      <c r="CD210" s="616">
        <f t="shared" si="450"/>
        <v>141695</v>
      </c>
      <c r="CE210" s="618">
        <f t="shared" si="489"/>
        <v>108828.7</v>
      </c>
      <c r="CF210" s="618">
        <f t="shared" si="490"/>
        <v>32866.300000000003</v>
      </c>
      <c r="CG210" s="616">
        <f t="shared" si="451"/>
        <v>10560</v>
      </c>
      <c r="CH210" s="621">
        <f t="shared" si="452"/>
        <v>873475</v>
      </c>
      <c r="CI210" s="88">
        <f t="shared" si="453"/>
        <v>188076.6667</v>
      </c>
      <c r="CJ210" s="90">
        <f t="shared" si="454"/>
        <v>144452.13329999999</v>
      </c>
      <c r="CK210" s="90">
        <f t="shared" si="455"/>
        <v>43624.533300000003</v>
      </c>
      <c r="CL210" s="88">
        <f t="shared" si="456"/>
        <v>8830</v>
      </c>
      <c r="CM210" s="88">
        <f t="shared" si="457"/>
        <v>1766</v>
      </c>
      <c r="CN210" s="88">
        <f t="shared" si="458"/>
        <v>8110</v>
      </c>
      <c r="CO210" s="88">
        <f t="shared" si="459"/>
        <v>19930</v>
      </c>
      <c r="CP210" s="88">
        <f t="shared" si="460"/>
        <v>1040</v>
      </c>
      <c r="CQ210" s="88">
        <f t="shared" si="461"/>
        <v>17290</v>
      </c>
      <c r="CR210" s="88">
        <f t="shared" si="462"/>
        <v>720</v>
      </c>
      <c r="CS210" s="88">
        <f t="shared" si="463"/>
        <v>880</v>
      </c>
      <c r="CT210" s="88">
        <f t="shared" si="464"/>
        <v>7220</v>
      </c>
      <c r="CU210" s="88">
        <f t="shared" si="465"/>
        <v>5800</v>
      </c>
      <c r="CV210" s="88">
        <f t="shared" si="466"/>
        <v>540</v>
      </c>
      <c r="CW210" s="88">
        <f t="shared" si="467"/>
        <v>770</v>
      </c>
      <c r="CX210" s="88">
        <f t="shared" si="468"/>
        <v>80</v>
      </c>
      <c r="CY210" s="88">
        <f t="shared" si="469"/>
        <v>1050</v>
      </c>
      <c r="CZ210" s="88">
        <f t="shared" si="470"/>
        <v>47231.666700000002</v>
      </c>
      <c r="DA210" s="90">
        <f t="shared" si="471"/>
        <v>36276.2333</v>
      </c>
      <c r="DB210" s="90">
        <f t="shared" si="472"/>
        <v>10955.433300000001</v>
      </c>
      <c r="DC210" s="88">
        <f t="shared" si="473"/>
        <v>3520</v>
      </c>
      <c r="DD210" s="88">
        <f t="shared" si="474"/>
        <v>291158.3333</v>
      </c>
      <c r="AUV210" s="699">
        <f t="shared" si="586"/>
        <v>188076.67</v>
      </c>
      <c r="AUW210" s="699">
        <f t="shared" si="587"/>
        <v>144452.13</v>
      </c>
      <c r="AUX210" s="699">
        <f t="shared" si="588"/>
        <v>43624.54</v>
      </c>
      <c r="AUY210" s="699">
        <f t="shared" si="589"/>
        <v>8830</v>
      </c>
      <c r="AUZ210" s="699">
        <f t="shared" si="475"/>
        <v>1966.59</v>
      </c>
      <c r="AVA210" s="699">
        <f t="shared" si="475"/>
        <v>0.19</v>
      </c>
      <c r="AVB210" s="699">
        <f t="shared" si="590"/>
        <v>19930</v>
      </c>
      <c r="AVC210" s="699">
        <f t="shared" si="591"/>
        <v>1040</v>
      </c>
      <c r="AVD210" s="699">
        <f t="shared" si="592"/>
        <v>17290</v>
      </c>
      <c r="AVE210" s="699">
        <f t="shared" si="593"/>
        <v>720</v>
      </c>
      <c r="AVF210" s="699">
        <f t="shared" si="594"/>
        <v>880</v>
      </c>
      <c r="AVG210" s="699">
        <f t="shared" si="595"/>
        <v>7220</v>
      </c>
      <c r="AVH210" s="699">
        <f t="shared" si="596"/>
        <v>5800</v>
      </c>
      <c r="AVI210" s="699">
        <f t="shared" si="597"/>
        <v>540</v>
      </c>
      <c r="AVJ210" s="699">
        <f t="shared" si="598"/>
        <v>770</v>
      </c>
      <c r="AVK210" s="699">
        <f t="shared" si="599"/>
        <v>80</v>
      </c>
      <c r="AVL210" s="699">
        <f t="shared" si="600"/>
        <v>1050</v>
      </c>
      <c r="AVM210" s="699">
        <f t="shared" si="601"/>
        <v>47231.67</v>
      </c>
      <c r="AVN210" s="699">
        <f t="shared" si="602"/>
        <v>36276.239999999998</v>
      </c>
      <c r="AVO210" s="699">
        <f t="shared" si="603"/>
        <v>10955.43</v>
      </c>
      <c r="AVP210" s="699">
        <f t="shared" si="604"/>
        <v>3520</v>
      </c>
      <c r="AVQ210" s="699">
        <f t="shared" si="605"/>
        <v>291158.33</v>
      </c>
    </row>
    <row r="211" spans="1:108 1244:1265" ht="30" customHeight="1" x14ac:dyDescent="0.25">
      <c r="A211" s="643">
        <v>1</v>
      </c>
      <c r="B211" s="643">
        <v>13</v>
      </c>
      <c r="C211" s="664" t="s">
        <v>29</v>
      </c>
      <c r="D211" s="2"/>
      <c r="E211" s="101" t="s">
        <v>344</v>
      </c>
      <c r="F211" s="643" t="s">
        <v>31</v>
      </c>
      <c r="G211" s="643">
        <v>1</v>
      </c>
      <c r="H211" s="658" t="s">
        <v>8</v>
      </c>
      <c r="I211" s="643">
        <v>3</v>
      </c>
      <c r="J211" s="101" t="s">
        <v>356</v>
      </c>
      <c r="K211" s="643">
        <v>3</v>
      </c>
      <c r="L211" s="683" t="s">
        <v>349</v>
      </c>
      <c r="M211" s="11" t="s">
        <v>257</v>
      </c>
      <c r="N211" s="101" t="s">
        <v>387</v>
      </c>
      <c r="O211" s="643">
        <v>1</v>
      </c>
      <c r="P211" s="632">
        <v>112</v>
      </c>
      <c r="Q211" s="632">
        <v>112</v>
      </c>
      <c r="R211" s="632">
        <v>112</v>
      </c>
      <c r="S211" s="675">
        <f>SUMIF('Территориальный кк'!$A:$A,'2020'!$B211,'Территориальный кк'!D:D)</f>
        <v>1.4650000000000001</v>
      </c>
      <c r="T211" s="676">
        <f>SUMIF('Территориальный кк'!$A:$A,'2020'!$B211,'Территориальный кк'!E:E)</f>
        <v>2.694</v>
      </c>
      <c r="U211" s="618">
        <f>SUMIFS(Нормативы!G:G,Нормативы!$B:$B,$G211,Нормативы!$D:$D,'2020'!$I211,Нормативы!$F:$F,'2020'!$K211)*O211</f>
        <v>6419</v>
      </c>
      <c r="V211" s="618">
        <f t="shared" si="476"/>
        <v>4930.1000000000004</v>
      </c>
      <c r="W211" s="618">
        <f t="shared" si="477"/>
        <v>1488.9</v>
      </c>
      <c r="X211" s="618">
        <f>SUMIFS(Нормативы!J:J,Нормативы!$B:$B,$G211,Нормативы!$D:$D,'2020'!$I211,Нормативы!$F:$F,'2020'!$K211)</f>
        <v>883</v>
      </c>
      <c r="Y211" s="618">
        <f>SUMIFS(Нормативы!K:K,Нормативы!$B:$B,$G211,Нормативы!$D:$D,'2020'!$I211,Нормативы!$F:$F,'2020'!$K211)</f>
        <v>177</v>
      </c>
      <c r="Z211" s="618">
        <f>SUMIFS(Нормативы!L:L,Нормативы!$B:$B,$G211,Нормативы!$D:$D,'2020'!$I211,Нормативы!$F:$F,'2020'!$K211)</f>
        <v>811</v>
      </c>
      <c r="AA211" s="618">
        <f t="shared" si="478"/>
        <v>1905</v>
      </c>
      <c r="AB211" s="618">
        <f>SUMIFS(Нормативы!N:N,Нормативы!$B:$B,$G211,Нормативы!$D:$D,'2020'!$I211,Нормативы!$F:$F,'2020'!$K211)*O211</f>
        <v>52</v>
      </c>
      <c r="AC211" s="618">
        <f>SUMIFS(Нормативы!O:O,Нормативы!$B:$B,$G211,Нормативы!$D:$D,'2020'!$I211,Нормативы!$F:$F,'2020'!$K211)</f>
        <v>1729</v>
      </c>
      <c r="AD211" s="618">
        <f>SUMIFS(Нормативы!P:P,Нормативы!$B:$B,$G211,Нормативы!$D:$D,'2020'!$I211,Нормативы!$F:$F,'2020'!$K211)*O211</f>
        <v>36</v>
      </c>
      <c r="AE211" s="618">
        <f>SUMIFS(Нормативы!Q:Q,Нормативы!$B:$B,$G211,Нормативы!$D:$D,'2020'!$I211,Нормативы!$F:$F,'2020'!$K211)</f>
        <v>88</v>
      </c>
      <c r="AF211" s="618">
        <f>SUMIFS(Нормативы!R:R,Нормативы!$B:$B,$G211,Нормативы!$D:$D,'2020'!$I211,Нормативы!$F:$F,'2020'!$K211)</f>
        <v>268</v>
      </c>
      <c r="AG211" s="618">
        <f>SUMIFS(Нормативы!S:S,Нормативы!$B:$B,$G211,Нормативы!$D:$D,'2020'!$I211,Нормативы!$F:$F,'2020'!$K211)</f>
        <v>580</v>
      </c>
      <c r="AH211" s="618">
        <f>SUMIFS(Нормативы!T:T,Нормативы!$B:$B,$G211,Нормативы!$D:$D,'2020'!$I211,Нормативы!$F:$F,'2020'!$K211)</f>
        <v>54</v>
      </c>
      <c r="AI211" s="618">
        <f>SUMIFS(Нормативы!U:U,Нормативы!$B:$B,$G211,Нормативы!$D:$D,'2020'!$I211,Нормативы!$F:$F,'2020'!$K211)</f>
        <v>77</v>
      </c>
      <c r="AJ211" s="618">
        <f>SUMIFS(Нормативы!V:V,Нормативы!$B:$B,$G211,Нормативы!$D:$D,'2020'!$I211,Нормативы!$F:$F,'2020'!$K211)</f>
        <v>8</v>
      </c>
      <c r="AK211" s="618">
        <f>SUMIFS(Нормативы!W:W,Нормативы!$B:$B,$G211,Нормативы!$D:$D,'2020'!$I211,Нормативы!$F:$F,'2020'!$K211)</f>
        <v>105</v>
      </c>
      <c r="AL211" s="618">
        <f>SUMIFS(Нормативы!X:X,Нормативы!$B:$B,$G211,Нормативы!$D:$D,'2020'!$I211,Нормативы!$F:$F,'2020'!$K211)*O211</f>
        <v>1612</v>
      </c>
      <c r="AM211" s="618">
        <f t="shared" si="479"/>
        <v>1238.0999999999999</v>
      </c>
      <c r="AN211" s="618">
        <f t="shared" si="480"/>
        <v>373.9</v>
      </c>
      <c r="AO211" s="618">
        <f>SUMIFS(Нормативы!AA:AA,Нормативы!$B:$B,$G211,Нормативы!$D:$D,'2020'!$I211,Нормативы!$F:$F,'2020'!$K211)</f>
        <v>0</v>
      </c>
      <c r="AP211" s="619">
        <f t="shared" si="481"/>
        <v>12722</v>
      </c>
      <c r="AQ211" s="413">
        <f t="shared" si="418"/>
        <v>718928</v>
      </c>
      <c r="AR211" s="618">
        <f t="shared" si="482"/>
        <v>552172</v>
      </c>
      <c r="AS211" s="618">
        <f t="shared" si="483"/>
        <v>166756</v>
      </c>
      <c r="AT211" s="616">
        <f t="shared" si="419"/>
        <v>98896</v>
      </c>
      <c r="AU211" s="616">
        <f t="shared" si="420"/>
        <v>19824</v>
      </c>
      <c r="AV211" s="616">
        <f t="shared" si="421"/>
        <v>90832</v>
      </c>
      <c r="AW211" s="616">
        <f t="shared" si="422"/>
        <v>213360</v>
      </c>
      <c r="AX211" s="616">
        <f t="shared" si="423"/>
        <v>5824</v>
      </c>
      <c r="AY211" s="616">
        <f t="shared" si="424"/>
        <v>193648</v>
      </c>
      <c r="AZ211" s="616">
        <f t="shared" si="425"/>
        <v>4032</v>
      </c>
      <c r="BA211" s="616">
        <f t="shared" si="426"/>
        <v>9856</v>
      </c>
      <c r="BB211" s="616">
        <f t="shared" si="427"/>
        <v>30016</v>
      </c>
      <c r="BC211" s="616">
        <f t="shared" si="428"/>
        <v>64960</v>
      </c>
      <c r="BD211" s="616">
        <f t="shared" si="429"/>
        <v>6048</v>
      </c>
      <c r="BE211" s="616">
        <f t="shared" si="430"/>
        <v>8624</v>
      </c>
      <c r="BF211" s="616">
        <f t="shared" si="431"/>
        <v>896</v>
      </c>
      <c r="BG211" s="616">
        <f t="shared" si="432"/>
        <v>11760</v>
      </c>
      <c r="BH211" s="616">
        <f t="shared" si="433"/>
        <v>180544</v>
      </c>
      <c r="BI211" s="618">
        <f t="shared" si="484"/>
        <v>138666.70000000001</v>
      </c>
      <c r="BJ211" s="618">
        <f t="shared" si="485"/>
        <v>41877.300000000003</v>
      </c>
      <c r="BK211" s="616">
        <f t="shared" si="434"/>
        <v>0</v>
      </c>
      <c r="BL211" s="620">
        <f t="shared" si="435"/>
        <v>1424864</v>
      </c>
      <c r="BM211" s="616">
        <f t="shared" si="436"/>
        <v>1053230</v>
      </c>
      <c r="BN211" s="618">
        <f t="shared" si="437"/>
        <v>808932.4</v>
      </c>
      <c r="BO211" s="618">
        <f t="shared" si="438"/>
        <v>244297.60000000001</v>
      </c>
      <c r="BP211" s="616">
        <f t="shared" si="486"/>
        <v>98896</v>
      </c>
      <c r="BQ211" s="616">
        <f t="shared" si="487"/>
        <v>19824</v>
      </c>
      <c r="BR211" s="616">
        <f t="shared" si="488"/>
        <v>90832</v>
      </c>
      <c r="BS211" s="616">
        <f t="shared" si="439"/>
        <v>213360</v>
      </c>
      <c r="BT211" s="616">
        <f t="shared" si="440"/>
        <v>5824</v>
      </c>
      <c r="BU211" s="616">
        <f t="shared" si="441"/>
        <v>193648</v>
      </c>
      <c r="BV211" s="616">
        <f t="shared" si="442"/>
        <v>4032</v>
      </c>
      <c r="BW211" s="616">
        <f t="shared" si="443"/>
        <v>9856</v>
      </c>
      <c r="BX211" s="616">
        <f t="shared" si="444"/>
        <v>80863</v>
      </c>
      <c r="BY211" s="616">
        <f t="shared" si="445"/>
        <v>64960</v>
      </c>
      <c r="BZ211" s="616">
        <f t="shared" si="446"/>
        <v>6048</v>
      </c>
      <c r="CA211" s="616">
        <f t="shared" si="447"/>
        <v>8624</v>
      </c>
      <c r="CB211" s="616">
        <f t="shared" si="448"/>
        <v>896</v>
      </c>
      <c r="CC211" s="616">
        <f t="shared" si="449"/>
        <v>11760</v>
      </c>
      <c r="CD211" s="616">
        <f t="shared" si="450"/>
        <v>264497</v>
      </c>
      <c r="CE211" s="618">
        <f t="shared" si="489"/>
        <v>203146.7</v>
      </c>
      <c r="CF211" s="618">
        <f t="shared" si="490"/>
        <v>61350.3</v>
      </c>
      <c r="CG211" s="616">
        <f t="shared" si="451"/>
        <v>0</v>
      </c>
      <c r="CH211" s="621">
        <f t="shared" si="452"/>
        <v>1893966</v>
      </c>
      <c r="CI211" s="88">
        <f t="shared" si="453"/>
        <v>9403.8392999999996</v>
      </c>
      <c r="CJ211" s="90">
        <f t="shared" si="454"/>
        <v>7222.6107000000002</v>
      </c>
      <c r="CK211" s="90">
        <f t="shared" si="455"/>
        <v>2181.2285999999999</v>
      </c>
      <c r="CL211" s="88">
        <f t="shared" si="456"/>
        <v>883</v>
      </c>
      <c r="CM211" s="88">
        <f t="shared" si="457"/>
        <v>177</v>
      </c>
      <c r="CN211" s="88">
        <f t="shared" si="458"/>
        <v>811</v>
      </c>
      <c r="CO211" s="88">
        <f t="shared" si="459"/>
        <v>1905</v>
      </c>
      <c r="CP211" s="88">
        <f t="shared" si="460"/>
        <v>52</v>
      </c>
      <c r="CQ211" s="88">
        <f t="shared" si="461"/>
        <v>1729</v>
      </c>
      <c r="CR211" s="88">
        <f t="shared" si="462"/>
        <v>36</v>
      </c>
      <c r="CS211" s="88">
        <f t="shared" si="463"/>
        <v>88</v>
      </c>
      <c r="CT211" s="88">
        <f t="shared" si="464"/>
        <v>721.99109999999996</v>
      </c>
      <c r="CU211" s="88">
        <f t="shared" si="465"/>
        <v>580</v>
      </c>
      <c r="CV211" s="88">
        <f t="shared" si="466"/>
        <v>54</v>
      </c>
      <c r="CW211" s="88">
        <f t="shared" si="467"/>
        <v>77</v>
      </c>
      <c r="CX211" s="88">
        <f t="shared" si="468"/>
        <v>8</v>
      </c>
      <c r="CY211" s="88">
        <f t="shared" si="469"/>
        <v>105</v>
      </c>
      <c r="CZ211" s="88">
        <f t="shared" si="470"/>
        <v>2361.5803999999998</v>
      </c>
      <c r="DA211" s="90">
        <f t="shared" si="471"/>
        <v>1813.8098</v>
      </c>
      <c r="DB211" s="90">
        <f t="shared" si="472"/>
        <v>547.77049999999997</v>
      </c>
      <c r="DC211" s="88">
        <f t="shared" si="473"/>
        <v>0</v>
      </c>
      <c r="DD211" s="88">
        <f t="shared" si="474"/>
        <v>16910.4107</v>
      </c>
      <c r="AUV211" s="699">
        <f t="shared" si="586"/>
        <v>9403.84</v>
      </c>
      <c r="AUW211" s="699">
        <f t="shared" si="587"/>
        <v>7222.61</v>
      </c>
      <c r="AUX211" s="699">
        <f t="shared" si="588"/>
        <v>2181.23</v>
      </c>
      <c r="AUY211" s="699">
        <f t="shared" si="589"/>
        <v>883</v>
      </c>
      <c r="AUZ211" s="699">
        <f t="shared" si="475"/>
        <v>7358.57</v>
      </c>
      <c r="AVA211" s="699">
        <f t="shared" si="475"/>
        <v>14.15</v>
      </c>
      <c r="AVB211" s="699">
        <f t="shared" si="590"/>
        <v>1905</v>
      </c>
      <c r="AVC211" s="699">
        <f t="shared" si="591"/>
        <v>52</v>
      </c>
      <c r="AVD211" s="699">
        <f t="shared" si="592"/>
        <v>1729</v>
      </c>
      <c r="AVE211" s="699">
        <f t="shared" si="593"/>
        <v>36</v>
      </c>
      <c r="AVF211" s="699">
        <f t="shared" si="594"/>
        <v>88</v>
      </c>
      <c r="AVG211" s="699">
        <f t="shared" si="595"/>
        <v>721.99</v>
      </c>
      <c r="AVH211" s="699">
        <f t="shared" si="596"/>
        <v>580</v>
      </c>
      <c r="AVI211" s="699">
        <f t="shared" si="597"/>
        <v>54</v>
      </c>
      <c r="AVJ211" s="699">
        <f t="shared" si="598"/>
        <v>77</v>
      </c>
      <c r="AVK211" s="699">
        <f t="shared" si="599"/>
        <v>8</v>
      </c>
      <c r="AVL211" s="699">
        <f t="shared" si="600"/>
        <v>105</v>
      </c>
      <c r="AVM211" s="699">
        <f t="shared" si="601"/>
        <v>2361.58</v>
      </c>
      <c r="AVN211" s="699">
        <f t="shared" si="602"/>
        <v>1813.81</v>
      </c>
      <c r="AVO211" s="699">
        <f t="shared" si="603"/>
        <v>547.77</v>
      </c>
      <c r="AVP211" s="699">
        <f t="shared" si="604"/>
        <v>0</v>
      </c>
      <c r="AVQ211" s="699">
        <f t="shared" si="605"/>
        <v>16910.41</v>
      </c>
    </row>
    <row r="212" spans="1:108 1244:1265" ht="30" customHeight="1" x14ac:dyDescent="0.25">
      <c r="A212" s="643">
        <v>1</v>
      </c>
      <c r="B212" s="643">
        <v>13</v>
      </c>
      <c r="C212" s="664" t="s">
        <v>29</v>
      </c>
      <c r="D212" s="2"/>
      <c r="E212" s="101" t="s">
        <v>344</v>
      </c>
      <c r="F212" s="643" t="s">
        <v>31</v>
      </c>
      <c r="G212" s="643">
        <v>1</v>
      </c>
      <c r="H212" s="658" t="s">
        <v>8</v>
      </c>
      <c r="I212" s="643">
        <v>3</v>
      </c>
      <c r="J212" s="101" t="s">
        <v>356</v>
      </c>
      <c r="K212" s="643">
        <v>3</v>
      </c>
      <c r="L212" s="683" t="s">
        <v>349</v>
      </c>
      <c r="M212" s="11" t="s">
        <v>280</v>
      </c>
      <c r="N212" s="101" t="s">
        <v>401</v>
      </c>
      <c r="O212" s="643">
        <v>2</v>
      </c>
      <c r="P212" s="632">
        <v>1</v>
      </c>
      <c r="Q212" s="632">
        <v>1</v>
      </c>
      <c r="R212" s="632">
        <v>1</v>
      </c>
      <c r="S212" s="675">
        <f>SUMIF('Территориальный кк'!$A:$A,'2020'!$B212,'Территориальный кк'!D:D)</f>
        <v>1.4650000000000001</v>
      </c>
      <c r="T212" s="676">
        <f>SUMIF('Территориальный кк'!$A:$A,'2020'!$B212,'Территориальный кк'!E:E)</f>
        <v>2.694</v>
      </c>
      <c r="U212" s="618">
        <f>SUMIFS(Нормативы!G:G,Нормативы!$B:$B,$G212,Нормативы!$D:$D,'2020'!$I212,Нормативы!$F:$F,'2020'!$K212)*O212</f>
        <v>12838</v>
      </c>
      <c r="V212" s="618">
        <f t="shared" si="476"/>
        <v>9860.2000000000007</v>
      </c>
      <c r="W212" s="618">
        <f t="shared" si="477"/>
        <v>2977.8</v>
      </c>
      <c r="X212" s="618">
        <f>SUMIFS(Нормативы!J:J,Нормативы!$B:$B,$G212,Нормативы!$D:$D,'2020'!$I212,Нормативы!$F:$F,'2020'!$K212)</f>
        <v>883</v>
      </c>
      <c r="Y212" s="618">
        <f>SUMIFS(Нормативы!K:K,Нормативы!$B:$B,$G212,Нормативы!$D:$D,'2020'!$I212,Нормативы!$F:$F,'2020'!$K212)</f>
        <v>177</v>
      </c>
      <c r="Z212" s="618">
        <f>SUMIFS(Нормативы!L:L,Нормативы!$B:$B,$G212,Нормативы!$D:$D,'2020'!$I212,Нормативы!$F:$F,'2020'!$K212)</f>
        <v>811</v>
      </c>
      <c r="AA212" s="618">
        <f t="shared" si="478"/>
        <v>1993</v>
      </c>
      <c r="AB212" s="618">
        <f>SUMIFS(Нормативы!N:N,Нормативы!$B:$B,$G212,Нормативы!$D:$D,'2020'!$I212,Нормативы!$F:$F,'2020'!$K212)*O212</f>
        <v>104</v>
      </c>
      <c r="AC212" s="618">
        <f>SUMIFS(Нормативы!O:O,Нормативы!$B:$B,$G212,Нормативы!$D:$D,'2020'!$I212,Нормативы!$F:$F,'2020'!$K212)</f>
        <v>1729</v>
      </c>
      <c r="AD212" s="618">
        <f>SUMIFS(Нормативы!P:P,Нормативы!$B:$B,$G212,Нормативы!$D:$D,'2020'!$I212,Нормативы!$F:$F,'2020'!$K212)*O212</f>
        <v>72</v>
      </c>
      <c r="AE212" s="618">
        <f>SUMIFS(Нормативы!Q:Q,Нормативы!$B:$B,$G212,Нормативы!$D:$D,'2020'!$I212,Нормативы!$F:$F,'2020'!$K212)</f>
        <v>88</v>
      </c>
      <c r="AF212" s="618">
        <f>SUMIFS(Нормативы!R:R,Нормативы!$B:$B,$G212,Нормативы!$D:$D,'2020'!$I212,Нормативы!$F:$F,'2020'!$K212)</f>
        <v>268</v>
      </c>
      <c r="AG212" s="618">
        <f>SUMIFS(Нормативы!S:S,Нормативы!$B:$B,$G212,Нормативы!$D:$D,'2020'!$I212,Нормативы!$F:$F,'2020'!$K212)</f>
        <v>580</v>
      </c>
      <c r="AH212" s="618">
        <f>SUMIFS(Нормативы!T:T,Нормативы!$B:$B,$G212,Нормативы!$D:$D,'2020'!$I212,Нормативы!$F:$F,'2020'!$K212)</f>
        <v>54</v>
      </c>
      <c r="AI212" s="618">
        <f>SUMIFS(Нормативы!U:U,Нормативы!$B:$B,$G212,Нормативы!$D:$D,'2020'!$I212,Нормативы!$F:$F,'2020'!$K212)</f>
        <v>77</v>
      </c>
      <c r="AJ212" s="618">
        <f>SUMIFS(Нормативы!V:V,Нормативы!$B:$B,$G212,Нормативы!$D:$D,'2020'!$I212,Нормативы!$F:$F,'2020'!$K212)</f>
        <v>8</v>
      </c>
      <c r="AK212" s="618">
        <f>SUMIFS(Нормативы!W:W,Нормативы!$B:$B,$G212,Нормативы!$D:$D,'2020'!$I212,Нормативы!$F:$F,'2020'!$K212)</f>
        <v>105</v>
      </c>
      <c r="AL212" s="618">
        <f>SUMIFS(Нормативы!X:X,Нормативы!$B:$B,$G212,Нормативы!$D:$D,'2020'!$I212,Нормативы!$F:$F,'2020'!$K212)*O212</f>
        <v>3224</v>
      </c>
      <c r="AM212" s="618">
        <f t="shared" si="479"/>
        <v>2476.1999999999998</v>
      </c>
      <c r="AN212" s="618">
        <f t="shared" si="480"/>
        <v>747.8</v>
      </c>
      <c r="AO212" s="618">
        <f>SUMIFS(Нормативы!AA:AA,Нормативы!$B:$B,$G212,Нормативы!$D:$D,'2020'!$I212,Нормативы!$F:$F,'2020'!$K212)</f>
        <v>0</v>
      </c>
      <c r="AP212" s="619">
        <f t="shared" si="481"/>
        <v>20841</v>
      </c>
      <c r="AQ212" s="413">
        <f t="shared" si="418"/>
        <v>12838</v>
      </c>
      <c r="AR212" s="618">
        <f t="shared" si="482"/>
        <v>9860.2000000000007</v>
      </c>
      <c r="AS212" s="618">
        <f t="shared" si="483"/>
        <v>2977.8</v>
      </c>
      <c r="AT212" s="616">
        <f t="shared" si="419"/>
        <v>883</v>
      </c>
      <c r="AU212" s="616">
        <f t="shared" si="420"/>
        <v>177</v>
      </c>
      <c r="AV212" s="616">
        <f t="shared" si="421"/>
        <v>811</v>
      </c>
      <c r="AW212" s="616">
        <f t="shared" si="422"/>
        <v>1993</v>
      </c>
      <c r="AX212" s="616">
        <f t="shared" si="423"/>
        <v>104</v>
      </c>
      <c r="AY212" s="616">
        <f t="shared" si="424"/>
        <v>1729</v>
      </c>
      <c r="AZ212" s="616">
        <f t="shared" si="425"/>
        <v>72</v>
      </c>
      <c r="BA212" s="616">
        <f t="shared" si="426"/>
        <v>88</v>
      </c>
      <c r="BB212" s="616">
        <f t="shared" si="427"/>
        <v>268</v>
      </c>
      <c r="BC212" s="616">
        <f t="shared" si="428"/>
        <v>580</v>
      </c>
      <c r="BD212" s="616">
        <f t="shared" si="429"/>
        <v>54</v>
      </c>
      <c r="BE212" s="616">
        <f t="shared" si="430"/>
        <v>77</v>
      </c>
      <c r="BF212" s="616">
        <f t="shared" si="431"/>
        <v>8</v>
      </c>
      <c r="BG212" s="616">
        <f t="shared" si="432"/>
        <v>105</v>
      </c>
      <c r="BH212" s="616">
        <f t="shared" si="433"/>
        <v>3224</v>
      </c>
      <c r="BI212" s="618">
        <f t="shared" si="484"/>
        <v>2476.1999999999998</v>
      </c>
      <c r="BJ212" s="618">
        <f t="shared" si="485"/>
        <v>747.8</v>
      </c>
      <c r="BK212" s="616">
        <f t="shared" si="434"/>
        <v>0</v>
      </c>
      <c r="BL212" s="620">
        <f t="shared" si="435"/>
        <v>20841</v>
      </c>
      <c r="BM212" s="616">
        <f t="shared" si="436"/>
        <v>18808</v>
      </c>
      <c r="BN212" s="618">
        <f t="shared" si="437"/>
        <v>14445.5</v>
      </c>
      <c r="BO212" s="618">
        <f t="shared" si="438"/>
        <v>4362.5</v>
      </c>
      <c r="BP212" s="616">
        <f t="shared" si="486"/>
        <v>883</v>
      </c>
      <c r="BQ212" s="616">
        <f t="shared" si="487"/>
        <v>177</v>
      </c>
      <c r="BR212" s="616">
        <f t="shared" si="488"/>
        <v>811</v>
      </c>
      <c r="BS212" s="616">
        <f t="shared" si="439"/>
        <v>1993</v>
      </c>
      <c r="BT212" s="616">
        <f t="shared" si="440"/>
        <v>104</v>
      </c>
      <c r="BU212" s="616">
        <f t="shared" si="441"/>
        <v>1729</v>
      </c>
      <c r="BV212" s="616">
        <f t="shared" si="442"/>
        <v>72</v>
      </c>
      <c r="BW212" s="616">
        <f t="shared" si="443"/>
        <v>88</v>
      </c>
      <c r="BX212" s="616">
        <f t="shared" si="444"/>
        <v>722</v>
      </c>
      <c r="BY212" s="616">
        <f t="shared" si="445"/>
        <v>580</v>
      </c>
      <c r="BZ212" s="616">
        <f t="shared" si="446"/>
        <v>54</v>
      </c>
      <c r="CA212" s="616">
        <f t="shared" si="447"/>
        <v>77</v>
      </c>
      <c r="CB212" s="616">
        <f t="shared" si="448"/>
        <v>8</v>
      </c>
      <c r="CC212" s="616">
        <f t="shared" si="449"/>
        <v>105</v>
      </c>
      <c r="CD212" s="616">
        <f t="shared" si="450"/>
        <v>4723</v>
      </c>
      <c r="CE212" s="618">
        <f t="shared" si="489"/>
        <v>3627.5</v>
      </c>
      <c r="CF212" s="618">
        <f t="shared" si="490"/>
        <v>1095.5</v>
      </c>
      <c r="CG212" s="616">
        <f t="shared" si="451"/>
        <v>0</v>
      </c>
      <c r="CH212" s="621">
        <f t="shared" si="452"/>
        <v>28764</v>
      </c>
      <c r="CI212" s="88">
        <f t="shared" si="453"/>
        <v>18808</v>
      </c>
      <c r="CJ212" s="90">
        <f t="shared" si="454"/>
        <v>14445.5</v>
      </c>
      <c r="CK212" s="90">
        <f t="shared" si="455"/>
        <v>4362.5</v>
      </c>
      <c r="CL212" s="88">
        <f t="shared" si="456"/>
        <v>883</v>
      </c>
      <c r="CM212" s="88">
        <f t="shared" si="457"/>
        <v>177</v>
      </c>
      <c r="CN212" s="88">
        <f t="shared" si="458"/>
        <v>811</v>
      </c>
      <c r="CO212" s="88">
        <f t="shared" si="459"/>
        <v>1993</v>
      </c>
      <c r="CP212" s="88">
        <f t="shared" si="460"/>
        <v>104</v>
      </c>
      <c r="CQ212" s="88">
        <f t="shared" si="461"/>
        <v>1729</v>
      </c>
      <c r="CR212" s="88">
        <f t="shared" si="462"/>
        <v>72</v>
      </c>
      <c r="CS212" s="88">
        <f t="shared" si="463"/>
        <v>88</v>
      </c>
      <c r="CT212" s="88">
        <f t="shared" si="464"/>
        <v>722</v>
      </c>
      <c r="CU212" s="88">
        <f t="shared" si="465"/>
        <v>580</v>
      </c>
      <c r="CV212" s="88">
        <f t="shared" si="466"/>
        <v>54</v>
      </c>
      <c r="CW212" s="88">
        <f t="shared" si="467"/>
        <v>77</v>
      </c>
      <c r="CX212" s="88">
        <f t="shared" si="468"/>
        <v>8</v>
      </c>
      <c r="CY212" s="88">
        <f t="shared" si="469"/>
        <v>105</v>
      </c>
      <c r="CZ212" s="88">
        <f t="shared" si="470"/>
        <v>4723</v>
      </c>
      <c r="DA212" s="90">
        <f t="shared" si="471"/>
        <v>3627.5</v>
      </c>
      <c r="DB212" s="90">
        <f t="shared" si="472"/>
        <v>1095.5</v>
      </c>
      <c r="DC212" s="88">
        <f t="shared" si="473"/>
        <v>0</v>
      </c>
      <c r="DD212" s="88">
        <f t="shared" si="474"/>
        <v>28764</v>
      </c>
      <c r="AUV212" s="699">
        <f t="shared" si="586"/>
        <v>18808</v>
      </c>
      <c r="AUW212" s="699">
        <f t="shared" si="587"/>
        <v>14445.47</v>
      </c>
      <c r="AUX212" s="699">
        <f t="shared" si="588"/>
        <v>4362.53</v>
      </c>
      <c r="AUY212" s="699">
        <f t="shared" si="589"/>
        <v>883</v>
      </c>
      <c r="AUZ212" s="699">
        <f t="shared" si="475"/>
        <v>65.7</v>
      </c>
      <c r="AVA212" s="699">
        <f t="shared" si="475"/>
        <v>0.06</v>
      </c>
      <c r="AVB212" s="699">
        <f t="shared" si="590"/>
        <v>1993</v>
      </c>
      <c r="AVC212" s="699">
        <f t="shared" si="591"/>
        <v>104</v>
      </c>
      <c r="AVD212" s="699">
        <f t="shared" si="592"/>
        <v>1729</v>
      </c>
      <c r="AVE212" s="699">
        <f t="shared" si="593"/>
        <v>72</v>
      </c>
      <c r="AVF212" s="699">
        <f t="shared" si="594"/>
        <v>88</v>
      </c>
      <c r="AVG212" s="699">
        <f t="shared" si="595"/>
        <v>722</v>
      </c>
      <c r="AVH212" s="699">
        <f t="shared" si="596"/>
        <v>580</v>
      </c>
      <c r="AVI212" s="699">
        <f t="shared" si="597"/>
        <v>54</v>
      </c>
      <c r="AVJ212" s="699">
        <f t="shared" si="598"/>
        <v>77</v>
      </c>
      <c r="AVK212" s="699">
        <f t="shared" si="599"/>
        <v>8</v>
      </c>
      <c r="AVL212" s="699">
        <f t="shared" si="600"/>
        <v>105</v>
      </c>
      <c r="AVM212" s="699">
        <f t="shared" si="601"/>
        <v>4723</v>
      </c>
      <c r="AVN212" s="699">
        <f t="shared" si="602"/>
        <v>3627.5</v>
      </c>
      <c r="AVO212" s="699">
        <f t="shared" si="603"/>
        <v>1095.5</v>
      </c>
      <c r="AVP212" s="699">
        <f t="shared" si="604"/>
        <v>0</v>
      </c>
      <c r="AVQ212" s="699">
        <f t="shared" si="605"/>
        <v>28764</v>
      </c>
    </row>
    <row r="213" spans="1:108 1244:1265" ht="30" customHeight="1" x14ac:dyDescent="0.25">
      <c r="A213" s="643">
        <v>1</v>
      </c>
      <c r="B213" s="643">
        <v>13</v>
      </c>
      <c r="C213" s="664" t="s">
        <v>29</v>
      </c>
      <c r="D213" s="2"/>
      <c r="E213" s="101" t="s">
        <v>344</v>
      </c>
      <c r="F213" s="643" t="s">
        <v>31</v>
      </c>
      <c r="G213" s="643">
        <v>1</v>
      </c>
      <c r="H213" s="658" t="s">
        <v>10</v>
      </c>
      <c r="I213" s="643">
        <v>0</v>
      </c>
      <c r="J213" s="101" t="s">
        <v>357</v>
      </c>
      <c r="K213" s="643">
        <v>3</v>
      </c>
      <c r="L213" s="683" t="s">
        <v>349</v>
      </c>
      <c r="M213" s="11" t="s">
        <v>258</v>
      </c>
      <c r="N213" s="101" t="s">
        <v>387</v>
      </c>
      <c r="O213" s="643">
        <v>1</v>
      </c>
      <c r="P213" s="632">
        <v>36</v>
      </c>
      <c r="Q213" s="632">
        <v>36</v>
      </c>
      <c r="R213" s="632">
        <v>36</v>
      </c>
      <c r="S213" s="675">
        <f>SUMIF('Территориальный кк'!$A:$A,'2020'!$B213,'Территориальный кк'!D:D)</f>
        <v>1.4650000000000001</v>
      </c>
      <c r="T213" s="676">
        <f>SUMIF('Территориальный кк'!$A:$A,'2020'!$B213,'Территориальный кк'!E:E)</f>
        <v>2.694</v>
      </c>
      <c r="U213" s="618">
        <f>SUMIFS(Нормативы!G:G,Нормативы!$B:$B,$G213,Нормативы!$D:$D,'2020'!$I213,Нормативы!$F:$F,'2020'!$K213)*O213</f>
        <v>64190</v>
      </c>
      <c r="V213" s="618">
        <f t="shared" si="476"/>
        <v>49301.1</v>
      </c>
      <c r="W213" s="618">
        <f t="shared" si="477"/>
        <v>14888.9</v>
      </c>
      <c r="X213" s="618">
        <f>SUMIFS(Нормативы!J:J,Нормативы!$B:$B,$G213,Нормативы!$D:$D,'2020'!$I213,Нормативы!$F:$F,'2020'!$K213)</f>
        <v>8830</v>
      </c>
      <c r="Y213" s="618">
        <f>SUMIFS(Нормативы!K:K,Нормативы!$B:$B,$G213,Нормативы!$D:$D,'2020'!$I213,Нормативы!$F:$F,'2020'!$K213)</f>
        <v>1766</v>
      </c>
      <c r="Z213" s="618">
        <f>SUMIFS(Нормативы!L:L,Нормативы!$B:$B,$G213,Нормативы!$D:$D,'2020'!$I213,Нормативы!$F:$F,'2020'!$K213)</f>
        <v>8110</v>
      </c>
      <c r="AA213" s="618">
        <f t="shared" si="478"/>
        <v>19050</v>
      </c>
      <c r="AB213" s="618">
        <f>SUMIFS(Нормативы!N:N,Нормативы!$B:$B,$G213,Нормативы!$D:$D,'2020'!$I213,Нормативы!$F:$F,'2020'!$K213)*O213</f>
        <v>520</v>
      </c>
      <c r="AC213" s="618">
        <f>SUMIFS(Нормативы!O:O,Нормативы!$B:$B,$G213,Нормативы!$D:$D,'2020'!$I213,Нормативы!$F:$F,'2020'!$K213)</f>
        <v>17290</v>
      </c>
      <c r="AD213" s="618">
        <f>SUMIFS(Нормативы!P:P,Нормативы!$B:$B,$G213,Нормативы!$D:$D,'2020'!$I213,Нормативы!$F:$F,'2020'!$K213)*O213</f>
        <v>360</v>
      </c>
      <c r="AE213" s="618">
        <f>SUMIFS(Нормативы!Q:Q,Нормативы!$B:$B,$G213,Нормативы!$D:$D,'2020'!$I213,Нормативы!$F:$F,'2020'!$K213)</f>
        <v>880</v>
      </c>
      <c r="AF213" s="618">
        <f>SUMIFS(Нормативы!R:R,Нормативы!$B:$B,$G213,Нормативы!$D:$D,'2020'!$I213,Нормативы!$F:$F,'2020'!$K213)</f>
        <v>2680</v>
      </c>
      <c r="AG213" s="618">
        <f>SUMIFS(Нормативы!S:S,Нормативы!$B:$B,$G213,Нормативы!$D:$D,'2020'!$I213,Нормативы!$F:$F,'2020'!$K213)</f>
        <v>5800</v>
      </c>
      <c r="AH213" s="618">
        <f>SUMIFS(Нормативы!T:T,Нормативы!$B:$B,$G213,Нормативы!$D:$D,'2020'!$I213,Нормативы!$F:$F,'2020'!$K213)</f>
        <v>540</v>
      </c>
      <c r="AI213" s="618">
        <f>SUMIFS(Нормативы!U:U,Нормативы!$B:$B,$G213,Нормативы!$D:$D,'2020'!$I213,Нормативы!$F:$F,'2020'!$K213)</f>
        <v>770</v>
      </c>
      <c r="AJ213" s="618">
        <f>SUMIFS(Нормативы!V:V,Нормативы!$B:$B,$G213,Нормативы!$D:$D,'2020'!$I213,Нормативы!$F:$F,'2020'!$K213)</f>
        <v>80</v>
      </c>
      <c r="AK213" s="618">
        <f>SUMIFS(Нормативы!W:W,Нормативы!$B:$B,$G213,Нормативы!$D:$D,'2020'!$I213,Нормативы!$F:$F,'2020'!$K213)</f>
        <v>1050</v>
      </c>
      <c r="AL213" s="618">
        <f>SUMIFS(Нормативы!X:X,Нормативы!$B:$B,$G213,Нормативы!$D:$D,'2020'!$I213,Нормативы!$F:$F,'2020'!$K213)*O213</f>
        <v>16120</v>
      </c>
      <c r="AM213" s="618">
        <f t="shared" si="479"/>
        <v>12381</v>
      </c>
      <c r="AN213" s="618">
        <f t="shared" si="480"/>
        <v>3739</v>
      </c>
      <c r="AO213" s="618">
        <f>SUMIFS(Нормативы!AA:AA,Нормативы!$B:$B,$G213,Нормативы!$D:$D,'2020'!$I213,Нормативы!$F:$F,'2020'!$K213)</f>
        <v>3520</v>
      </c>
      <c r="AP213" s="619">
        <f t="shared" si="481"/>
        <v>130740</v>
      </c>
      <c r="AQ213" s="413">
        <f t="shared" si="418"/>
        <v>2310840</v>
      </c>
      <c r="AR213" s="618">
        <f t="shared" si="482"/>
        <v>1774838.7</v>
      </c>
      <c r="AS213" s="618">
        <f t="shared" si="483"/>
        <v>536001.30000000005</v>
      </c>
      <c r="AT213" s="616">
        <f t="shared" si="419"/>
        <v>317880</v>
      </c>
      <c r="AU213" s="616">
        <f t="shared" si="420"/>
        <v>63576</v>
      </c>
      <c r="AV213" s="616">
        <f t="shared" si="421"/>
        <v>291960</v>
      </c>
      <c r="AW213" s="616">
        <f t="shared" si="422"/>
        <v>685800</v>
      </c>
      <c r="AX213" s="616">
        <f t="shared" si="423"/>
        <v>18720</v>
      </c>
      <c r="AY213" s="616">
        <f t="shared" si="424"/>
        <v>622440</v>
      </c>
      <c r="AZ213" s="616">
        <f t="shared" si="425"/>
        <v>12960</v>
      </c>
      <c r="BA213" s="616">
        <f t="shared" si="426"/>
        <v>31680</v>
      </c>
      <c r="BB213" s="616">
        <f t="shared" si="427"/>
        <v>96480</v>
      </c>
      <c r="BC213" s="616">
        <f t="shared" si="428"/>
        <v>208800</v>
      </c>
      <c r="BD213" s="616">
        <f t="shared" si="429"/>
        <v>19440</v>
      </c>
      <c r="BE213" s="616">
        <f t="shared" si="430"/>
        <v>27720</v>
      </c>
      <c r="BF213" s="616">
        <f t="shared" si="431"/>
        <v>2880</v>
      </c>
      <c r="BG213" s="616">
        <f t="shared" si="432"/>
        <v>37800</v>
      </c>
      <c r="BH213" s="616">
        <f t="shared" si="433"/>
        <v>580320</v>
      </c>
      <c r="BI213" s="618">
        <f t="shared" si="484"/>
        <v>445714.3</v>
      </c>
      <c r="BJ213" s="618">
        <f t="shared" si="485"/>
        <v>134605.70000000001</v>
      </c>
      <c r="BK213" s="616">
        <f t="shared" si="434"/>
        <v>126720</v>
      </c>
      <c r="BL213" s="620">
        <f t="shared" si="435"/>
        <v>4706640</v>
      </c>
      <c r="BM213" s="616">
        <f t="shared" si="436"/>
        <v>3385381</v>
      </c>
      <c r="BN213" s="618">
        <f t="shared" si="437"/>
        <v>2600139</v>
      </c>
      <c r="BO213" s="618">
        <f t="shared" si="438"/>
        <v>785242</v>
      </c>
      <c r="BP213" s="616">
        <f t="shared" si="486"/>
        <v>317880</v>
      </c>
      <c r="BQ213" s="616">
        <f t="shared" si="487"/>
        <v>63576</v>
      </c>
      <c r="BR213" s="616">
        <f t="shared" si="488"/>
        <v>291960</v>
      </c>
      <c r="BS213" s="616">
        <f t="shared" si="439"/>
        <v>685800</v>
      </c>
      <c r="BT213" s="616">
        <f t="shared" si="440"/>
        <v>18720</v>
      </c>
      <c r="BU213" s="616">
        <f t="shared" si="441"/>
        <v>622440</v>
      </c>
      <c r="BV213" s="616">
        <f t="shared" si="442"/>
        <v>12960</v>
      </c>
      <c r="BW213" s="616">
        <f t="shared" si="443"/>
        <v>31680</v>
      </c>
      <c r="BX213" s="616">
        <f t="shared" si="444"/>
        <v>259917</v>
      </c>
      <c r="BY213" s="616">
        <f t="shared" si="445"/>
        <v>208800</v>
      </c>
      <c r="BZ213" s="616">
        <f t="shared" si="446"/>
        <v>19440</v>
      </c>
      <c r="CA213" s="616">
        <f t="shared" si="447"/>
        <v>27720</v>
      </c>
      <c r="CB213" s="616">
        <f t="shared" si="448"/>
        <v>2880</v>
      </c>
      <c r="CC213" s="616">
        <f t="shared" si="449"/>
        <v>37800</v>
      </c>
      <c r="CD213" s="616">
        <f t="shared" si="450"/>
        <v>850169</v>
      </c>
      <c r="CE213" s="618">
        <f t="shared" si="489"/>
        <v>652971.6</v>
      </c>
      <c r="CF213" s="618">
        <f t="shared" si="490"/>
        <v>197197.4</v>
      </c>
      <c r="CG213" s="616">
        <f t="shared" si="451"/>
        <v>126720</v>
      </c>
      <c r="CH213" s="621">
        <f t="shared" si="452"/>
        <v>6214467</v>
      </c>
      <c r="CI213" s="88">
        <f t="shared" si="453"/>
        <v>94038.361099999995</v>
      </c>
      <c r="CJ213" s="90">
        <f t="shared" si="454"/>
        <v>72226.083299999998</v>
      </c>
      <c r="CK213" s="90">
        <f t="shared" si="455"/>
        <v>21812.2778</v>
      </c>
      <c r="CL213" s="88">
        <f t="shared" si="456"/>
        <v>8830</v>
      </c>
      <c r="CM213" s="88">
        <f t="shared" si="457"/>
        <v>1766</v>
      </c>
      <c r="CN213" s="88">
        <f t="shared" si="458"/>
        <v>8110</v>
      </c>
      <c r="CO213" s="88">
        <f t="shared" si="459"/>
        <v>19050</v>
      </c>
      <c r="CP213" s="88">
        <f t="shared" si="460"/>
        <v>520</v>
      </c>
      <c r="CQ213" s="88">
        <f t="shared" si="461"/>
        <v>17290</v>
      </c>
      <c r="CR213" s="88">
        <f t="shared" si="462"/>
        <v>360</v>
      </c>
      <c r="CS213" s="88">
        <f t="shared" si="463"/>
        <v>880</v>
      </c>
      <c r="CT213" s="88">
        <f t="shared" si="464"/>
        <v>7219.9166999999998</v>
      </c>
      <c r="CU213" s="88">
        <f t="shared" si="465"/>
        <v>5800</v>
      </c>
      <c r="CV213" s="88">
        <f t="shared" si="466"/>
        <v>540</v>
      </c>
      <c r="CW213" s="88">
        <f t="shared" si="467"/>
        <v>770</v>
      </c>
      <c r="CX213" s="88">
        <f t="shared" si="468"/>
        <v>80</v>
      </c>
      <c r="CY213" s="88">
        <f t="shared" si="469"/>
        <v>1050</v>
      </c>
      <c r="CZ213" s="88">
        <f t="shared" si="470"/>
        <v>23615.8056</v>
      </c>
      <c r="DA213" s="90">
        <f t="shared" si="471"/>
        <v>18138.099999999999</v>
      </c>
      <c r="DB213" s="90">
        <f t="shared" si="472"/>
        <v>5477.7056000000002</v>
      </c>
      <c r="DC213" s="88">
        <f t="shared" si="473"/>
        <v>3520</v>
      </c>
      <c r="DD213" s="88">
        <f t="shared" si="474"/>
        <v>172624.0833</v>
      </c>
      <c r="AUV213" s="699">
        <f t="shared" si="586"/>
        <v>94038.36</v>
      </c>
      <c r="AUW213" s="699">
        <f t="shared" si="587"/>
        <v>72226.080000000002</v>
      </c>
      <c r="AUX213" s="699">
        <f t="shared" si="588"/>
        <v>21812.28</v>
      </c>
      <c r="AUY213" s="699">
        <f t="shared" si="589"/>
        <v>8830</v>
      </c>
      <c r="AUZ213" s="699">
        <f t="shared" ref="AUY213:AVA276" si="615">BQ213/T213</f>
        <v>23599.11</v>
      </c>
      <c r="AVA213" s="699">
        <f t="shared" si="615"/>
        <v>4.55</v>
      </c>
      <c r="AVB213" s="699">
        <f t="shared" si="590"/>
        <v>19050</v>
      </c>
      <c r="AVC213" s="699">
        <f t="shared" si="591"/>
        <v>520</v>
      </c>
      <c r="AVD213" s="699">
        <f t="shared" si="592"/>
        <v>17290</v>
      </c>
      <c r="AVE213" s="699">
        <f t="shared" si="593"/>
        <v>360</v>
      </c>
      <c r="AVF213" s="699">
        <f t="shared" si="594"/>
        <v>880</v>
      </c>
      <c r="AVG213" s="699">
        <f t="shared" si="595"/>
        <v>7219.92</v>
      </c>
      <c r="AVH213" s="699">
        <f t="shared" si="596"/>
        <v>5800</v>
      </c>
      <c r="AVI213" s="699">
        <f t="shared" si="597"/>
        <v>540</v>
      </c>
      <c r="AVJ213" s="699">
        <f t="shared" si="598"/>
        <v>770</v>
      </c>
      <c r="AVK213" s="699">
        <f t="shared" si="599"/>
        <v>80</v>
      </c>
      <c r="AVL213" s="699">
        <f t="shared" si="600"/>
        <v>1050</v>
      </c>
      <c r="AVM213" s="699">
        <f t="shared" si="601"/>
        <v>23615.81</v>
      </c>
      <c r="AVN213" s="699">
        <f t="shared" si="602"/>
        <v>18138.099999999999</v>
      </c>
      <c r="AVO213" s="699">
        <f t="shared" si="603"/>
        <v>5477.71</v>
      </c>
      <c r="AVP213" s="699">
        <f t="shared" si="604"/>
        <v>3520</v>
      </c>
      <c r="AVQ213" s="699">
        <f t="shared" si="605"/>
        <v>172624.08</v>
      </c>
    </row>
    <row r="214" spans="1:108 1244:1265" ht="30" customHeight="1" x14ac:dyDescent="0.25">
      <c r="A214" s="643">
        <v>1</v>
      </c>
      <c r="B214" s="643">
        <v>13</v>
      </c>
      <c r="C214" s="664" t="s">
        <v>29</v>
      </c>
      <c r="D214" s="2"/>
      <c r="E214" s="101" t="s">
        <v>344</v>
      </c>
      <c r="F214" s="643" t="s">
        <v>31</v>
      </c>
      <c r="G214" s="643">
        <v>1</v>
      </c>
      <c r="H214" s="658" t="s">
        <v>10</v>
      </c>
      <c r="I214" s="643">
        <v>0</v>
      </c>
      <c r="J214" s="101" t="s">
        <v>357</v>
      </c>
      <c r="K214" s="643">
        <v>3</v>
      </c>
      <c r="L214" s="683" t="s">
        <v>349</v>
      </c>
      <c r="M214" s="11" t="s">
        <v>259</v>
      </c>
      <c r="N214" s="101" t="s">
        <v>401</v>
      </c>
      <c r="O214" s="643">
        <v>2</v>
      </c>
      <c r="P214" s="632">
        <v>1</v>
      </c>
      <c r="Q214" s="632">
        <v>1</v>
      </c>
      <c r="R214" s="632">
        <v>1</v>
      </c>
      <c r="S214" s="675">
        <f>SUMIF('Территориальный кк'!$A:$A,'2020'!$B214,'Территориальный кк'!D:D)</f>
        <v>1.4650000000000001</v>
      </c>
      <c r="T214" s="676">
        <f>SUMIF('Территориальный кк'!$A:$A,'2020'!$B214,'Территориальный кк'!E:E)</f>
        <v>2.694</v>
      </c>
      <c r="U214" s="618">
        <f>SUMIFS(Нормативы!G:G,Нормативы!$B:$B,$G214,Нормативы!$D:$D,'2020'!$I214,Нормативы!$F:$F,'2020'!$K214)*O214</f>
        <v>128380</v>
      </c>
      <c r="V214" s="618">
        <f t="shared" si="476"/>
        <v>98602.2</v>
      </c>
      <c r="W214" s="618">
        <f t="shared" si="477"/>
        <v>29777.8</v>
      </c>
      <c r="X214" s="618">
        <f>SUMIFS(Нормативы!J:J,Нормативы!$B:$B,$G214,Нормативы!$D:$D,'2020'!$I214,Нормативы!$F:$F,'2020'!$K214)</f>
        <v>8830</v>
      </c>
      <c r="Y214" s="618">
        <f>SUMIFS(Нормативы!K:K,Нормативы!$B:$B,$G214,Нормативы!$D:$D,'2020'!$I214,Нормативы!$F:$F,'2020'!$K214)</f>
        <v>1766</v>
      </c>
      <c r="Z214" s="618">
        <f>SUMIFS(Нормативы!L:L,Нормативы!$B:$B,$G214,Нормативы!$D:$D,'2020'!$I214,Нормативы!$F:$F,'2020'!$K214)</f>
        <v>8110</v>
      </c>
      <c r="AA214" s="618">
        <f t="shared" si="478"/>
        <v>19930</v>
      </c>
      <c r="AB214" s="618">
        <f>SUMIFS(Нормативы!N:N,Нормативы!$B:$B,$G214,Нормативы!$D:$D,'2020'!$I214,Нормативы!$F:$F,'2020'!$K214)*O214</f>
        <v>1040</v>
      </c>
      <c r="AC214" s="618">
        <f>SUMIFS(Нормативы!O:O,Нормативы!$B:$B,$G214,Нормативы!$D:$D,'2020'!$I214,Нормативы!$F:$F,'2020'!$K214)</f>
        <v>17290</v>
      </c>
      <c r="AD214" s="618">
        <f>SUMIFS(Нормативы!P:P,Нормативы!$B:$B,$G214,Нормативы!$D:$D,'2020'!$I214,Нормативы!$F:$F,'2020'!$K214)*O214</f>
        <v>720</v>
      </c>
      <c r="AE214" s="618">
        <f>SUMIFS(Нормативы!Q:Q,Нормативы!$B:$B,$G214,Нормативы!$D:$D,'2020'!$I214,Нормативы!$F:$F,'2020'!$K214)</f>
        <v>880</v>
      </c>
      <c r="AF214" s="618">
        <f>SUMIFS(Нормативы!R:R,Нормативы!$B:$B,$G214,Нормативы!$D:$D,'2020'!$I214,Нормативы!$F:$F,'2020'!$K214)</f>
        <v>2680</v>
      </c>
      <c r="AG214" s="618">
        <f>SUMIFS(Нормативы!S:S,Нормативы!$B:$B,$G214,Нормативы!$D:$D,'2020'!$I214,Нормативы!$F:$F,'2020'!$K214)</f>
        <v>5800</v>
      </c>
      <c r="AH214" s="618">
        <f>SUMIFS(Нормативы!T:T,Нормативы!$B:$B,$G214,Нормативы!$D:$D,'2020'!$I214,Нормативы!$F:$F,'2020'!$K214)</f>
        <v>540</v>
      </c>
      <c r="AI214" s="618">
        <f>SUMIFS(Нормативы!U:U,Нормативы!$B:$B,$G214,Нормативы!$D:$D,'2020'!$I214,Нормативы!$F:$F,'2020'!$K214)</f>
        <v>770</v>
      </c>
      <c r="AJ214" s="618">
        <f>SUMIFS(Нормативы!V:V,Нормативы!$B:$B,$G214,Нормативы!$D:$D,'2020'!$I214,Нормативы!$F:$F,'2020'!$K214)</f>
        <v>80</v>
      </c>
      <c r="AK214" s="618">
        <f>SUMIFS(Нормативы!W:W,Нормативы!$B:$B,$G214,Нормативы!$D:$D,'2020'!$I214,Нормативы!$F:$F,'2020'!$K214)</f>
        <v>1050</v>
      </c>
      <c r="AL214" s="618">
        <f>SUMIFS(Нормативы!X:X,Нормативы!$B:$B,$G214,Нормативы!$D:$D,'2020'!$I214,Нормативы!$F:$F,'2020'!$K214)*O214</f>
        <v>32240</v>
      </c>
      <c r="AM214" s="618">
        <f t="shared" si="479"/>
        <v>24761.9</v>
      </c>
      <c r="AN214" s="618">
        <f t="shared" si="480"/>
        <v>7478.1</v>
      </c>
      <c r="AO214" s="618">
        <f>SUMIFS(Нормативы!AA:AA,Нормативы!$B:$B,$G214,Нормативы!$D:$D,'2020'!$I214,Нормативы!$F:$F,'2020'!$K214)</f>
        <v>3520</v>
      </c>
      <c r="AP214" s="619">
        <f t="shared" si="481"/>
        <v>211930</v>
      </c>
      <c r="AQ214" s="413">
        <f t="shared" si="418"/>
        <v>128380</v>
      </c>
      <c r="AR214" s="618">
        <f t="shared" si="482"/>
        <v>98602.2</v>
      </c>
      <c r="AS214" s="618">
        <f t="shared" si="483"/>
        <v>29777.8</v>
      </c>
      <c r="AT214" s="616">
        <f t="shared" si="419"/>
        <v>8830</v>
      </c>
      <c r="AU214" s="616">
        <f t="shared" si="420"/>
        <v>1766</v>
      </c>
      <c r="AV214" s="616">
        <f t="shared" si="421"/>
        <v>8110</v>
      </c>
      <c r="AW214" s="616">
        <f t="shared" si="422"/>
        <v>19930</v>
      </c>
      <c r="AX214" s="616">
        <f t="shared" si="423"/>
        <v>1040</v>
      </c>
      <c r="AY214" s="616">
        <f t="shared" si="424"/>
        <v>17290</v>
      </c>
      <c r="AZ214" s="616">
        <f t="shared" si="425"/>
        <v>720</v>
      </c>
      <c r="BA214" s="616">
        <f t="shared" si="426"/>
        <v>880</v>
      </c>
      <c r="BB214" s="616">
        <f t="shared" si="427"/>
        <v>2680</v>
      </c>
      <c r="BC214" s="616">
        <f t="shared" si="428"/>
        <v>5800</v>
      </c>
      <c r="BD214" s="616">
        <f t="shared" si="429"/>
        <v>540</v>
      </c>
      <c r="BE214" s="616">
        <f t="shared" si="430"/>
        <v>770</v>
      </c>
      <c r="BF214" s="616">
        <f t="shared" si="431"/>
        <v>80</v>
      </c>
      <c r="BG214" s="616">
        <f t="shared" si="432"/>
        <v>1050</v>
      </c>
      <c r="BH214" s="616">
        <f t="shared" si="433"/>
        <v>32240</v>
      </c>
      <c r="BI214" s="618">
        <f t="shared" si="484"/>
        <v>24761.9</v>
      </c>
      <c r="BJ214" s="618">
        <f t="shared" si="485"/>
        <v>7478.1</v>
      </c>
      <c r="BK214" s="616">
        <f t="shared" si="434"/>
        <v>3520</v>
      </c>
      <c r="BL214" s="620">
        <f t="shared" si="435"/>
        <v>211930</v>
      </c>
      <c r="BM214" s="616">
        <f t="shared" si="436"/>
        <v>188077</v>
      </c>
      <c r="BN214" s="618">
        <f t="shared" si="437"/>
        <v>144452.4</v>
      </c>
      <c r="BO214" s="618">
        <f t="shared" si="438"/>
        <v>43624.6</v>
      </c>
      <c r="BP214" s="616">
        <f t="shared" si="486"/>
        <v>8830</v>
      </c>
      <c r="BQ214" s="616">
        <f t="shared" si="487"/>
        <v>1766</v>
      </c>
      <c r="BR214" s="616">
        <f t="shared" si="488"/>
        <v>8110</v>
      </c>
      <c r="BS214" s="616">
        <f t="shared" si="439"/>
        <v>19930</v>
      </c>
      <c r="BT214" s="616">
        <f t="shared" si="440"/>
        <v>1040</v>
      </c>
      <c r="BU214" s="616">
        <f t="shared" si="441"/>
        <v>17290</v>
      </c>
      <c r="BV214" s="616">
        <f t="shared" si="442"/>
        <v>720</v>
      </c>
      <c r="BW214" s="616">
        <f t="shared" si="443"/>
        <v>880</v>
      </c>
      <c r="BX214" s="616">
        <f t="shared" si="444"/>
        <v>7220</v>
      </c>
      <c r="BY214" s="616">
        <f t="shared" si="445"/>
        <v>5800</v>
      </c>
      <c r="BZ214" s="616">
        <f t="shared" si="446"/>
        <v>540</v>
      </c>
      <c r="CA214" s="616">
        <f t="shared" si="447"/>
        <v>770</v>
      </c>
      <c r="CB214" s="616">
        <f t="shared" si="448"/>
        <v>80</v>
      </c>
      <c r="CC214" s="616">
        <f t="shared" si="449"/>
        <v>1050</v>
      </c>
      <c r="CD214" s="616">
        <f t="shared" si="450"/>
        <v>47232</v>
      </c>
      <c r="CE214" s="618">
        <f t="shared" si="489"/>
        <v>36276.5</v>
      </c>
      <c r="CF214" s="618">
        <f t="shared" si="490"/>
        <v>10955.5</v>
      </c>
      <c r="CG214" s="616">
        <f t="shared" si="451"/>
        <v>3520</v>
      </c>
      <c r="CH214" s="621">
        <f t="shared" si="452"/>
        <v>291159</v>
      </c>
      <c r="CI214" s="88">
        <f t="shared" si="453"/>
        <v>188077</v>
      </c>
      <c r="CJ214" s="90">
        <f t="shared" si="454"/>
        <v>144452.4</v>
      </c>
      <c r="CK214" s="90">
        <f t="shared" si="455"/>
        <v>43624.6</v>
      </c>
      <c r="CL214" s="88">
        <f t="shared" si="456"/>
        <v>8830</v>
      </c>
      <c r="CM214" s="88">
        <f t="shared" si="457"/>
        <v>1766</v>
      </c>
      <c r="CN214" s="88">
        <f t="shared" si="458"/>
        <v>8110</v>
      </c>
      <c r="CO214" s="88">
        <f t="shared" si="459"/>
        <v>19930</v>
      </c>
      <c r="CP214" s="88">
        <f t="shared" si="460"/>
        <v>1040</v>
      </c>
      <c r="CQ214" s="88">
        <f t="shared" si="461"/>
        <v>17290</v>
      </c>
      <c r="CR214" s="88">
        <f t="shared" si="462"/>
        <v>720</v>
      </c>
      <c r="CS214" s="88">
        <f t="shared" si="463"/>
        <v>880</v>
      </c>
      <c r="CT214" s="88">
        <f t="shared" si="464"/>
        <v>7220</v>
      </c>
      <c r="CU214" s="88">
        <f t="shared" si="465"/>
        <v>5800</v>
      </c>
      <c r="CV214" s="88">
        <f t="shared" si="466"/>
        <v>540</v>
      </c>
      <c r="CW214" s="88">
        <f t="shared" si="467"/>
        <v>770</v>
      </c>
      <c r="CX214" s="88">
        <f t="shared" si="468"/>
        <v>80</v>
      </c>
      <c r="CY214" s="88">
        <f t="shared" si="469"/>
        <v>1050</v>
      </c>
      <c r="CZ214" s="88">
        <f t="shared" si="470"/>
        <v>47232</v>
      </c>
      <c r="DA214" s="90">
        <f t="shared" si="471"/>
        <v>36276.5</v>
      </c>
      <c r="DB214" s="90">
        <f t="shared" si="472"/>
        <v>10955.5</v>
      </c>
      <c r="DC214" s="88">
        <f t="shared" si="473"/>
        <v>3520</v>
      </c>
      <c r="DD214" s="88">
        <f t="shared" si="474"/>
        <v>291159</v>
      </c>
      <c r="AUV214" s="699">
        <f t="shared" si="586"/>
        <v>188077</v>
      </c>
      <c r="AUW214" s="699">
        <f t="shared" si="587"/>
        <v>144452.38</v>
      </c>
      <c r="AUX214" s="699">
        <f t="shared" si="588"/>
        <v>43624.62</v>
      </c>
      <c r="AUY214" s="699">
        <f t="shared" si="589"/>
        <v>8830</v>
      </c>
      <c r="AUZ214" s="699">
        <f t="shared" si="615"/>
        <v>655.53</v>
      </c>
      <c r="AVA214" s="699">
        <f t="shared" si="615"/>
        <v>0.06</v>
      </c>
      <c r="AVB214" s="699">
        <f t="shared" si="590"/>
        <v>19930</v>
      </c>
      <c r="AVC214" s="699">
        <f t="shared" si="591"/>
        <v>1040</v>
      </c>
      <c r="AVD214" s="699">
        <f t="shared" si="592"/>
        <v>17290</v>
      </c>
      <c r="AVE214" s="699">
        <f t="shared" si="593"/>
        <v>720</v>
      </c>
      <c r="AVF214" s="699">
        <f t="shared" si="594"/>
        <v>880</v>
      </c>
      <c r="AVG214" s="699">
        <f t="shared" si="595"/>
        <v>7220</v>
      </c>
      <c r="AVH214" s="699">
        <f t="shared" si="596"/>
        <v>5800</v>
      </c>
      <c r="AVI214" s="699">
        <f t="shared" si="597"/>
        <v>540</v>
      </c>
      <c r="AVJ214" s="699">
        <f t="shared" si="598"/>
        <v>770</v>
      </c>
      <c r="AVK214" s="699">
        <f t="shared" si="599"/>
        <v>80</v>
      </c>
      <c r="AVL214" s="699">
        <f t="shared" si="600"/>
        <v>1050</v>
      </c>
      <c r="AVM214" s="699">
        <f t="shared" si="601"/>
        <v>47232</v>
      </c>
      <c r="AVN214" s="699">
        <f t="shared" si="602"/>
        <v>36276.5</v>
      </c>
      <c r="AVO214" s="699">
        <f t="shared" si="603"/>
        <v>10955.5</v>
      </c>
      <c r="AVP214" s="699">
        <f t="shared" si="604"/>
        <v>3520</v>
      </c>
      <c r="AVQ214" s="699">
        <f t="shared" si="605"/>
        <v>291159</v>
      </c>
    </row>
    <row r="215" spans="1:108 1244:1265" ht="30" customHeight="1" x14ac:dyDescent="0.25">
      <c r="A215" s="643">
        <v>1</v>
      </c>
      <c r="B215" s="643">
        <v>13</v>
      </c>
      <c r="C215" s="664" t="s">
        <v>29</v>
      </c>
      <c r="D215" s="2"/>
      <c r="E215" s="101" t="s">
        <v>344</v>
      </c>
      <c r="F215" s="643" t="s">
        <v>31</v>
      </c>
      <c r="G215" s="643">
        <v>1</v>
      </c>
      <c r="H215" s="658" t="s">
        <v>8</v>
      </c>
      <c r="I215" s="643">
        <v>3</v>
      </c>
      <c r="J215" s="101" t="s">
        <v>357</v>
      </c>
      <c r="K215" s="643">
        <v>3</v>
      </c>
      <c r="L215" s="683" t="s">
        <v>349</v>
      </c>
      <c r="M215" s="11" t="s">
        <v>260</v>
      </c>
      <c r="N215" s="101" t="s">
        <v>387</v>
      </c>
      <c r="O215" s="643">
        <v>1</v>
      </c>
      <c r="P215" s="632">
        <v>24</v>
      </c>
      <c r="Q215" s="632">
        <v>24</v>
      </c>
      <c r="R215" s="632">
        <v>24</v>
      </c>
      <c r="S215" s="675">
        <f>SUMIF('Территориальный кк'!$A:$A,'2020'!$B215,'Территориальный кк'!D:D)</f>
        <v>1.4650000000000001</v>
      </c>
      <c r="T215" s="676">
        <f>SUMIF('Территориальный кк'!$A:$A,'2020'!$B215,'Территориальный кк'!E:E)</f>
        <v>2.694</v>
      </c>
      <c r="U215" s="618">
        <f>SUMIFS(Нормативы!G:G,Нормативы!$B:$B,$G215,Нормативы!$D:$D,'2020'!$I215,Нормативы!$F:$F,'2020'!$K215)*O215</f>
        <v>6419</v>
      </c>
      <c r="V215" s="618">
        <f t="shared" si="476"/>
        <v>4930.1000000000004</v>
      </c>
      <c r="W215" s="618">
        <f t="shared" si="477"/>
        <v>1488.9</v>
      </c>
      <c r="X215" s="618">
        <f>SUMIFS(Нормативы!J:J,Нормативы!$B:$B,$G215,Нормативы!$D:$D,'2020'!$I215,Нормативы!$F:$F,'2020'!$K215)</f>
        <v>883</v>
      </c>
      <c r="Y215" s="618">
        <f>SUMIFS(Нормативы!K:K,Нормативы!$B:$B,$G215,Нормативы!$D:$D,'2020'!$I215,Нормативы!$F:$F,'2020'!$K215)</f>
        <v>177</v>
      </c>
      <c r="Z215" s="618">
        <f>SUMIFS(Нормативы!L:L,Нормативы!$B:$B,$G215,Нормативы!$D:$D,'2020'!$I215,Нормативы!$F:$F,'2020'!$K215)</f>
        <v>811</v>
      </c>
      <c r="AA215" s="618">
        <f t="shared" si="478"/>
        <v>1905</v>
      </c>
      <c r="AB215" s="618">
        <f>SUMIFS(Нормативы!N:N,Нормативы!$B:$B,$G215,Нормативы!$D:$D,'2020'!$I215,Нормативы!$F:$F,'2020'!$K215)*O215</f>
        <v>52</v>
      </c>
      <c r="AC215" s="618">
        <f>SUMIFS(Нормативы!O:O,Нормативы!$B:$B,$G215,Нормативы!$D:$D,'2020'!$I215,Нормативы!$F:$F,'2020'!$K215)</f>
        <v>1729</v>
      </c>
      <c r="AD215" s="618">
        <f>SUMIFS(Нормативы!P:P,Нормативы!$B:$B,$G215,Нормативы!$D:$D,'2020'!$I215,Нормативы!$F:$F,'2020'!$K215)*O215</f>
        <v>36</v>
      </c>
      <c r="AE215" s="618">
        <f>SUMIFS(Нормативы!Q:Q,Нормативы!$B:$B,$G215,Нормативы!$D:$D,'2020'!$I215,Нормативы!$F:$F,'2020'!$K215)</f>
        <v>88</v>
      </c>
      <c r="AF215" s="618">
        <f>SUMIFS(Нормативы!R:R,Нормативы!$B:$B,$G215,Нормативы!$D:$D,'2020'!$I215,Нормативы!$F:$F,'2020'!$K215)</f>
        <v>268</v>
      </c>
      <c r="AG215" s="618">
        <f>SUMIFS(Нормативы!S:S,Нормативы!$B:$B,$G215,Нормативы!$D:$D,'2020'!$I215,Нормативы!$F:$F,'2020'!$K215)</f>
        <v>580</v>
      </c>
      <c r="AH215" s="618">
        <f>SUMIFS(Нормативы!T:T,Нормативы!$B:$B,$G215,Нормативы!$D:$D,'2020'!$I215,Нормативы!$F:$F,'2020'!$K215)</f>
        <v>54</v>
      </c>
      <c r="AI215" s="618">
        <f>SUMIFS(Нормативы!U:U,Нормативы!$B:$B,$G215,Нормативы!$D:$D,'2020'!$I215,Нормативы!$F:$F,'2020'!$K215)</f>
        <v>77</v>
      </c>
      <c r="AJ215" s="618">
        <f>SUMIFS(Нормативы!V:V,Нормативы!$B:$B,$G215,Нормативы!$D:$D,'2020'!$I215,Нормативы!$F:$F,'2020'!$K215)</f>
        <v>8</v>
      </c>
      <c r="AK215" s="618">
        <f>SUMIFS(Нормативы!W:W,Нормативы!$B:$B,$G215,Нормативы!$D:$D,'2020'!$I215,Нормативы!$F:$F,'2020'!$K215)</f>
        <v>105</v>
      </c>
      <c r="AL215" s="618">
        <f>SUMIFS(Нормативы!X:X,Нормативы!$B:$B,$G215,Нормативы!$D:$D,'2020'!$I215,Нормативы!$F:$F,'2020'!$K215)*O215</f>
        <v>1612</v>
      </c>
      <c r="AM215" s="618">
        <f t="shared" si="479"/>
        <v>1238.0999999999999</v>
      </c>
      <c r="AN215" s="618">
        <f t="shared" si="480"/>
        <v>373.9</v>
      </c>
      <c r="AO215" s="618">
        <f>SUMIFS(Нормативы!AA:AA,Нормативы!$B:$B,$G215,Нормативы!$D:$D,'2020'!$I215,Нормативы!$F:$F,'2020'!$K215)</f>
        <v>0</v>
      </c>
      <c r="AP215" s="619">
        <f t="shared" si="481"/>
        <v>12722</v>
      </c>
      <c r="AQ215" s="413">
        <f t="shared" si="418"/>
        <v>154056</v>
      </c>
      <c r="AR215" s="618">
        <f t="shared" si="482"/>
        <v>118322.6</v>
      </c>
      <c r="AS215" s="618">
        <f t="shared" si="483"/>
        <v>35733.4</v>
      </c>
      <c r="AT215" s="616">
        <f t="shared" si="419"/>
        <v>21192</v>
      </c>
      <c r="AU215" s="616">
        <f t="shared" si="420"/>
        <v>4248</v>
      </c>
      <c r="AV215" s="616">
        <f t="shared" si="421"/>
        <v>19464</v>
      </c>
      <c r="AW215" s="616">
        <f t="shared" si="422"/>
        <v>45720</v>
      </c>
      <c r="AX215" s="616">
        <f t="shared" si="423"/>
        <v>1248</v>
      </c>
      <c r="AY215" s="616">
        <f t="shared" si="424"/>
        <v>41496</v>
      </c>
      <c r="AZ215" s="616">
        <f t="shared" si="425"/>
        <v>864</v>
      </c>
      <c r="BA215" s="616">
        <f t="shared" si="426"/>
        <v>2112</v>
      </c>
      <c r="BB215" s="616">
        <f t="shared" si="427"/>
        <v>6432</v>
      </c>
      <c r="BC215" s="616">
        <f t="shared" si="428"/>
        <v>13920</v>
      </c>
      <c r="BD215" s="616">
        <f t="shared" si="429"/>
        <v>1296</v>
      </c>
      <c r="BE215" s="616">
        <f t="shared" si="430"/>
        <v>1848</v>
      </c>
      <c r="BF215" s="616">
        <f t="shared" si="431"/>
        <v>192</v>
      </c>
      <c r="BG215" s="616">
        <f t="shared" si="432"/>
        <v>2520</v>
      </c>
      <c r="BH215" s="616">
        <f t="shared" si="433"/>
        <v>38688</v>
      </c>
      <c r="BI215" s="618">
        <f t="shared" si="484"/>
        <v>29714.3</v>
      </c>
      <c r="BJ215" s="618">
        <f t="shared" si="485"/>
        <v>8973.7000000000007</v>
      </c>
      <c r="BK215" s="616">
        <f t="shared" si="434"/>
        <v>0</v>
      </c>
      <c r="BL215" s="620">
        <f t="shared" si="435"/>
        <v>305328</v>
      </c>
      <c r="BM215" s="616">
        <f t="shared" si="436"/>
        <v>225692</v>
      </c>
      <c r="BN215" s="618">
        <f t="shared" si="437"/>
        <v>173342.5</v>
      </c>
      <c r="BO215" s="618">
        <f t="shared" si="438"/>
        <v>52349.5</v>
      </c>
      <c r="BP215" s="616">
        <f t="shared" si="486"/>
        <v>21192</v>
      </c>
      <c r="BQ215" s="616">
        <f t="shared" si="487"/>
        <v>4248</v>
      </c>
      <c r="BR215" s="616">
        <f t="shared" si="488"/>
        <v>19464</v>
      </c>
      <c r="BS215" s="616">
        <f t="shared" si="439"/>
        <v>45720</v>
      </c>
      <c r="BT215" s="616">
        <f t="shared" si="440"/>
        <v>1248</v>
      </c>
      <c r="BU215" s="616">
        <f t="shared" si="441"/>
        <v>41496</v>
      </c>
      <c r="BV215" s="616">
        <f t="shared" si="442"/>
        <v>864</v>
      </c>
      <c r="BW215" s="616">
        <f t="shared" si="443"/>
        <v>2112</v>
      </c>
      <c r="BX215" s="616">
        <f t="shared" si="444"/>
        <v>17328</v>
      </c>
      <c r="BY215" s="616">
        <f t="shared" si="445"/>
        <v>13920</v>
      </c>
      <c r="BZ215" s="616">
        <f t="shared" si="446"/>
        <v>1296</v>
      </c>
      <c r="CA215" s="616">
        <f t="shared" si="447"/>
        <v>1848</v>
      </c>
      <c r="CB215" s="616">
        <f t="shared" si="448"/>
        <v>192</v>
      </c>
      <c r="CC215" s="616">
        <f t="shared" si="449"/>
        <v>2520</v>
      </c>
      <c r="CD215" s="616">
        <f t="shared" si="450"/>
        <v>56678</v>
      </c>
      <c r="CE215" s="618">
        <f t="shared" si="489"/>
        <v>43531.5</v>
      </c>
      <c r="CF215" s="618">
        <f t="shared" si="490"/>
        <v>13146.5</v>
      </c>
      <c r="CG215" s="616">
        <f t="shared" si="451"/>
        <v>0</v>
      </c>
      <c r="CH215" s="621">
        <f t="shared" si="452"/>
        <v>405850</v>
      </c>
      <c r="CI215" s="88">
        <f t="shared" si="453"/>
        <v>9403.8333000000002</v>
      </c>
      <c r="CJ215" s="90">
        <f t="shared" si="454"/>
        <v>7222.6041999999998</v>
      </c>
      <c r="CK215" s="90">
        <f t="shared" si="455"/>
        <v>2181.2292000000002</v>
      </c>
      <c r="CL215" s="88">
        <f t="shared" si="456"/>
        <v>883</v>
      </c>
      <c r="CM215" s="88">
        <f t="shared" si="457"/>
        <v>177</v>
      </c>
      <c r="CN215" s="88">
        <f t="shared" si="458"/>
        <v>811</v>
      </c>
      <c r="CO215" s="88">
        <f t="shared" si="459"/>
        <v>1905</v>
      </c>
      <c r="CP215" s="88">
        <f t="shared" si="460"/>
        <v>52</v>
      </c>
      <c r="CQ215" s="88">
        <f t="shared" si="461"/>
        <v>1729</v>
      </c>
      <c r="CR215" s="88">
        <f t="shared" si="462"/>
        <v>36</v>
      </c>
      <c r="CS215" s="88">
        <f t="shared" si="463"/>
        <v>88</v>
      </c>
      <c r="CT215" s="88">
        <f t="shared" si="464"/>
        <v>722</v>
      </c>
      <c r="CU215" s="88">
        <f t="shared" si="465"/>
        <v>580</v>
      </c>
      <c r="CV215" s="88">
        <f t="shared" si="466"/>
        <v>54</v>
      </c>
      <c r="CW215" s="88">
        <f t="shared" si="467"/>
        <v>77</v>
      </c>
      <c r="CX215" s="88">
        <f t="shared" si="468"/>
        <v>8</v>
      </c>
      <c r="CY215" s="88">
        <f t="shared" si="469"/>
        <v>105</v>
      </c>
      <c r="CZ215" s="88">
        <f t="shared" si="470"/>
        <v>2361.5832999999998</v>
      </c>
      <c r="DA215" s="90">
        <f t="shared" si="471"/>
        <v>1813.8125</v>
      </c>
      <c r="DB215" s="90">
        <f t="shared" si="472"/>
        <v>547.77080000000001</v>
      </c>
      <c r="DC215" s="88">
        <f t="shared" si="473"/>
        <v>0</v>
      </c>
      <c r="DD215" s="88">
        <f t="shared" si="474"/>
        <v>16910.416700000002</v>
      </c>
      <c r="AUV215" s="699">
        <f t="shared" si="586"/>
        <v>9403.83</v>
      </c>
      <c r="AUW215" s="699">
        <f t="shared" si="587"/>
        <v>7222.6</v>
      </c>
      <c r="AUX215" s="699">
        <f t="shared" si="588"/>
        <v>2181.23</v>
      </c>
      <c r="AUY215" s="699">
        <f t="shared" si="589"/>
        <v>883</v>
      </c>
      <c r="AUZ215" s="699">
        <f t="shared" si="615"/>
        <v>1576.84</v>
      </c>
      <c r="AVA215" s="699">
        <f t="shared" si="615"/>
        <v>3.03</v>
      </c>
      <c r="AVB215" s="699">
        <f t="shared" si="590"/>
        <v>1905</v>
      </c>
      <c r="AVC215" s="699">
        <f t="shared" si="591"/>
        <v>52</v>
      </c>
      <c r="AVD215" s="699">
        <f t="shared" si="592"/>
        <v>1729</v>
      </c>
      <c r="AVE215" s="699">
        <f t="shared" si="593"/>
        <v>36</v>
      </c>
      <c r="AVF215" s="699">
        <f t="shared" si="594"/>
        <v>88</v>
      </c>
      <c r="AVG215" s="699">
        <f t="shared" si="595"/>
        <v>722</v>
      </c>
      <c r="AVH215" s="699">
        <f t="shared" si="596"/>
        <v>580</v>
      </c>
      <c r="AVI215" s="699">
        <f t="shared" si="597"/>
        <v>54</v>
      </c>
      <c r="AVJ215" s="699">
        <f t="shared" si="598"/>
        <v>77</v>
      </c>
      <c r="AVK215" s="699">
        <f t="shared" si="599"/>
        <v>8</v>
      </c>
      <c r="AVL215" s="699">
        <f t="shared" si="600"/>
        <v>105</v>
      </c>
      <c r="AVM215" s="699">
        <f t="shared" si="601"/>
        <v>2361.58</v>
      </c>
      <c r="AVN215" s="699">
        <f t="shared" si="602"/>
        <v>1813.81</v>
      </c>
      <c r="AVO215" s="699">
        <f t="shared" si="603"/>
        <v>547.77</v>
      </c>
      <c r="AVP215" s="699">
        <f t="shared" si="604"/>
        <v>0</v>
      </c>
      <c r="AVQ215" s="699">
        <f t="shared" si="605"/>
        <v>16910.419999999998</v>
      </c>
    </row>
    <row r="216" spans="1:108 1244:1265" ht="30" customHeight="1" x14ac:dyDescent="0.25">
      <c r="A216" s="643">
        <v>1</v>
      </c>
      <c r="B216" s="643">
        <v>13</v>
      </c>
      <c r="C216" s="664" t="s">
        <v>29</v>
      </c>
      <c r="D216" s="2"/>
      <c r="E216" s="101" t="s">
        <v>344</v>
      </c>
      <c r="F216" s="643" t="s">
        <v>31</v>
      </c>
      <c r="G216" s="643">
        <v>1</v>
      </c>
      <c r="H216" s="658" t="s">
        <v>8</v>
      </c>
      <c r="I216" s="643">
        <v>3</v>
      </c>
      <c r="J216" s="101" t="s">
        <v>357</v>
      </c>
      <c r="K216" s="643">
        <v>3</v>
      </c>
      <c r="L216" s="683" t="s">
        <v>349</v>
      </c>
      <c r="M216" s="11" t="s">
        <v>261</v>
      </c>
      <c r="N216" s="101" t="s">
        <v>401</v>
      </c>
      <c r="O216" s="643">
        <v>2</v>
      </c>
      <c r="P216" s="632">
        <v>4</v>
      </c>
      <c r="Q216" s="632">
        <v>4</v>
      </c>
      <c r="R216" s="632">
        <v>4</v>
      </c>
      <c r="S216" s="675">
        <f>SUMIF('Территориальный кк'!$A:$A,'2020'!$B216,'Территориальный кк'!D:D)</f>
        <v>1.4650000000000001</v>
      </c>
      <c r="T216" s="676">
        <f>SUMIF('Территориальный кк'!$A:$A,'2020'!$B216,'Территориальный кк'!E:E)</f>
        <v>2.694</v>
      </c>
      <c r="U216" s="618">
        <f>SUMIFS(Нормативы!G:G,Нормативы!$B:$B,$G216,Нормативы!$D:$D,'2020'!$I216,Нормативы!$F:$F,'2020'!$K216)*O216</f>
        <v>12838</v>
      </c>
      <c r="V216" s="618">
        <f t="shared" si="476"/>
        <v>9860.2000000000007</v>
      </c>
      <c r="W216" s="618">
        <f t="shared" si="477"/>
        <v>2977.8</v>
      </c>
      <c r="X216" s="618">
        <f>SUMIFS(Нормативы!J:J,Нормативы!$B:$B,$G216,Нормативы!$D:$D,'2020'!$I216,Нормативы!$F:$F,'2020'!$K216)</f>
        <v>883</v>
      </c>
      <c r="Y216" s="618">
        <f>SUMIFS(Нормативы!K:K,Нормативы!$B:$B,$G216,Нормативы!$D:$D,'2020'!$I216,Нормативы!$F:$F,'2020'!$K216)</f>
        <v>177</v>
      </c>
      <c r="Z216" s="618">
        <f>SUMIFS(Нормативы!L:L,Нормативы!$B:$B,$G216,Нормативы!$D:$D,'2020'!$I216,Нормативы!$F:$F,'2020'!$K216)</f>
        <v>811</v>
      </c>
      <c r="AA216" s="618">
        <f t="shared" si="478"/>
        <v>1993</v>
      </c>
      <c r="AB216" s="618">
        <f>SUMIFS(Нормативы!N:N,Нормативы!$B:$B,$G216,Нормативы!$D:$D,'2020'!$I216,Нормативы!$F:$F,'2020'!$K216)*O216</f>
        <v>104</v>
      </c>
      <c r="AC216" s="618">
        <f>SUMIFS(Нормативы!O:O,Нормативы!$B:$B,$G216,Нормативы!$D:$D,'2020'!$I216,Нормативы!$F:$F,'2020'!$K216)</f>
        <v>1729</v>
      </c>
      <c r="AD216" s="618">
        <f>SUMIFS(Нормативы!P:P,Нормативы!$B:$B,$G216,Нормативы!$D:$D,'2020'!$I216,Нормативы!$F:$F,'2020'!$K216)*O216</f>
        <v>72</v>
      </c>
      <c r="AE216" s="618">
        <f>SUMIFS(Нормативы!Q:Q,Нормативы!$B:$B,$G216,Нормативы!$D:$D,'2020'!$I216,Нормативы!$F:$F,'2020'!$K216)</f>
        <v>88</v>
      </c>
      <c r="AF216" s="618">
        <f>SUMIFS(Нормативы!R:R,Нормативы!$B:$B,$G216,Нормативы!$D:$D,'2020'!$I216,Нормативы!$F:$F,'2020'!$K216)</f>
        <v>268</v>
      </c>
      <c r="AG216" s="618">
        <f>SUMIFS(Нормативы!S:S,Нормативы!$B:$B,$G216,Нормативы!$D:$D,'2020'!$I216,Нормативы!$F:$F,'2020'!$K216)</f>
        <v>580</v>
      </c>
      <c r="AH216" s="618">
        <f>SUMIFS(Нормативы!T:T,Нормативы!$B:$B,$G216,Нормативы!$D:$D,'2020'!$I216,Нормативы!$F:$F,'2020'!$K216)</f>
        <v>54</v>
      </c>
      <c r="AI216" s="618">
        <f>SUMIFS(Нормативы!U:U,Нормативы!$B:$B,$G216,Нормативы!$D:$D,'2020'!$I216,Нормативы!$F:$F,'2020'!$K216)</f>
        <v>77</v>
      </c>
      <c r="AJ216" s="618">
        <f>SUMIFS(Нормативы!V:V,Нормативы!$B:$B,$G216,Нормативы!$D:$D,'2020'!$I216,Нормативы!$F:$F,'2020'!$K216)</f>
        <v>8</v>
      </c>
      <c r="AK216" s="618">
        <f>SUMIFS(Нормативы!W:W,Нормативы!$B:$B,$G216,Нормативы!$D:$D,'2020'!$I216,Нормативы!$F:$F,'2020'!$K216)</f>
        <v>105</v>
      </c>
      <c r="AL216" s="618">
        <f>SUMIFS(Нормативы!X:X,Нормативы!$B:$B,$G216,Нормативы!$D:$D,'2020'!$I216,Нормативы!$F:$F,'2020'!$K216)*O216</f>
        <v>3224</v>
      </c>
      <c r="AM216" s="618">
        <f t="shared" si="479"/>
        <v>2476.1999999999998</v>
      </c>
      <c r="AN216" s="618">
        <f t="shared" si="480"/>
        <v>747.8</v>
      </c>
      <c r="AO216" s="618">
        <f>SUMIFS(Нормативы!AA:AA,Нормативы!$B:$B,$G216,Нормативы!$D:$D,'2020'!$I216,Нормативы!$F:$F,'2020'!$K216)</f>
        <v>0</v>
      </c>
      <c r="AP216" s="619">
        <f t="shared" si="481"/>
        <v>20841</v>
      </c>
      <c r="AQ216" s="413">
        <f t="shared" si="418"/>
        <v>51352</v>
      </c>
      <c r="AR216" s="618">
        <f t="shared" si="482"/>
        <v>39440.9</v>
      </c>
      <c r="AS216" s="618">
        <f t="shared" si="483"/>
        <v>11911.1</v>
      </c>
      <c r="AT216" s="616">
        <f t="shared" si="419"/>
        <v>3532</v>
      </c>
      <c r="AU216" s="616">
        <f t="shared" si="420"/>
        <v>708</v>
      </c>
      <c r="AV216" s="616">
        <f t="shared" si="421"/>
        <v>3244</v>
      </c>
      <c r="AW216" s="616">
        <f t="shared" si="422"/>
        <v>7972</v>
      </c>
      <c r="AX216" s="616">
        <f t="shared" si="423"/>
        <v>416</v>
      </c>
      <c r="AY216" s="616">
        <f t="shared" si="424"/>
        <v>6916</v>
      </c>
      <c r="AZ216" s="616">
        <f t="shared" si="425"/>
        <v>288</v>
      </c>
      <c r="BA216" s="616">
        <f t="shared" si="426"/>
        <v>352</v>
      </c>
      <c r="BB216" s="616">
        <f t="shared" si="427"/>
        <v>1072</v>
      </c>
      <c r="BC216" s="616">
        <f t="shared" si="428"/>
        <v>2320</v>
      </c>
      <c r="BD216" s="616">
        <f t="shared" si="429"/>
        <v>216</v>
      </c>
      <c r="BE216" s="616">
        <f t="shared" si="430"/>
        <v>308</v>
      </c>
      <c r="BF216" s="616">
        <f t="shared" si="431"/>
        <v>32</v>
      </c>
      <c r="BG216" s="616">
        <f t="shared" si="432"/>
        <v>420</v>
      </c>
      <c r="BH216" s="616">
        <f t="shared" si="433"/>
        <v>12896</v>
      </c>
      <c r="BI216" s="618">
        <f t="shared" si="484"/>
        <v>9904.7999999999993</v>
      </c>
      <c r="BJ216" s="618">
        <f t="shared" si="485"/>
        <v>2991.2</v>
      </c>
      <c r="BK216" s="616">
        <f t="shared" si="434"/>
        <v>0</v>
      </c>
      <c r="BL216" s="620">
        <f t="shared" si="435"/>
        <v>83364</v>
      </c>
      <c r="BM216" s="616">
        <f t="shared" si="436"/>
        <v>75231</v>
      </c>
      <c r="BN216" s="618">
        <f t="shared" si="437"/>
        <v>57781.1</v>
      </c>
      <c r="BO216" s="618">
        <f t="shared" si="438"/>
        <v>17449.900000000001</v>
      </c>
      <c r="BP216" s="616">
        <f t="shared" si="486"/>
        <v>3532</v>
      </c>
      <c r="BQ216" s="616">
        <f t="shared" si="487"/>
        <v>708</v>
      </c>
      <c r="BR216" s="616">
        <f t="shared" si="488"/>
        <v>3244</v>
      </c>
      <c r="BS216" s="616">
        <f t="shared" si="439"/>
        <v>7972</v>
      </c>
      <c r="BT216" s="616">
        <f t="shared" si="440"/>
        <v>416</v>
      </c>
      <c r="BU216" s="616">
        <f t="shared" si="441"/>
        <v>6916</v>
      </c>
      <c r="BV216" s="616">
        <f t="shared" si="442"/>
        <v>288</v>
      </c>
      <c r="BW216" s="616">
        <f t="shared" si="443"/>
        <v>352</v>
      </c>
      <c r="BX216" s="616">
        <f t="shared" si="444"/>
        <v>2888</v>
      </c>
      <c r="BY216" s="616">
        <f t="shared" si="445"/>
        <v>2320</v>
      </c>
      <c r="BZ216" s="616">
        <f t="shared" si="446"/>
        <v>216</v>
      </c>
      <c r="CA216" s="616">
        <f t="shared" si="447"/>
        <v>308</v>
      </c>
      <c r="CB216" s="616">
        <f t="shared" si="448"/>
        <v>32</v>
      </c>
      <c r="CC216" s="616">
        <f t="shared" si="449"/>
        <v>420</v>
      </c>
      <c r="CD216" s="616">
        <f t="shared" si="450"/>
        <v>18893</v>
      </c>
      <c r="CE216" s="618">
        <f t="shared" si="489"/>
        <v>14510.8</v>
      </c>
      <c r="CF216" s="618">
        <f t="shared" si="490"/>
        <v>4382.2</v>
      </c>
      <c r="CG216" s="616">
        <f t="shared" si="451"/>
        <v>0</v>
      </c>
      <c r="CH216" s="621">
        <f t="shared" si="452"/>
        <v>115056</v>
      </c>
      <c r="CI216" s="88">
        <f t="shared" si="453"/>
        <v>18807.75</v>
      </c>
      <c r="CJ216" s="90">
        <f t="shared" si="454"/>
        <v>14445.275</v>
      </c>
      <c r="CK216" s="90">
        <f t="shared" si="455"/>
        <v>4362.4750000000004</v>
      </c>
      <c r="CL216" s="88">
        <f t="shared" si="456"/>
        <v>883</v>
      </c>
      <c r="CM216" s="88">
        <f t="shared" si="457"/>
        <v>177</v>
      </c>
      <c r="CN216" s="88">
        <f t="shared" si="458"/>
        <v>811</v>
      </c>
      <c r="CO216" s="88">
        <f t="shared" si="459"/>
        <v>1993</v>
      </c>
      <c r="CP216" s="88">
        <f t="shared" si="460"/>
        <v>104</v>
      </c>
      <c r="CQ216" s="88">
        <f t="shared" si="461"/>
        <v>1729</v>
      </c>
      <c r="CR216" s="88">
        <f t="shared" si="462"/>
        <v>72</v>
      </c>
      <c r="CS216" s="88">
        <f t="shared" si="463"/>
        <v>88</v>
      </c>
      <c r="CT216" s="88">
        <f t="shared" si="464"/>
        <v>722</v>
      </c>
      <c r="CU216" s="88">
        <f t="shared" si="465"/>
        <v>580</v>
      </c>
      <c r="CV216" s="88">
        <f t="shared" si="466"/>
        <v>54</v>
      </c>
      <c r="CW216" s="88">
        <f t="shared" si="467"/>
        <v>77</v>
      </c>
      <c r="CX216" s="88">
        <f t="shared" si="468"/>
        <v>8</v>
      </c>
      <c r="CY216" s="88">
        <f t="shared" si="469"/>
        <v>105</v>
      </c>
      <c r="CZ216" s="88">
        <f t="shared" si="470"/>
        <v>4723.25</v>
      </c>
      <c r="DA216" s="90">
        <f t="shared" si="471"/>
        <v>3627.7</v>
      </c>
      <c r="DB216" s="90">
        <f t="shared" si="472"/>
        <v>1095.55</v>
      </c>
      <c r="DC216" s="88">
        <f t="shared" si="473"/>
        <v>0</v>
      </c>
      <c r="DD216" s="88">
        <f t="shared" si="474"/>
        <v>28764</v>
      </c>
      <c r="AUV216" s="699">
        <f t="shared" si="586"/>
        <v>18807.75</v>
      </c>
      <c r="AUW216" s="699">
        <f t="shared" si="587"/>
        <v>14445.28</v>
      </c>
      <c r="AUX216" s="699">
        <f t="shared" si="588"/>
        <v>4362.47</v>
      </c>
      <c r="AUY216" s="699">
        <f t="shared" si="589"/>
        <v>883</v>
      </c>
      <c r="AUZ216" s="699">
        <f t="shared" si="615"/>
        <v>262.81</v>
      </c>
      <c r="AVA216" s="699">
        <f t="shared" si="615"/>
        <v>0.25</v>
      </c>
      <c r="AVB216" s="699">
        <f t="shared" si="590"/>
        <v>1993</v>
      </c>
      <c r="AVC216" s="699">
        <f t="shared" si="591"/>
        <v>104</v>
      </c>
      <c r="AVD216" s="699">
        <f t="shared" si="592"/>
        <v>1729</v>
      </c>
      <c r="AVE216" s="699">
        <f t="shared" si="593"/>
        <v>72</v>
      </c>
      <c r="AVF216" s="699">
        <f t="shared" si="594"/>
        <v>88</v>
      </c>
      <c r="AVG216" s="699">
        <f t="shared" si="595"/>
        <v>722</v>
      </c>
      <c r="AVH216" s="699">
        <f t="shared" si="596"/>
        <v>580</v>
      </c>
      <c r="AVI216" s="699">
        <f t="shared" si="597"/>
        <v>54</v>
      </c>
      <c r="AVJ216" s="699">
        <f t="shared" si="598"/>
        <v>77</v>
      </c>
      <c r="AVK216" s="699">
        <f t="shared" si="599"/>
        <v>8</v>
      </c>
      <c r="AVL216" s="699">
        <f t="shared" si="600"/>
        <v>105</v>
      </c>
      <c r="AVM216" s="699">
        <f t="shared" si="601"/>
        <v>4723.25</v>
      </c>
      <c r="AVN216" s="699">
        <f t="shared" si="602"/>
        <v>3627.69</v>
      </c>
      <c r="AVO216" s="699">
        <f t="shared" si="603"/>
        <v>1095.56</v>
      </c>
      <c r="AVP216" s="699">
        <f t="shared" si="604"/>
        <v>0</v>
      </c>
      <c r="AVQ216" s="699">
        <f t="shared" si="605"/>
        <v>28764</v>
      </c>
    </row>
    <row r="217" spans="1:108 1244:1265" ht="30" customHeight="1" x14ac:dyDescent="0.25">
      <c r="A217" s="643">
        <v>1</v>
      </c>
      <c r="B217" s="643">
        <v>13</v>
      </c>
      <c r="C217" s="664" t="s">
        <v>29</v>
      </c>
      <c r="D217" s="2"/>
      <c r="E217" s="101" t="s">
        <v>344</v>
      </c>
      <c r="F217" s="643" t="s">
        <v>31</v>
      </c>
      <c r="G217" s="643">
        <v>1</v>
      </c>
      <c r="H217" s="658" t="s">
        <v>10</v>
      </c>
      <c r="I217" s="643">
        <v>0</v>
      </c>
      <c r="J217" s="101" t="s">
        <v>373</v>
      </c>
      <c r="K217" s="643">
        <v>3</v>
      </c>
      <c r="L217" s="683" t="s">
        <v>349</v>
      </c>
      <c r="M217" s="11" t="s">
        <v>281</v>
      </c>
      <c r="N217" s="101" t="s">
        <v>387</v>
      </c>
      <c r="O217" s="643">
        <v>1</v>
      </c>
      <c r="P217" s="632">
        <v>22</v>
      </c>
      <c r="Q217" s="632">
        <v>22</v>
      </c>
      <c r="R217" s="632">
        <v>22</v>
      </c>
      <c r="S217" s="675">
        <f>SUMIF('Территориальный кк'!$A:$A,'2020'!$B217,'Территориальный кк'!D:D)</f>
        <v>1.4650000000000001</v>
      </c>
      <c r="T217" s="676">
        <f>SUMIF('Территориальный кк'!$A:$A,'2020'!$B217,'Территориальный кк'!E:E)</f>
        <v>2.694</v>
      </c>
      <c r="U217" s="618">
        <f>SUMIFS(Нормативы!G:G,Нормативы!$B:$B,$G217,Нормативы!$D:$D,'2020'!$I217,Нормативы!$F:$F,'2020'!$K217)*O217</f>
        <v>64190</v>
      </c>
      <c r="V217" s="618">
        <f t="shared" si="476"/>
        <v>49301.1</v>
      </c>
      <c r="W217" s="618">
        <f t="shared" si="477"/>
        <v>14888.9</v>
      </c>
      <c r="X217" s="618">
        <f>SUMIFS(Нормативы!J:J,Нормативы!$B:$B,$G217,Нормативы!$D:$D,'2020'!$I217,Нормативы!$F:$F,'2020'!$K217)</f>
        <v>8830</v>
      </c>
      <c r="Y217" s="618">
        <f>SUMIFS(Нормативы!K:K,Нормативы!$B:$B,$G217,Нормативы!$D:$D,'2020'!$I217,Нормативы!$F:$F,'2020'!$K217)</f>
        <v>1766</v>
      </c>
      <c r="Z217" s="618">
        <f>SUMIFS(Нормативы!L:L,Нормативы!$B:$B,$G217,Нормативы!$D:$D,'2020'!$I217,Нормативы!$F:$F,'2020'!$K217)</f>
        <v>8110</v>
      </c>
      <c r="AA217" s="618">
        <f t="shared" si="478"/>
        <v>19050</v>
      </c>
      <c r="AB217" s="618">
        <f>SUMIFS(Нормативы!N:N,Нормативы!$B:$B,$G217,Нормативы!$D:$D,'2020'!$I217,Нормативы!$F:$F,'2020'!$K217)*O217</f>
        <v>520</v>
      </c>
      <c r="AC217" s="618">
        <f>SUMIFS(Нормативы!O:O,Нормативы!$B:$B,$G217,Нормативы!$D:$D,'2020'!$I217,Нормативы!$F:$F,'2020'!$K217)</f>
        <v>17290</v>
      </c>
      <c r="AD217" s="618">
        <f>SUMIFS(Нормативы!P:P,Нормативы!$B:$B,$G217,Нормативы!$D:$D,'2020'!$I217,Нормативы!$F:$F,'2020'!$K217)*O217</f>
        <v>360</v>
      </c>
      <c r="AE217" s="618">
        <f>SUMIFS(Нормативы!Q:Q,Нормативы!$B:$B,$G217,Нормативы!$D:$D,'2020'!$I217,Нормативы!$F:$F,'2020'!$K217)</f>
        <v>880</v>
      </c>
      <c r="AF217" s="618">
        <f>SUMIFS(Нормативы!R:R,Нормативы!$B:$B,$G217,Нормативы!$D:$D,'2020'!$I217,Нормативы!$F:$F,'2020'!$K217)</f>
        <v>2680</v>
      </c>
      <c r="AG217" s="618">
        <f>SUMIFS(Нормативы!S:S,Нормативы!$B:$B,$G217,Нормативы!$D:$D,'2020'!$I217,Нормативы!$F:$F,'2020'!$K217)</f>
        <v>5800</v>
      </c>
      <c r="AH217" s="618">
        <f>SUMIFS(Нормативы!T:T,Нормативы!$B:$B,$G217,Нормативы!$D:$D,'2020'!$I217,Нормативы!$F:$F,'2020'!$K217)</f>
        <v>540</v>
      </c>
      <c r="AI217" s="618">
        <f>SUMIFS(Нормативы!U:U,Нормативы!$B:$B,$G217,Нормативы!$D:$D,'2020'!$I217,Нормативы!$F:$F,'2020'!$K217)</f>
        <v>770</v>
      </c>
      <c r="AJ217" s="618">
        <f>SUMIFS(Нормативы!V:V,Нормативы!$B:$B,$G217,Нормативы!$D:$D,'2020'!$I217,Нормативы!$F:$F,'2020'!$K217)</f>
        <v>80</v>
      </c>
      <c r="AK217" s="618">
        <f>SUMIFS(Нормативы!W:W,Нормативы!$B:$B,$G217,Нормативы!$D:$D,'2020'!$I217,Нормативы!$F:$F,'2020'!$K217)</f>
        <v>1050</v>
      </c>
      <c r="AL217" s="618">
        <f>SUMIFS(Нормативы!X:X,Нормативы!$B:$B,$G217,Нормативы!$D:$D,'2020'!$I217,Нормативы!$F:$F,'2020'!$K217)*O217</f>
        <v>16120</v>
      </c>
      <c r="AM217" s="618">
        <f t="shared" si="479"/>
        <v>12381</v>
      </c>
      <c r="AN217" s="618">
        <f t="shared" si="480"/>
        <v>3739</v>
      </c>
      <c r="AO217" s="618">
        <f>SUMIFS(Нормативы!AA:AA,Нормативы!$B:$B,$G217,Нормативы!$D:$D,'2020'!$I217,Нормативы!$F:$F,'2020'!$K217)</f>
        <v>3520</v>
      </c>
      <c r="AP217" s="619">
        <f t="shared" si="481"/>
        <v>130740</v>
      </c>
      <c r="AQ217" s="413">
        <f t="shared" si="418"/>
        <v>1412180</v>
      </c>
      <c r="AR217" s="618">
        <f t="shared" si="482"/>
        <v>1084623.7</v>
      </c>
      <c r="AS217" s="618">
        <f t="shared" si="483"/>
        <v>327556.3</v>
      </c>
      <c r="AT217" s="616">
        <f t="shared" si="419"/>
        <v>194260</v>
      </c>
      <c r="AU217" s="616">
        <f t="shared" si="420"/>
        <v>38852</v>
      </c>
      <c r="AV217" s="616">
        <f t="shared" si="421"/>
        <v>178420</v>
      </c>
      <c r="AW217" s="616">
        <f t="shared" si="422"/>
        <v>419100</v>
      </c>
      <c r="AX217" s="616">
        <f t="shared" si="423"/>
        <v>11440</v>
      </c>
      <c r="AY217" s="616">
        <f t="shared" si="424"/>
        <v>380380</v>
      </c>
      <c r="AZ217" s="616">
        <f t="shared" si="425"/>
        <v>7920</v>
      </c>
      <c r="BA217" s="616">
        <f t="shared" si="426"/>
        <v>19360</v>
      </c>
      <c r="BB217" s="616">
        <f t="shared" si="427"/>
        <v>58960</v>
      </c>
      <c r="BC217" s="616">
        <f t="shared" si="428"/>
        <v>127600</v>
      </c>
      <c r="BD217" s="616">
        <f t="shared" si="429"/>
        <v>11880</v>
      </c>
      <c r="BE217" s="616">
        <f t="shared" si="430"/>
        <v>16940</v>
      </c>
      <c r="BF217" s="616">
        <f t="shared" si="431"/>
        <v>1760</v>
      </c>
      <c r="BG217" s="616">
        <f t="shared" si="432"/>
        <v>23100</v>
      </c>
      <c r="BH217" s="616">
        <f t="shared" si="433"/>
        <v>354640</v>
      </c>
      <c r="BI217" s="618">
        <f t="shared" si="484"/>
        <v>272381</v>
      </c>
      <c r="BJ217" s="618">
        <f t="shared" si="485"/>
        <v>82259</v>
      </c>
      <c r="BK217" s="616">
        <f t="shared" si="434"/>
        <v>77440</v>
      </c>
      <c r="BL217" s="620">
        <f t="shared" si="435"/>
        <v>2876280</v>
      </c>
      <c r="BM217" s="616">
        <f t="shared" si="436"/>
        <v>2068844</v>
      </c>
      <c r="BN217" s="618">
        <f t="shared" si="437"/>
        <v>1588973.9</v>
      </c>
      <c r="BO217" s="618">
        <f t="shared" si="438"/>
        <v>479870.1</v>
      </c>
      <c r="BP217" s="616">
        <f t="shared" si="486"/>
        <v>194260</v>
      </c>
      <c r="BQ217" s="616">
        <f t="shared" si="487"/>
        <v>38852</v>
      </c>
      <c r="BR217" s="616">
        <f t="shared" si="488"/>
        <v>178420</v>
      </c>
      <c r="BS217" s="616">
        <f t="shared" si="439"/>
        <v>419100</v>
      </c>
      <c r="BT217" s="616">
        <f t="shared" si="440"/>
        <v>11440</v>
      </c>
      <c r="BU217" s="616">
        <f t="shared" si="441"/>
        <v>380380</v>
      </c>
      <c r="BV217" s="616">
        <f t="shared" si="442"/>
        <v>7920</v>
      </c>
      <c r="BW217" s="616">
        <f t="shared" si="443"/>
        <v>19360</v>
      </c>
      <c r="BX217" s="616">
        <f t="shared" si="444"/>
        <v>158838</v>
      </c>
      <c r="BY217" s="616">
        <f t="shared" si="445"/>
        <v>127600</v>
      </c>
      <c r="BZ217" s="616">
        <f t="shared" si="446"/>
        <v>11880</v>
      </c>
      <c r="CA217" s="616">
        <f t="shared" si="447"/>
        <v>16940</v>
      </c>
      <c r="CB217" s="616">
        <f t="shared" si="448"/>
        <v>1760</v>
      </c>
      <c r="CC217" s="616">
        <f t="shared" si="449"/>
        <v>23100</v>
      </c>
      <c r="CD217" s="616">
        <f t="shared" si="450"/>
        <v>519548</v>
      </c>
      <c r="CE217" s="618">
        <f t="shared" si="489"/>
        <v>399038.4</v>
      </c>
      <c r="CF217" s="618">
        <f t="shared" si="490"/>
        <v>120509.6</v>
      </c>
      <c r="CG217" s="616">
        <f t="shared" si="451"/>
        <v>77440</v>
      </c>
      <c r="CH217" s="621">
        <f t="shared" si="452"/>
        <v>3797730</v>
      </c>
      <c r="CI217" s="88">
        <f t="shared" si="453"/>
        <v>94038.363599999997</v>
      </c>
      <c r="CJ217" s="90">
        <f t="shared" si="454"/>
        <v>72226.0864</v>
      </c>
      <c r="CK217" s="90">
        <f t="shared" si="455"/>
        <v>21812.277300000002</v>
      </c>
      <c r="CL217" s="88">
        <f t="shared" si="456"/>
        <v>8830</v>
      </c>
      <c r="CM217" s="88">
        <f t="shared" si="457"/>
        <v>1766</v>
      </c>
      <c r="CN217" s="88">
        <f t="shared" si="458"/>
        <v>8110</v>
      </c>
      <c r="CO217" s="88">
        <f t="shared" si="459"/>
        <v>19050</v>
      </c>
      <c r="CP217" s="88">
        <f t="shared" si="460"/>
        <v>520</v>
      </c>
      <c r="CQ217" s="88">
        <f t="shared" si="461"/>
        <v>17290</v>
      </c>
      <c r="CR217" s="88">
        <f t="shared" si="462"/>
        <v>360</v>
      </c>
      <c r="CS217" s="88">
        <f t="shared" si="463"/>
        <v>880</v>
      </c>
      <c r="CT217" s="88">
        <f t="shared" si="464"/>
        <v>7219.9090999999999</v>
      </c>
      <c r="CU217" s="88">
        <f t="shared" si="465"/>
        <v>5800</v>
      </c>
      <c r="CV217" s="88">
        <f t="shared" si="466"/>
        <v>540</v>
      </c>
      <c r="CW217" s="88">
        <f t="shared" si="467"/>
        <v>770</v>
      </c>
      <c r="CX217" s="88">
        <f t="shared" si="468"/>
        <v>80</v>
      </c>
      <c r="CY217" s="88">
        <f t="shared" si="469"/>
        <v>1050</v>
      </c>
      <c r="CZ217" s="88">
        <f t="shared" si="470"/>
        <v>23615.818200000002</v>
      </c>
      <c r="DA217" s="90">
        <f t="shared" si="471"/>
        <v>18138.109100000001</v>
      </c>
      <c r="DB217" s="90">
        <f t="shared" si="472"/>
        <v>5477.7091</v>
      </c>
      <c r="DC217" s="88">
        <f t="shared" si="473"/>
        <v>3520</v>
      </c>
      <c r="DD217" s="88">
        <f t="shared" si="474"/>
        <v>172624.09090000001</v>
      </c>
      <c r="AUV217" s="699">
        <f t="shared" si="586"/>
        <v>94038.36</v>
      </c>
      <c r="AUW217" s="699">
        <f t="shared" si="587"/>
        <v>72226.080000000002</v>
      </c>
      <c r="AUX217" s="699">
        <f t="shared" si="588"/>
        <v>21812.28</v>
      </c>
      <c r="AUY217" s="699">
        <f t="shared" si="589"/>
        <v>8830</v>
      </c>
      <c r="AUZ217" s="699">
        <f t="shared" si="615"/>
        <v>14421.68</v>
      </c>
      <c r="AVA217" s="699">
        <f t="shared" si="615"/>
        <v>2.78</v>
      </c>
      <c r="AVB217" s="699">
        <f t="shared" si="590"/>
        <v>19050</v>
      </c>
      <c r="AVC217" s="699">
        <f t="shared" si="591"/>
        <v>520</v>
      </c>
      <c r="AVD217" s="699">
        <f t="shared" si="592"/>
        <v>17290</v>
      </c>
      <c r="AVE217" s="699">
        <f t="shared" si="593"/>
        <v>360</v>
      </c>
      <c r="AVF217" s="699">
        <f t="shared" si="594"/>
        <v>880</v>
      </c>
      <c r="AVG217" s="699">
        <f t="shared" si="595"/>
        <v>7219.91</v>
      </c>
      <c r="AVH217" s="699">
        <f t="shared" si="596"/>
        <v>5800</v>
      </c>
      <c r="AVI217" s="699">
        <f t="shared" si="597"/>
        <v>540</v>
      </c>
      <c r="AVJ217" s="699">
        <f t="shared" si="598"/>
        <v>770</v>
      </c>
      <c r="AVK217" s="699">
        <f t="shared" si="599"/>
        <v>80</v>
      </c>
      <c r="AVL217" s="699">
        <f t="shared" si="600"/>
        <v>1050</v>
      </c>
      <c r="AVM217" s="699">
        <f t="shared" si="601"/>
        <v>23615.82</v>
      </c>
      <c r="AVN217" s="699">
        <f t="shared" si="602"/>
        <v>18138.11</v>
      </c>
      <c r="AVO217" s="699">
        <f t="shared" si="603"/>
        <v>5477.71</v>
      </c>
      <c r="AVP217" s="699">
        <f t="shared" si="604"/>
        <v>3520</v>
      </c>
      <c r="AVQ217" s="699">
        <f t="shared" si="605"/>
        <v>172624.09</v>
      </c>
    </row>
    <row r="218" spans="1:108 1244:1265" ht="30" customHeight="1" x14ac:dyDescent="0.25">
      <c r="A218" s="643">
        <v>1</v>
      </c>
      <c r="B218" s="643">
        <v>13</v>
      </c>
      <c r="C218" s="664" t="s">
        <v>29</v>
      </c>
      <c r="D218" s="2"/>
      <c r="E218" s="101" t="s">
        <v>344</v>
      </c>
      <c r="F218" s="643" t="s">
        <v>31</v>
      </c>
      <c r="G218" s="643">
        <v>1</v>
      </c>
      <c r="H218" s="658" t="s">
        <v>8</v>
      </c>
      <c r="I218" s="643">
        <v>3</v>
      </c>
      <c r="J218" s="101" t="s">
        <v>373</v>
      </c>
      <c r="K218" s="643">
        <v>3</v>
      </c>
      <c r="L218" s="683" t="s">
        <v>349</v>
      </c>
      <c r="M218" s="11" t="s">
        <v>282</v>
      </c>
      <c r="N218" s="101" t="s">
        <v>387</v>
      </c>
      <c r="O218" s="643">
        <v>1</v>
      </c>
      <c r="P218" s="632">
        <v>20</v>
      </c>
      <c r="Q218" s="632">
        <v>20</v>
      </c>
      <c r="R218" s="632">
        <v>20</v>
      </c>
      <c r="S218" s="675">
        <f>SUMIF('Территориальный кк'!$A:$A,'2020'!$B218,'Территориальный кк'!D:D)</f>
        <v>1.4650000000000001</v>
      </c>
      <c r="T218" s="676">
        <f>SUMIF('Территориальный кк'!$A:$A,'2020'!$B218,'Территориальный кк'!E:E)</f>
        <v>2.694</v>
      </c>
      <c r="U218" s="618">
        <f>SUMIFS(Нормативы!G:G,Нормативы!$B:$B,$G218,Нормативы!$D:$D,'2020'!$I218,Нормативы!$F:$F,'2020'!$K218)*O218</f>
        <v>6419</v>
      </c>
      <c r="V218" s="618">
        <f t="shared" si="476"/>
        <v>4930.1000000000004</v>
      </c>
      <c r="W218" s="618">
        <f t="shared" si="477"/>
        <v>1488.9</v>
      </c>
      <c r="X218" s="618">
        <f>SUMIFS(Нормативы!J:J,Нормативы!$B:$B,$G218,Нормативы!$D:$D,'2020'!$I218,Нормативы!$F:$F,'2020'!$K218)</f>
        <v>883</v>
      </c>
      <c r="Y218" s="618">
        <f>SUMIFS(Нормативы!K:K,Нормативы!$B:$B,$G218,Нормативы!$D:$D,'2020'!$I218,Нормативы!$F:$F,'2020'!$K218)</f>
        <v>177</v>
      </c>
      <c r="Z218" s="618">
        <f>SUMIFS(Нормативы!L:L,Нормативы!$B:$B,$G218,Нормативы!$D:$D,'2020'!$I218,Нормативы!$F:$F,'2020'!$K218)</f>
        <v>811</v>
      </c>
      <c r="AA218" s="618">
        <f t="shared" si="478"/>
        <v>1905</v>
      </c>
      <c r="AB218" s="618">
        <f>SUMIFS(Нормативы!N:N,Нормативы!$B:$B,$G218,Нормативы!$D:$D,'2020'!$I218,Нормативы!$F:$F,'2020'!$K218)*O218</f>
        <v>52</v>
      </c>
      <c r="AC218" s="618">
        <f>SUMIFS(Нормативы!O:O,Нормативы!$B:$B,$G218,Нормативы!$D:$D,'2020'!$I218,Нормативы!$F:$F,'2020'!$K218)</f>
        <v>1729</v>
      </c>
      <c r="AD218" s="618">
        <f>SUMIFS(Нормативы!P:P,Нормативы!$B:$B,$G218,Нормативы!$D:$D,'2020'!$I218,Нормативы!$F:$F,'2020'!$K218)*O218</f>
        <v>36</v>
      </c>
      <c r="AE218" s="618">
        <f>SUMIFS(Нормативы!Q:Q,Нормативы!$B:$B,$G218,Нормативы!$D:$D,'2020'!$I218,Нормативы!$F:$F,'2020'!$K218)</f>
        <v>88</v>
      </c>
      <c r="AF218" s="618">
        <f>SUMIFS(Нормативы!R:R,Нормативы!$B:$B,$G218,Нормативы!$D:$D,'2020'!$I218,Нормативы!$F:$F,'2020'!$K218)</f>
        <v>268</v>
      </c>
      <c r="AG218" s="618">
        <f>SUMIFS(Нормативы!S:S,Нормативы!$B:$B,$G218,Нормативы!$D:$D,'2020'!$I218,Нормативы!$F:$F,'2020'!$K218)</f>
        <v>580</v>
      </c>
      <c r="AH218" s="618">
        <f>SUMIFS(Нормативы!T:T,Нормативы!$B:$B,$G218,Нормативы!$D:$D,'2020'!$I218,Нормативы!$F:$F,'2020'!$K218)</f>
        <v>54</v>
      </c>
      <c r="AI218" s="618">
        <f>SUMIFS(Нормативы!U:U,Нормативы!$B:$B,$G218,Нормативы!$D:$D,'2020'!$I218,Нормативы!$F:$F,'2020'!$K218)</f>
        <v>77</v>
      </c>
      <c r="AJ218" s="618">
        <f>SUMIFS(Нормативы!V:V,Нормативы!$B:$B,$G218,Нормативы!$D:$D,'2020'!$I218,Нормативы!$F:$F,'2020'!$K218)</f>
        <v>8</v>
      </c>
      <c r="AK218" s="618">
        <f>SUMIFS(Нормативы!W:W,Нормативы!$B:$B,$G218,Нормативы!$D:$D,'2020'!$I218,Нормативы!$F:$F,'2020'!$K218)</f>
        <v>105</v>
      </c>
      <c r="AL218" s="618">
        <f>SUMIFS(Нормативы!X:X,Нормативы!$B:$B,$G218,Нормативы!$D:$D,'2020'!$I218,Нормативы!$F:$F,'2020'!$K218)*O218</f>
        <v>1612</v>
      </c>
      <c r="AM218" s="618">
        <f t="shared" si="479"/>
        <v>1238.0999999999999</v>
      </c>
      <c r="AN218" s="618">
        <f t="shared" si="480"/>
        <v>373.9</v>
      </c>
      <c r="AO218" s="618">
        <f>SUMIFS(Нормативы!AA:AA,Нормативы!$B:$B,$G218,Нормативы!$D:$D,'2020'!$I218,Нормативы!$F:$F,'2020'!$K218)</f>
        <v>0</v>
      </c>
      <c r="AP218" s="619">
        <f t="shared" si="481"/>
        <v>12722</v>
      </c>
      <c r="AQ218" s="413">
        <f t="shared" si="418"/>
        <v>128380</v>
      </c>
      <c r="AR218" s="618">
        <f t="shared" si="482"/>
        <v>98602.2</v>
      </c>
      <c r="AS218" s="618">
        <f t="shared" si="483"/>
        <v>29777.8</v>
      </c>
      <c r="AT218" s="616">
        <f t="shared" si="419"/>
        <v>17660</v>
      </c>
      <c r="AU218" s="616">
        <f t="shared" si="420"/>
        <v>3540</v>
      </c>
      <c r="AV218" s="616">
        <f t="shared" si="421"/>
        <v>16220</v>
      </c>
      <c r="AW218" s="616">
        <f t="shared" si="422"/>
        <v>38100</v>
      </c>
      <c r="AX218" s="616">
        <f t="shared" si="423"/>
        <v>1040</v>
      </c>
      <c r="AY218" s="616">
        <f t="shared" si="424"/>
        <v>34580</v>
      </c>
      <c r="AZ218" s="616">
        <f t="shared" si="425"/>
        <v>720</v>
      </c>
      <c r="BA218" s="616">
        <f t="shared" si="426"/>
        <v>1760</v>
      </c>
      <c r="BB218" s="616">
        <f t="shared" si="427"/>
        <v>5360</v>
      </c>
      <c r="BC218" s="616">
        <f t="shared" si="428"/>
        <v>11600</v>
      </c>
      <c r="BD218" s="616">
        <f t="shared" si="429"/>
        <v>1080</v>
      </c>
      <c r="BE218" s="616">
        <f t="shared" si="430"/>
        <v>1540</v>
      </c>
      <c r="BF218" s="616">
        <f t="shared" si="431"/>
        <v>160</v>
      </c>
      <c r="BG218" s="616">
        <f t="shared" si="432"/>
        <v>2100</v>
      </c>
      <c r="BH218" s="616">
        <f t="shared" si="433"/>
        <v>32240</v>
      </c>
      <c r="BI218" s="618">
        <f t="shared" si="484"/>
        <v>24761.9</v>
      </c>
      <c r="BJ218" s="618">
        <f t="shared" si="485"/>
        <v>7478.1</v>
      </c>
      <c r="BK218" s="616">
        <f t="shared" si="434"/>
        <v>0</v>
      </c>
      <c r="BL218" s="620">
        <f t="shared" si="435"/>
        <v>254440</v>
      </c>
      <c r="BM218" s="616">
        <f t="shared" si="436"/>
        <v>188077</v>
      </c>
      <c r="BN218" s="618">
        <f t="shared" si="437"/>
        <v>144452.4</v>
      </c>
      <c r="BO218" s="618">
        <f t="shared" si="438"/>
        <v>43624.6</v>
      </c>
      <c r="BP218" s="616">
        <f t="shared" si="486"/>
        <v>17660</v>
      </c>
      <c r="BQ218" s="616">
        <f t="shared" si="487"/>
        <v>3540</v>
      </c>
      <c r="BR218" s="616">
        <f t="shared" si="488"/>
        <v>16220</v>
      </c>
      <c r="BS218" s="616">
        <f t="shared" si="439"/>
        <v>38100</v>
      </c>
      <c r="BT218" s="616">
        <f t="shared" si="440"/>
        <v>1040</v>
      </c>
      <c r="BU218" s="616">
        <f t="shared" si="441"/>
        <v>34580</v>
      </c>
      <c r="BV218" s="616">
        <f t="shared" si="442"/>
        <v>720</v>
      </c>
      <c r="BW218" s="616">
        <f t="shared" si="443"/>
        <v>1760</v>
      </c>
      <c r="BX218" s="616">
        <f t="shared" si="444"/>
        <v>14440</v>
      </c>
      <c r="BY218" s="616">
        <f t="shared" si="445"/>
        <v>11600</v>
      </c>
      <c r="BZ218" s="616">
        <f t="shared" si="446"/>
        <v>1080</v>
      </c>
      <c r="CA218" s="616">
        <f t="shared" si="447"/>
        <v>1540</v>
      </c>
      <c r="CB218" s="616">
        <f t="shared" si="448"/>
        <v>160</v>
      </c>
      <c r="CC218" s="616">
        <f t="shared" si="449"/>
        <v>2100</v>
      </c>
      <c r="CD218" s="616">
        <f t="shared" si="450"/>
        <v>47232</v>
      </c>
      <c r="CE218" s="618">
        <f t="shared" si="489"/>
        <v>36276.5</v>
      </c>
      <c r="CF218" s="618">
        <f t="shared" si="490"/>
        <v>10955.5</v>
      </c>
      <c r="CG218" s="616">
        <f t="shared" si="451"/>
        <v>0</v>
      </c>
      <c r="CH218" s="621">
        <f t="shared" si="452"/>
        <v>338209</v>
      </c>
      <c r="CI218" s="88">
        <f t="shared" si="453"/>
        <v>9403.85</v>
      </c>
      <c r="CJ218" s="90">
        <f t="shared" si="454"/>
        <v>7222.62</v>
      </c>
      <c r="CK218" s="90">
        <f t="shared" si="455"/>
        <v>2181.23</v>
      </c>
      <c r="CL218" s="88">
        <f t="shared" si="456"/>
        <v>883</v>
      </c>
      <c r="CM218" s="88">
        <f t="shared" si="457"/>
        <v>177</v>
      </c>
      <c r="CN218" s="88">
        <f t="shared" si="458"/>
        <v>811</v>
      </c>
      <c r="CO218" s="88">
        <f t="shared" si="459"/>
        <v>1905</v>
      </c>
      <c r="CP218" s="88">
        <f t="shared" si="460"/>
        <v>52</v>
      </c>
      <c r="CQ218" s="88">
        <f t="shared" si="461"/>
        <v>1729</v>
      </c>
      <c r="CR218" s="88">
        <f t="shared" si="462"/>
        <v>36</v>
      </c>
      <c r="CS218" s="88">
        <f t="shared" si="463"/>
        <v>88</v>
      </c>
      <c r="CT218" s="88">
        <f t="shared" si="464"/>
        <v>722</v>
      </c>
      <c r="CU218" s="88">
        <f t="shared" si="465"/>
        <v>580</v>
      </c>
      <c r="CV218" s="88">
        <f t="shared" si="466"/>
        <v>54</v>
      </c>
      <c r="CW218" s="88">
        <f t="shared" si="467"/>
        <v>77</v>
      </c>
      <c r="CX218" s="88">
        <f t="shared" si="468"/>
        <v>8</v>
      </c>
      <c r="CY218" s="88">
        <f t="shared" si="469"/>
        <v>105</v>
      </c>
      <c r="CZ218" s="88">
        <f t="shared" si="470"/>
        <v>2361.6</v>
      </c>
      <c r="DA218" s="90">
        <f t="shared" si="471"/>
        <v>1813.825</v>
      </c>
      <c r="DB218" s="90">
        <f t="shared" si="472"/>
        <v>547.77499999999998</v>
      </c>
      <c r="DC218" s="88">
        <f t="shared" si="473"/>
        <v>0</v>
      </c>
      <c r="DD218" s="88">
        <f t="shared" si="474"/>
        <v>16910.45</v>
      </c>
      <c r="AUV218" s="699">
        <f t="shared" si="586"/>
        <v>9403.85</v>
      </c>
      <c r="AUW218" s="699">
        <f t="shared" si="587"/>
        <v>7222.62</v>
      </c>
      <c r="AUX218" s="699">
        <f t="shared" si="588"/>
        <v>2181.23</v>
      </c>
      <c r="AUY218" s="699">
        <f t="shared" si="589"/>
        <v>883</v>
      </c>
      <c r="AUZ218" s="699">
        <f t="shared" si="615"/>
        <v>1314.03</v>
      </c>
      <c r="AVA218" s="699">
        <f t="shared" si="615"/>
        <v>2.5299999999999998</v>
      </c>
      <c r="AVB218" s="699">
        <f t="shared" si="590"/>
        <v>1905</v>
      </c>
      <c r="AVC218" s="699">
        <f t="shared" si="591"/>
        <v>52</v>
      </c>
      <c r="AVD218" s="699">
        <f t="shared" si="592"/>
        <v>1729</v>
      </c>
      <c r="AVE218" s="699">
        <f t="shared" si="593"/>
        <v>36</v>
      </c>
      <c r="AVF218" s="699">
        <f t="shared" si="594"/>
        <v>88</v>
      </c>
      <c r="AVG218" s="699">
        <f t="shared" si="595"/>
        <v>722</v>
      </c>
      <c r="AVH218" s="699">
        <f t="shared" si="596"/>
        <v>580</v>
      </c>
      <c r="AVI218" s="699">
        <f t="shared" si="597"/>
        <v>54</v>
      </c>
      <c r="AVJ218" s="699">
        <f t="shared" si="598"/>
        <v>77</v>
      </c>
      <c r="AVK218" s="699">
        <f t="shared" si="599"/>
        <v>8</v>
      </c>
      <c r="AVL218" s="699">
        <f t="shared" si="600"/>
        <v>105</v>
      </c>
      <c r="AVM218" s="699">
        <f t="shared" si="601"/>
        <v>2361.6</v>
      </c>
      <c r="AVN218" s="699">
        <f t="shared" si="602"/>
        <v>1813.82</v>
      </c>
      <c r="AVO218" s="699">
        <f t="shared" si="603"/>
        <v>547.78</v>
      </c>
      <c r="AVP218" s="699">
        <f t="shared" si="604"/>
        <v>0</v>
      </c>
      <c r="AVQ218" s="699">
        <f t="shared" si="605"/>
        <v>16910.45</v>
      </c>
    </row>
    <row r="219" spans="1:108 1244:1265" ht="30" customHeight="1" x14ac:dyDescent="0.25">
      <c r="A219" s="643">
        <v>1</v>
      </c>
      <c r="B219" s="643">
        <v>13</v>
      </c>
      <c r="C219" s="664" t="s">
        <v>29</v>
      </c>
      <c r="D219" s="2"/>
      <c r="E219" s="101" t="s">
        <v>344</v>
      </c>
      <c r="F219" s="643" t="s">
        <v>31</v>
      </c>
      <c r="G219" s="643">
        <v>1</v>
      </c>
      <c r="H219" s="658" t="s">
        <v>10</v>
      </c>
      <c r="I219" s="643">
        <v>0</v>
      </c>
      <c r="J219" s="101" t="s">
        <v>359</v>
      </c>
      <c r="K219" s="643">
        <v>1</v>
      </c>
      <c r="L219" s="683" t="s">
        <v>349</v>
      </c>
      <c r="M219" s="11" t="s">
        <v>263</v>
      </c>
      <c r="N219" s="101" t="s">
        <v>387</v>
      </c>
      <c r="O219" s="643">
        <v>1</v>
      </c>
      <c r="P219" s="632"/>
      <c r="Q219" s="632"/>
      <c r="R219" s="632"/>
      <c r="S219" s="675">
        <f>SUMIF('Территориальный кк'!$A:$A,'2020'!$B219,'Территориальный кк'!D:D)</f>
        <v>1.4650000000000001</v>
      </c>
      <c r="T219" s="676">
        <f>SUMIF('Территориальный кк'!$A:$A,'2020'!$B219,'Территориальный кк'!E:E)</f>
        <v>2.694</v>
      </c>
      <c r="U219" s="618">
        <f>SUMIFS(Нормативы!G:G,Нормативы!$B:$B,$G219,Нормативы!$D:$D,'2020'!$I219,Нормативы!$F:$F,'2020'!$K219)*O219</f>
        <v>54020</v>
      </c>
      <c r="V219" s="618">
        <f t="shared" si="476"/>
        <v>41490</v>
      </c>
      <c r="W219" s="618">
        <f t="shared" si="477"/>
        <v>12530</v>
      </c>
      <c r="X219" s="618">
        <f>SUMIFS(Нормативы!J:J,Нормативы!$B:$B,$G219,Нормативы!$D:$D,'2020'!$I219,Нормативы!$F:$F,'2020'!$K219)</f>
        <v>220</v>
      </c>
      <c r="Y219" s="618">
        <f>SUMIFS(Нормативы!K:K,Нормативы!$B:$B,$G219,Нормативы!$D:$D,'2020'!$I219,Нормативы!$F:$F,'2020'!$K219)</f>
        <v>44</v>
      </c>
      <c r="Z219" s="618">
        <f>SUMIFS(Нормативы!L:L,Нормативы!$B:$B,$G219,Нормативы!$D:$D,'2020'!$I219,Нормативы!$F:$F,'2020'!$K219)</f>
        <v>2320</v>
      </c>
      <c r="AA219" s="618">
        <f t="shared" si="478"/>
        <v>3710</v>
      </c>
      <c r="AB219" s="618">
        <f>SUMIFS(Нормативы!N:N,Нормативы!$B:$B,$G219,Нормативы!$D:$D,'2020'!$I219,Нормативы!$F:$F,'2020'!$K219)*O219</f>
        <v>520</v>
      </c>
      <c r="AC219" s="618">
        <f>SUMIFS(Нормативы!O:O,Нормативы!$B:$B,$G219,Нормативы!$D:$D,'2020'!$I219,Нормативы!$F:$F,'2020'!$K219)</f>
        <v>2140</v>
      </c>
      <c r="AD219" s="618">
        <f>SUMIFS(Нормативы!P:P,Нормативы!$B:$B,$G219,Нормативы!$D:$D,'2020'!$I219,Нормативы!$F:$F,'2020'!$K219)*O219</f>
        <v>310</v>
      </c>
      <c r="AE219" s="618">
        <f>SUMIFS(Нормативы!Q:Q,Нормативы!$B:$B,$G219,Нормативы!$D:$D,'2020'!$I219,Нормативы!$F:$F,'2020'!$K219)</f>
        <v>740</v>
      </c>
      <c r="AF219" s="618">
        <f>SUMIFS(Нормативы!R:R,Нормативы!$B:$B,$G219,Нормативы!$D:$D,'2020'!$I219,Нормативы!$F:$F,'2020'!$K219)</f>
        <v>2460</v>
      </c>
      <c r="AG219" s="618">
        <f>SUMIFS(Нормативы!S:S,Нормативы!$B:$B,$G219,Нормативы!$D:$D,'2020'!$I219,Нормативы!$F:$F,'2020'!$K219)</f>
        <v>5080</v>
      </c>
      <c r="AH219" s="618">
        <f>SUMIFS(Нормативы!T:T,Нормативы!$B:$B,$G219,Нормативы!$D:$D,'2020'!$I219,Нормативы!$F:$F,'2020'!$K219)</f>
        <v>540</v>
      </c>
      <c r="AI219" s="618">
        <f>SUMIFS(Нормативы!U:U,Нормативы!$B:$B,$G219,Нормативы!$D:$D,'2020'!$I219,Нормативы!$F:$F,'2020'!$K219)</f>
        <v>770</v>
      </c>
      <c r="AJ219" s="618">
        <f>SUMIFS(Нормативы!V:V,Нормативы!$B:$B,$G219,Нормативы!$D:$D,'2020'!$I219,Нормативы!$F:$F,'2020'!$K219)</f>
        <v>80</v>
      </c>
      <c r="AK219" s="618">
        <f>SUMIFS(Нормативы!W:W,Нормативы!$B:$B,$G219,Нормативы!$D:$D,'2020'!$I219,Нормативы!$F:$F,'2020'!$K219)</f>
        <v>300</v>
      </c>
      <c r="AL219" s="618">
        <f>SUMIFS(Нормативы!X:X,Нормативы!$B:$B,$G219,Нормативы!$D:$D,'2020'!$I219,Нормативы!$F:$F,'2020'!$K219)*O219</f>
        <v>13440</v>
      </c>
      <c r="AM219" s="618">
        <f t="shared" si="479"/>
        <v>10322.6</v>
      </c>
      <c r="AN219" s="618">
        <f t="shared" si="480"/>
        <v>3117.4</v>
      </c>
      <c r="AO219" s="618">
        <f>SUMIFS(Нормативы!AA:AA,Нормативы!$B:$B,$G219,Нормативы!$D:$D,'2020'!$I219,Нормативы!$F:$F,'2020'!$K219)</f>
        <v>3520</v>
      </c>
      <c r="AP219" s="619">
        <f t="shared" si="481"/>
        <v>86460</v>
      </c>
      <c r="AQ219" s="413">
        <f t="shared" ref="AQ219:AQ287" si="616">ROUND($P219*U219,0)</f>
        <v>0</v>
      </c>
      <c r="AR219" s="618">
        <f t="shared" si="482"/>
        <v>0</v>
      </c>
      <c r="AS219" s="618">
        <f t="shared" si="483"/>
        <v>0</v>
      </c>
      <c r="AT219" s="616">
        <f t="shared" ref="AT219:AT287" si="617">ROUND($P219*X219,0)</f>
        <v>0</v>
      </c>
      <c r="AU219" s="616">
        <f t="shared" ref="AU219:AU287" si="618">ROUND($P219*Y219,0)</f>
        <v>0</v>
      </c>
      <c r="AV219" s="616">
        <f t="shared" ref="AV219:AV287" si="619">ROUND($P219*Z219,0)</f>
        <v>0</v>
      </c>
      <c r="AW219" s="616">
        <f t="shared" ref="AW219:AW287" si="620">ROUND($P219*AA219,0)</f>
        <v>0</v>
      </c>
      <c r="AX219" s="616">
        <f t="shared" ref="AX219:AX287" si="621">ROUND($P219*AB219,0)</f>
        <v>0</v>
      </c>
      <c r="AY219" s="616">
        <f t="shared" ref="AY219:AY287" si="622">ROUND($P219*AC219,0)</f>
        <v>0</v>
      </c>
      <c r="AZ219" s="616">
        <f t="shared" ref="AZ219:AZ287" si="623">ROUND($P219*AD219,0)</f>
        <v>0</v>
      </c>
      <c r="BA219" s="616">
        <f t="shared" ref="BA219:BA287" si="624">ROUND($P219*AE219,0)</f>
        <v>0</v>
      </c>
      <c r="BB219" s="616">
        <f t="shared" ref="BB219:BB287" si="625">ROUND($P219*AF219,0)</f>
        <v>0</v>
      </c>
      <c r="BC219" s="616">
        <f t="shared" ref="BC219:BC287" si="626">ROUND($P219*AG219,0)</f>
        <v>0</v>
      </c>
      <c r="BD219" s="616">
        <f t="shared" ref="BD219:BD287" si="627">ROUND($P219*AH219,0)</f>
        <v>0</v>
      </c>
      <c r="BE219" s="616">
        <f t="shared" ref="BE219:BE287" si="628">ROUND($P219*AI219,0)</f>
        <v>0</v>
      </c>
      <c r="BF219" s="616">
        <f t="shared" ref="BF219:BF287" si="629">ROUND($P219*AJ219,0)</f>
        <v>0</v>
      </c>
      <c r="BG219" s="616">
        <f t="shared" ref="BG219:BG287" si="630">ROUND($P219*AK219,0)</f>
        <v>0</v>
      </c>
      <c r="BH219" s="616">
        <f t="shared" ref="BH219:BH287" si="631">ROUND($P219*AL219,0)</f>
        <v>0</v>
      </c>
      <c r="BI219" s="618">
        <f t="shared" si="484"/>
        <v>0</v>
      </c>
      <c r="BJ219" s="618">
        <f t="shared" si="485"/>
        <v>0</v>
      </c>
      <c r="BK219" s="616">
        <f t="shared" ref="BK219:BK287" si="632">ROUND($P219*AO219,0)</f>
        <v>0</v>
      </c>
      <c r="BL219" s="620">
        <f t="shared" ref="BL219:BL287" si="633">AQ219+AT219+AV219+AW219++BB219+BC219+BD219+BE219+BF219+BG219+BH219+BK219</f>
        <v>0</v>
      </c>
      <c r="BM219" s="616">
        <f t="shared" ref="BM219:BM287" si="634">ROUND(AQ219*S219,0)</f>
        <v>0</v>
      </c>
      <c r="BN219" s="618">
        <f t="shared" ref="BN219:BN287" si="635">ROUND(BM219/1.302,1)</f>
        <v>0</v>
      </c>
      <c r="BO219" s="618">
        <f t="shared" ref="BO219:BO287" si="636">BM219-BN219</f>
        <v>0</v>
      </c>
      <c r="BP219" s="616">
        <f t="shared" si="486"/>
        <v>0</v>
      </c>
      <c r="BQ219" s="616">
        <f t="shared" si="487"/>
        <v>0</v>
      </c>
      <c r="BR219" s="616">
        <f t="shared" si="488"/>
        <v>0</v>
      </c>
      <c r="BS219" s="616">
        <f t="shared" ref="BS219:BS287" si="637">AW219</f>
        <v>0</v>
      </c>
      <c r="BT219" s="616">
        <f t="shared" ref="BT219:BT287" si="638">AX219</f>
        <v>0</v>
      </c>
      <c r="BU219" s="616">
        <f t="shared" ref="BU219:BU287" si="639">AY219</f>
        <v>0</v>
      </c>
      <c r="BV219" s="616">
        <f t="shared" ref="BV219:BV287" si="640">AZ219</f>
        <v>0</v>
      </c>
      <c r="BW219" s="616">
        <f t="shared" ref="BW219:BW287" si="641">BA219</f>
        <v>0</v>
      </c>
      <c r="BX219" s="616">
        <f t="shared" ref="BX219:BX287" si="642">ROUND(BB219*T219,0)</f>
        <v>0</v>
      </c>
      <c r="BY219" s="616">
        <f t="shared" ref="BY219:BY287" si="643">BC219</f>
        <v>0</v>
      </c>
      <c r="BZ219" s="616">
        <f t="shared" ref="BZ219:BZ287" si="644">BD219</f>
        <v>0</v>
      </c>
      <c r="CA219" s="616">
        <f t="shared" ref="CA219:CA287" si="645">BE219</f>
        <v>0</v>
      </c>
      <c r="CB219" s="616">
        <f t="shared" ref="CB219:CB287" si="646">BF219</f>
        <v>0</v>
      </c>
      <c r="CC219" s="616">
        <f t="shared" ref="CC219:CC287" si="647">BG219</f>
        <v>0</v>
      </c>
      <c r="CD219" s="616">
        <f t="shared" ref="CD219:CD287" si="648">ROUND(BH219*S219,0)</f>
        <v>0</v>
      </c>
      <c r="CE219" s="618">
        <f t="shared" si="489"/>
        <v>0</v>
      </c>
      <c r="CF219" s="618">
        <f t="shared" si="490"/>
        <v>0</v>
      </c>
      <c r="CG219" s="616">
        <f t="shared" ref="CG219:CG287" si="649">BK219</f>
        <v>0</v>
      </c>
      <c r="CH219" s="621">
        <f t="shared" ref="CH219:CH287" si="650">BM219+BP219+BR219+BS219++BX219+BY219+BZ219+CA219+CB219+CC219+CD219+CG219</f>
        <v>0</v>
      </c>
      <c r="CI219" s="88" t="e">
        <f t="shared" ref="CI219:CI287" si="651">ROUND(BM219/$P219,4)</f>
        <v>#DIV/0!</v>
      </c>
      <c r="CJ219" s="90" t="e">
        <f t="shared" ref="CJ219:CJ287" si="652">ROUND(BN219/$P219,4)</f>
        <v>#DIV/0!</v>
      </c>
      <c r="CK219" s="90" t="e">
        <f t="shared" ref="CK219:CK287" si="653">ROUND(BO219/$P219,4)</f>
        <v>#DIV/0!</v>
      </c>
      <c r="CL219" s="88" t="e">
        <f t="shared" ref="CL219:CL287" si="654">ROUND(BP219/$P219,4)</f>
        <v>#DIV/0!</v>
      </c>
      <c r="CM219" s="88" t="e">
        <f t="shared" ref="CM219:CM287" si="655">ROUND(BQ219/$P219,4)</f>
        <v>#DIV/0!</v>
      </c>
      <c r="CN219" s="88" t="e">
        <f t="shared" ref="CN219:CN287" si="656">ROUND(BR219/$P219,4)</f>
        <v>#DIV/0!</v>
      </c>
      <c r="CO219" s="88" t="e">
        <f t="shared" ref="CO219:CO287" si="657">ROUND(BS219/$P219,4)</f>
        <v>#DIV/0!</v>
      </c>
      <c r="CP219" s="88" t="e">
        <f t="shared" ref="CP219:CP287" si="658">ROUND(BT219/$P219,4)</f>
        <v>#DIV/0!</v>
      </c>
      <c r="CQ219" s="88" t="e">
        <f t="shared" ref="CQ219:CQ287" si="659">ROUND(BU219/$P219,4)</f>
        <v>#DIV/0!</v>
      </c>
      <c r="CR219" s="88" t="e">
        <f t="shared" ref="CR219:CR287" si="660">ROUND(BV219/$P219,4)</f>
        <v>#DIV/0!</v>
      </c>
      <c r="CS219" s="88" t="e">
        <f t="shared" ref="CS219:CS287" si="661">ROUND(BW219/$P219,4)</f>
        <v>#DIV/0!</v>
      </c>
      <c r="CT219" s="88" t="e">
        <f t="shared" ref="CT219:CT287" si="662">ROUND(BX219/$P219,4)</f>
        <v>#DIV/0!</v>
      </c>
      <c r="CU219" s="88" t="e">
        <f t="shared" ref="CU219:CU287" si="663">ROUND(BY219/$P219,4)</f>
        <v>#DIV/0!</v>
      </c>
      <c r="CV219" s="88" t="e">
        <f t="shared" ref="CV219:CV287" si="664">ROUND(BZ219/$P219,4)</f>
        <v>#DIV/0!</v>
      </c>
      <c r="CW219" s="88" t="e">
        <f t="shared" ref="CW219:CW287" si="665">ROUND(CA219/$P219,4)</f>
        <v>#DIV/0!</v>
      </c>
      <c r="CX219" s="88" t="e">
        <f t="shared" ref="CX219:CX287" si="666">ROUND(CB219/$P219,4)</f>
        <v>#DIV/0!</v>
      </c>
      <c r="CY219" s="88" t="e">
        <f t="shared" ref="CY219:CY287" si="667">ROUND(CC219/$P219,4)</f>
        <v>#DIV/0!</v>
      </c>
      <c r="CZ219" s="88" t="e">
        <f t="shared" ref="CZ219:CZ287" si="668">ROUND(CD219/$P219,4)</f>
        <v>#DIV/0!</v>
      </c>
      <c r="DA219" s="90" t="e">
        <f t="shared" ref="DA219:DA287" si="669">ROUND(CE219/$P219,4)</f>
        <v>#DIV/0!</v>
      </c>
      <c r="DB219" s="90" t="e">
        <f t="shared" ref="DB219:DB287" si="670">ROUND(CF219/$P219,4)</f>
        <v>#DIV/0!</v>
      </c>
      <c r="DC219" s="88" t="e">
        <f t="shared" ref="DC219:DC287" si="671">ROUND(CG219/$P219,4)</f>
        <v>#DIV/0!</v>
      </c>
      <c r="DD219" s="88" t="e">
        <f t="shared" ref="DD219:DD287" si="672">ROUND(CH219/$P219,4)</f>
        <v>#DIV/0!</v>
      </c>
      <c r="AUV219" s="699">
        <v>0</v>
      </c>
      <c r="AUW219" s="699">
        <f t="shared" si="587"/>
        <v>0</v>
      </c>
      <c r="AUX219" s="699">
        <f t="shared" si="588"/>
        <v>0</v>
      </c>
      <c r="AUY219" s="699">
        <f t="shared" si="615"/>
        <v>0</v>
      </c>
      <c r="AUZ219" s="699">
        <f t="shared" si="615"/>
        <v>0</v>
      </c>
      <c r="AVA219" s="699">
        <f t="shared" si="615"/>
        <v>0</v>
      </c>
      <c r="AVB219" s="699">
        <f t="shared" ref="AVB219:AVB267" si="673">BS219/V219</f>
        <v>0</v>
      </c>
      <c r="AVC219" s="697"/>
      <c r="AVD219" s="697"/>
      <c r="AVE219" s="697"/>
      <c r="AVF219" s="697"/>
      <c r="AVG219" s="697"/>
      <c r="AVH219" s="697"/>
      <c r="AVI219" s="697"/>
      <c r="AVJ219" s="697"/>
      <c r="AVK219" s="697"/>
      <c r="AVL219" s="697"/>
      <c r="AVM219" s="697"/>
      <c r="AVN219" s="697"/>
      <c r="AVO219" s="697"/>
      <c r="AVP219" s="697"/>
      <c r="AVQ219" s="697"/>
    </row>
    <row r="220" spans="1:108 1244:1265" ht="30" customHeight="1" x14ac:dyDescent="0.25">
      <c r="A220" s="643">
        <v>1</v>
      </c>
      <c r="B220" s="643">
        <v>13</v>
      </c>
      <c r="C220" s="664" t="s">
        <v>29</v>
      </c>
      <c r="D220" s="2"/>
      <c r="E220" s="101" t="s">
        <v>344</v>
      </c>
      <c r="F220" s="643" t="s">
        <v>31</v>
      </c>
      <c r="G220" s="643">
        <v>1</v>
      </c>
      <c r="H220" s="658" t="s">
        <v>8</v>
      </c>
      <c r="I220" s="643">
        <v>3</v>
      </c>
      <c r="J220" s="101" t="s">
        <v>359</v>
      </c>
      <c r="K220" s="643">
        <v>1</v>
      </c>
      <c r="L220" s="683" t="s">
        <v>349</v>
      </c>
      <c r="M220" s="11" t="s">
        <v>264</v>
      </c>
      <c r="N220" s="101" t="s">
        <v>387</v>
      </c>
      <c r="O220" s="643">
        <v>1</v>
      </c>
      <c r="P220" s="632"/>
      <c r="Q220" s="632"/>
      <c r="R220" s="632"/>
      <c r="S220" s="675">
        <f>SUMIF('Территориальный кк'!$A:$A,'2020'!$B220,'Территориальный кк'!D:D)</f>
        <v>1.4650000000000001</v>
      </c>
      <c r="T220" s="676">
        <f>SUMIF('Территориальный кк'!$A:$A,'2020'!$B220,'Территориальный кк'!E:E)</f>
        <v>2.694</v>
      </c>
      <c r="U220" s="618">
        <f>SUMIFS(Нормативы!G:G,Нормативы!$B:$B,$G220,Нормативы!$D:$D,'2020'!$I220,Нормативы!$F:$F,'2020'!$K220)*O220</f>
        <v>5402</v>
      </c>
      <c r="V220" s="618">
        <f t="shared" ref="V220:V288" si="674">ROUND(U220/1.302,1)</f>
        <v>4149</v>
      </c>
      <c r="W220" s="618">
        <f t="shared" ref="W220:W288" si="675">U220-V220</f>
        <v>1253</v>
      </c>
      <c r="X220" s="618">
        <f>SUMIFS(Нормативы!J:J,Нормативы!$B:$B,$G220,Нормативы!$D:$D,'2020'!$I220,Нормативы!$F:$F,'2020'!$K220)</f>
        <v>22</v>
      </c>
      <c r="Y220" s="618">
        <f>SUMIFS(Нормативы!K:K,Нормативы!$B:$B,$G220,Нормативы!$D:$D,'2020'!$I220,Нормативы!$F:$F,'2020'!$K220)</f>
        <v>4</v>
      </c>
      <c r="Z220" s="618">
        <f>SUMIFS(Нормативы!L:L,Нормативы!$B:$B,$G220,Нормативы!$D:$D,'2020'!$I220,Нормативы!$F:$F,'2020'!$K220)</f>
        <v>232</v>
      </c>
      <c r="AA220" s="618">
        <f t="shared" ref="AA220:AA288" si="676">AB220+AC220+AD220+AE220</f>
        <v>371</v>
      </c>
      <c r="AB220" s="618">
        <f>SUMIFS(Нормативы!N:N,Нормативы!$B:$B,$G220,Нормативы!$D:$D,'2020'!$I220,Нормативы!$F:$F,'2020'!$K220)*O220</f>
        <v>52</v>
      </c>
      <c r="AC220" s="618">
        <f>SUMIFS(Нормативы!O:O,Нормативы!$B:$B,$G220,Нормативы!$D:$D,'2020'!$I220,Нормативы!$F:$F,'2020'!$K220)</f>
        <v>214</v>
      </c>
      <c r="AD220" s="618">
        <f>SUMIFS(Нормативы!P:P,Нормативы!$B:$B,$G220,Нормативы!$D:$D,'2020'!$I220,Нормативы!$F:$F,'2020'!$K220)*O220</f>
        <v>31</v>
      </c>
      <c r="AE220" s="618">
        <f>SUMIFS(Нормативы!Q:Q,Нормативы!$B:$B,$G220,Нормативы!$D:$D,'2020'!$I220,Нормативы!$F:$F,'2020'!$K220)</f>
        <v>74</v>
      </c>
      <c r="AF220" s="618">
        <f>SUMIFS(Нормативы!R:R,Нормативы!$B:$B,$G220,Нормативы!$D:$D,'2020'!$I220,Нормативы!$F:$F,'2020'!$K220)</f>
        <v>246</v>
      </c>
      <c r="AG220" s="618">
        <f>SUMIFS(Нормативы!S:S,Нормативы!$B:$B,$G220,Нормативы!$D:$D,'2020'!$I220,Нормативы!$F:$F,'2020'!$K220)</f>
        <v>508</v>
      </c>
      <c r="AH220" s="618">
        <f>SUMIFS(Нормативы!T:T,Нормативы!$B:$B,$G220,Нормативы!$D:$D,'2020'!$I220,Нормативы!$F:$F,'2020'!$K220)</f>
        <v>54</v>
      </c>
      <c r="AI220" s="618">
        <f>SUMIFS(Нормативы!U:U,Нормативы!$B:$B,$G220,Нормативы!$D:$D,'2020'!$I220,Нормативы!$F:$F,'2020'!$K220)</f>
        <v>77</v>
      </c>
      <c r="AJ220" s="618">
        <f>SUMIFS(Нормативы!V:V,Нормативы!$B:$B,$G220,Нормативы!$D:$D,'2020'!$I220,Нормативы!$F:$F,'2020'!$K220)</f>
        <v>8</v>
      </c>
      <c r="AK220" s="618">
        <f>SUMIFS(Нормативы!W:W,Нормативы!$B:$B,$G220,Нормативы!$D:$D,'2020'!$I220,Нормативы!$F:$F,'2020'!$K220)</f>
        <v>30</v>
      </c>
      <c r="AL220" s="618">
        <f>SUMIFS(Нормативы!X:X,Нормативы!$B:$B,$G220,Нормативы!$D:$D,'2020'!$I220,Нормативы!$F:$F,'2020'!$K220)*O220</f>
        <v>1344</v>
      </c>
      <c r="AM220" s="618">
        <f t="shared" ref="AM220:AM288" si="677">ROUND(AL220/1.302,1)</f>
        <v>1032.3</v>
      </c>
      <c r="AN220" s="618">
        <f t="shared" ref="AN220:AN288" si="678">AL220-AM220</f>
        <v>311.7</v>
      </c>
      <c r="AO220" s="618">
        <f>SUMIFS(Нормативы!AA:AA,Нормативы!$B:$B,$G220,Нормативы!$D:$D,'2020'!$I220,Нормативы!$F:$F,'2020'!$K220)</f>
        <v>0</v>
      </c>
      <c r="AP220" s="619">
        <f t="shared" ref="AP220:AP288" si="679">U220+X220+Z220+AA220++AF220+AG220+AH220+AI220+AJ220+AK220+AL220+AO220</f>
        <v>8294</v>
      </c>
      <c r="AQ220" s="413">
        <f t="shared" si="616"/>
        <v>0</v>
      </c>
      <c r="AR220" s="618">
        <f t="shared" ref="AR220:AR288" si="680">ROUND(AQ220/1.302,1)</f>
        <v>0</v>
      </c>
      <c r="AS220" s="618">
        <f t="shared" ref="AS220:AS288" si="681">AQ220-AR220</f>
        <v>0</v>
      </c>
      <c r="AT220" s="616">
        <f t="shared" si="617"/>
        <v>0</v>
      </c>
      <c r="AU220" s="616">
        <f t="shared" si="618"/>
        <v>0</v>
      </c>
      <c r="AV220" s="616">
        <f t="shared" si="619"/>
        <v>0</v>
      </c>
      <c r="AW220" s="616">
        <f t="shared" si="620"/>
        <v>0</v>
      </c>
      <c r="AX220" s="616">
        <f t="shared" si="621"/>
        <v>0</v>
      </c>
      <c r="AY220" s="616">
        <f t="shared" si="622"/>
        <v>0</v>
      </c>
      <c r="AZ220" s="616">
        <f t="shared" si="623"/>
        <v>0</v>
      </c>
      <c r="BA220" s="616">
        <f t="shared" si="624"/>
        <v>0</v>
      </c>
      <c r="BB220" s="616">
        <f t="shared" si="625"/>
        <v>0</v>
      </c>
      <c r="BC220" s="616">
        <f t="shared" si="626"/>
        <v>0</v>
      </c>
      <c r="BD220" s="616">
        <f t="shared" si="627"/>
        <v>0</v>
      </c>
      <c r="BE220" s="616">
        <f t="shared" si="628"/>
        <v>0</v>
      </c>
      <c r="BF220" s="616">
        <f t="shared" si="629"/>
        <v>0</v>
      </c>
      <c r="BG220" s="616">
        <f t="shared" si="630"/>
        <v>0</v>
      </c>
      <c r="BH220" s="616">
        <f t="shared" si="631"/>
        <v>0</v>
      </c>
      <c r="BI220" s="618">
        <f t="shared" ref="BI220:BI288" si="682">ROUND(BH220/1.302,1)</f>
        <v>0</v>
      </c>
      <c r="BJ220" s="618">
        <f t="shared" ref="BJ220:BJ288" si="683">BH220-BI220</f>
        <v>0</v>
      </c>
      <c r="BK220" s="616">
        <f t="shared" si="632"/>
        <v>0</v>
      </c>
      <c r="BL220" s="620">
        <f t="shared" si="633"/>
        <v>0</v>
      </c>
      <c r="BM220" s="616">
        <f t="shared" si="634"/>
        <v>0</v>
      </c>
      <c r="BN220" s="618">
        <f t="shared" si="635"/>
        <v>0</v>
      </c>
      <c r="BO220" s="618">
        <f t="shared" si="636"/>
        <v>0</v>
      </c>
      <c r="BP220" s="616">
        <f t="shared" ref="BP220:BP288" si="684">AT220</f>
        <v>0</v>
      </c>
      <c r="BQ220" s="616">
        <f t="shared" ref="BQ220:BQ288" si="685">AU220</f>
        <v>0</v>
      </c>
      <c r="BR220" s="616">
        <f t="shared" ref="BR220:BR288" si="686">AV220</f>
        <v>0</v>
      </c>
      <c r="BS220" s="616">
        <f t="shared" si="637"/>
        <v>0</v>
      </c>
      <c r="BT220" s="616">
        <f t="shared" si="638"/>
        <v>0</v>
      </c>
      <c r="BU220" s="616">
        <f t="shared" si="639"/>
        <v>0</v>
      </c>
      <c r="BV220" s="616">
        <f t="shared" si="640"/>
        <v>0</v>
      </c>
      <c r="BW220" s="616">
        <f t="shared" si="641"/>
        <v>0</v>
      </c>
      <c r="BX220" s="616">
        <f t="shared" si="642"/>
        <v>0</v>
      </c>
      <c r="BY220" s="616">
        <f t="shared" si="643"/>
        <v>0</v>
      </c>
      <c r="BZ220" s="616">
        <f t="shared" si="644"/>
        <v>0</v>
      </c>
      <c r="CA220" s="616">
        <f t="shared" si="645"/>
        <v>0</v>
      </c>
      <c r="CB220" s="616">
        <f t="shared" si="646"/>
        <v>0</v>
      </c>
      <c r="CC220" s="616">
        <f t="shared" si="647"/>
        <v>0</v>
      </c>
      <c r="CD220" s="616">
        <f t="shared" si="648"/>
        <v>0</v>
      </c>
      <c r="CE220" s="618">
        <f t="shared" ref="CE220:CE288" si="687">ROUND(CD220/1.302,1)</f>
        <v>0</v>
      </c>
      <c r="CF220" s="618">
        <f t="shared" ref="CF220:CF288" si="688">CD220-CE220</f>
        <v>0</v>
      </c>
      <c r="CG220" s="616">
        <f t="shared" si="649"/>
        <v>0</v>
      </c>
      <c r="CH220" s="621">
        <f t="shared" si="650"/>
        <v>0</v>
      </c>
      <c r="CI220" s="88" t="e">
        <f t="shared" si="651"/>
        <v>#DIV/0!</v>
      </c>
      <c r="CJ220" s="90" t="e">
        <f t="shared" si="652"/>
        <v>#DIV/0!</v>
      </c>
      <c r="CK220" s="90" t="e">
        <f t="shared" si="653"/>
        <v>#DIV/0!</v>
      </c>
      <c r="CL220" s="88" t="e">
        <f t="shared" si="654"/>
        <v>#DIV/0!</v>
      </c>
      <c r="CM220" s="88" t="e">
        <f t="shared" si="655"/>
        <v>#DIV/0!</v>
      </c>
      <c r="CN220" s="88" t="e">
        <f t="shared" si="656"/>
        <v>#DIV/0!</v>
      </c>
      <c r="CO220" s="88" t="e">
        <f t="shared" si="657"/>
        <v>#DIV/0!</v>
      </c>
      <c r="CP220" s="88" t="e">
        <f t="shared" si="658"/>
        <v>#DIV/0!</v>
      </c>
      <c r="CQ220" s="88" t="e">
        <f t="shared" si="659"/>
        <v>#DIV/0!</v>
      </c>
      <c r="CR220" s="88" t="e">
        <f t="shared" si="660"/>
        <v>#DIV/0!</v>
      </c>
      <c r="CS220" s="88" t="e">
        <f t="shared" si="661"/>
        <v>#DIV/0!</v>
      </c>
      <c r="CT220" s="88" t="e">
        <f t="shared" si="662"/>
        <v>#DIV/0!</v>
      </c>
      <c r="CU220" s="88" t="e">
        <f t="shared" si="663"/>
        <v>#DIV/0!</v>
      </c>
      <c r="CV220" s="88" t="e">
        <f t="shared" si="664"/>
        <v>#DIV/0!</v>
      </c>
      <c r="CW220" s="88" t="e">
        <f t="shared" si="665"/>
        <v>#DIV/0!</v>
      </c>
      <c r="CX220" s="88" t="e">
        <f t="shared" si="666"/>
        <v>#DIV/0!</v>
      </c>
      <c r="CY220" s="88" t="e">
        <f t="shared" si="667"/>
        <v>#DIV/0!</v>
      </c>
      <c r="CZ220" s="88" t="e">
        <f t="shared" si="668"/>
        <v>#DIV/0!</v>
      </c>
      <c r="DA220" s="90" t="e">
        <f t="shared" si="669"/>
        <v>#DIV/0!</v>
      </c>
      <c r="DB220" s="90" t="e">
        <f t="shared" si="670"/>
        <v>#DIV/0!</v>
      </c>
      <c r="DC220" s="88" t="e">
        <f t="shared" si="671"/>
        <v>#DIV/0!</v>
      </c>
      <c r="DD220" s="88" t="e">
        <f t="shared" si="672"/>
        <v>#DIV/0!</v>
      </c>
      <c r="AUV220" s="699">
        <v>0</v>
      </c>
      <c r="AUW220" s="699">
        <f t="shared" si="587"/>
        <v>0</v>
      </c>
      <c r="AUX220" s="699">
        <f t="shared" si="588"/>
        <v>0</v>
      </c>
      <c r="AUY220" s="699">
        <f t="shared" si="615"/>
        <v>0</v>
      </c>
      <c r="AUZ220" s="699">
        <f t="shared" si="615"/>
        <v>0</v>
      </c>
      <c r="AVA220" s="699">
        <f t="shared" si="615"/>
        <v>0</v>
      </c>
      <c r="AVB220" s="699">
        <f t="shared" si="673"/>
        <v>0</v>
      </c>
      <c r="AVC220" s="697"/>
      <c r="AVD220" s="697"/>
      <c r="AVE220" s="697"/>
      <c r="AVF220" s="697"/>
      <c r="AVG220" s="697"/>
      <c r="AVH220" s="697"/>
      <c r="AVI220" s="697"/>
      <c r="AVJ220" s="697"/>
      <c r="AVK220" s="697"/>
      <c r="AVL220" s="697"/>
      <c r="AVM220" s="697"/>
      <c r="AVN220" s="697"/>
      <c r="AVO220" s="697"/>
      <c r="AVP220" s="697"/>
      <c r="AVQ220" s="697"/>
    </row>
    <row r="221" spans="1:108 1244:1265" ht="30" customHeight="1" x14ac:dyDescent="0.25">
      <c r="A221" s="643">
        <v>1</v>
      </c>
      <c r="B221" s="643">
        <v>13</v>
      </c>
      <c r="C221" s="664" t="s">
        <v>29</v>
      </c>
      <c r="D221" s="2"/>
      <c r="E221" s="101" t="s">
        <v>344</v>
      </c>
      <c r="F221" s="643" t="s">
        <v>31</v>
      </c>
      <c r="G221" s="643">
        <v>1</v>
      </c>
      <c r="H221" s="658" t="s">
        <v>10</v>
      </c>
      <c r="I221" s="643">
        <v>0</v>
      </c>
      <c r="J221" s="101" t="s">
        <v>360</v>
      </c>
      <c r="K221" s="643">
        <v>3</v>
      </c>
      <c r="L221" s="683" t="s">
        <v>349</v>
      </c>
      <c r="M221" s="11" t="s">
        <v>265</v>
      </c>
      <c r="N221" s="101" t="s">
        <v>387</v>
      </c>
      <c r="O221" s="643">
        <v>1</v>
      </c>
      <c r="P221" s="632">
        <v>182</v>
      </c>
      <c r="Q221" s="632">
        <v>182</v>
      </c>
      <c r="R221" s="632">
        <v>182</v>
      </c>
      <c r="S221" s="675">
        <f>SUMIF('Территориальный кк'!$A:$A,'2020'!$B221,'Территориальный кк'!D:D)</f>
        <v>1.4650000000000001</v>
      </c>
      <c r="T221" s="676">
        <f>SUMIF('Территориальный кк'!$A:$A,'2020'!$B221,'Территориальный кк'!E:E)</f>
        <v>2.694</v>
      </c>
      <c r="U221" s="618">
        <f>SUMIFS(Нормативы!G:G,Нормативы!$B:$B,$G221,Нормативы!$D:$D,'2020'!$I221,Нормативы!$F:$F,'2020'!$K221)*O221</f>
        <v>64190</v>
      </c>
      <c r="V221" s="618">
        <f t="shared" si="674"/>
        <v>49301.1</v>
      </c>
      <c r="W221" s="618">
        <f t="shared" si="675"/>
        <v>14888.9</v>
      </c>
      <c r="X221" s="618">
        <f>SUMIFS(Нормативы!J:J,Нормативы!$B:$B,$G221,Нормативы!$D:$D,'2020'!$I221,Нормативы!$F:$F,'2020'!$K221)</f>
        <v>8830</v>
      </c>
      <c r="Y221" s="618">
        <f>SUMIFS(Нормативы!K:K,Нормативы!$B:$B,$G221,Нормативы!$D:$D,'2020'!$I221,Нормативы!$F:$F,'2020'!$K221)</f>
        <v>1766</v>
      </c>
      <c r="Z221" s="618">
        <f>SUMIFS(Нормативы!L:L,Нормативы!$B:$B,$G221,Нормативы!$D:$D,'2020'!$I221,Нормативы!$F:$F,'2020'!$K221)</f>
        <v>8110</v>
      </c>
      <c r="AA221" s="618">
        <f t="shared" si="676"/>
        <v>19050</v>
      </c>
      <c r="AB221" s="618">
        <f>SUMIFS(Нормативы!N:N,Нормативы!$B:$B,$G221,Нормативы!$D:$D,'2020'!$I221,Нормативы!$F:$F,'2020'!$K221)*O221</f>
        <v>520</v>
      </c>
      <c r="AC221" s="618">
        <f>SUMIFS(Нормативы!O:O,Нормативы!$B:$B,$G221,Нормативы!$D:$D,'2020'!$I221,Нормативы!$F:$F,'2020'!$K221)</f>
        <v>17290</v>
      </c>
      <c r="AD221" s="618">
        <f>SUMIFS(Нормативы!P:P,Нормативы!$B:$B,$G221,Нормативы!$D:$D,'2020'!$I221,Нормативы!$F:$F,'2020'!$K221)*O221</f>
        <v>360</v>
      </c>
      <c r="AE221" s="618">
        <f>SUMIFS(Нормативы!Q:Q,Нормативы!$B:$B,$G221,Нормативы!$D:$D,'2020'!$I221,Нормативы!$F:$F,'2020'!$K221)</f>
        <v>880</v>
      </c>
      <c r="AF221" s="618">
        <f>SUMIFS(Нормативы!R:R,Нормативы!$B:$B,$G221,Нормативы!$D:$D,'2020'!$I221,Нормативы!$F:$F,'2020'!$K221)</f>
        <v>2680</v>
      </c>
      <c r="AG221" s="618">
        <f>SUMIFS(Нормативы!S:S,Нормативы!$B:$B,$G221,Нормативы!$D:$D,'2020'!$I221,Нормативы!$F:$F,'2020'!$K221)</f>
        <v>5800</v>
      </c>
      <c r="AH221" s="618">
        <f>SUMIFS(Нормативы!T:T,Нормативы!$B:$B,$G221,Нормативы!$D:$D,'2020'!$I221,Нормативы!$F:$F,'2020'!$K221)</f>
        <v>540</v>
      </c>
      <c r="AI221" s="618">
        <f>SUMIFS(Нормативы!U:U,Нормативы!$B:$B,$G221,Нормативы!$D:$D,'2020'!$I221,Нормативы!$F:$F,'2020'!$K221)</f>
        <v>770</v>
      </c>
      <c r="AJ221" s="618">
        <f>SUMIFS(Нормативы!V:V,Нормативы!$B:$B,$G221,Нормативы!$D:$D,'2020'!$I221,Нормативы!$F:$F,'2020'!$K221)</f>
        <v>80</v>
      </c>
      <c r="AK221" s="618">
        <f>SUMIFS(Нормативы!W:W,Нормативы!$B:$B,$G221,Нормативы!$D:$D,'2020'!$I221,Нормативы!$F:$F,'2020'!$K221)</f>
        <v>1050</v>
      </c>
      <c r="AL221" s="618">
        <f>SUMIFS(Нормативы!X:X,Нормативы!$B:$B,$G221,Нормативы!$D:$D,'2020'!$I221,Нормативы!$F:$F,'2020'!$K221)*O221</f>
        <v>16120</v>
      </c>
      <c r="AM221" s="618">
        <f t="shared" si="677"/>
        <v>12381</v>
      </c>
      <c r="AN221" s="618">
        <f t="shared" si="678"/>
        <v>3739</v>
      </c>
      <c r="AO221" s="618">
        <f>SUMIFS(Нормативы!AA:AA,Нормативы!$B:$B,$G221,Нормативы!$D:$D,'2020'!$I221,Нормативы!$F:$F,'2020'!$K221)</f>
        <v>3520</v>
      </c>
      <c r="AP221" s="619">
        <f t="shared" si="679"/>
        <v>130740</v>
      </c>
      <c r="AQ221" s="413">
        <f t="shared" si="616"/>
        <v>11682580</v>
      </c>
      <c r="AR221" s="618">
        <f t="shared" si="680"/>
        <v>8972795.6999999993</v>
      </c>
      <c r="AS221" s="618">
        <f t="shared" si="681"/>
        <v>2709784.3</v>
      </c>
      <c r="AT221" s="616">
        <f t="shared" si="617"/>
        <v>1607060</v>
      </c>
      <c r="AU221" s="616">
        <f t="shared" si="618"/>
        <v>321412</v>
      </c>
      <c r="AV221" s="616">
        <f t="shared" si="619"/>
        <v>1476020</v>
      </c>
      <c r="AW221" s="616">
        <f t="shared" si="620"/>
        <v>3467100</v>
      </c>
      <c r="AX221" s="616">
        <f t="shared" si="621"/>
        <v>94640</v>
      </c>
      <c r="AY221" s="616">
        <f t="shared" si="622"/>
        <v>3146780</v>
      </c>
      <c r="AZ221" s="616">
        <f t="shared" si="623"/>
        <v>65520</v>
      </c>
      <c r="BA221" s="616">
        <f t="shared" si="624"/>
        <v>160160</v>
      </c>
      <c r="BB221" s="616">
        <f t="shared" si="625"/>
        <v>487760</v>
      </c>
      <c r="BC221" s="616">
        <f t="shared" si="626"/>
        <v>1055600</v>
      </c>
      <c r="BD221" s="616">
        <f t="shared" si="627"/>
        <v>98280</v>
      </c>
      <c r="BE221" s="616">
        <f t="shared" si="628"/>
        <v>140140</v>
      </c>
      <c r="BF221" s="616">
        <f t="shared" si="629"/>
        <v>14560</v>
      </c>
      <c r="BG221" s="616">
        <f t="shared" si="630"/>
        <v>191100</v>
      </c>
      <c r="BH221" s="616">
        <f t="shared" si="631"/>
        <v>2933840</v>
      </c>
      <c r="BI221" s="618">
        <f t="shared" si="682"/>
        <v>2253333.2999999998</v>
      </c>
      <c r="BJ221" s="618">
        <f t="shared" si="683"/>
        <v>680506.7</v>
      </c>
      <c r="BK221" s="616">
        <f t="shared" si="632"/>
        <v>640640</v>
      </c>
      <c r="BL221" s="620">
        <f t="shared" si="633"/>
        <v>23794680</v>
      </c>
      <c r="BM221" s="616">
        <f t="shared" si="634"/>
        <v>17114980</v>
      </c>
      <c r="BN221" s="618">
        <f t="shared" si="635"/>
        <v>13145145.9</v>
      </c>
      <c r="BO221" s="618">
        <f t="shared" si="636"/>
        <v>3969834.1</v>
      </c>
      <c r="BP221" s="616">
        <f t="shared" si="684"/>
        <v>1607060</v>
      </c>
      <c r="BQ221" s="616">
        <f t="shared" si="685"/>
        <v>321412</v>
      </c>
      <c r="BR221" s="616">
        <f t="shared" si="686"/>
        <v>1476020</v>
      </c>
      <c r="BS221" s="616">
        <f t="shared" si="637"/>
        <v>3467100</v>
      </c>
      <c r="BT221" s="616">
        <f t="shared" si="638"/>
        <v>94640</v>
      </c>
      <c r="BU221" s="616">
        <f t="shared" si="639"/>
        <v>3146780</v>
      </c>
      <c r="BV221" s="616">
        <f t="shared" si="640"/>
        <v>65520</v>
      </c>
      <c r="BW221" s="616">
        <f t="shared" si="641"/>
        <v>160160</v>
      </c>
      <c r="BX221" s="616">
        <f t="shared" si="642"/>
        <v>1314025</v>
      </c>
      <c r="BY221" s="616">
        <f t="shared" si="643"/>
        <v>1055600</v>
      </c>
      <c r="BZ221" s="616">
        <f t="shared" si="644"/>
        <v>98280</v>
      </c>
      <c r="CA221" s="616">
        <f t="shared" si="645"/>
        <v>140140</v>
      </c>
      <c r="CB221" s="616">
        <f t="shared" si="646"/>
        <v>14560</v>
      </c>
      <c r="CC221" s="616">
        <f t="shared" si="647"/>
        <v>191100</v>
      </c>
      <c r="CD221" s="616">
        <f t="shared" si="648"/>
        <v>4298076</v>
      </c>
      <c r="CE221" s="618">
        <f t="shared" si="687"/>
        <v>3301133.6</v>
      </c>
      <c r="CF221" s="618">
        <f t="shared" si="688"/>
        <v>996942.4</v>
      </c>
      <c r="CG221" s="616">
        <f t="shared" si="649"/>
        <v>640640</v>
      </c>
      <c r="CH221" s="621">
        <f t="shared" si="650"/>
        <v>31417581</v>
      </c>
      <c r="CI221" s="88">
        <f t="shared" si="651"/>
        <v>94038.351599999995</v>
      </c>
      <c r="CJ221" s="90">
        <f t="shared" si="652"/>
        <v>72226.076400000005</v>
      </c>
      <c r="CK221" s="90">
        <f t="shared" si="653"/>
        <v>21812.275300000001</v>
      </c>
      <c r="CL221" s="88">
        <f t="shared" si="654"/>
        <v>8830</v>
      </c>
      <c r="CM221" s="88">
        <f t="shared" si="655"/>
        <v>1766</v>
      </c>
      <c r="CN221" s="88">
        <f t="shared" si="656"/>
        <v>8110</v>
      </c>
      <c r="CO221" s="88">
        <f t="shared" si="657"/>
        <v>19050</v>
      </c>
      <c r="CP221" s="88">
        <f t="shared" si="658"/>
        <v>520</v>
      </c>
      <c r="CQ221" s="88">
        <f t="shared" si="659"/>
        <v>17290</v>
      </c>
      <c r="CR221" s="88">
        <f t="shared" si="660"/>
        <v>360</v>
      </c>
      <c r="CS221" s="88">
        <f t="shared" si="661"/>
        <v>880</v>
      </c>
      <c r="CT221" s="88">
        <f t="shared" si="662"/>
        <v>7219.9175999999998</v>
      </c>
      <c r="CU221" s="88">
        <f t="shared" si="663"/>
        <v>5800</v>
      </c>
      <c r="CV221" s="88">
        <f t="shared" si="664"/>
        <v>540</v>
      </c>
      <c r="CW221" s="88">
        <f t="shared" si="665"/>
        <v>770</v>
      </c>
      <c r="CX221" s="88">
        <f t="shared" si="666"/>
        <v>80</v>
      </c>
      <c r="CY221" s="88">
        <f t="shared" si="667"/>
        <v>1050</v>
      </c>
      <c r="CZ221" s="88">
        <f t="shared" si="668"/>
        <v>23615.802199999998</v>
      </c>
      <c r="DA221" s="90">
        <f t="shared" si="669"/>
        <v>18138.096699999998</v>
      </c>
      <c r="DB221" s="90">
        <f t="shared" si="670"/>
        <v>5477.7055</v>
      </c>
      <c r="DC221" s="88">
        <f t="shared" si="671"/>
        <v>3520</v>
      </c>
      <c r="DD221" s="88">
        <f t="shared" si="672"/>
        <v>172624.07139999999</v>
      </c>
      <c r="AUV221" s="699">
        <f t="shared" si="586"/>
        <v>94038.35</v>
      </c>
      <c r="AUW221" s="699">
        <f t="shared" si="587"/>
        <v>72226.080000000002</v>
      </c>
      <c r="AUX221" s="699">
        <f t="shared" si="588"/>
        <v>21812.27</v>
      </c>
      <c r="AUY221" s="699">
        <f t="shared" ref="AUY221:AUY227" si="689">BP221/P221</f>
        <v>8830</v>
      </c>
      <c r="AUZ221" s="699">
        <f t="shared" si="615"/>
        <v>119306.61</v>
      </c>
      <c r="AVA221" s="699">
        <f t="shared" si="615"/>
        <v>22.99</v>
      </c>
      <c r="AVB221" s="699">
        <f t="shared" ref="AVB221:AVB227" si="690">AVC221+AVD221+AVE221+AVF221</f>
        <v>19050</v>
      </c>
      <c r="AVC221" s="699">
        <f t="shared" ref="AVC221:AVC227" si="691">BT221/P221</f>
        <v>520</v>
      </c>
      <c r="AVD221" s="699">
        <f t="shared" ref="AVD221:AVD227" si="692">BU221/P221</f>
        <v>17290</v>
      </c>
      <c r="AVE221" s="699">
        <f t="shared" ref="AVE221:AVE227" si="693">BV221/P221</f>
        <v>360</v>
      </c>
      <c r="AVF221" s="699">
        <f t="shared" ref="AVF221:AVF227" si="694">BW221/P221</f>
        <v>880</v>
      </c>
      <c r="AVG221" s="699">
        <f t="shared" ref="AVG221:AVG227" si="695">BX221/P221</f>
        <v>7219.92</v>
      </c>
      <c r="AVH221" s="699">
        <f t="shared" ref="AVH221:AVH227" si="696">BY221/P221</f>
        <v>5800</v>
      </c>
      <c r="AVI221" s="699">
        <f t="shared" ref="AVI221:AVI227" si="697">BZ221/P221</f>
        <v>540</v>
      </c>
      <c r="AVJ221" s="699">
        <f t="shared" ref="AVJ221:AVJ227" si="698">CA221/P221</f>
        <v>770</v>
      </c>
      <c r="AVK221" s="699">
        <f t="shared" ref="AVK221:AVK227" si="699">CB221/P221</f>
        <v>80</v>
      </c>
      <c r="AVL221" s="699">
        <f t="shared" ref="AVL221:AVL227" si="700">CC221/P221</f>
        <v>1050</v>
      </c>
      <c r="AVM221" s="699">
        <f t="shared" ref="AVM221:AVM227" si="701">CD221/P221</f>
        <v>23615.8</v>
      </c>
      <c r="AVN221" s="699">
        <f t="shared" ref="AVN221:AVN227" si="702">AVM221/1.302</f>
        <v>18138.099999999999</v>
      </c>
      <c r="AVO221" s="699">
        <f t="shared" ref="AVO221:AVO227" si="703">AVM221-AVN221</f>
        <v>5477.7</v>
      </c>
      <c r="AVP221" s="699">
        <f t="shared" ref="AVP221:AVP227" si="704">CG221/P221</f>
        <v>3520</v>
      </c>
      <c r="AVQ221" s="699">
        <f t="shared" ref="AVQ221:AVQ227" si="705">CH221/P221</f>
        <v>172624.07</v>
      </c>
    </row>
    <row r="222" spans="1:108 1244:1265" ht="30" customHeight="1" x14ac:dyDescent="0.25">
      <c r="A222" s="643">
        <v>1</v>
      </c>
      <c r="B222" s="643">
        <v>13</v>
      </c>
      <c r="C222" s="664" t="s">
        <v>29</v>
      </c>
      <c r="D222" s="2"/>
      <c r="E222" s="101" t="s">
        <v>344</v>
      </c>
      <c r="F222" s="643" t="s">
        <v>31</v>
      </c>
      <c r="G222" s="643">
        <v>1</v>
      </c>
      <c r="H222" s="658" t="s">
        <v>8</v>
      </c>
      <c r="I222" s="643">
        <v>3</v>
      </c>
      <c r="J222" s="101" t="s">
        <v>360</v>
      </c>
      <c r="K222" s="643">
        <v>3</v>
      </c>
      <c r="L222" s="683" t="s">
        <v>349</v>
      </c>
      <c r="M222" s="11" t="s">
        <v>266</v>
      </c>
      <c r="N222" s="101" t="s">
        <v>387</v>
      </c>
      <c r="O222" s="643">
        <v>1</v>
      </c>
      <c r="P222" s="632">
        <v>74</v>
      </c>
      <c r="Q222" s="632">
        <v>74</v>
      </c>
      <c r="R222" s="632">
        <v>74</v>
      </c>
      <c r="S222" s="675">
        <f>SUMIF('Территориальный кк'!$A:$A,'2020'!$B222,'Территориальный кк'!D:D)</f>
        <v>1.4650000000000001</v>
      </c>
      <c r="T222" s="676">
        <f>SUMIF('Территориальный кк'!$A:$A,'2020'!$B222,'Территориальный кк'!E:E)</f>
        <v>2.694</v>
      </c>
      <c r="U222" s="618">
        <f>SUMIFS(Нормативы!G:G,Нормативы!$B:$B,$G222,Нормативы!$D:$D,'2020'!$I222,Нормативы!$F:$F,'2020'!$K222)*O222</f>
        <v>6419</v>
      </c>
      <c r="V222" s="618">
        <f t="shared" si="674"/>
        <v>4930.1000000000004</v>
      </c>
      <c r="W222" s="618">
        <f t="shared" si="675"/>
        <v>1488.9</v>
      </c>
      <c r="X222" s="618">
        <f>SUMIFS(Нормативы!J:J,Нормативы!$B:$B,$G222,Нормативы!$D:$D,'2020'!$I222,Нормативы!$F:$F,'2020'!$K222)</f>
        <v>883</v>
      </c>
      <c r="Y222" s="618">
        <f>SUMIFS(Нормативы!K:K,Нормативы!$B:$B,$G222,Нормативы!$D:$D,'2020'!$I222,Нормативы!$F:$F,'2020'!$K222)</f>
        <v>177</v>
      </c>
      <c r="Z222" s="618">
        <f>SUMIFS(Нормативы!L:L,Нормативы!$B:$B,$G222,Нормативы!$D:$D,'2020'!$I222,Нормативы!$F:$F,'2020'!$K222)</f>
        <v>811</v>
      </c>
      <c r="AA222" s="618">
        <f t="shared" si="676"/>
        <v>1905</v>
      </c>
      <c r="AB222" s="618">
        <f>SUMIFS(Нормативы!N:N,Нормативы!$B:$B,$G222,Нормативы!$D:$D,'2020'!$I222,Нормативы!$F:$F,'2020'!$K222)*O222</f>
        <v>52</v>
      </c>
      <c r="AC222" s="618">
        <f>SUMIFS(Нормативы!O:O,Нормативы!$B:$B,$G222,Нормативы!$D:$D,'2020'!$I222,Нормативы!$F:$F,'2020'!$K222)</f>
        <v>1729</v>
      </c>
      <c r="AD222" s="618">
        <f>SUMIFS(Нормативы!P:P,Нормативы!$B:$B,$G222,Нормативы!$D:$D,'2020'!$I222,Нормативы!$F:$F,'2020'!$K222)*O222</f>
        <v>36</v>
      </c>
      <c r="AE222" s="618">
        <f>SUMIFS(Нормативы!Q:Q,Нормативы!$B:$B,$G222,Нормативы!$D:$D,'2020'!$I222,Нормативы!$F:$F,'2020'!$K222)</f>
        <v>88</v>
      </c>
      <c r="AF222" s="618">
        <f>SUMIFS(Нормативы!R:R,Нормативы!$B:$B,$G222,Нормативы!$D:$D,'2020'!$I222,Нормативы!$F:$F,'2020'!$K222)</f>
        <v>268</v>
      </c>
      <c r="AG222" s="618">
        <f>SUMIFS(Нормативы!S:S,Нормативы!$B:$B,$G222,Нормативы!$D:$D,'2020'!$I222,Нормативы!$F:$F,'2020'!$K222)</f>
        <v>580</v>
      </c>
      <c r="AH222" s="618">
        <f>SUMIFS(Нормативы!T:T,Нормативы!$B:$B,$G222,Нормативы!$D:$D,'2020'!$I222,Нормативы!$F:$F,'2020'!$K222)</f>
        <v>54</v>
      </c>
      <c r="AI222" s="618">
        <f>SUMIFS(Нормативы!U:U,Нормативы!$B:$B,$G222,Нормативы!$D:$D,'2020'!$I222,Нормативы!$F:$F,'2020'!$K222)</f>
        <v>77</v>
      </c>
      <c r="AJ222" s="618">
        <f>SUMIFS(Нормативы!V:V,Нормативы!$B:$B,$G222,Нормативы!$D:$D,'2020'!$I222,Нормативы!$F:$F,'2020'!$K222)</f>
        <v>8</v>
      </c>
      <c r="AK222" s="618">
        <f>SUMIFS(Нормативы!W:W,Нормативы!$B:$B,$G222,Нормативы!$D:$D,'2020'!$I222,Нормативы!$F:$F,'2020'!$K222)</f>
        <v>105</v>
      </c>
      <c r="AL222" s="618">
        <f>SUMIFS(Нормативы!X:X,Нормативы!$B:$B,$G222,Нормативы!$D:$D,'2020'!$I222,Нормативы!$F:$F,'2020'!$K222)*O222</f>
        <v>1612</v>
      </c>
      <c r="AM222" s="618">
        <f t="shared" si="677"/>
        <v>1238.0999999999999</v>
      </c>
      <c r="AN222" s="618">
        <f t="shared" si="678"/>
        <v>373.9</v>
      </c>
      <c r="AO222" s="618">
        <f>SUMIFS(Нормативы!AA:AA,Нормативы!$B:$B,$G222,Нормативы!$D:$D,'2020'!$I222,Нормативы!$F:$F,'2020'!$K222)</f>
        <v>0</v>
      </c>
      <c r="AP222" s="619">
        <f t="shared" si="679"/>
        <v>12722</v>
      </c>
      <c r="AQ222" s="413">
        <f t="shared" si="616"/>
        <v>475006</v>
      </c>
      <c r="AR222" s="618">
        <f t="shared" si="680"/>
        <v>364828</v>
      </c>
      <c r="AS222" s="618">
        <f t="shared" si="681"/>
        <v>110178</v>
      </c>
      <c r="AT222" s="616">
        <f t="shared" si="617"/>
        <v>65342</v>
      </c>
      <c r="AU222" s="616">
        <f t="shared" si="618"/>
        <v>13098</v>
      </c>
      <c r="AV222" s="616">
        <f t="shared" si="619"/>
        <v>60014</v>
      </c>
      <c r="AW222" s="616">
        <f t="shared" si="620"/>
        <v>140970</v>
      </c>
      <c r="AX222" s="616">
        <f t="shared" si="621"/>
        <v>3848</v>
      </c>
      <c r="AY222" s="616">
        <f t="shared" si="622"/>
        <v>127946</v>
      </c>
      <c r="AZ222" s="616">
        <f t="shared" si="623"/>
        <v>2664</v>
      </c>
      <c r="BA222" s="616">
        <f t="shared" si="624"/>
        <v>6512</v>
      </c>
      <c r="BB222" s="616">
        <f t="shared" si="625"/>
        <v>19832</v>
      </c>
      <c r="BC222" s="616">
        <f t="shared" si="626"/>
        <v>42920</v>
      </c>
      <c r="BD222" s="616">
        <f t="shared" si="627"/>
        <v>3996</v>
      </c>
      <c r="BE222" s="616">
        <f t="shared" si="628"/>
        <v>5698</v>
      </c>
      <c r="BF222" s="616">
        <f t="shared" si="629"/>
        <v>592</v>
      </c>
      <c r="BG222" s="616">
        <f t="shared" si="630"/>
        <v>7770</v>
      </c>
      <c r="BH222" s="616">
        <f t="shared" si="631"/>
        <v>119288</v>
      </c>
      <c r="BI222" s="618">
        <f t="shared" si="682"/>
        <v>91619</v>
      </c>
      <c r="BJ222" s="618">
        <f t="shared" si="683"/>
        <v>27669</v>
      </c>
      <c r="BK222" s="616">
        <f t="shared" si="632"/>
        <v>0</v>
      </c>
      <c r="BL222" s="620">
        <f t="shared" si="633"/>
        <v>941428</v>
      </c>
      <c r="BM222" s="616">
        <f t="shared" si="634"/>
        <v>695884</v>
      </c>
      <c r="BN222" s="618">
        <f t="shared" si="635"/>
        <v>534473.1</v>
      </c>
      <c r="BO222" s="618">
        <f t="shared" si="636"/>
        <v>161410.9</v>
      </c>
      <c r="BP222" s="616">
        <f t="shared" si="684"/>
        <v>65342</v>
      </c>
      <c r="BQ222" s="616">
        <f t="shared" si="685"/>
        <v>13098</v>
      </c>
      <c r="BR222" s="616">
        <f t="shared" si="686"/>
        <v>60014</v>
      </c>
      <c r="BS222" s="616">
        <f t="shared" si="637"/>
        <v>140970</v>
      </c>
      <c r="BT222" s="616">
        <f t="shared" si="638"/>
        <v>3848</v>
      </c>
      <c r="BU222" s="616">
        <f t="shared" si="639"/>
        <v>127946</v>
      </c>
      <c r="BV222" s="616">
        <f t="shared" si="640"/>
        <v>2664</v>
      </c>
      <c r="BW222" s="616">
        <f t="shared" si="641"/>
        <v>6512</v>
      </c>
      <c r="BX222" s="616">
        <f t="shared" si="642"/>
        <v>53427</v>
      </c>
      <c r="BY222" s="616">
        <f t="shared" si="643"/>
        <v>42920</v>
      </c>
      <c r="BZ222" s="616">
        <f t="shared" si="644"/>
        <v>3996</v>
      </c>
      <c r="CA222" s="616">
        <f t="shared" si="645"/>
        <v>5698</v>
      </c>
      <c r="CB222" s="616">
        <f t="shared" si="646"/>
        <v>592</v>
      </c>
      <c r="CC222" s="616">
        <f t="shared" si="647"/>
        <v>7770</v>
      </c>
      <c r="CD222" s="616">
        <f t="shared" si="648"/>
        <v>174757</v>
      </c>
      <c r="CE222" s="618">
        <f t="shared" si="687"/>
        <v>134222</v>
      </c>
      <c r="CF222" s="618">
        <f t="shared" si="688"/>
        <v>40535</v>
      </c>
      <c r="CG222" s="616">
        <f t="shared" si="649"/>
        <v>0</v>
      </c>
      <c r="CH222" s="621">
        <f t="shared" si="650"/>
        <v>1251370</v>
      </c>
      <c r="CI222" s="88">
        <f t="shared" si="651"/>
        <v>9403.8377999999993</v>
      </c>
      <c r="CJ222" s="90">
        <f t="shared" si="652"/>
        <v>7222.6094999999996</v>
      </c>
      <c r="CK222" s="90">
        <f t="shared" si="653"/>
        <v>2181.2284</v>
      </c>
      <c r="CL222" s="88">
        <f t="shared" si="654"/>
        <v>883</v>
      </c>
      <c r="CM222" s="88">
        <f t="shared" si="655"/>
        <v>177</v>
      </c>
      <c r="CN222" s="88">
        <f t="shared" si="656"/>
        <v>811</v>
      </c>
      <c r="CO222" s="88">
        <f t="shared" si="657"/>
        <v>1905</v>
      </c>
      <c r="CP222" s="88">
        <f t="shared" si="658"/>
        <v>52</v>
      </c>
      <c r="CQ222" s="88">
        <f t="shared" si="659"/>
        <v>1729</v>
      </c>
      <c r="CR222" s="88">
        <f t="shared" si="660"/>
        <v>36</v>
      </c>
      <c r="CS222" s="88">
        <f t="shared" si="661"/>
        <v>88</v>
      </c>
      <c r="CT222" s="88">
        <f t="shared" si="662"/>
        <v>721.98649999999998</v>
      </c>
      <c r="CU222" s="88">
        <f t="shared" si="663"/>
        <v>580</v>
      </c>
      <c r="CV222" s="88">
        <f t="shared" si="664"/>
        <v>54</v>
      </c>
      <c r="CW222" s="88">
        <f t="shared" si="665"/>
        <v>77</v>
      </c>
      <c r="CX222" s="88">
        <f t="shared" si="666"/>
        <v>8</v>
      </c>
      <c r="CY222" s="88">
        <f t="shared" si="667"/>
        <v>105</v>
      </c>
      <c r="CZ222" s="88">
        <f t="shared" si="668"/>
        <v>2361.5810999999999</v>
      </c>
      <c r="DA222" s="90">
        <f t="shared" si="669"/>
        <v>1813.8108</v>
      </c>
      <c r="DB222" s="90">
        <f t="shared" si="670"/>
        <v>547.77030000000002</v>
      </c>
      <c r="DC222" s="88">
        <f t="shared" si="671"/>
        <v>0</v>
      </c>
      <c r="DD222" s="88">
        <f t="shared" si="672"/>
        <v>16910.4054</v>
      </c>
      <c r="AUV222" s="699">
        <f t="shared" si="586"/>
        <v>9403.84</v>
      </c>
      <c r="AUW222" s="699">
        <f t="shared" si="587"/>
        <v>7222.61</v>
      </c>
      <c r="AUX222" s="699">
        <f t="shared" si="588"/>
        <v>2181.23</v>
      </c>
      <c r="AUY222" s="699">
        <f t="shared" si="689"/>
        <v>883</v>
      </c>
      <c r="AUZ222" s="699">
        <f t="shared" si="615"/>
        <v>4861.92</v>
      </c>
      <c r="AVA222" s="699">
        <f t="shared" si="615"/>
        <v>9.35</v>
      </c>
      <c r="AVB222" s="699">
        <f t="shared" si="690"/>
        <v>1905</v>
      </c>
      <c r="AVC222" s="699">
        <f t="shared" si="691"/>
        <v>52</v>
      </c>
      <c r="AVD222" s="699">
        <f t="shared" si="692"/>
        <v>1729</v>
      </c>
      <c r="AVE222" s="699">
        <f t="shared" si="693"/>
        <v>36</v>
      </c>
      <c r="AVF222" s="699">
        <f t="shared" si="694"/>
        <v>88</v>
      </c>
      <c r="AVG222" s="699">
        <f t="shared" si="695"/>
        <v>721.99</v>
      </c>
      <c r="AVH222" s="699">
        <f t="shared" si="696"/>
        <v>580</v>
      </c>
      <c r="AVI222" s="699">
        <f t="shared" si="697"/>
        <v>54</v>
      </c>
      <c r="AVJ222" s="699">
        <f t="shared" si="698"/>
        <v>77</v>
      </c>
      <c r="AVK222" s="699">
        <f t="shared" si="699"/>
        <v>8</v>
      </c>
      <c r="AVL222" s="699">
        <f t="shared" si="700"/>
        <v>105</v>
      </c>
      <c r="AVM222" s="699">
        <f t="shared" si="701"/>
        <v>2361.58</v>
      </c>
      <c r="AVN222" s="699">
        <f t="shared" si="702"/>
        <v>1813.81</v>
      </c>
      <c r="AVO222" s="699">
        <f t="shared" si="703"/>
        <v>547.77</v>
      </c>
      <c r="AVP222" s="699">
        <f t="shared" si="704"/>
        <v>0</v>
      </c>
      <c r="AVQ222" s="699">
        <f t="shared" si="705"/>
        <v>16910.41</v>
      </c>
    </row>
    <row r="223" spans="1:108 1244:1265" ht="30" customHeight="1" x14ac:dyDescent="0.25">
      <c r="A223" s="643">
        <v>1</v>
      </c>
      <c r="B223" s="643">
        <v>13</v>
      </c>
      <c r="C223" s="664" t="s">
        <v>29</v>
      </c>
      <c r="D223" s="2"/>
      <c r="E223" s="101" t="s">
        <v>345</v>
      </c>
      <c r="F223" s="643" t="s">
        <v>38</v>
      </c>
      <c r="G223" s="643">
        <v>2</v>
      </c>
      <c r="H223" s="658" t="s">
        <v>10</v>
      </c>
      <c r="I223" s="643">
        <v>0</v>
      </c>
      <c r="J223" s="101" t="s">
        <v>361</v>
      </c>
      <c r="K223" s="643">
        <v>3</v>
      </c>
      <c r="L223" s="683" t="s">
        <v>350</v>
      </c>
      <c r="M223" s="11" t="s">
        <v>267</v>
      </c>
      <c r="N223" s="101" t="s">
        <v>387</v>
      </c>
      <c r="O223" s="643">
        <v>1</v>
      </c>
      <c r="P223" s="632">
        <v>11</v>
      </c>
      <c r="Q223" s="632">
        <v>11</v>
      </c>
      <c r="R223" s="632">
        <v>11</v>
      </c>
      <c r="S223" s="675">
        <f>SUMIF('Территориальный кк'!$A:$A,'2020'!$B223,'Территориальный кк'!D:D)</f>
        <v>1.4650000000000001</v>
      </c>
      <c r="T223" s="676">
        <f>SUMIF('Территориальный кк'!$A:$A,'2020'!$B223,'Территориальный кк'!E:E)</f>
        <v>2.694</v>
      </c>
      <c r="U223" s="618">
        <f>SUMIFS(Нормативы!G:G,Нормативы!$B:$B,$G223,Нормативы!$D:$D,'2020'!$I223,Нормативы!$F:$F,'2020'!$K223)*O223</f>
        <v>70600</v>
      </c>
      <c r="V223" s="618">
        <f t="shared" si="674"/>
        <v>54224.3</v>
      </c>
      <c r="W223" s="618">
        <f t="shared" si="675"/>
        <v>16375.7</v>
      </c>
      <c r="X223" s="618">
        <f>SUMIFS(Нормативы!J:J,Нормативы!$B:$B,$G223,Нормативы!$D:$D,'2020'!$I223,Нормативы!$F:$F,'2020'!$K223)</f>
        <v>8860</v>
      </c>
      <c r="Y223" s="618">
        <f>SUMIFS(Нормативы!K:K,Нормативы!$B:$B,$G223,Нормативы!$D:$D,'2020'!$I223,Нормативы!$F:$F,'2020'!$K223)</f>
        <v>0</v>
      </c>
      <c r="Z223" s="618">
        <f>SUMIFS(Нормативы!L:L,Нормативы!$B:$B,$G223,Нормативы!$D:$D,'2020'!$I223,Нормативы!$F:$F,'2020'!$K223)</f>
        <v>8110</v>
      </c>
      <c r="AA223" s="618">
        <f t="shared" si="676"/>
        <v>21610</v>
      </c>
      <c r="AB223" s="618">
        <f>SUMIFS(Нормативы!N:N,Нормативы!$B:$B,$G223,Нормативы!$D:$D,'2020'!$I223,Нормативы!$F:$F,'2020'!$K223)*O223</f>
        <v>520</v>
      </c>
      <c r="AC223" s="618">
        <f>SUMIFS(Нормативы!O:O,Нормативы!$B:$B,$G223,Нормативы!$D:$D,'2020'!$I223,Нормативы!$F:$F,'2020'!$K223)</f>
        <v>19720</v>
      </c>
      <c r="AD223" s="618">
        <f>SUMIFS(Нормативы!P:P,Нормативы!$B:$B,$G223,Нормативы!$D:$D,'2020'!$I223,Нормативы!$F:$F,'2020'!$K223)*O223</f>
        <v>400</v>
      </c>
      <c r="AE223" s="618">
        <f>SUMIFS(Нормативы!Q:Q,Нормативы!$B:$B,$G223,Нормативы!$D:$D,'2020'!$I223,Нормативы!$F:$F,'2020'!$K223)</f>
        <v>970</v>
      </c>
      <c r="AF223" s="618">
        <f>SUMIFS(Нормативы!R:R,Нормативы!$B:$B,$G223,Нормативы!$D:$D,'2020'!$I223,Нормативы!$F:$F,'2020'!$K223)</f>
        <v>2680</v>
      </c>
      <c r="AG223" s="618">
        <f>SUMIFS(Нормативы!S:S,Нормативы!$B:$B,$G223,Нормативы!$D:$D,'2020'!$I223,Нормативы!$F:$F,'2020'!$K223)</f>
        <v>5800</v>
      </c>
      <c r="AH223" s="618">
        <f>SUMIFS(Нормативы!T:T,Нормативы!$B:$B,$G223,Нормативы!$D:$D,'2020'!$I223,Нормативы!$F:$F,'2020'!$K223)</f>
        <v>540</v>
      </c>
      <c r="AI223" s="618">
        <f>SUMIFS(Нормативы!U:U,Нормативы!$B:$B,$G223,Нормативы!$D:$D,'2020'!$I223,Нормативы!$F:$F,'2020'!$K223)</f>
        <v>770</v>
      </c>
      <c r="AJ223" s="618">
        <f>SUMIFS(Нормативы!V:V,Нормативы!$B:$B,$G223,Нормативы!$D:$D,'2020'!$I223,Нормативы!$F:$F,'2020'!$K223)</f>
        <v>80</v>
      </c>
      <c r="AK223" s="618">
        <f>SUMIFS(Нормативы!W:W,Нормативы!$B:$B,$G223,Нормативы!$D:$D,'2020'!$I223,Нормативы!$F:$F,'2020'!$K223)</f>
        <v>330</v>
      </c>
      <c r="AL223" s="618">
        <f>SUMIFS(Нормативы!X:X,Нормативы!$B:$B,$G223,Нормативы!$D:$D,'2020'!$I223,Нормативы!$F:$F,'2020'!$K223)*O223</f>
        <v>16120</v>
      </c>
      <c r="AM223" s="618">
        <f t="shared" si="677"/>
        <v>12381</v>
      </c>
      <c r="AN223" s="618">
        <f t="shared" si="678"/>
        <v>3739</v>
      </c>
      <c r="AO223" s="618">
        <f>SUMIFS(Нормативы!AA:AA,Нормативы!$B:$B,$G223,Нормативы!$D:$D,'2020'!$I223,Нормативы!$F:$F,'2020'!$K223)</f>
        <v>3520</v>
      </c>
      <c r="AP223" s="619">
        <f t="shared" si="679"/>
        <v>139020</v>
      </c>
      <c r="AQ223" s="413">
        <f t="shared" si="616"/>
        <v>776600</v>
      </c>
      <c r="AR223" s="618">
        <f t="shared" si="680"/>
        <v>596467</v>
      </c>
      <c r="AS223" s="618">
        <f t="shared" si="681"/>
        <v>180133</v>
      </c>
      <c r="AT223" s="616">
        <f t="shared" si="617"/>
        <v>97460</v>
      </c>
      <c r="AU223" s="616">
        <f t="shared" si="618"/>
        <v>0</v>
      </c>
      <c r="AV223" s="616">
        <f t="shared" si="619"/>
        <v>89210</v>
      </c>
      <c r="AW223" s="616">
        <f t="shared" si="620"/>
        <v>237710</v>
      </c>
      <c r="AX223" s="616">
        <f t="shared" si="621"/>
        <v>5720</v>
      </c>
      <c r="AY223" s="616">
        <f t="shared" si="622"/>
        <v>216920</v>
      </c>
      <c r="AZ223" s="616">
        <f t="shared" si="623"/>
        <v>4400</v>
      </c>
      <c r="BA223" s="616">
        <f t="shared" si="624"/>
        <v>10670</v>
      </c>
      <c r="BB223" s="616">
        <f t="shared" si="625"/>
        <v>29480</v>
      </c>
      <c r="BC223" s="616">
        <f t="shared" si="626"/>
        <v>63800</v>
      </c>
      <c r="BD223" s="616">
        <f t="shared" si="627"/>
        <v>5940</v>
      </c>
      <c r="BE223" s="616">
        <f t="shared" si="628"/>
        <v>8470</v>
      </c>
      <c r="BF223" s="616">
        <f t="shared" si="629"/>
        <v>880</v>
      </c>
      <c r="BG223" s="616">
        <f t="shared" si="630"/>
        <v>3630</v>
      </c>
      <c r="BH223" s="616">
        <f t="shared" si="631"/>
        <v>177320</v>
      </c>
      <c r="BI223" s="618">
        <f t="shared" si="682"/>
        <v>136190.5</v>
      </c>
      <c r="BJ223" s="618">
        <f t="shared" si="683"/>
        <v>41129.5</v>
      </c>
      <c r="BK223" s="616">
        <f t="shared" si="632"/>
        <v>38720</v>
      </c>
      <c r="BL223" s="620">
        <f t="shared" si="633"/>
        <v>1529220</v>
      </c>
      <c r="BM223" s="616">
        <f t="shared" si="634"/>
        <v>1137719</v>
      </c>
      <c r="BN223" s="618">
        <f t="shared" si="635"/>
        <v>873824.1</v>
      </c>
      <c r="BO223" s="618">
        <f t="shared" si="636"/>
        <v>263894.90000000002</v>
      </c>
      <c r="BP223" s="616">
        <f t="shared" si="684"/>
        <v>97460</v>
      </c>
      <c r="BQ223" s="616">
        <f t="shared" si="685"/>
        <v>0</v>
      </c>
      <c r="BR223" s="616">
        <f t="shared" si="686"/>
        <v>89210</v>
      </c>
      <c r="BS223" s="616">
        <f t="shared" si="637"/>
        <v>237710</v>
      </c>
      <c r="BT223" s="616">
        <f t="shared" si="638"/>
        <v>5720</v>
      </c>
      <c r="BU223" s="616">
        <f t="shared" si="639"/>
        <v>216920</v>
      </c>
      <c r="BV223" s="616">
        <f t="shared" si="640"/>
        <v>4400</v>
      </c>
      <c r="BW223" s="616">
        <f t="shared" si="641"/>
        <v>10670</v>
      </c>
      <c r="BX223" s="616">
        <f t="shared" si="642"/>
        <v>79419</v>
      </c>
      <c r="BY223" s="616">
        <f t="shared" si="643"/>
        <v>63800</v>
      </c>
      <c r="BZ223" s="616">
        <f t="shared" si="644"/>
        <v>5940</v>
      </c>
      <c r="CA223" s="616">
        <f t="shared" si="645"/>
        <v>8470</v>
      </c>
      <c r="CB223" s="616">
        <f t="shared" si="646"/>
        <v>880</v>
      </c>
      <c r="CC223" s="616">
        <f t="shared" si="647"/>
        <v>3630</v>
      </c>
      <c r="CD223" s="616">
        <f t="shared" si="648"/>
        <v>259774</v>
      </c>
      <c r="CE223" s="618">
        <f t="shared" si="687"/>
        <v>199519.2</v>
      </c>
      <c r="CF223" s="618">
        <f t="shared" si="688"/>
        <v>60254.8</v>
      </c>
      <c r="CG223" s="616">
        <f t="shared" si="649"/>
        <v>38720</v>
      </c>
      <c r="CH223" s="621">
        <f t="shared" si="650"/>
        <v>2022732</v>
      </c>
      <c r="CI223" s="88">
        <f t="shared" si="651"/>
        <v>103429</v>
      </c>
      <c r="CJ223" s="90">
        <f t="shared" si="652"/>
        <v>79438.554499999998</v>
      </c>
      <c r="CK223" s="90">
        <f t="shared" si="653"/>
        <v>23990.445500000002</v>
      </c>
      <c r="CL223" s="88">
        <f t="shared" si="654"/>
        <v>8860</v>
      </c>
      <c r="CM223" s="88">
        <f t="shared" si="655"/>
        <v>0</v>
      </c>
      <c r="CN223" s="88">
        <f t="shared" si="656"/>
        <v>8110</v>
      </c>
      <c r="CO223" s="88">
        <f t="shared" si="657"/>
        <v>21610</v>
      </c>
      <c r="CP223" s="88">
        <f t="shared" si="658"/>
        <v>520</v>
      </c>
      <c r="CQ223" s="88">
        <f t="shared" si="659"/>
        <v>19720</v>
      </c>
      <c r="CR223" s="88">
        <f t="shared" si="660"/>
        <v>400</v>
      </c>
      <c r="CS223" s="88">
        <f t="shared" si="661"/>
        <v>970</v>
      </c>
      <c r="CT223" s="88">
        <f t="shared" si="662"/>
        <v>7219.9090999999999</v>
      </c>
      <c r="CU223" s="88">
        <f t="shared" si="663"/>
        <v>5800</v>
      </c>
      <c r="CV223" s="88">
        <f t="shared" si="664"/>
        <v>540</v>
      </c>
      <c r="CW223" s="88">
        <f t="shared" si="665"/>
        <v>770</v>
      </c>
      <c r="CX223" s="88">
        <f t="shared" si="666"/>
        <v>80</v>
      </c>
      <c r="CY223" s="88">
        <f t="shared" si="667"/>
        <v>330</v>
      </c>
      <c r="CZ223" s="88">
        <f t="shared" si="668"/>
        <v>23615.818200000002</v>
      </c>
      <c r="DA223" s="90">
        <f t="shared" si="669"/>
        <v>18138.109100000001</v>
      </c>
      <c r="DB223" s="90">
        <f t="shared" si="670"/>
        <v>5477.7091</v>
      </c>
      <c r="DC223" s="88">
        <f t="shared" si="671"/>
        <v>3520</v>
      </c>
      <c r="DD223" s="88">
        <f t="shared" si="672"/>
        <v>183884.7273</v>
      </c>
      <c r="AUV223" s="699">
        <f t="shared" si="586"/>
        <v>103429</v>
      </c>
      <c r="AUW223" s="699">
        <f t="shared" si="587"/>
        <v>79438.559999999998</v>
      </c>
      <c r="AUX223" s="699">
        <f t="shared" si="588"/>
        <v>23990.44</v>
      </c>
      <c r="AUY223" s="699">
        <f t="shared" si="689"/>
        <v>8860</v>
      </c>
      <c r="AUZ223" s="699">
        <f t="shared" si="615"/>
        <v>0</v>
      </c>
      <c r="AVA223" s="699">
        <f t="shared" si="615"/>
        <v>1.26</v>
      </c>
      <c r="AVB223" s="699">
        <f t="shared" si="690"/>
        <v>21610</v>
      </c>
      <c r="AVC223" s="699">
        <f t="shared" si="691"/>
        <v>520</v>
      </c>
      <c r="AVD223" s="699">
        <f t="shared" si="692"/>
        <v>19720</v>
      </c>
      <c r="AVE223" s="699">
        <f t="shared" si="693"/>
        <v>400</v>
      </c>
      <c r="AVF223" s="699">
        <f t="shared" si="694"/>
        <v>970</v>
      </c>
      <c r="AVG223" s="699">
        <f t="shared" si="695"/>
        <v>7219.91</v>
      </c>
      <c r="AVH223" s="699">
        <f t="shared" si="696"/>
        <v>5800</v>
      </c>
      <c r="AVI223" s="699">
        <f t="shared" si="697"/>
        <v>540</v>
      </c>
      <c r="AVJ223" s="699">
        <f t="shared" si="698"/>
        <v>770</v>
      </c>
      <c r="AVK223" s="699">
        <f t="shared" si="699"/>
        <v>80</v>
      </c>
      <c r="AVL223" s="699">
        <f t="shared" si="700"/>
        <v>330</v>
      </c>
      <c r="AVM223" s="699">
        <f t="shared" si="701"/>
        <v>23615.82</v>
      </c>
      <c r="AVN223" s="699">
        <f t="shared" si="702"/>
        <v>18138.11</v>
      </c>
      <c r="AVO223" s="699">
        <f t="shared" si="703"/>
        <v>5477.71</v>
      </c>
      <c r="AVP223" s="699">
        <f t="shared" si="704"/>
        <v>3520</v>
      </c>
      <c r="AVQ223" s="699">
        <f t="shared" si="705"/>
        <v>183884.73</v>
      </c>
    </row>
    <row r="224" spans="1:108 1244:1265" ht="30" customHeight="1" x14ac:dyDescent="0.25">
      <c r="A224" s="643">
        <v>1</v>
      </c>
      <c r="B224" s="643">
        <v>13</v>
      </c>
      <c r="C224" s="664" t="s">
        <v>29</v>
      </c>
      <c r="D224" s="2"/>
      <c r="E224" s="101" t="s">
        <v>345</v>
      </c>
      <c r="F224" s="643" t="s">
        <v>38</v>
      </c>
      <c r="G224" s="643">
        <v>2</v>
      </c>
      <c r="H224" s="658" t="s">
        <v>8</v>
      </c>
      <c r="I224" s="643">
        <v>3</v>
      </c>
      <c r="J224" s="101" t="s">
        <v>361</v>
      </c>
      <c r="K224" s="643">
        <v>3</v>
      </c>
      <c r="L224" s="683" t="s">
        <v>350</v>
      </c>
      <c r="M224" s="11" t="s">
        <v>294</v>
      </c>
      <c r="N224" s="101" t="s">
        <v>387</v>
      </c>
      <c r="O224" s="643">
        <v>1</v>
      </c>
      <c r="P224" s="632">
        <v>10</v>
      </c>
      <c r="Q224" s="632">
        <v>10</v>
      </c>
      <c r="R224" s="632">
        <v>10</v>
      </c>
      <c r="S224" s="675">
        <f>SUMIF('Территориальный кк'!$A:$A,'2020'!$B224,'Территориальный кк'!D:D)</f>
        <v>1.4650000000000001</v>
      </c>
      <c r="T224" s="676">
        <f>SUMIF('Территориальный кк'!$A:$A,'2020'!$B224,'Территориальный кк'!E:E)</f>
        <v>2.694</v>
      </c>
      <c r="U224" s="618">
        <f>SUMIFS(Нормативы!G:G,Нормативы!$B:$B,$G224,Нормативы!$D:$D,'2020'!$I224,Нормативы!$F:$F,'2020'!$K224)*O224</f>
        <v>12944</v>
      </c>
      <c r="V224" s="618">
        <f t="shared" si="674"/>
        <v>9941.6</v>
      </c>
      <c r="W224" s="618">
        <f t="shared" si="675"/>
        <v>3002.4</v>
      </c>
      <c r="X224" s="618">
        <f>SUMIFS(Нормативы!J:J,Нормативы!$B:$B,$G224,Нормативы!$D:$D,'2020'!$I224,Нормативы!$F:$F,'2020'!$K224)</f>
        <v>486</v>
      </c>
      <c r="Y224" s="618">
        <f>SUMIFS(Нормативы!K:K,Нормативы!$B:$B,$G224,Нормативы!$D:$D,'2020'!$I224,Нормативы!$F:$F,'2020'!$K224)</f>
        <v>97</v>
      </c>
      <c r="Z224" s="618">
        <f>SUMIFS(Нормативы!L:L,Нормативы!$B:$B,$G224,Нормативы!$D:$D,'2020'!$I224,Нормативы!$F:$F,'2020'!$K224)</f>
        <v>348</v>
      </c>
      <c r="AA224" s="618">
        <f t="shared" si="676"/>
        <v>2031</v>
      </c>
      <c r="AB224" s="618">
        <f>SUMIFS(Нормативы!N:N,Нормативы!$B:$B,$G224,Нормативы!$D:$D,'2020'!$I224,Нормативы!$F:$F,'2020'!$K224)*O224</f>
        <v>52</v>
      </c>
      <c r="AC224" s="618">
        <f>SUMIFS(Нормативы!O:O,Нормативы!$B:$B,$G224,Нормативы!$D:$D,'2020'!$I224,Нормативы!$F:$F,'2020'!$K224)</f>
        <v>1728</v>
      </c>
      <c r="AD224" s="618">
        <f>SUMIFS(Нормативы!P:P,Нормативы!$B:$B,$G224,Нормативы!$D:$D,'2020'!$I224,Нормативы!$F:$F,'2020'!$K224)*O224</f>
        <v>73</v>
      </c>
      <c r="AE224" s="618">
        <f>SUMIFS(Нормативы!Q:Q,Нормативы!$B:$B,$G224,Нормативы!$D:$D,'2020'!$I224,Нормативы!$F:$F,'2020'!$K224)</f>
        <v>178</v>
      </c>
      <c r="AF224" s="618">
        <f>SUMIFS(Нормативы!R:R,Нормативы!$B:$B,$G224,Нормативы!$D:$D,'2020'!$I224,Нормативы!$F:$F,'2020'!$K224)</f>
        <v>275</v>
      </c>
      <c r="AG224" s="618">
        <f>SUMIFS(Нормативы!S:S,Нормативы!$B:$B,$G224,Нормативы!$D:$D,'2020'!$I224,Нормативы!$F:$F,'2020'!$K224)</f>
        <v>580</v>
      </c>
      <c r="AH224" s="618">
        <f>SUMIFS(Нормативы!T:T,Нормативы!$B:$B,$G224,Нормативы!$D:$D,'2020'!$I224,Нормативы!$F:$F,'2020'!$K224)</f>
        <v>54</v>
      </c>
      <c r="AI224" s="618">
        <f>SUMIFS(Нормативы!U:U,Нормативы!$B:$B,$G224,Нормативы!$D:$D,'2020'!$I224,Нормативы!$F:$F,'2020'!$K224)</f>
        <v>77</v>
      </c>
      <c r="AJ224" s="618">
        <f>SUMIFS(Нормативы!V:V,Нормативы!$B:$B,$G224,Нормативы!$D:$D,'2020'!$I224,Нормативы!$F:$F,'2020'!$K224)</f>
        <v>8</v>
      </c>
      <c r="AK224" s="618">
        <f>SUMIFS(Нормативы!W:W,Нормативы!$B:$B,$G224,Нормативы!$D:$D,'2020'!$I224,Нормативы!$F:$F,'2020'!$K224)</f>
        <v>39</v>
      </c>
      <c r="AL224" s="618">
        <f>SUMIFS(Нормативы!X:X,Нормативы!$B:$B,$G224,Нормативы!$D:$D,'2020'!$I224,Нормативы!$F:$F,'2020'!$K224)*O224</f>
        <v>1612</v>
      </c>
      <c r="AM224" s="618">
        <f t="shared" si="677"/>
        <v>1238.0999999999999</v>
      </c>
      <c r="AN224" s="618">
        <f t="shared" si="678"/>
        <v>373.9</v>
      </c>
      <c r="AO224" s="618">
        <f>SUMIFS(Нормативы!AA:AA,Нормативы!$B:$B,$G224,Нормативы!$D:$D,'2020'!$I224,Нормативы!$F:$F,'2020'!$K224)</f>
        <v>0</v>
      </c>
      <c r="AP224" s="619">
        <f t="shared" si="679"/>
        <v>18454</v>
      </c>
      <c r="AQ224" s="413">
        <f t="shared" si="616"/>
        <v>129440</v>
      </c>
      <c r="AR224" s="618">
        <f t="shared" si="680"/>
        <v>99416.3</v>
      </c>
      <c r="AS224" s="618">
        <f t="shared" si="681"/>
        <v>30023.7</v>
      </c>
      <c r="AT224" s="616">
        <f t="shared" si="617"/>
        <v>4860</v>
      </c>
      <c r="AU224" s="616">
        <f t="shared" si="618"/>
        <v>970</v>
      </c>
      <c r="AV224" s="616">
        <f t="shared" si="619"/>
        <v>3480</v>
      </c>
      <c r="AW224" s="616">
        <f t="shared" si="620"/>
        <v>20310</v>
      </c>
      <c r="AX224" s="616">
        <f t="shared" si="621"/>
        <v>520</v>
      </c>
      <c r="AY224" s="616">
        <f t="shared" si="622"/>
        <v>17280</v>
      </c>
      <c r="AZ224" s="616">
        <f t="shared" si="623"/>
        <v>730</v>
      </c>
      <c r="BA224" s="616">
        <f t="shared" si="624"/>
        <v>1780</v>
      </c>
      <c r="BB224" s="616">
        <f t="shared" si="625"/>
        <v>2750</v>
      </c>
      <c r="BC224" s="616">
        <f t="shared" si="626"/>
        <v>5800</v>
      </c>
      <c r="BD224" s="616">
        <f t="shared" si="627"/>
        <v>540</v>
      </c>
      <c r="BE224" s="616">
        <f t="shared" si="628"/>
        <v>770</v>
      </c>
      <c r="BF224" s="616">
        <f t="shared" si="629"/>
        <v>80</v>
      </c>
      <c r="BG224" s="616">
        <f t="shared" si="630"/>
        <v>390</v>
      </c>
      <c r="BH224" s="616">
        <f t="shared" si="631"/>
        <v>16120</v>
      </c>
      <c r="BI224" s="618">
        <f t="shared" si="682"/>
        <v>12381</v>
      </c>
      <c r="BJ224" s="618">
        <f t="shared" si="683"/>
        <v>3739</v>
      </c>
      <c r="BK224" s="616">
        <f t="shared" si="632"/>
        <v>0</v>
      </c>
      <c r="BL224" s="620">
        <f t="shared" si="633"/>
        <v>184540</v>
      </c>
      <c r="BM224" s="616">
        <f t="shared" si="634"/>
        <v>189630</v>
      </c>
      <c r="BN224" s="618">
        <f t="shared" si="635"/>
        <v>145645.20000000001</v>
      </c>
      <c r="BO224" s="618">
        <f t="shared" si="636"/>
        <v>43984.800000000003</v>
      </c>
      <c r="BP224" s="616">
        <f t="shared" si="684"/>
        <v>4860</v>
      </c>
      <c r="BQ224" s="616">
        <f t="shared" si="685"/>
        <v>970</v>
      </c>
      <c r="BR224" s="616">
        <f t="shared" si="686"/>
        <v>3480</v>
      </c>
      <c r="BS224" s="616">
        <f t="shared" si="637"/>
        <v>20310</v>
      </c>
      <c r="BT224" s="616">
        <f t="shared" si="638"/>
        <v>520</v>
      </c>
      <c r="BU224" s="616">
        <f t="shared" si="639"/>
        <v>17280</v>
      </c>
      <c r="BV224" s="616">
        <f t="shared" si="640"/>
        <v>730</v>
      </c>
      <c r="BW224" s="616">
        <f t="shared" si="641"/>
        <v>1780</v>
      </c>
      <c r="BX224" s="616">
        <f t="shared" si="642"/>
        <v>7409</v>
      </c>
      <c r="BY224" s="616">
        <f t="shared" si="643"/>
        <v>5800</v>
      </c>
      <c r="BZ224" s="616">
        <f t="shared" si="644"/>
        <v>540</v>
      </c>
      <c r="CA224" s="616">
        <f t="shared" si="645"/>
        <v>770</v>
      </c>
      <c r="CB224" s="616">
        <f t="shared" si="646"/>
        <v>80</v>
      </c>
      <c r="CC224" s="616">
        <f t="shared" si="647"/>
        <v>390</v>
      </c>
      <c r="CD224" s="616">
        <f t="shared" si="648"/>
        <v>23616</v>
      </c>
      <c r="CE224" s="618">
        <f t="shared" si="687"/>
        <v>18138.2</v>
      </c>
      <c r="CF224" s="618">
        <f t="shared" si="688"/>
        <v>5477.8</v>
      </c>
      <c r="CG224" s="616">
        <f t="shared" si="649"/>
        <v>0</v>
      </c>
      <c r="CH224" s="621">
        <f t="shared" si="650"/>
        <v>256885</v>
      </c>
      <c r="CI224" s="88">
        <f t="shared" si="651"/>
        <v>18963</v>
      </c>
      <c r="CJ224" s="90">
        <f t="shared" si="652"/>
        <v>14564.52</v>
      </c>
      <c r="CK224" s="90">
        <f t="shared" si="653"/>
        <v>4398.4799999999996</v>
      </c>
      <c r="CL224" s="88">
        <f t="shared" si="654"/>
        <v>486</v>
      </c>
      <c r="CM224" s="88">
        <f t="shared" si="655"/>
        <v>97</v>
      </c>
      <c r="CN224" s="88">
        <f t="shared" si="656"/>
        <v>348</v>
      </c>
      <c r="CO224" s="88">
        <f t="shared" si="657"/>
        <v>2031</v>
      </c>
      <c r="CP224" s="88">
        <f t="shared" si="658"/>
        <v>52</v>
      </c>
      <c r="CQ224" s="88">
        <f t="shared" si="659"/>
        <v>1728</v>
      </c>
      <c r="CR224" s="88">
        <f t="shared" si="660"/>
        <v>73</v>
      </c>
      <c r="CS224" s="88">
        <f t="shared" si="661"/>
        <v>178</v>
      </c>
      <c r="CT224" s="88">
        <f t="shared" si="662"/>
        <v>740.9</v>
      </c>
      <c r="CU224" s="88">
        <f t="shared" si="663"/>
        <v>580</v>
      </c>
      <c r="CV224" s="88">
        <f t="shared" si="664"/>
        <v>54</v>
      </c>
      <c r="CW224" s="88">
        <f t="shared" si="665"/>
        <v>77</v>
      </c>
      <c r="CX224" s="88">
        <f t="shared" si="666"/>
        <v>8</v>
      </c>
      <c r="CY224" s="88">
        <f t="shared" si="667"/>
        <v>39</v>
      </c>
      <c r="CZ224" s="88">
        <f t="shared" si="668"/>
        <v>2361.6</v>
      </c>
      <c r="DA224" s="90">
        <f t="shared" si="669"/>
        <v>1813.82</v>
      </c>
      <c r="DB224" s="90">
        <f t="shared" si="670"/>
        <v>547.78</v>
      </c>
      <c r="DC224" s="88">
        <f t="shared" si="671"/>
        <v>0</v>
      </c>
      <c r="DD224" s="88">
        <f t="shared" si="672"/>
        <v>25688.5</v>
      </c>
      <c r="AUV224" s="699">
        <f t="shared" si="586"/>
        <v>18963</v>
      </c>
      <c r="AUW224" s="699">
        <f t="shared" si="587"/>
        <v>14564.52</v>
      </c>
      <c r="AUX224" s="699">
        <f t="shared" si="588"/>
        <v>4398.4799999999996</v>
      </c>
      <c r="AUY224" s="699">
        <f t="shared" si="689"/>
        <v>486</v>
      </c>
      <c r="AUZ224" s="699">
        <f t="shared" si="615"/>
        <v>360.06</v>
      </c>
      <c r="AVA224" s="699">
        <f t="shared" si="615"/>
        <v>0.27</v>
      </c>
      <c r="AVB224" s="699">
        <f t="shared" si="690"/>
        <v>2031</v>
      </c>
      <c r="AVC224" s="699">
        <f t="shared" si="691"/>
        <v>52</v>
      </c>
      <c r="AVD224" s="699">
        <f t="shared" si="692"/>
        <v>1728</v>
      </c>
      <c r="AVE224" s="699">
        <f t="shared" si="693"/>
        <v>73</v>
      </c>
      <c r="AVF224" s="699">
        <f t="shared" si="694"/>
        <v>178</v>
      </c>
      <c r="AVG224" s="699">
        <f t="shared" si="695"/>
        <v>740.9</v>
      </c>
      <c r="AVH224" s="699">
        <f t="shared" si="696"/>
        <v>580</v>
      </c>
      <c r="AVI224" s="699">
        <f t="shared" si="697"/>
        <v>54</v>
      </c>
      <c r="AVJ224" s="699">
        <f t="shared" si="698"/>
        <v>77</v>
      </c>
      <c r="AVK224" s="699">
        <f t="shared" si="699"/>
        <v>8</v>
      </c>
      <c r="AVL224" s="699">
        <f t="shared" si="700"/>
        <v>39</v>
      </c>
      <c r="AVM224" s="699">
        <f t="shared" si="701"/>
        <v>2361.6</v>
      </c>
      <c r="AVN224" s="699">
        <f t="shared" si="702"/>
        <v>1813.82</v>
      </c>
      <c r="AVO224" s="699">
        <f t="shared" si="703"/>
        <v>547.78</v>
      </c>
      <c r="AVP224" s="699">
        <f t="shared" si="704"/>
        <v>0</v>
      </c>
      <c r="AVQ224" s="699">
        <f t="shared" si="705"/>
        <v>25688.5</v>
      </c>
    </row>
    <row r="225" spans="1:108 1244:1265" ht="30" customHeight="1" x14ac:dyDescent="0.25">
      <c r="A225" s="643">
        <v>1</v>
      </c>
      <c r="B225" s="643">
        <v>13</v>
      </c>
      <c r="C225" s="664" t="s">
        <v>29</v>
      </c>
      <c r="D225" s="2"/>
      <c r="E225" s="101" t="s">
        <v>345</v>
      </c>
      <c r="F225" s="643" t="s">
        <v>38</v>
      </c>
      <c r="G225" s="643">
        <v>2</v>
      </c>
      <c r="H225" s="658" t="s">
        <v>10</v>
      </c>
      <c r="I225" s="643">
        <v>0</v>
      </c>
      <c r="J225" s="101" t="s">
        <v>364</v>
      </c>
      <c r="K225" s="643">
        <v>3</v>
      </c>
      <c r="L225" s="683" t="s">
        <v>350</v>
      </c>
      <c r="M225" s="11" t="s">
        <v>270</v>
      </c>
      <c r="N225" s="101" t="s">
        <v>387</v>
      </c>
      <c r="O225" s="643">
        <v>1</v>
      </c>
      <c r="P225" s="632">
        <v>19</v>
      </c>
      <c r="Q225" s="632">
        <v>19</v>
      </c>
      <c r="R225" s="632">
        <v>19</v>
      </c>
      <c r="S225" s="675">
        <f>SUMIF('Территориальный кк'!$A:$A,'2020'!$B225,'Территориальный кк'!D:D)</f>
        <v>1.4650000000000001</v>
      </c>
      <c r="T225" s="676">
        <f>SUMIF('Территориальный кк'!$A:$A,'2020'!$B225,'Территориальный кк'!E:E)</f>
        <v>2.694</v>
      </c>
      <c r="U225" s="618">
        <f>SUMIFS(Нормативы!G:G,Нормативы!$B:$B,$G225,Нормативы!$D:$D,'2020'!$I225,Нормативы!$F:$F,'2020'!$K225)*O225</f>
        <v>70600</v>
      </c>
      <c r="V225" s="618">
        <f t="shared" si="674"/>
        <v>54224.3</v>
      </c>
      <c r="W225" s="618">
        <f t="shared" si="675"/>
        <v>16375.7</v>
      </c>
      <c r="X225" s="618">
        <f>SUMIFS(Нормативы!J:J,Нормативы!$B:$B,$G225,Нормативы!$D:$D,'2020'!$I225,Нормативы!$F:$F,'2020'!$K225)</f>
        <v>8860</v>
      </c>
      <c r="Y225" s="618">
        <f>SUMIFS(Нормативы!K:K,Нормативы!$B:$B,$G225,Нормативы!$D:$D,'2020'!$I225,Нормативы!$F:$F,'2020'!$K225)</f>
        <v>0</v>
      </c>
      <c r="Z225" s="618">
        <f>SUMIFS(Нормативы!L:L,Нормативы!$B:$B,$G225,Нормативы!$D:$D,'2020'!$I225,Нормативы!$F:$F,'2020'!$K225)</f>
        <v>8110</v>
      </c>
      <c r="AA225" s="618">
        <f t="shared" si="676"/>
        <v>21610</v>
      </c>
      <c r="AB225" s="618">
        <f>SUMIFS(Нормативы!N:N,Нормативы!$B:$B,$G225,Нормативы!$D:$D,'2020'!$I225,Нормативы!$F:$F,'2020'!$K225)*O225</f>
        <v>520</v>
      </c>
      <c r="AC225" s="618">
        <f>SUMIFS(Нормативы!O:O,Нормативы!$B:$B,$G225,Нормативы!$D:$D,'2020'!$I225,Нормативы!$F:$F,'2020'!$K225)</f>
        <v>19720</v>
      </c>
      <c r="AD225" s="618">
        <f>SUMIFS(Нормативы!P:P,Нормативы!$B:$B,$G225,Нормативы!$D:$D,'2020'!$I225,Нормативы!$F:$F,'2020'!$K225)*O225</f>
        <v>400</v>
      </c>
      <c r="AE225" s="618">
        <f>SUMIFS(Нормативы!Q:Q,Нормативы!$B:$B,$G225,Нормативы!$D:$D,'2020'!$I225,Нормативы!$F:$F,'2020'!$K225)</f>
        <v>970</v>
      </c>
      <c r="AF225" s="618">
        <f>SUMIFS(Нормативы!R:R,Нормативы!$B:$B,$G225,Нормативы!$D:$D,'2020'!$I225,Нормативы!$F:$F,'2020'!$K225)</f>
        <v>2680</v>
      </c>
      <c r="AG225" s="618">
        <f>SUMIFS(Нормативы!S:S,Нормативы!$B:$B,$G225,Нормативы!$D:$D,'2020'!$I225,Нормативы!$F:$F,'2020'!$K225)</f>
        <v>5800</v>
      </c>
      <c r="AH225" s="618">
        <f>SUMIFS(Нормативы!T:T,Нормативы!$B:$B,$G225,Нормативы!$D:$D,'2020'!$I225,Нормативы!$F:$F,'2020'!$K225)</f>
        <v>540</v>
      </c>
      <c r="AI225" s="618">
        <f>SUMIFS(Нормативы!U:U,Нормативы!$B:$B,$G225,Нормативы!$D:$D,'2020'!$I225,Нормативы!$F:$F,'2020'!$K225)</f>
        <v>770</v>
      </c>
      <c r="AJ225" s="618">
        <f>SUMIFS(Нормативы!V:V,Нормативы!$B:$B,$G225,Нормативы!$D:$D,'2020'!$I225,Нормативы!$F:$F,'2020'!$K225)</f>
        <v>80</v>
      </c>
      <c r="AK225" s="618">
        <f>SUMIFS(Нормативы!W:W,Нормативы!$B:$B,$G225,Нормативы!$D:$D,'2020'!$I225,Нормативы!$F:$F,'2020'!$K225)</f>
        <v>330</v>
      </c>
      <c r="AL225" s="618">
        <f>SUMIFS(Нормативы!X:X,Нормативы!$B:$B,$G225,Нормативы!$D:$D,'2020'!$I225,Нормативы!$F:$F,'2020'!$K225)*O225</f>
        <v>16120</v>
      </c>
      <c r="AM225" s="618">
        <f t="shared" si="677"/>
        <v>12381</v>
      </c>
      <c r="AN225" s="618">
        <f t="shared" si="678"/>
        <v>3739</v>
      </c>
      <c r="AO225" s="618">
        <f>SUMIFS(Нормативы!AA:AA,Нормативы!$B:$B,$G225,Нормативы!$D:$D,'2020'!$I225,Нормативы!$F:$F,'2020'!$K225)</f>
        <v>3520</v>
      </c>
      <c r="AP225" s="619">
        <f t="shared" si="679"/>
        <v>139020</v>
      </c>
      <c r="AQ225" s="413">
        <f t="shared" si="616"/>
        <v>1341400</v>
      </c>
      <c r="AR225" s="618">
        <f t="shared" si="680"/>
        <v>1030261.1</v>
      </c>
      <c r="AS225" s="618">
        <f t="shared" si="681"/>
        <v>311138.90000000002</v>
      </c>
      <c r="AT225" s="616">
        <f t="shared" si="617"/>
        <v>168340</v>
      </c>
      <c r="AU225" s="616">
        <f t="shared" si="618"/>
        <v>0</v>
      </c>
      <c r="AV225" s="616">
        <f t="shared" si="619"/>
        <v>154090</v>
      </c>
      <c r="AW225" s="616">
        <f t="shared" si="620"/>
        <v>410590</v>
      </c>
      <c r="AX225" s="616">
        <f t="shared" si="621"/>
        <v>9880</v>
      </c>
      <c r="AY225" s="616">
        <f t="shared" si="622"/>
        <v>374680</v>
      </c>
      <c r="AZ225" s="616">
        <f t="shared" si="623"/>
        <v>7600</v>
      </c>
      <c r="BA225" s="616">
        <f t="shared" si="624"/>
        <v>18430</v>
      </c>
      <c r="BB225" s="616">
        <f t="shared" si="625"/>
        <v>50920</v>
      </c>
      <c r="BC225" s="616">
        <f t="shared" si="626"/>
        <v>110200</v>
      </c>
      <c r="BD225" s="616">
        <f t="shared" si="627"/>
        <v>10260</v>
      </c>
      <c r="BE225" s="616">
        <f t="shared" si="628"/>
        <v>14630</v>
      </c>
      <c r="BF225" s="616">
        <f t="shared" si="629"/>
        <v>1520</v>
      </c>
      <c r="BG225" s="616">
        <f t="shared" si="630"/>
        <v>6270</v>
      </c>
      <c r="BH225" s="616">
        <f t="shared" si="631"/>
        <v>306280</v>
      </c>
      <c r="BI225" s="618">
        <f t="shared" si="682"/>
        <v>235238.1</v>
      </c>
      <c r="BJ225" s="618">
        <f t="shared" si="683"/>
        <v>71041.899999999994</v>
      </c>
      <c r="BK225" s="616">
        <f t="shared" si="632"/>
        <v>66880</v>
      </c>
      <c r="BL225" s="620">
        <f t="shared" si="633"/>
        <v>2641380</v>
      </c>
      <c r="BM225" s="616">
        <f t="shared" si="634"/>
        <v>1965151</v>
      </c>
      <c r="BN225" s="618">
        <f t="shared" si="635"/>
        <v>1509332.6</v>
      </c>
      <c r="BO225" s="618">
        <f t="shared" si="636"/>
        <v>455818.4</v>
      </c>
      <c r="BP225" s="616">
        <f t="shared" si="684"/>
        <v>168340</v>
      </c>
      <c r="BQ225" s="616">
        <f t="shared" si="685"/>
        <v>0</v>
      </c>
      <c r="BR225" s="616">
        <f t="shared" si="686"/>
        <v>154090</v>
      </c>
      <c r="BS225" s="616">
        <f t="shared" si="637"/>
        <v>410590</v>
      </c>
      <c r="BT225" s="616">
        <f t="shared" si="638"/>
        <v>9880</v>
      </c>
      <c r="BU225" s="616">
        <f t="shared" si="639"/>
        <v>374680</v>
      </c>
      <c r="BV225" s="616">
        <f t="shared" si="640"/>
        <v>7600</v>
      </c>
      <c r="BW225" s="616">
        <f t="shared" si="641"/>
        <v>18430</v>
      </c>
      <c r="BX225" s="616">
        <f t="shared" si="642"/>
        <v>137178</v>
      </c>
      <c r="BY225" s="616">
        <f t="shared" si="643"/>
        <v>110200</v>
      </c>
      <c r="BZ225" s="616">
        <f t="shared" si="644"/>
        <v>10260</v>
      </c>
      <c r="CA225" s="616">
        <f t="shared" si="645"/>
        <v>14630</v>
      </c>
      <c r="CB225" s="616">
        <f t="shared" si="646"/>
        <v>1520</v>
      </c>
      <c r="CC225" s="616">
        <f t="shared" si="647"/>
        <v>6270</v>
      </c>
      <c r="CD225" s="616">
        <f t="shared" si="648"/>
        <v>448700</v>
      </c>
      <c r="CE225" s="618">
        <f t="shared" si="687"/>
        <v>344623.7</v>
      </c>
      <c r="CF225" s="618">
        <f t="shared" si="688"/>
        <v>104076.3</v>
      </c>
      <c r="CG225" s="616">
        <f t="shared" si="649"/>
        <v>66880</v>
      </c>
      <c r="CH225" s="621">
        <f t="shared" si="650"/>
        <v>3493809</v>
      </c>
      <c r="CI225" s="88">
        <f t="shared" si="651"/>
        <v>103429</v>
      </c>
      <c r="CJ225" s="90">
        <f t="shared" si="652"/>
        <v>79438.5579</v>
      </c>
      <c r="CK225" s="90">
        <f t="shared" si="653"/>
        <v>23990.4421</v>
      </c>
      <c r="CL225" s="88">
        <f t="shared" si="654"/>
        <v>8860</v>
      </c>
      <c r="CM225" s="88">
        <f t="shared" si="655"/>
        <v>0</v>
      </c>
      <c r="CN225" s="88">
        <f t="shared" si="656"/>
        <v>8110</v>
      </c>
      <c r="CO225" s="88">
        <f t="shared" si="657"/>
        <v>21610</v>
      </c>
      <c r="CP225" s="88">
        <f t="shared" si="658"/>
        <v>520</v>
      </c>
      <c r="CQ225" s="88">
        <f t="shared" si="659"/>
        <v>19720</v>
      </c>
      <c r="CR225" s="88">
        <f t="shared" si="660"/>
        <v>400</v>
      </c>
      <c r="CS225" s="88">
        <f t="shared" si="661"/>
        <v>970</v>
      </c>
      <c r="CT225" s="88">
        <f t="shared" si="662"/>
        <v>7219.8946999999998</v>
      </c>
      <c r="CU225" s="88">
        <f t="shared" si="663"/>
        <v>5800</v>
      </c>
      <c r="CV225" s="88">
        <f t="shared" si="664"/>
        <v>540</v>
      </c>
      <c r="CW225" s="88">
        <f t="shared" si="665"/>
        <v>770</v>
      </c>
      <c r="CX225" s="88">
        <f t="shared" si="666"/>
        <v>80</v>
      </c>
      <c r="CY225" s="88">
        <f t="shared" si="667"/>
        <v>330</v>
      </c>
      <c r="CZ225" s="88">
        <f t="shared" si="668"/>
        <v>23615.789499999999</v>
      </c>
      <c r="DA225" s="90">
        <f t="shared" si="669"/>
        <v>18138.089499999998</v>
      </c>
      <c r="DB225" s="90">
        <f t="shared" si="670"/>
        <v>5477.7</v>
      </c>
      <c r="DC225" s="88">
        <f t="shared" si="671"/>
        <v>3520</v>
      </c>
      <c r="DD225" s="88">
        <f t="shared" si="672"/>
        <v>183884.68419999999</v>
      </c>
      <c r="AUV225" s="699">
        <f t="shared" si="586"/>
        <v>103429</v>
      </c>
      <c r="AUW225" s="699">
        <f t="shared" si="587"/>
        <v>79438.559999999998</v>
      </c>
      <c r="AUX225" s="699">
        <f t="shared" si="588"/>
        <v>23990.44</v>
      </c>
      <c r="AUY225" s="699">
        <f t="shared" si="689"/>
        <v>8860</v>
      </c>
      <c r="AUZ225" s="699">
        <f t="shared" si="615"/>
        <v>0</v>
      </c>
      <c r="AVA225" s="699">
        <f t="shared" si="615"/>
        <v>2.1800000000000002</v>
      </c>
      <c r="AVB225" s="699">
        <f t="shared" si="690"/>
        <v>21610</v>
      </c>
      <c r="AVC225" s="699">
        <f t="shared" si="691"/>
        <v>520</v>
      </c>
      <c r="AVD225" s="699">
        <f t="shared" si="692"/>
        <v>19720</v>
      </c>
      <c r="AVE225" s="699">
        <f t="shared" si="693"/>
        <v>400</v>
      </c>
      <c r="AVF225" s="699">
        <f t="shared" si="694"/>
        <v>970</v>
      </c>
      <c r="AVG225" s="699">
        <f t="shared" si="695"/>
        <v>7219.89</v>
      </c>
      <c r="AVH225" s="699">
        <f t="shared" si="696"/>
        <v>5800</v>
      </c>
      <c r="AVI225" s="699">
        <f t="shared" si="697"/>
        <v>540</v>
      </c>
      <c r="AVJ225" s="699">
        <f t="shared" si="698"/>
        <v>770</v>
      </c>
      <c r="AVK225" s="699">
        <f t="shared" si="699"/>
        <v>80</v>
      </c>
      <c r="AVL225" s="699">
        <f t="shared" si="700"/>
        <v>330</v>
      </c>
      <c r="AVM225" s="699">
        <f t="shared" si="701"/>
        <v>23615.79</v>
      </c>
      <c r="AVN225" s="699">
        <f t="shared" si="702"/>
        <v>18138.09</v>
      </c>
      <c r="AVO225" s="699">
        <f t="shared" si="703"/>
        <v>5477.7</v>
      </c>
      <c r="AVP225" s="699">
        <f t="shared" si="704"/>
        <v>3520</v>
      </c>
      <c r="AVQ225" s="699">
        <f t="shared" si="705"/>
        <v>183884.68</v>
      </c>
    </row>
    <row r="226" spans="1:108 1244:1265" ht="30" customHeight="1" x14ac:dyDescent="0.25">
      <c r="A226" s="643">
        <v>1</v>
      </c>
      <c r="B226" s="643">
        <v>13</v>
      </c>
      <c r="C226" s="664" t="s">
        <v>29</v>
      </c>
      <c r="D226" s="2"/>
      <c r="E226" s="101" t="s">
        <v>345</v>
      </c>
      <c r="F226" s="643" t="s">
        <v>38</v>
      </c>
      <c r="G226" s="643">
        <v>2</v>
      </c>
      <c r="H226" s="658" t="s">
        <v>8</v>
      </c>
      <c r="I226" s="643">
        <v>3</v>
      </c>
      <c r="J226" s="101" t="s">
        <v>364</v>
      </c>
      <c r="K226" s="643">
        <v>3</v>
      </c>
      <c r="L226" s="683" t="s">
        <v>350</v>
      </c>
      <c r="M226" s="11" t="s">
        <v>307</v>
      </c>
      <c r="N226" s="101" t="s">
        <v>387</v>
      </c>
      <c r="O226" s="643">
        <v>1</v>
      </c>
      <c r="P226" s="632">
        <v>20</v>
      </c>
      <c r="Q226" s="632">
        <v>20</v>
      </c>
      <c r="R226" s="632">
        <v>20</v>
      </c>
      <c r="S226" s="675">
        <f>SUMIF('Территориальный кк'!$A:$A,'2020'!$B226,'Территориальный кк'!D:D)</f>
        <v>1.4650000000000001</v>
      </c>
      <c r="T226" s="676">
        <f>SUMIF('Территориальный кк'!$A:$A,'2020'!$B226,'Территориальный кк'!E:E)</f>
        <v>2.694</v>
      </c>
      <c r="U226" s="618">
        <f>SUMIFS(Нормативы!G:G,Нормативы!$B:$B,$G226,Нормативы!$D:$D,'2020'!$I226,Нормативы!$F:$F,'2020'!$K226)*O226</f>
        <v>12944</v>
      </c>
      <c r="V226" s="618">
        <f t="shared" si="674"/>
        <v>9941.6</v>
      </c>
      <c r="W226" s="618">
        <f t="shared" si="675"/>
        <v>3002.4</v>
      </c>
      <c r="X226" s="618">
        <f>SUMIFS(Нормативы!J:J,Нормативы!$B:$B,$G226,Нормативы!$D:$D,'2020'!$I226,Нормативы!$F:$F,'2020'!$K226)</f>
        <v>486</v>
      </c>
      <c r="Y226" s="618">
        <f>SUMIFS(Нормативы!K:K,Нормативы!$B:$B,$G226,Нормативы!$D:$D,'2020'!$I226,Нормативы!$F:$F,'2020'!$K226)</f>
        <v>97</v>
      </c>
      <c r="Z226" s="618">
        <f>SUMIFS(Нормативы!L:L,Нормативы!$B:$B,$G226,Нормативы!$D:$D,'2020'!$I226,Нормативы!$F:$F,'2020'!$K226)</f>
        <v>348</v>
      </c>
      <c r="AA226" s="618">
        <f t="shared" si="676"/>
        <v>2031</v>
      </c>
      <c r="AB226" s="618">
        <f>SUMIFS(Нормативы!N:N,Нормативы!$B:$B,$G226,Нормативы!$D:$D,'2020'!$I226,Нормативы!$F:$F,'2020'!$K226)*O226</f>
        <v>52</v>
      </c>
      <c r="AC226" s="618">
        <f>SUMIFS(Нормативы!O:O,Нормативы!$B:$B,$G226,Нормативы!$D:$D,'2020'!$I226,Нормативы!$F:$F,'2020'!$K226)</f>
        <v>1728</v>
      </c>
      <c r="AD226" s="618">
        <f>SUMIFS(Нормативы!P:P,Нормативы!$B:$B,$G226,Нормативы!$D:$D,'2020'!$I226,Нормативы!$F:$F,'2020'!$K226)*O226</f>
        <v>73</v>
      </c>
      <c r="AE226" s="618">
        <f>SUMIFS(Нормативы!Q:Q,Нормативы!$B:$B,$G226,Нормативы!$D:$D,'2020'!$I226,Нормативы!$F:$F,'2020'!$K226)</f>
        <v>178</v>
      </c>
      <c r="AF226" s="618">
        <f>SUMIFS(Нормативы!R:R,Нормативы!$B:$B,$G226,Нормативы!$D:$D,'2020'!$I226,Нормативы!$F:$F,'2020'!$K226)</f>
        <v>275</v>
      </c>
      <c r="AG226" s="618">
        <f>SUMIFS(Нормативы!S:S,Нормативы!$B:$B,$G226,Нормативы!$D:$D,'2020'!$I226,Нормативы!$F:$F,'2020'!$K226)</f>
        <v>580</v>
      </c>
      <c r="AH226" s="618">
        <f>SUMIFS(Нормативы!T:T,Нормативы!$B:$B,$G226,Нормативы!$D:$D,'2020'!$I226,Нормативы!$F:$F,'2020'!$K226)</f>
        <v>54</v>
      </c>
      <c r="AI226" s="618">
        <f>SUMIFS(Нормативы!U:U,Нормативы!$B:$B,$G226,Нормативы!$D:$D,'2020'!$I226,Нормативы!$F:$F,'2020'!$K226)</f>
        <v>77</v>
      </c>
      <c r="AJ226" s="618">
        <f>SUMIFS(Нормативы!V:V,Нормативы!$B:$B,$G226,Нормативы!$D:$D,'2020'!$I226,Нормативы!$F:$F,'2020'!$K226)</f>
        <v>8</v>
      </c>
      <c r="AK226" s="618">
        <f>SUMIFS(Нормативы!W:W,Нормативы!$B:$B,$G226,Нормативы!$D:$D,'2020'!$I226,Нормативы!$F:$F,'2020'!$K226)</f>
        <v>39</v>
      </c>
      <c r="AL226" s="618">
        <f>SUMIFS(Нормативы!X:X,Нормативы!$B:$B,$G226,Нормативы!$D:$D,'2020'!$I226,Нормативы!$F:$F,'2020'!$K226)*O226</f>
        <v>1612</v>
      </c>
      <c r="AM226" s="618">
        <f t="shared" si="677"/>
        <v>1238.0999999999999</v>
      </c>
      <c r="AN226" s="618">
        <f t="shared" si="678"/>
        <v>373.9</v>
      </c>
      <c r="AO226" s="618">
        <f>SUMIFS(Нормативы!AA:AA,Нормативы!$B:$B,$G226,Нормативы!$D:$D,'2020'!$I226,Нормативы!$F:$F,'2020'!$K226)</f>
        <v>0</v>
      </c>
      <c r="AP226" s="619">
        <f t="shared" si="679"/>
        <v>18454</v>
      </c>
      <c r="AQ226" s="413">
        <f t="shared" si="616"/>
        <v>258880</v>
      </c>
      <c r="AR226" s="618">
        <f t="shared" si="680"/>
        <v>198832.6</v>
      </c>
      <c r="AS226" s="618">
        <f t="shared" si="681"/>
        <v>60047.4</v>
      </c>
      <c r="AT226" s="616">
        <f t="shared" si="617"/>
        <v>9720</v>
      </c>
      <c r="AU226" s="616">
        <f t="shared" si="618"/>
        <v>1940</v>
      </c>
      <c r="AV226" s="616">
        <f t="shared" si="619"/>
        <v>6960</v>
      </c>
      <c r="AW226" s="616">
        <f t="shared" si="620"/>
        <v>40620</v>
      </c>
      <c r="AX226" s="616">
        <f t="shared" si="621"/>
        <v>1040</v>
      </c>
      <c r="AY226" s="616">
        <f t="shared" si="622"/>
        <v>34560</v>
      </c>
      <c r="AZ226" s="616">
        <f t="shared" si="623"/>
        <v>1460</v>
      </c>
      <c r="BA226" s="616">
        <f t="shared" si="624"/>
        <v>3560</v>
      </c>
      <c r="BB226" s="616">
        <f t="shared" si="625"/>
        <v>5500</v>
      </c>
      <c r="BC226" s="616">
        <f t="shared" si="626"/>
        <v>11600</v>
      </c>
      <c r="BD226" s="616">
        <f t="shared" si="627"/>
        <v>1080</v>
      </c>
      <c r="BE226" s="616">
        <f t="shared" si="628"/>
        <v>1540</v>
      </c>
      <c r="BF226" s="616">
        <f t="shared" si="629"/>
        <v>160</v>
      </c>
      <c r="BG226" s="616">
        <f t="shared" si="630"/>
        <v>780</v>
      </c>
      <c r="BH226" s="616">
        <f t="shared" si="631"/>
        <v>32240</v>
      </c>
      <c r="BI226" s="618">
        <f t="shared" si="682"/>
        <v>24761.9</v>
      </c>
      <c r="BJ226" s="618">
        <f t="shared" si="683"/>
        <v>7478.1</v>
      </c>
      <c r="BK226" s="616">
        <f t="shared" si="632"/>
        <v>0</v>
      </c>
      <c r="BL226" s="620">
        <f t="shared" si="633"/>
        <v>369080</v>
      </c>
      <c r="BM226" s="616">
        <f t="shared" si="634"/>
        <v>379259</v>
      </c>
      <c r="BN226" s="618">
        <f t="shared" si="635"/>
        <v>291289.59999999998</v>
      </c>
      <c r="BO226" s="618">
        <f t="shared" si="636"/>
        <v>87969.4</v>
      </c>
      <c r="BP226" s="616">
        <f t="shared" si="684"/>
        <v>9720</v>
      </c>
      <c r="BQ226" s="616">
        <f t="shared" si="685"/>
        <v>1940</v>
      </c>
      <c r="BR226" s="616">
        <f t="shared" si="686"/>
        <v>6960</v>
      </c>
      <c r="BS226" s="616">
        <f t="shared" si="637"/>
        <v>40620</v>
      </c>
      <c r="BT226" s="616">
        <f t="shared" si="638"/>
        <v>1040</v>
      </c>
      <c r="BU226" s="616">
        <f t="shared" si="639"/>
        <v>34560</v>
      </c>
      <c r="BV226" s="616">
        <f t="shared" si="640"/>
        <v>1460</v>
      </c>
      <c r="BW226" s="616">
        <f t="shared" si="641"/>
        <v>3560</v>
      </c>
      <c r="BX226" s="616">
        <f t="shared" si="642"/>
        <v>14817</v>
      </c>
      <c r="BY226" s="616">
        <f t="shared" si="643"/>
        <v>11600</v>
      </c>
      <c r="BZ226" s="616">
        <f t="shared" si="644"/>
        <v>1080</v>
      </c>
      <c r="CA226" s="616">
        <f t="shared" si="645"/>
        <v>1540</v>
      </c>
      <c r="CB226" s="616">
        <f t="shared" si="646"/>
        <v>160</v>
      </c>
      <c r="CC226" s="616">
        <f t="shared" si="647"/>
        <v>780</v>
      </c>
      <c r="CD226" s="616">
        <f t="shared" si="648"/>
        <v>47232</v>
      </c>
      <c r="CE226" s="618">
        <f t="shared" si="687"/>
        <v>36276.5</v>
      </c>
      <c r="CF226" s="618">
        <f t="shared" si="688"/>
        <v>10955.5</v>
      </c>
      <c r="CG226" s="616">
        <f t="shared" si="649"/>
        <v>0</v>
      </c>
      <c r="CH226" s="621">
        <f t="shared" si="650"/>
        <v>513768</v>
      </c>
      <c r="CI226" s="88">
        <f t="shared" si="651"/>
        <v>18962.95</v>
      </c>
      <c r="CJ226" s="90">
        <f t="shared" si="652"/>
        <v>14564.48</v>
      </c>
      <c r="CK226" s="90">
        <f t="shared" si="653"/>
        <v>4398.47</v>
      </c>
      <c r="CL226" s="88">
        <f t="shared" si="654"/>
        <v>486</v>
      </c>
      <c r="CM226" s="88">
        <f t="shared" si="655"/>
        <v>97</v>
      </c>
      <c r="CN226" s="88">
        <f t="shared" si="656"/>
        <v>348</v>
      </c>
      <c r="CO226" s="88">
        <f t="shared" si="657"/>
        <v>2031</v>
      </c>
      <c r="CP226" s="88">
        <f t="shared" si="658"/>
        <v>52</v>
      </c>
      <c r="CQ226" s="88">
        <f t="shared" si="659"/>
        <v>1728</v>
      </c>
      <c r="CR226" s="88">
        <f t="shared" si="660"/>
        <v>73</v>
      </c>
      <c r="CS226" s="88">
        <f t="shared" si="661"/>
        <v>178</v>
      </c>
      <c r="CT226" s="88">
        <f t="shared" si="662"/>
        <v>740.85</v>
      </c>
      <c r="CU226" s="88">
        <f t="shared" si="663"/>
        <v>580</v>
      </c>
      <c r="CV226" s="88">
        <f t="shared" si="664"/>
        <v>54</v>
      </c>
      <c r="CW226" s="88">
        <f t="shared" si="665"/>
        <v>77</v>
      </c>
      <c r="CX226" s="88">
        <f t="shared" si="666"/>
        <v>8</v>
      </c>
      <c r="CY226" s="88">
        <f t="shared" si="667"/>
        <v>39</v>
      </c>
      <c r="CZ226" s="88">
        <f t="shared" si="668"/>
        <v>2361.6</v>
      </c>
      <c r="DA226" s="90">
        <f t="shared" si="669"/>
        <v>1813.825</v>
      </c>
      <c r="DB226" s="90">
        <f t="shared" si="670"/>
        <v>547.77499999999998</v>
      </c>
      <c r="DC226" s="88">
        <f t="shared" si="671"/>
        <v>0</v>
      </c>
      <c r="DD226" s="88">
        <f t="shared" si="672"/>
        <v>25688.400000000001</v>
      </c>
      <c r="AUV226" s="699">
        <f t="shared" si="586"/>
        <v>18962.95</v>
      </c>
      <c r="AUW226" s="699">
        <f t="shared" si="587"/>
        <v>14564.48</v>
      </c>
      <c r="AUX226" s="699">
        <f t="shared" si="588"/>
        <v>4398.47</v>
      </c>
      <c r="AUY226" s="699">
        <f t="shared" si="689"/>
        <v>486</v>
      </c>
      <c r="AUZ226" s="699">
        <f t="shared" si="615"/>
        <v>720.12</v>
      </c>
      <c r="AVA226" s="699">
        <f t="shared" si="615"/>
        <v>0.54</v>
      </c>
      <c r="AVB226" s="699">
        <f t="shared" si="690"/>
        <v>2031</v>
      </c>
      <c r="AVC226" s="699">
        <f t="shared" si="691"/>
        <v>52</v>
      </c>
      <c r="AVD226" s="699">
        <f t="shared" si="692"/>
        <v>1728</v>
      </c>
      <c r="AVE226" s="699">
        <f t="shared" si="693"/>
        <v>73</v>
      </c>
      <c r="AVF226" s="699">
        <f t="shared" si="694"/>
        <v>178</v>
      </c>
      <c r="AVG226" s="699">
        <f t="shared" si="695"/>
        <v>740.85</v>
      </c>
      <c r="AVH226" s="699">
        <f t="shared" si="696"/>
        <v>580</v>
      </c>
      <c r="AVI226" s="699">
        <f t="shared" si="697"/>
        <v>54</v>
      </c>
      <c r="AVJ226" s="699">
        <f t="shared" si="698"/>
        <v>77</v>
      </c>
      <c r="AVK226" s="699">
        <f t="shared" si="699"/>
        <v>8</v>
      </c>
      <c r="AVL226" s="699">
        <f t="shared" si="700"/>
        <v>39</v>
      </c>
      <c r="AVM226" s="699">
        <f t="shared" si="701"/>
        <v>2361.6</v>
      </c>
      <c r="AVN226" s="699">
        <f t="shared" si="702"/>
        <v>1813.82</v>
      </c>
      <c r="AVO226" s="699">
        <f t="shared" si="703"/>
        <v>547.78</v>
      </c>
      <c r="AVP226" s="699">
        <f t="shared" si="704"/>
        <v>0</v>
      </c>
      <c r="AVQ226" s="699">
        <f t="shared" si="705"/>
        <v>25688.400000000001</v>
      </c>
    </row>
    <row r="227" spans="1:108 1244:1265" ht="30" customHeight="1" x14ac:dyDescent="0.25">
      <c r="A227" s="643">
        <v>1</v>
      </c>
      <c r="B227" s="643">
        <v>13</v>
      </c>
      <c r="C227" s="664" t="s">
        <v>29</v>
      </c>
      <c r="D227" s="2"/>
      <c r="E227" s="101" t="s">
        <v>346</v>
      </c>
      <c r="F227" s="643" t="s">
        <v>39</v>
      </c>
      <c r="G227" s="643">
        <v>3</v>
      </c>
      <c r="H227" s="658" t="s">
        <v>10</v>
      </c>
      <c r="I227" s="643">
        <v>0</v>
      </c>
      <c r="J227" s="101" t="s">
        <v>367</v>
      </c>
      <c r="K227" s="643">
        <v>3</v>
      </c>
      <c r="L227" s="683" t="s">
        <v>351</v>
      </c>
      <c r="M227" s="11" t="s">
        <v>273</v>
      </c>
      <c r="N227" s="101" t="s">
        <v>387</v>
      </c>
      <c r="O227" s="643">
        <v>1</v>
      </c>
      <c r="P227" s="632">
        <v>7</v>
      </c>
      <c r="Q227" s="632">
        <v>7</v>
      </c>
      <c r="R227" s="632">
        <v>7</v>
      </c>
      <c r="S227" s="675">
        <f>SUMIF('Территориальный кк'!$A:$A,'2020'!$B227,'Территориальный кк'!D:D)</f>
        <v>1.4650000000000001</v>
      </c>
      <c r="T227" s="676">
        <f>SUMIF('Территориальный кк'!$A:$A,'2020'!$B227,'Территориальный кк'!E:E)</f>
        <v>2.694</v>
      </c>
      <c r="U227" s="618">
        <f>SUMIFS(Нормативы!G:G,Нормативы!$B:$B,$G227,Нормативы!$D:$D,'2020'!$I227,Нормативы!$F:$F,'2020'!$K227)*O227</f>
        <v>78450</v>
      </c>
      <c r="V227" s="618">
        <f t="shared" si="674"/>
        <v>60253.5</v>
      </c>
      <c r="W227" s="618">
        <f t="shared" si="675"/>
        <v>18196.5</v>
      </c>
      <c r="X227" s="618">
        <f>SUMIFS(Нормативы!J:J,Нормативы!$B:$B,$G227,Нормативы!$D:$D,'2020'!$I227,Нормативы!$F:$F,'2020'!$K227)</f>
        <v>6840</v>
      </c>
      <c r="Y227" s="618">
        <f>SUMIFS(Нормативы!K:K,Нормативы!$B:$B,$G227,Нормативы!$D:$D,'2020'!$I227,Нормативы!$F:$F,'2020'!$K227)</f>
        <v>1368</v>
      </c>
      <c r="Z227" s="618">
        <f>SUMIFS(Нормативы!L:L,Нормативы!$B:$B,$G227,Нормативы!$D:$D,'2020'!$I227,Нормативы!$F:$F,'2020'!$K227)</f>
        <v>8110</v>
      </c>
      <c r="AA227" s="618">
        <f t="shared" si="676"/>
        <v>23360</v>
      </c>
      <c r="AB227" s="618">
        <f>SUMIFS(Нормативы!N:N,Нормативы!$B:$B,$G227,Нормативы!$D:$D,'2020'!$I227,Нормативы!$F:$F,'2020'!$K227)*O227</f>
        <v>880</v>
      </c>
      <c r="AC227" s="618">
        <f>SUMIFS(Нормативы!O:O,Нормативы!$B:$B,$G227,Нормативы!$D:$D,'2020'!$I227,Нормативы!$F:$F,'2020'!$K227)</f>
        <v>20960</v>
      </c>
      <c r="AD227" s="618">
        <f>SUMIFS(Нормативы!P:P,Нормативы!$B:$B,$G227,Нормативы!$D:$D,'2020'!$I227,Нормативы!$F:$F,'2020'!$K227)*O227</f>
        <v>440</v>
      </c>
      <c r="AE227" s="618">
        <f>SUMIFS(Нормативы!Q:Q,Нормативы!$B:$B,$G227,Нормативы!$D:$D,'2020'!$I227,Нормативы!$F:$F,'2020'!$K227)</f>
        <v>1080</v>
      </c>
      <c r="AF227" s="618">
        <f>SUMIFS(Нормативы!R:R,Нормативы!$B:$B,$G227,Нормативы!$D:$D,'2020'!$I227,Нормативы!$F:$F,'2020'!$K227)</f>
        <v>2700</v>
      </c>
      <c r="AG227" s="618">
        <f>SUMIFS(Нормативы!S:S,Нормативы!$B:$B,$G227,Нормативы!$D:$D,'2020'!$I227,Нормативы!$F:$F,'2020'!$K227)</f>
        <v>5800</v>
      </c>
      <c r="AH227" s="618">
        <f>SUMIFS(Нормативы!T:T,Нормативы!$B:$B,$G227,Нормативы!$D:$D,'2020'!$I227,Нормативы!$F:$F,'2020'!$K227)</f>
        <v>540</v>
      </c>
      <c r="AI227" s="618">
        <f>SUMIFS(Нормативы!U:U,Нормативы!$B:$B,$G227,Нормативы!$D:$D,'2020'!$I227,Нормативы!$F:$F,'2020'!$K227)</f>
        <v>770</v>
      </c>
      <c r="AJ227" s="618">
        <f>SUMIFS(Нормативы!V:V,Нормативы!$B:$B,$G227,Нормативы!$D:$D,'2020'!$I227,Нормативы!$F:$F,'2020'!$K227)</f>
        <v>170</v>
      </c>
      <c r="AK227" s="618">
        <f>SUMIFS(Нормативы!W:W,Нормативы!$B:$B,$G227,Нормативы!$D:$D,'2020'!$I227,Нормативы!$F:$F,'2020'!$K227)</f>
        <v>200</v>
      </c>
      <c r="AL227" s="618">
        <f>SUMIFS(Нормативы!X:X,Нормативы!$B:$B,$G227,Нормативы!$D:$D,'2020'!$I227,Нормативы!$F:$F,'2020'!$K227)*O227</f>
        <v>13440</v>
      </c>
      <c r="AM227" s="618">
        <f t="shared" si="677"/>
        <v>10322.6</v>
      </c>
      <c r="AN227" s="618">
        <f t="shared" si="678"/>
        <v>3117.4</v>
      </c>
      <c r="AO227" s="618">
        <f>SUMIFS(Нормативы!AA:AA,Нормативы!$B:$B,$G227,Нормативы!$D:$D,'2020'!$I227,Нормативы!$F:$F,'2020'!$K227)</f>
        <v>0</v>
      </c>
      <c r="AP227" s="619">
        <f t="shared" si="679"/>
        <v>140380</v>
      </c>
      <c r="AQ227" s="413">
        <f t="shared" si="616"/>
        <v>549150</v>
      </c>
      <c r="AR227" s="618">
        <f t="shared" si="680"/>
        <v>421774.2</v>
      </c>
      <c r="AS227" s="618">
        <f t="shared" si="681"/>
        <v>127375.8</v>
      </c>
      <c r="AT227" s="616">
        <f t="shared" si="617"/>
        <v>47880</v>
      </c>
      <c r="AU227" s="616">
        <f t="shared" si="618"/>
        <v>9576</v>
      </c>
      <c r="AV227" s="616">
        <f t="shared" si="619"/>
        <v>56770</v>
      </c>
      <c r="AW227" s="616">
        <f t="shared" si="620"/>
        <v>163520</v>
      </c>
      <c r="AX227" s="616">
        <f t="shared" si="621"/>
        <v>6160</v>
      </c>
      <c r="AY227" s="616">
        <f t="shared" si="622"/>
        <v>146720</v>
      </c>
      <c r="AZ227" s="616">
        <f t="shared" si="623"/>
        <v>3080</v>
      </c>
      <c r="BA227" s="616">
        <f t="shared" si="624"/>
        <v>7560</v>
      </c>
      <c r="BB227" s="616">
        <f t="shared" si="625"/>
        <v>18900</v>
      </c>
      <c r="BC227" s="616">
        <f t="shared" si="626"/>
        <v>40600</v>
      </c>
      <c r="BD227" s="616">
        <f t="shared" si="627"/>
        <v>3780</v>
      </c>
      <c r="BE227" s="616">
        <f t="shared" si="628"/>
        <v>5390</v>
      </c>
      <c r="BF227" s="616">
        <f t="shared" si="629"/>
        <v>1190</v>
      </c>
      <c r="BG227" s="616">
        <f t="shared" si="630"/>
        <v>1400</v>
      </c>
      <c r="BH227" s="616">
        <f t="shared" si="631"/>
        <v>94080</v>
      </c>
      <c r="BI227" s="618">
        <f t="shared" si="682"/>
        <v>72258.100000000006</v>
      </c>
      <c r="BJ227" s="618">
        <f t="shared" si="683"/>
        <v>21821.9</v>
      </c>
      <c r="BK227" s="616">
        <f t="shared" si="632"/>
        <v>0</v>
      </c>
      <c r="BL227" s="620">
        <f t="shared" si="633"/>
        <v>982660</v>
      </c>
      <c r="BM227" s="616">
        <f t="shared" si="634"/>
        <v>804505</v>
      </c>
      <c r="BN227" s="618">
        <f t="shared" si="635"/>
        <v>617899.4</v>
      </c>
      <c r="BO227" s="618">
        <f t="shared" si="636"/>
        <v>186605.6</v>
      </c>
      <c r="BP227" s="616">
        <f t="shared" si="684"/>
        <v>47880</v>
      </c>
      <c r="BQ227" s="616">
        <f t="shared" si="685"/>
        <v>9576</v>
      </c>
      <c r="BR227" s="616">
        <f t="shared" si="686"/>
        <v>56770</v>
      </c>
      <c r="BS227" s="616">
        <f t="shared" si="637"/>
        <v>163520</v>
      </c>
      <c r="BT227" s="616">
        <f t="shared" si="638"/>
        <v>6160</v>
      </c>
      <c r="BU227" s="616">
        <f t="shared" si="639"/>
        <v>146720</v>
      </c>
      <c r="BV227" s="616">
        <f t="shared" si="640"/>
        <v>3080</v>
      </c>
      <c r="BW227" s="616">
        <f t="shared" si="641"/>
        <v>7560</v>
      </c>
      <c r="BX227" s="616">
        <f t="shared" si="642"/>
        <v>50917</v>
      </c>
      <c r="BY227" s="616">
        <f t="shared" si="643"/>
        <v>40600</v>
      </c>
      <c r="BZ227" s="616">
        <f t="shared" si="644"/>
        <v>3780</v>
      </c>
      <c r="CA227" s="616">
        <f t="shared" si="645"/>
        <v>5390</v>
      </c>
      <c r="CB227" s="616">
        <f t="shared" si="646"/>
        <v>1190</v>
      </c>
      <c r="CC227" s="616">
        <f t="shared" si="647"/>
        <v>1400</v>
      </c>
      <c r="CD227" s="616">
        <f t="shared" si="648"/>
        <v>137827</v>
      </c>
      <c r="CE227" s="618">
        <f t="shared" si="687"/>
        <v>105857.9</v>
      </c>
      <c r="CF227" s="618">
        <f t="shared" si="688"/>
        <v>31969.1</v>
      </c>
      <c r="CG227" s="616">
        <f t="shared" si="649"/>
        <v>0</v>
      </c>
      <c r="CH227" s="621">
        <f t="shared" si="650"/>
        <v>1313779</v>
      </c>
      <c r="CI227" s="88">
        <f t="shared" si="651"/>
        <v>114929.28569999999</v>
      </c>
      <c r="CJ227" s="90">
        <f t="shared" si="652"/>
        <v>88271.342900000003</v>
      </c>
      <c r="CK227" s="90">
        <f t="shared" si="653"/>
        <v>26657.942899999998</v>
      </c>
      <c r="CL227" s="88">
        <f t="shared" si="654"/>
        <v>6840</v>
      </c>
      <c r="CM227" s="88">
        <f t="shared" si="655"/>
        <v>1368</v>
      </c>
      <c r="CN227" s="88">
        <f t="shared" si="656"/>
        <v>8110</v>
      </c>
      <c r="CO227" s="88">
        <f t="shared" si="657"/>
        <v>23360</v>
      </c>
      <c r="CP227" s="88">
        <f t="shared" si="658"/>
        <v>880</v>
      </c>
      <c r="CQ227" s="88">
        <f t="shared" si="659"/>
        <v>20960</v>
      </c>
      <c r="CR227" s="88">
        <f t="shared" si="660"/>
        <v>440</v>
      </c>
      <c r="CS227" s="88">
        <f t="shared" si="661"/>
        <v>1080</v>
      </c>
      <c r="CT227" s="88">
        <f t="shared" si="662"/>
        <v>7273.8571000000002</v>
      </c>
      <c r="CU227" s="88">
        <f t="shared" si="663"/>
        <v>5800</v>
      </c>
      <c r="CV227" s="88">
        <f t="shared" si="664"/>
        <v>540</v>
      </c>
      <c r="CW227" s="88">
        <f t="shared" si="665"/>
        <v>770</v>
      </c>
      <c r="CX227" s="88">
        <f t="shared" si="666"/>
        <v>170</v>
      </c>
      <c r="CY227" s="88">
        <f t="shared" si="667"/>
        <v>200</v>
      </c>
      <c r="CZ227" s="88">
        <f t="shared" si="668"/>
        <v>19689.571400000001</v>
      </c>
      <c r="DA227" s="90">
        <f t="shared" si="669"/>
        <v>15122.5571</v>
      </c>
      <c r="DB227" s="90">
        <f t="shared" si="670"/>
        <v>4567.0142999999998</v>
      </c>
      <c r="DC227" s="88">
        <f t="shared" si="671"/>
        <v>0</v>
      </c>
      <c r="DD227" s="88">
        <f t="shared" si="672"/>
        <v>187682.71429999999</v>
      </c>
      <c r="AUV227" s="699">
        <f t="shared" si="586"/>
        <v>114929.29</v>
      </c>
      <c r="AUW227" s="699">
        <f t="shared" si="587"/>
        <v>88271.34</v>
      </c>
      <c r="AUX227" s="699">
        <f t="shared" si="588"/>
        <v>26657.95</v>
      </c>
      <c r="AUY227" s="699">
        <f t="shared" si="689"/>
        <v>6840</v>
      </c>
      <c r="AUZ227" s="699">
        <f t="shared" si="615"/>
        <v>3554.57</v>
      </c>
      <c r="AVA227" s="699">
        <f t="shared" si="615"/>
        <v>0.72</v>
      </c>
      <c r="AVB227" s="699">
        <f t="shared" si="690"/>
        <v>23360</v>
      </c>
      <c r="AVC227" s="699">
        <f t="shared" si="691"/>
        <v>880</v>
      </c>
      <c r="AVD227" s="699">
        <f t="shared" si="692"/>
        <v>20960</v>
      </c>
      <c r="AVE227" s="699">
        <f t="shared" si="693"/>
        <v>440</v>
      </c>
      <c r="AVF227" s="699">
        <f t="shared" si="694"/>
        <v>1080</v>
      </c>
      <c r="AVG227" s="699">
        <f t="shared" si="695"/>
        <v>7273.86</v>
      </c>
      <c r="AVH227" s="699">
        <f t="shared" si="696"/>
        <v>5800</v>
      </c>
      <c r="AVI227" s="699">
        <f t="shared" si="697"/>
        <v>540</v>
      </c>
      <c r="AVJ227" s="699">
        <f t="shared" si="698"/>
        <v>770</v>
      </c>
      <c r="AVK227" s="699">
        <f t="shared" si="699"/>
        <v>170</v>
      </c>
      <c r="AVL227" s="699">
        <f t="shared" si="700"/>
        <v>200</v>
      </c>
      <c r="AVM227" s="699">
        <f t="shared" si="701"/>
        <v>19689.57</v>
      </c>
      <c r="AVN227" s="699">
        <f t="shared" si="702"/>
        <v>15122.56</v>
      </c>
      <c r="AVO227" s="699">
        <f t="shared" si="703"/>
        <v>4567.01</v>
      </c>
      <c r="AVP227" s="699">
        <f t="shared" si="704"/>
        <v>0</v>
      </c>
      <c r="AVQ227" s="699">
        <f t="shared" si="705"/>
        <v>187682.71</v>
      </c>
    </row>
    <row r="228" spans="1:108 1244:1265" ht="30" customHeight="1" x14ac:dyDescent="0.25">
      <c r="A228" s="643">
        <v>1</v>
      </c>
      <c r="B228" s="643">
        <v>14</v>
      </c>
      <c r="C228" s="664" t="s">
        <v>249</v>
      </c>
      <c r="D228" s="2"/>
      <c r="E228" s="101" t="s">
        <v>344</v>
      </c>
      <c r="F228" s="643" t="s">
        <v>31</v>
      </c>
      <c r="G228" s="643">
        <v>1</v>
      </c>
      <c r="H228" s="658" t="s">
        <v>8</v>
      </c>
      <c r="I228" s="643">
        <v>3</v>
      </c>
      <c r="J228" s="101" t="s">
        <v>355</v>
      </c>
      <c r="K228" s="643">
        <v>1</v>
      </c>
      <c r="L228" s="683" t="s">
        <v>349</v>
      </c>
      <c r="M228" s="11" t="s">
        <v>254</v>
      </c>
      <c r="N228" s="101" t="s">
        <v>387</v>
      </c>
      <c r="O228" s="643">
        <v>1</v>
      </c>
      <c r="P228" s="632"/>
      <c r="Q228" s="632"/>
      <c r="R228" s="632"/>
      <c r="S228" s="675">
        <f>SUMIF('Территориальный кк'!$A:$A,'2020'!$B228,'Территориальный кк'!D:D)</f>
        <v>2.9380000000000002</v>
      </c>
      <c r="T228" s="676">
        <f>SUMIF('Территориальный кк'!$A:$A,'2020'!$B228,'Территориальный кк'!E:E)</f>
        <v>12.574999999999999</v>
      </c>
      <c r="U228" s="618">
        <f>SUMIFS(Нормативы!G:G,Нормативы!$B:$B,$G228,Нормативы!$D:$D,'2020'!$I228,Нормативы!$F:$F,'2020'!$K228)*O228</f>
        <v>5402</v>
      </c>
      <c r="V228" s="618">
        <f t="shared" si="674"/>
        <v>4149</v>
      </c>
      <c r="W228" s="618">
        <f t="shared" si="675"/>
        <v>1253</v>
      </c>
      <c r="X228" s="618">
        <f>SUMIFS(Нормативы!J:J,Нормативы!$B:$B,$G228,Нормативы!$D:$D,'2020'!$I228,Нормативы!$F:$F,'2020'!$K228)</f>
        <v>22</v>
      </c>
      <c r="Y228" s="618">
        <f>SUMIFS(Нормативы!K:K,Нормативы!$B:$B,$G228,Нормативы!$D:$D,'2020'!$I228,Нормативы!$F:$F,'2020'!$K228)</f>
        <v>4</v>
      </c>
      <c r="Z228" s="618">
        <f>SUMIFS(Нормативы!L:L,Нормативы!$B:$B,$G228,Нормативы!$D:$D,'2020'!$I228,Нормативы!$F:$F,'2020'!$K228)</f>
        <v>232</v>
      </c>
      <c r="AA228" s="618">
        <f t="shared" si="676"/>
        <v>371</v>
      </c>
      <c r="AB228" s="618">
        <f>SUMIFS(Нормативы!N:N,Нормативы!$B:$B,$G228,Нормативы!$D:$D,'2020'!$I228,Нормативы!$F:$F,'2020'!$K228)*O228</f>
        <v>52</v>
      </c>
      <c r="AC228" s="618">
        <f>SUMIFS(Нормативы!O:O,Нормативы!$B:$B,$G228,Нормативы!$D:$D,'2020'!$I228,Нормативы!$F:$F,'2020'!$K228)</f>
        <v>214</v>
      </c>
      <c r="AD228" s="618">
        <f>SUMIFS(Нормативы!P:P,Нормативы!$B:$B,$G228,Нормативы!$D:$D,'2020'!$I228,Нормативы!$F:$F,'2020'!$K228)*O228</f>
        <v>31</v>
      </c>
      <c r="AE228" s="618">
        <f>SUMIFS(Нормативы!Q:Q,Нормативы!$B:$B,$G228,Нормативы!$D:$D,'2020'!$I228,Нормативы!$F:$F,'2020'!$K228)</f>
        <v>74</v>
      </c>
      <c r="AF228" s="618">
        <f>SUMIFS(Нормативы!R:R,Нормативы!$B:$B,$G228,Нормативы!$D:$D,'2020'!$I228,Нормативы!$F:$F,'2020'!$K228)</f>
        <v>246</v>
      </c>
      <c r="AG228" s="618">
        <f>SUMIFS(Нормативы!S:S,Нормативы!$B:$B,$G228,Нормативы!$D:$D,'2020'!$I228,Нормативы!$F:$F,'2020'!$K228)</f>
        <v>508</v>
      </c>
      <c r="AH228" s="618">
        <f>SUMIFS(Нормативы!T:T,Нормативы!$B:$B,$G228,Нормативы!$D:$D,'2020'!$I228,Нормативы!$F:$F,'2020'!$K228)</f>
        <v>54</v>
      </c>
      <c r="AI228" s="618">
        <f>SUMIFS(Нормативы!U:U,Нормативы!$B:$B,$G228,Нормативы!$D:$D,'2020'!$I228,Нормативы!$F:$F,'2020'!$K228)</f>
        <v>77</v>
      </c>
      <c r="AJ228" s="618">
        <f>SUMIFS(Нормативы!V:V,Нормативы!$B:$B,$G228,Нормативы!$D:$D,'2020'!$I228,Нормативы!$F:$F,'2020'!$K228)</f>
        <v>8</v>
      </c>
      <c r="AK228" s="618">
        <f>SUMIFS(Нормативы!W:W,Нормативы!$B:$B,$G228,Нормативы!$D:$D,'2020'!$I228,Нормативы!$F:$F,'2020'!$K228)</f>
        <v>30</v>
      </c>
      <c r="AL228" s="618">
        <f>SUMIFS(Нормативы!X:X,Нормативы!$B:$B,$G228,Нормативы!$D:$D,'2020'!$I228,Нормативы!$F:$F,'2020'!$K228)*O228</f>
        <v>1344</v>
      </c>
      <c r="AM228" s="618">
        <f t="shared" si="677"/>
        <v>1032.3</v>
      </c>
      <c r="AN228" s="618">
        <f t="shared" si="678"/>
        <v>311.7</v>
      </c>
      <c r="AO228" s="618">
        <f>SUMIFS(Нормативы!AA:AA,Нормативы!$B:$B,$G228,Нормативы!$D:$D,'2020'!$I228,Нормативы!$F:$F,'2020'!$K228)</f>
        <v>0</v>
      </c>
      <c r="AP228" s="619">
        <f t="shared" si="679"/>
        <v>8294</v>
      </c>
      <c r="AQ228" s="413">
        <f t="shared" si="616"/>
        <v>0</v>
      </c>
      <c r="AR228" s="618">
        <f t="shared" si="680"/>
        <v>0</v>
      </c>
      <c r="AS228" s="618">
        <f t="shared" si="681"/>
        <v>0</v>
      </c>
      <c r="AT228" s="616">
        <f t="shared" si="617"/>
        <v>0</v>
      </c>
      <c r="AU228" s="616">
        <f t="shared" si="618"/>
        <v>0</v>
      </c>
      <c r="AV228" s="616">
        <f t="shared" si="619"/>
        <v>0</v>
      </c>
      <c r="AW228" s="616">
        <f t="shared" si="620"/>
        <v>0</v>
      </c>
      <c r="AX228" s="616">
        <f t="shared" si="621"/>
        <v>0</v>
      </c>
      <c r="AY228" s="616">
        <f t="shared" si="622"/>
        <v>0</v>
      </c>
      <c r="AZ228" s="616">
        <f t="shared" si="623"/>
        <v>0</v>
      </c>
      <c r="BA228" s="616">
        <f t="shared" si="624"/>
        <v>0</v>
      </c>
      <c r="BB228" s="616">
        <f t="shared" si="625"/>
        <v>0</v>
      </c>
      <c r="BC228" s="616">
        <f t="shared" si="626"/>
        <v>0</v>
      </c>
      <c r="BD228" s="616">
        <f t="shared" si="627"/>
        <v>0</v>
      </c>
      <c r="BE228" s="616">
        <f t="shared" si="628"/>
        <v>0</v>
      </c>
      <c r="BF228" s="616">
        <f t="shared" si="629"/>
        <v>0</v>
      </c>
      <c r="BG228" s="616">
        <f t="shared" si="630"/>
        <v>0</v>
      </c>
      <c r="BH228" s="616">
        <f t="shared" si="631"/>
        <v>0</v>
      </c>
      <c r="BI228" s="618">
        <f t="shared" si="682"/>
        <v>0</v>
      </c>
      <c r="BJ228" s="618">
        <f t="shared" si="683"/>
        <v>0</v>
      </c>
      <c r="BK228" s="616">
        <f t="shared" si="632"/>
        <v>0</v>
      </c>
      <c r="BL228" s="620">
        <f t="shared" si="633"/>
        <v>0</v>
      </c>
      <c r="BM228" s="616">
        <f t="shared" si="634"/>
        <v>0</v>
      </c>
      <c r="BN228" s="618">
        <f t="shared" si="635"/>
        <v>0</v>
      </c>
      <c r="BO228" s="618">
        <f t="shared" si="636"/>
        <v>0</v>
      </c>
      <c r="BP228" s="616">
        <f t="shared" si="684"/>
        <v>0</v>
      </c>
      <c r="BQ228" s="616">
        <f t="shared" si="685"/>
        <v>0</v>
      </c>
      <c r="BR228" s="616">
        <f t="shared" si="686"/>
        <v>0</v>
      </c>
      <c r="BS228" s="616">
        <f t="shared" si="637"/>
        <v>0</v>
      </c>
      <c r="BT228" s="616">
        <f t="shared" si="638"/>
        <v>0</v>
      </c>
      <c r="BU228" s="616">
        <f t="shared" si="639"/>
        <v>0</v>
      </c>
      <c r="BV228" s="616">
        <f t="shared" si="640"/>
        <v>0</v>
      </c>
      <c r="BW228" s="616">
        <f t="shared" si="641"/>
        <v>0</v>
      </c>
      <c r="BX228" s="616">
        <f t="shared" si="642"/>
        <v>0</v>
      </c>
      <c r="BY228" s="616">
        <f t="shared" si="643"/>
        <v>0</v>
      </c>
      <c r="BZ228" s="616">
        <f t="shared" si="644"/>
        <v>0</v>
      </c>
      <c r="CA228" s="616">
        <f t="shared" si="645"/>
        <v>0</v>
      </c>
      <c r="CB228" s="616">
        <f t="shared" si="646"/>
        <v>0</v>
      </c>
      <c r="CC228" s="616">
        <f t="shared" si="647"/>
        <v>0</v>
      </c>
      <c r="CD228" s="616">
        <f t="shared" si="648"/>
        <v>0</v>
      </c>
      <c r="CE228" s="618">
        <f t="shared" si="687"/>
        <v>0</v>
      </c>
      <c r="CF228" s="618">
        <f t="shared" si="688"/>
        <v>0</v>
      </c>
      <c r="CG228" s="616">
        <f t="shared" si="649"/>
        <v>0</v>
      </c>
      <c r="CH228" s="621">
        <f t="shared" si="650"/>
        <v>0</v>
      </c>
      <c r="CI228" s="88" t="e">
        <f t="shared" si="651"/>
        <v>#DIV/0!</v>
      </c>
      <c r="CJ228" s="90" t="e">
        <f t="shared" si="652"/>
        <v>#DIV/0!</v>
      </c>
      <c r="CK228" s="90" t="e">
        <f t="shared" si="653"/>
        <v>#DIV/0!</v>
      </c>
      <c r="CL228" s="88" t="e">
        <f t="shared" si="654"/>
        <v>#DIV/0!</v>
      </c>
      <c r="CM228" s="88" t="e">
        <f t="shared" si="655"/>
        <v>#DIV/0!</v>
      </c>
      <c r="CN228" s="88" t="e">
        <f t="shared" si="656"/>
        <v>#DIV/0!</v>
      </c>
      <c r="CO228" s="88" t="e">
        <f t="shared" si="657"/>
        <v>#DIV/0!</v>
      </c>
      <c r="CP228" s="88" t="e">
        <f t="shared" si="658"/>
        <v>#DIV/0!</v>
      </c>
      <c r="CQ228" s="88" t="e">
        <f t="shared" si="659"/>
        <v>#DIV/0!</v>
      </c>
      <c r="CR228" s="88" t="e">
        <f t="shared" si="660"/>
        <v>#DIV/0!</v>
      </c>
      <c r="CS228" s="88" t="e">
        <f t="shared" si="661"/>
        <v>#DIV/0!</v>
      </c>
      <c r="CT228" s="88" t="e">
        <f t="shared" si="662"/>
        <v>#DIV/0!</v>
      </c>
      <c r="CU228" s="88" t="e">
        <f t="shared" si="663"/>
        <v>#DIV/0!</v>
      </c>
      <c r="CV228" s="88" t="e">
        <f t="shared" si="664"/>
        <v>#DIV/0!</v>
      </c>
      <c r="CW228" s="88" t="e">
        <f t="shared" si="665"/>
        <v>#DIV/0!</v>
      </c>
      <c r="CX228" s="88" t="e">
        <f t="shared" si="666"/>
        <v>#DIV/0!</v>
      </c>
      <c r="CY228" s="88" t="e">
        <f t="shared" si="667"/>
        <v>#DIV/0!</v>
      </c>
      <c r="CZ228" s="88" t="e">
        <f t="shared" si="668"/>
        <v>#DIV/0!</v>
      </c>
      <c r="DA228" s="90" t="e">
        <f t="shared" si="669"/>
        <v>#DIV/0!</v>
      </c>
      <c r="DB228" s="90" t="e">
        <f t="shared" si="670"/>
        <v>#DIV/0!</v>
      </c>
      <c r="DC228" s="88" t="e">
        <f t="shared" si="671"/>
        <v>#DIV/0!</v>
      </c>
      <c r="DD228" s="88" t="e">
        <f t="shared" si="672"/>
        <v>#DIV/0!</v>
      </c>
      <c r="AUV228" s="699">
        <v>0</v>
      </c>
      <c r="AUW228" s="699">
        <f t="shared" si="587"/>
        <v>0</v>
      </c>
      <c r="AUX228" s="699">
        <f t="shared" si="588"/>
        <v>0</v>
      </c>
      <c r="AUY228" s="699">
        <f t="shared" si="615"/>
        <v>0</v>
      </c>
      <c r="AUZ228" s="699">
        <f t="shared" si="615"/>
        <v>0</v>
      </c>
      <c r="AVA228" s="699">
        <f t="shared" si="615"/>
        <v>0</v>
      </c>
      <c r="AVB228" s="699">
        <f t="shared" si="673"/>
        <v>0</v>
      </c>
      <c r="AVC228" s="697"/>
      <c r="AVD228" s="697"/>
      <c r="AVE228" s="697"/>
      <c r="AVF228" s="697"/>
      <c r="AVG228" s="697"/>
      <c r="AVH228" s="697"/>
      <c r="AVI228" s="697"/>
      <c r="AVJ228" s="697"/>
      <c r="AVK228" s="697"/>
      <c r="AVL228" s="697"/>
      <c r="AVM228" s="697"/>
      <c r="AVN228" s="697"/>
      <c r="AVO228" s="697"/>
      <c r="AVP228" s="697"/>
      <c r="AVQ228" s="697"/>
    </row>
    <row r="229" spans="1:108 1244:1265" ht="30" customHeight="1" x14ac:dyDescent="0.25">
      <c r="A229" s="643">
        <v>1</v>
      </c>
      <c r="B229" s="643">
        <v>14</v>
      </c>
      <c r="C229" s="664" t="s">
        <v>249</v>
      </c>
      <c r="D229" s="2"/>
      <c r="E229" s="101" t="s">
        <v>344</v>
      </c>
      <c r="F229" s="643" t="s">
        <v>31</v>
      </c>
      <c r="G229" s="643">
        <v>1</v>
      </c>
      <c r="H229" s="658" t="s">
        <v>10</v>
      </c>
      <c r="I229" s="643">
        <v>0</v>
      </c>
      <c r="J229" s="101" t="s">
        <v>356</v>
      </c>
      <c r="K229" s="643">
        <v>3</v>
      </c>
      <c r="L229" s="683" t="s">
        <v>349</v>
      </c>
      <c r="M229" s="11" t="s">
        <v>255</v>
      </c>
      <c r="N229" s="101" t="s">
        <v>387</v>
      </c>
      <c r="O229" s="643">
        <v>1</v>
      </c>
      <c r="P229" s="632">
        <v>168</v>
      </c>
      <c r="Q229" s="632">
        <v>168</v>
      </c>
      <c r="R229" s="632">
        <v>168</v>
      </c>
      <c r="S229" s="675">
        <f>SUMIF('Территориальный кк'!$A:$A,'2020'!$B229,'Территориальный кк'!D:D)</f>
        <v>2.9380000000000002</v>
      </c>
      <c r="T229" s="676">
        <f>SUMIF('Территориальный кк'!$A:$A,'2020'!$B229,'Территориальный кк'!E:E)</f>
        <v>12.574999999999999</v>
      </c>
      <c r="U229" s="618">
        <f>SUMIFS(Нормативы!G:G,Нормативы!$B:$B,$G229,Нормативы!$D:$D,'2020'!$I229,Нормативы!$F:$F,'2020'!$K229)*O229</f>
        <v>64190</v>
      </c>
      <c r="V229" s="618">
        <f t="shared" si="674"/>
        <v>49301.1</v>
      </c>
      <c r="W229" s="618">
        <f t="shared" si="675"/>
        <v>14888.9</v>
      </c>
      <c r="X229" s="618">
        <f>SUMIFS(Нормативы!J:J,Нормативы!$B:$B,$G229,Нормативы!$D:$D,'2020'!$I229,Нормативы!$F:$F,'2020'!$K229)</f>
        <v>8830</v>
      </c>
      <c r="Y229" s="618">
        <f>SUMIFS(Нормативы!K:K,Нормативы!$B:$B,$G229,Нормативы!$D:$D,'2020'!$I229,Нормативы!$F:$F,'2020'!$K229)</f>
        <v>1766</v>
      </c>
      <c r="Z229" s="618">
        <f>SUMIFS(Нормативы!L:L,Нормативы!$B:$B,$G229,Нормативы!$D:$D,'2020'!$I229,Нормативы!$F:$F,'2020'!$K229)</f>
        <v>8110</v>
      </c>
      <c r="AA229" s="618">
        <f t="shared" si="676"/>
        <v>19050</v>
      </c>
      <c r="AB229" s="618">
        <f>SUMIFS(Нормативы!N:N,Нормативы!$B:$B,$G229,Нормативы!$D:$D,'2020'!$I229,Нормативы!$F:$F,'2020'!$K229)*O229</f>
        <v>520</v>
      </c>
      <c r="AC229" s="618">
        <f>SUMIFS(Нормативы!O:O,Нормативы!$B:$B,$G229,Нормативы!$D:$D,'2020'!$I229,Нормативы!$F:$F,'2020'!$K229)</f>
        <v>17290</v>
      </c>
      <c r="AD229" s="618">
        <f>SUMIFS(Нормативы!P:P,Нормативы!$B:$B,$G229,Нормативы!$D:$D,'2020'!$I229,Нормативы!$F:$F,'2020'!$K229)*O229</f>
        <v>360</v>
      </c>
      <c r="AE229" s="618">
        <f>SUMIFS(Нормативы!Q:Q,Нормативы!$B:$B,$G229,Нормативы!$D:$D,'2020'!$I229,Нормативы!$F:$F,'2020'!$K229)</f>
        <v>880</v>
      </c>
      <c r="AF229" s="618">
        <f>SUMIFS(Нормативы!R:R,Нормативы!$B:$B,$G229,Нормативы!$D:$D,'2020'!$I229,Нормативы!$F:$F,'2020'!$K229)</f>
        <v>2680</v>
      </c>
      <c r="AG229" s="618">
        <f>SUMIFS(Нормативы!S:S,Нормативы!$B:$B,$G229,Нормативы!$D:$D,'2020'!$I229,Нормативы!$F:$F,'2020'!$K229)</f>
        <v>5800</v>
      </c>
      <c r="AH229" s="618">
        <f>SUMIFS(Нормативы!T:T,Нормативы!$B:$B,$G229,Нормативы!$D:$D,'2020'!$I229,Нормативы!$F:$F,'2020'!$K229)</f>
        <v>540</v>
      </c>
      <c r="AI229" s="618">
        <f>SUMIFS(Нормативы!U:U,Нормативы!$B:$B,$G229,Нормативы!$D:$D,'2020'!$I229,Нормативы!$F:$F,'2020'!$K229)</f>
        <v>770</v>
      </c>
      <c r="AJ229" s="618">
        <f>SUMIFS(Нормативы!V:V,Нормативы!$B:$B,$G229,Нормативы!$D:$D,'2020'!$I229,Нормативы!$F:$F,'2020'!$K229)</f>
        <v>80</v>
      </c>
      <c r="AK229" s="618">
        <f>SUMIFS(Нормативы!W:W,Нормативы!$B:$B,$G229,Нормативы!$D:$D,'2020'!$I229,Нормативы!$F:$F,'2020'!$K229)</f>
        <v>1050</v>
      </c>
      <c r="AL229" s="618">
        <f>SUMIFS(Нормативы!X:X,Нормативы!$B:$B,$G229,Нормативы!$D:$D,'2020'!$I229,Нормативы!$F:$F,'2020'!$K229)*O229</f>
        <v>16120</v>
      </c>
      <c r="AM229" s="618">
        <f t="shared" si="677"/>
        <v>12381</v>
      </c>
      <c r="AN229" s="618">
        <f t="shared" si="678"/>
        <v>3739</v>
      </c>
      <c r="AO229" s="618">
        <f>SUMIFS(Нормативы!AA:AA,Нормативы!$B:$B,$G229,Нормативы!$D:$D,'2020'!$I229,Нормативы!$F:$F,'2020'!$K229)</f>
        <v>3520</v>
      </c>
      <c r="AP229" s="619">
        <f t="shared" si="679"/>
        <v>130740</v>
      </c>
      <c r="AQ229" s="413">
        <f t="shared" si="616"/>
        <v>10783920</v>
      </c>
      <c r="AR229" s="618">
        <f t="shared" si="680"/>
        <v>8282580.5999999996</v>
      </c>
      <c r="AS229" s="618">
        <f t="shared" si="681"/>
        <v>2501339.4</v>
      </c>
      <c r="AT229" s="616">
        <f t="shared" si="617"/>
        <v>1483440</v>
      </c>
      <c r="AU229" s="616">
        <f t="shared" si="618"/>
        <v>296688</v>
      </c>
      <c r="AV229" s="616">
        <f t="shared" si="619"/>
        <v>1362480</v>
      </c>
      <c r="AW229" s="616">
        <f t="shared" si="620"/>
        <v>3200400</v>
      </c>
      <c r="AX229" s="616">
        <f t="shared" si="621"/>
        <v>87360</v>
      </c>
      <c r="AY229" s="616">
        <f t="shared" si="622"/>
        <v>2904720</v>
      </c>
      <c r="AZ229" s="616">
        <f t="shared" si="623"/>
        <v>60480</v>
      </c>
      <c r="BA229" s="616">
        <f t="shared" si="624"/>
        <v>147840</v>
      </c>
      <c r="BB229" s="616">
        <f t="shared" si="625"/>
        <v>450240</v>
      </c>
      <c r="BC229" s="616">
        <f t="shared" si="626"/>
        <v>974400</v>
      </c>
      <c r="BD229" s="616">
        <f t="shared" si="627"/>
        <v>90720</v>
      </c>
      <c r="BE229" s="616">
        <f t="shared" si="628"/>
        <v>129360</v>
      </c>
      <c r="BF229" s="616">
        <f t="shared" si="629"/>
        <v>13440</v>
      </c>
      <c r="BG229" s="616">
        <f t="shared" si="630"/>
        <v>176400</v>
      </c>
      <c r="BH229" s="616">
        <f t="shared" si="631"/>
        <v>2708160</v>
      </c>
      <c r="BI229" s="618">
        <f t="shared" si="682"/>
        <v>2080000</v>
      </c>
      <c r="BJ229" s="618">
        <f t="shared" si="683"/>
        <v>628160</v>
      </c>
      <c r="BK229" s="616">
        <f t="shared" si="632"/>
        <v>591360</v>
      </c>
      <c r="BL229" s="620">
        <f t="shared" si="633"/>
        <v>21964320</v>
      </c>
      <c r="BM229" s="616">
        <f t="shared" si="634"/>
        <v>31683157</v>
      </c>
      <c r="BN229" s="618">
        <f t="shared" si="635"/>
        <v>24334222</v>
      </c>
      <c r="BO229" s="618">
        <f t="shared" si="636"/>
        <v>7348935</v>
      </c>
      <c r="BP229" s="616">
        <f t="shared" si="684"/>
        <v>1483440</v>
      </c>
      <c r="BQ229" s="616">
        <f t="shared" si="685"/>
        <v>296688</v>
      </c>
      <c r="BR229" s="616">
        <f t="shared" si="686"/>
        <v>1362480</v>
      </c>
      <c r="BS229" s="616">
        <f t="shared" si="637"/>
        <v>3200400</v>
      </c>
      <c r="BT229" s="616">
        <f t="shared" si="638"/>
        <v>87360</v>
      </c>
      <c r="BU229" s="616">
        <f t="shared" si="639"/>
        <v>2904720</v>
      </c>
      <c r="BV229" s="616">
        <f t="shared" si="640"/>
        <v>60480</v>
      </c>
      <c r="BW229" s="616">
        <f t="shared" si="641"/>
        <v>147840</v>
      </c>
      <c r="BX229" s="616">
        <f t="shared" si="642"/>
        <v>5661768</v>
      </c>
      <c r="BY229" s="616">
        <f t="shared" si="643"/>
        <v>974400</v>
      </c>
      <c r="BZ229" s="616">
        <f t="shared" si="644"/>
        <v>90720</v>
      </c>
      <c r="CA229" s="616">
        <f t="shared" si="645"/>
        <v>129360</v>
      </c>
      <c r="CB229" s="616">
        <f t="shared" si="646"/>
        <v>13440</v>
      </c>
      <c r="CC229" s="616">
        <f t="shared" si="647"/>
        <v>176400</v>
      </c>
      <c r="CD229" s="616">
        <f t="shared" si="648"/>
        <v>7956574</v>
      </c>
      <c r="CE229" s="618">
        <f t="shared" si="687"/>
        <v>6111039.9000000004</v>
      </c>
      <c r="CF229" s="618">
        <f t="shared" si="688"/>
        <v>1845534.1</v>
      </c>
      <c r="CG229" s="616">
        <f t="shared" si="649"/>
        <v>591360</v>
      </c>
      <c r="CH229" s="621">
        <f t="shared" si="650"/>
        <v>53323499</v>
      </c>
      <c r="CI229" s="88">
        <f t="shared" si="651"/>
        <v>188590.22020000001</v>
      </c>
      <c r="CJ229" s="90">
        <f t="shared" si="652"/>
        <v>144846.5595</v>
      </c>
      <c r="CK229" s="90">
        <f t="shared" si="653"/>
        <v>43743.6607</v>
      </c>
      <c r="CL229" s="88">
        <f t="shared" si="654"/>
        <v>8830</v>
      </c>
      <c r="CM229" s="88">
        <f t="shared" si="655"/>
        <v>1766</v>
      </c>
      <c r="CN229" s="88">
        <f t="shared" si="656"/>
        <v>8110</v>
      </c>
      <c r="CO229" s="88">
        <f t="shared" si="657"/>
        <v>19050</v>
      </c>
      <c r="CP229" s="88">
        <f t="shared" si="658"/>
        <v>520</v>
      </c>
      <c r="CQ229" s="88">
        <f t="shared" si="659"/>
        <v>17290</v>
      </c>
      <c r="CR229" s="88">
        <f t="shared" si="660"/>
        <v>360</v>
      </c>
      <c r="CS229" s="88">
        <f t="shared" si="661"/>
        <v>880</v>
      </c>
      <c r="CT229" s="88">
        <f t="shared" si="662"/>
        <v>33701</v>
      </c>
      <c r="CU229" s="88">
        <f t="shared" si="663"/>
        <v>5800</v>
      </c>
      <c r="CV229" s="88">
        <f t="shared" si="664"/>
        <v>540</v>
      </c>
      <c r="CW229" s="88">
        <f t="shared" si="665"/>
        <v>770</v>
      </c>
      <c r="CX229" s="88">
        <f t="shared" si="666"/>
        <v>80</v>
      </c>
      <c r="CY229" s="88">
        <f t="shared" si="667"/>
        <v>1050</v>
      </c>
      <c r="CZ229" s="88">
        <f t="shared" si="668"/>
        <v>47360.559500000003</v>
      </c>
      <c r="DA229" s="90">
        <f t="shared" si="669"/>
        <v>36375.237500000003</v>
      </c>
      <c r="DB229" s="90">
        <f t="shared" si="670"/>
        <v>10985.322</v>
      </c>
      <c r="DC229" s="88">
        <f t="shared" si="671"/>
        <v>3520</v>
      </c>
      <c r="DD229" s="88">
        <f t="shared" si="672"/>
        <v>317401.77980000002</v>
      </c>
      <c r="AUV229" s="699">
        <f t="shared" si="586"/>
        <v>188590.22</v>
      </c>
      <c r="AUW229" s="699">
        <f t="shared" si="587"/>
        <v>144846.56</v>
      </c>
      <c r="AUX229" s="699">
        <f t="shared" si="588"/>
        <v>43743.66</v>
      </c>
      <c r="AUY229" s="699">
        <f t="shared" ref="AUY229:AUY244" si="706">BP229/P229</f>
        <v>8830</v>
      </c>
      <c r="AUZ229" s="699">
        <f t="shared" si="615"/>
        <v>23593.48</v>
      </c>
      <c r="AVA229" s="699">
        <f t="shared" si="615"/>
        <v>21.23</v>
      </c>
      <c r="AVB229" s="699">
        <f t="shared" ref="AVB229:AVB244" si="707">AVC229+AVD229+AVE229+AVF229</f>
        <v>19050</v>
      </c>
      <c r="AVC229" s="699">
        <f t="shared" ref="AVC229:AVC244" si="708">BT229/P229</f>
        <v>520</v>
      </c>
      <c r="AVD229" s="699">
        <f t="shared" ref="AVD229:AVD244" si="709">BU229/P229</f>
        <v>17290</v>
      </c>
      <c r="AVE229" s="699">
        <f t="shared" ref="AVE229:AVE244" si="710">BV229/P229</f>
        <v>360</v>
      </c>
      <c r="AVF229" s="699">
        <f t="shared" ref="AVF229:AVF244" si="711">BW229/P229</f>
        <v>880</v>
      </c>
      <c r="AVG229" s="699">
        <f t="shared" ref="AVG229:AVG244" si="712">BX229/P229</f>
        <v>33701</v>
      </c>
      <c r="AVH229" s="699">
        <f t="shared" ref="AVH229:AVH244" si="713">BY229/P229</f>
        <v>5800</v>
      </c>
      <c r="AVI229" s="699">
        <f t="shared" ref="AVI229:AVI244" si="714">BZ229/P229</f>
        <v>540</v>
      </c>
      <c r="AVJ229" s="699">
        <f t="shared" ref="AVJ229:AVJ244" si="715">CA229/P229</f>
        <v>770</v>
      </c>
      <c r="AVK229" s="699">
        <f t="shared" ref="AVK229:AVK244" si="716">CB229/P229</f>
        <v>80</v>
      </c>
      <c r="AVL229" s="699">
        <f t="shared" ref="AVL229:AVL244" si="717">CC229/P229</f>
        <v>1050</v>
      </c>
      <c r="AVM229" s="699">
        <f t="shared" ref="AVM229:AVM244" si="718">CD229/P229</f>
        <v>47360.56</v>
      </c>
      <c r="AVN229" s="699">
        <f t="shared" ref="AVN229:AVN244" si="719">AVM229/1.302</f>
        <v>36375.24</v>
      </c>
      <c r="AVO229" s="699">
        <f t="shared" ref="AVO229:AVO244" si="720">AVM229-AVN229</f>
        <v>10985.32</v>
      </c>
      <c r="AVP229" s="699">
        <f t="shared" ref="AVP229:AVP244" si="721">CG229/P229</f>
        <v>3520</v>
      </c>
      <c r="AVQ229" s="699">
        <f t="shared" ref="AVQ229:AVQ244" si="722">CH229/P229</f>
        <v>317401.78000000003</v>
      </c>
    </row>
    <row r="230" spans="1:108 1244:1265" ht="30" customHeight="1" x14ac:dyDescent="0.25">
      <c r="A230" s="643">
        <v>1</v>
      </c>
      <c r="B230" s="643">
        <v>14</v>
      </c>
      <c r="C230" s="664" t="s">
        <v>249</v>
      </c>
      <c r="D230" s="2"/>
      <c r="E230" s="101" t="s">
        <v>344</v>
      </c>
      <c r="F230" s="643" t="s">
        <v>31</v>
      </c>
      <c r="G230" s="643">
        <v>1</v>
      </c>
      <c r="H230" s="658" t="s">
        <v>10</v>
      </c>
      <c r="I230" s="643">
        <v>0</v>
      </c>
      <c r="J230" s="101" t="s">
        <v>356</v>
      </c>
      <c r="K230" s="643">
        <v>3</v>
      </c>
      <c r="L230" s="683" t="s">
        <v>349</v>
      </c>
      <c r="M230" s="11" t="s">
        <v>256</v>
      </c>
      <c r="N230" s="101" t="s">
        <v>401</v>
      </c>
      <c r="O230" s="643">
        <v>2</v>
      </c>
      <c r="P230" s="632">
        <v>4</v>
      </c>
      <c r="Q230" s="632">
        <v>4</v>
      </c>
      <c r="R230" s="632">
        <v>4</v>
      </c>
      <c r="S230" s="675">
        <f>SUMIF('Территориальный кк'!$A:$A,'2020'!$B230,'Территориальный кк'!D:D)</f>
        <v>2.9380000000000002</v>
      </c>
      <c r="T230" s="676">
        <f>SUMIF('Территориальный кк'!$A:$A,'2020'!$B230,'Территориальный кк'!E:E)</f>
        <v>12.574999999999999</v>
      </c>
      <c r="U230" s="618">
        <f>SUMIFS(Нормативы!G:G,Нормативы!$B:$B,$G230,Нормативы!$D:$D,'2020'!$I230,Нормативы!$F:$F,'2020'!$K230)*O230</f>
        <v>128380</v>
      </c>
      <c r="V230" s="618">
        <f t="shared" si="674"/>
        <v>98602.2</v>
      </c>
      <c r="W230" s="618">
        <f t="shared" si="675"/>
        <v>29777.8</v>
      </c>
      <c r="X230" s="618">
        <f>SUMIFS(Нормативы!J:J,Нормативы!$B:$B,$G230,Нормативы!$D:$D,'2020'!$I230,Нормативы!$F:$F,'2020'!$K230)</f>
        <v>8830</v>
      </c>
      <c r="Y230" s="618">
        <f>SUMIFS(Нормативы!K:K,Нормативы!$B:$B,$G230,Нормативы!$D:$D,'2020'!$I230,Нормативы!$F:$F,'2020'!$K230)</f>
        <v>1766</v>
      </c>
      <c r="Z230" s="618">
        <f>SUMIFS(Нормативы!L:L,Нормативы!$B:$B,$G230,Нормативы!$D:$D,'2020'!$I230,Нормативы!$F:$F,'2020'!$K230)</f>
        <v>8110</v>
      </c>
      <c r="AA230" s="618">
        <f t="shared" si="676"/>
        <v>19930</v>
      </c>
      <c r="AB230" s="618">
        <f>SUMIFS(Нормативы!N:N,Нормативы!$B:$B,$G230,Нормативы!$D:$D,'2020'!$I230,Нормативы!$F:$F,'2020'!$K230)*O230</f>
        <v>1040</v>
      </c>
      <c r="AC230" s="618">
        <f>SUMIFS(Нормативы!O:O,Нормативы!$B:$B,$G230,Нормативы!$D:$D,'2020'!$I230,Нормативы!$F:$F,'2020'!$K230)</f>
        <v>17290</v>
      </c>
      <c r="AD230" s="618">
        <f>SUMIFS(Нормативы!P:P,Нормативы!$B:$B,$G230,Нормативы!$D:$D,'2020'!$I230,Нормативы!$F:$F,'2020'!$K230)*O230</f>
        <v>720</v>
      </c>
      <c r="AE230" s="618">
        <f>SUMIFS(Нормативы!Q:Q,Нормативы!$B:$B,$G230,Нормативы!$D:$D,'2020'!$I230,Нормативы!$F:$F,'2020'!$K230)</f>
        <v>880</v>
      </c>
      <c r="AF230" s="618">
        <f>SUMIFS(Нормативы!R:R,Нормативы!$B:$B,$G230,Нормативы!$D:$D,'2020'!$I230,Нормативы!$F:$F,'2020'!$K230)</f>
        <v>2680</v>
      </c>
      <c r="AG230" s="618">
        <f>SUMIFS(Нормативы!S:S,Нормативы!$B:$B,$G230,Нормативы!$D:$D,'2020'!$I230,Нормативы!$F:$F,'2020'!$K230)</f>
        <v>5800</v>
      </c>
      <c r="AH230" s="618">
        <f>SUMIFS(Нормативы!T:T,Нормативы!$B:$B,$G230,Нормативы!$D:$D,'2020'!$I230,Нормативы!$F:$F,'2020'!$K230)</f>
        <v>540</v>
      </c>
      <c r="AI230" s="618">
        <f>SUMIFS(Нормативы!U:U,Нормативы!$B:$B,$G230,Нормативы!$D:$D,'2020'!$I230,Нормативы!$F:$F,'2020'!$K230)</f>
        <v>770</v>
      </c>
      <c r="AJ230" s="618">
        <f>SUMIFS(Нормативы!V:V,Нормативы!$B:$B,$G230,Нормативы!$D:$D,'2020'!$I230,Нормативы!$F:$F,'2020'!$K230)</f>
        <v>80</v>
      </c>
      <c r="AK230" s="618">
        <f>SUMIFS(Нормативы!W:W,Нормативы!$B:$B,$G230,Нормативы!$D:$D,'2020'!$I230,Нормативы!$F:$F,'2020'!$K230)</f>
        <v>1050</v>
      </c>
      <c r="AL230" s="618">
        <f>SUMIFS(Нормативы!X:X,Нормативы!$B:$B,$G230,Нормативы!$D:$D,'2020'!$I230,Нормативы!$F:$F,'2020'!$K230)*O230</f>
        <v>32240</v>
      </c>
      <c r="AM230" s="618">
        <f t="shared" si="677"/>
        <v>24761.9</v>
      </c>
      <c r="AN230" s="618">
        <f t="shared" si="678"/>
        <v>7478.1</v>
      </c>
      <c r="AO230" s="618">
        <f>SUMIFS(Нормативы!AA:AA,Нормативы!$B:$B,$G230,Нормативы!$D:$D,'2020'!$I230,Нормативы!$F:$F,'2020'!$K230)</f>
        <v>3520</v>
      </c>
      <c r="AP230" s="619">
        <f t="shared" si="679"/>
        <v>211930</v>
      </c>
      <c r="AQ230" s="413">
        <f t="shared" si="616"/>
        <v>513520</v>
      </c>
      <c r="AR230" s="618">
        <f t="shared" si="680"/>
        <v>394408.6</v>
      </c>
      <c r="AS230" s="618">
        <f t="shared" si="681"/>
        <v>119111.4</v>
      </c>
      <c r="AT230" s="616">
        <f t="shared" si="617"/>
        <v>35320</v>
      </c>
      <c r="AU230" s="616">
        <f t="shared" si="618"/>
        <v>7064</v>
      </c>
      <c r="AV230" s="616">
        <f t="shared" si="619"/>
        <v>32440</v>
      </c>
      <c r="AW230" s="616">
        <f t="shared" si="620"/>
        <v>79720</v>
      </c>
      <c r="AX230" s="616">
        <f t="shared" si="621"/>
        <v>4160</v>
      </c>
      <c r="AY230" s="616">
        <f t="shared" si="622"/>
        <v>69160</v>
      </c>
      <c r="AZ230" s="616">
        <f t="shared" si="623"/>
        <v>2880</v>
      </c>
      <c r="BA230" s="616">
        <f t="shared" si="624"/>
        <v>3520</v>
      </c>
      <c r="BB230" s="616">
        <f t="shared" si="625"/>
        <v>10720</v>
      </c>
      <c r="BC230" s="616">
        <f t="shared" si="626"/>
        <v>23200</v>
      </c>
      <c r="BD230" s="616">
        <f t="shared" si="627"/>
        <v>2160</v>
      </c>
      <c r="BE230" s="616">
        <f t="shared" si="628"/>
        <v>3080</v>
      </c>
      <c r="BF230" s="616">
        <f t="shared" si="629"/>
        <v>320</v>
      </c>
      <c r="BG230" s="616">
        <f t="shared" si="630"/>
        <v>4200</v>
      </c>
      <c r="BH230" s="616">
        <f t="shared" si="631"/>
        <v>128960</v>
      </c>
      <c r="BI230" s="618">
        <f t="shared" si="682"/>
        <v>99047.6</v>
      </c>
      <c r="BJ230" s="618">
        <f t="shared" si="683"/>
        <v>29912.400000000001</v>
      </c>
      <c r="BK230" s="616">
        <f t="shared" si="632"/>
        <v>14080</v>
      </c>
      <c r="BL230" s="620">
        <f t="shared" si="633"/>
        <v>847720</v>
      </c>
      <c r="BM230" s="616">
        <f t="shared" si="634"/>
        <v>1508722</v>
      </c>
      <c r="BN230" s="618">
        <f t="shared" si="635"/>
        <v>1158772.7</v>
      </c>
      <c r="BO230" s="618">
        <f t="shared" si="636"/>
        <v>349949.3</v>
      </c>
      <c r="BP230" s="616">
        <f t="shared" si="684"/>
        <v>35320</v>
      </c>
      <c r="BQ230" s="616">
        <f t="shared" si="685"/>
        <v>7064</v>
      </c>
      <c r="BR230" s="616">
        <f t="shared" si="686"/>
        <v>32440</v>
      </c>
      <c r="BS230" s="616">
        <f t="shared" si="637"/>
        <v>79720</v>
      </c>
      <c r="BT230" s="616">
        <f t="shared" si="638"/>
        <v>4160</v>
      </c>
      <c r="BU230" s="616">
        <f t="shared" si="639"/>
        <v>69160</v>
      </c>
      <c r="BV230" s="616">
        <f t="shared" si="640"/>
        <v>2880</v>
      </c>
      <c r="BW230" s="616">
        <f t="shared" si="641"/>
        <v>3520</v>
      </c>
      <c r="BX230" s="616">
        <f t="shared" si="642"/>
        <v>134804</v>
      </c>
      <c r="BY230" s="616">
        <f t="shared" si="643"/>
        <v>23200</v>
      </c>
      <c r="BZ230" s="616">
        <f t="shared" si="644"/>
        <v>2160</v>
      </c>
      <c r="CA230" s="616">
        <f t="shared" si="645"/>
        <v>3080</v>
      </c>
      <c r="CB230" s="616">
        <f t="shared" si="646"/>
        <v>320</v>
      </c>
      <c r="CC230" s="616">
        <f t="shared" si="647"/>
        <v>4200</v>
      </c>
      <c r="CD230" s="616">
        <f t="shared" si="648"/>
        <v>378884</v>
      </c>
      <c r="CE230" s="618">
        <f t="shared" si="687"/>
        <v>291001.5</v>
      </c>
      <c r="CF230" s="618">
        <f t="shared" si="688"/>
        <v>87882.5</v>
      </c>
      <c r="CG230" s="616">
        <f t="shared" si="649"/>
        <v>14080</v>
      </c>
      <c r="CH230" s="621">
        <f t="shared" si="650"/>
        <v>2216930</v>
      </c>
      <c r="CI230" s="88">
        <f t="shared" si="651"/>
        <v>377180.5</v>
      </c>
      <c r="CJ230" s="90">
        <f t="shared" si="652"/>
        <v>289693.17499999999</v>
      </c>
      <c r="CK230" s="90">
        <f t="shared" si="653"/>
        <v>87487.324999999997</v>
      </c>
      <c r="CL230" s="88">
        <f t="shared" si="654"/>
        <v>8830</v>
      </c>
      <c r="CM230" s="88">
        <f t="shared" si="655"/>
        <v>1766</v>
      </c>
      <c r="CN230" s="88">
        <f t="shared" si="656"/>
        <v>8110</v>
      </c>
      <c r="CO230" s="88">
        <f t="shared" si="657"/>
        <v>19930</v>
      </c>
      <c r="CP230" s="88">
        <f t="shared" si="658"/>
        <v>1040</v>
      </c>
      <c r="CQ230" s="88">
        <f t="shared" si="659"/>
        <v>17290</v>
      </c>
      <c r="CR230" s="88">
        <f t="shared" si="660"/>
        <v>720</v>
      </c>
      <c r="CS230" s="88">
        <f t="shared" si="661"/>
        <v>880</v>
      </c>
      <c r="CT230" s="88">
        <f t="shared" si="662"/>
        <v>33701</v>
      </c>
      <c r="CU230" s="88">
        <f t="shared" si="663"/>
        <v>5800</v>
      </c>
      <c r="CV230" s="88">
        <f t="shared" si="664"/>
        <v>540</v>
      </c>
      <c r="CW230" s="88">
        <f t="shared" si="665"/>
        <v>770</v>
      </c>
      <c r="CX230" s="88">
        <f t="shared" si="666"/>
        <v>80</v>
      </c>
      <c r="CY230" s="88">
        <f t="shared" si="667"/>
        <v>1050</v>
      </c>
      <c r="CZ230" s="88">
        <f t="shared" si="668"/>
        <v>94721</v>
      </c>
      <c r="DA230" s="90">
        <f t="shared" si="669"/>
        <v>72750.375</v>
      </c>
      <c r="DB230" s="90">
        <f t="shared" si="670"/>
        <v>21970.625</v>
      </c>
      <c r="DC230" s="88">
        <f t="shared" si="671"/>
        <v>3520</v>
      </c>
      <c r="DD230" s="88">
        <f t="shared" si="672"/>
        <v>554232.5</v>
      </c>
      <c r="AUV230" s="699">
        <f t="shared" si="586"/>
        <v>377180.5</v>
      </c>
      <c r="AUW230" s="699">
        <f t="shared" si="587"/>
        <v>289693.15999999997</v>
      </c>
      <c r="AUX230" s="699">
        <f t="shared" si="588"/>
        <v>87487.34</v>
      </c>
      <c r="AUY230" s="699">
        <f t="shared" si="706"/>
        <v>8830</v>
      </c>
      <c r="AUZ230" s="699">
        <f t="shared" si="615"/>
        <v>561.75</v>
      </c>
      <c r="AVA230" s="699">
        <f t="shared" si="615"/>
        <v>0.25</v>
      </c>
      <c r="AVB230" s="699">
        <f t="shared" si="707"/>
        <v>19930</v>
      </c>
      <c r="AVC230" s="699">
        <f t="shared" si="708"/>
        <v>1040</v>
      </c>
      <c r="AVD230" s="699">
        <f t="shared" si="709"/>
        <v>17290</v>
      </c>
      <c r="AVE230" s="699">
        <f t="shared" si="710"/>
        <v>720</v>
      </c>
      <c r="AVF230" s="699">
        <f t="shared" si="711"/>
        <v>880</v>
      </c>
      <c r="AVG230" s="699">
        <f t="shared" si="712"/>
        <v>33701</v>
      </c>
      <c r="AVH230" s="699">
        <f t="shared" si="713"/>
        <v>5800</v>
      </c>
      <c r="AVI230" s="699">
        <f t="shared" si="714"/>
        <v>540</v>
      </c>
      <c r="AVJ230" s="699">
        <f t="shared" si="715"/>
        <v>770</v>
      </c>
      <c r="AVK230" s="699">
        <f t="shared" si="716"/>
        <v>80</v>
      </c>
      <c r="AVL230" s="699">
        <f t="shared" si="717"/>
        <v>1050</v>
      </c>
      <c r="AVM230" s="699">
        <f t="shared" si="718"/>
        <v>94721</v>
      </c>
      <c r="AVN230" s="699">
        <f t="shared" si="719"/>
        <v>72750.38</v>
      </c>
      <c r="AVO230" s="699">
        <f t="shared" si="720"/>
        <v>21970.62</v>
      </c>
      <c r="AVP230" s="699">
        <f t="shared" si="721"/>
        <v>3520</v>
      </c>
      <c r="AVQ230" s="699">
        <f t="shared" si="722"/>
        <v>554232.5</v>
      </c>
    </row>
    <row r="231" spans="1:108 1244:1265" ht="30" customHeight="1" x14ac:dyDescent="0.25">
      <c r="A231" s="643">
        <v>1</v>
      </c>
      <c r="B231" s="643">
        <v>14</v>
      </c>
      <c r="C231" s="664" t="s">
        <v>249</v>
      </c>
      <c r="D231" s="2"/>
      <c r="E231" s="101" t="s">
        <v>344</v>
      </c>
      <c r="F231" s="643" t="s">
        <v>31</v>
      </c>
      <c r="G231" s="643">
        <v>1</v>
      </c>
      <c r="H231" s="658" t="s">
        <v>8</v>
      </c>
      <c r="I231" s="643">
        <v>3</v>
      </c>
      <c r="J231" s="101" t="s">
        <v>356</v>
      </c>
      <c r="K231" s="643">
        <v>3</v>
      </c>
      <c r="L231" s="683" t="s">
        <v>349</v>
      </c>
      <c r="M231" s="11" t="s">
        <v>257</v>
      </c>
      <c r="N231" s="101" t="s">
        <v>387</v>
      </c>
      <c r="O231" s="643">
        <v>1</v>
      </c>
      <c r="P231" s="632">
        <v>93</v>
      </c>
      <c r="Q231" s="632">
        <v>93</v>
      </c>
      <c r="R231" s="632">
        <v>93</v>
      </c>
      <c r="S231" s="675">
        <f>SUMIF('Территориальный кк'!$A:$A,'2020'!$B231,'Территориальный кк'!D:D)</f>
        <v>2.9380000000000002</v>
      </c>
      <c r="T231" s="676">
        <f>SUMIF('Территориальный кк'!$A:$A,'2020'!$B231,'Территориальный кк'!E:E)</f>
        <v>12.574999999999999</v>
      </c>
      <c r="U231" s="618">
        <f>SUMIFS(Нормативы!G:G,Нормативы!$B:$B,$G231,Нормативы!$D:$D,'2020'!$I231,Нормативы!$F:$F,'2020'!$K231)*O231</f>
        <v>6419</v>
      </c>
      <c r="V231" s="618">
        <f t="shared" si="674"/>
        <v>4930.1000000000004</v>
      </c>
      <c r="W231" s="618">
        <f t="shared" si="675"/>
        <v>1488.9</v>
      </c>
      <c r="X231" s="618">
        <f>SUMIFS(Нормативы!J:J,Нормативы!$B:$B,$G231,Нормативы!$D:$D,'2020'!$I231,Нормативы!$F:$F,'2020'!$K231)</f>
        <v>883</v>
      </c>
      <c r="Y231" s="618">
        <f>SUMIFS(Нормативы!K:K,Нормативы!$B:$B,$G231,Нормативы!$D:$D,'2020'!$I231,Нормативы!$F:$F,'2020'!$K231)</f>
        <v>177</v>
      </c>
      <c r="Z231" s="618">
        <f>SUMIFS(Нормативы!L:L,Нормативы!$B:$B,$G231,Нормативы!$D:$D,'2020'!$I231,Нормативы!$F:$F,'2020'!$K231)</f>
        <v>811</v>
      </c>
      <c r="AA231" s="618">
        <f t="shared" si="676"/>
        <v>1905</v>
      </c>
      <c r="AB231" s="618">
        <f>SUMIFS(Нормативы!N:N,Нормативы!$B:$B,$G231,Нормативы!$D:$D,'2020'!$I231,Нормативы!$F:$F,'2020'!$K231)*O231</f>
        <v>52</v>
      </c>
      <c r="AC231" s="618">
        <f>SUMIFS(Нормативы!O:O,Нормативы!$B:$B,$G231,Нормативы!$D:$D,'2020'!$I231,Нормативы!$F:$F,'2020'!$K231)</f>
        <v>1729</v>
      </c>
      <c r="AD231" s="618">
        <f>SUMIFS(Нормативы!P:P,Нормативы!$B:$B,$G231,Нормативы!$D:$D,'2020'!$I231,Нормативы!$F:$F,'2020'!$K231)*O231</f>
        <v>36</v>
      </c>
      <c r="AE231" s="618">
        <f>SUMIFS(Нормативы!Q:Q,Нормативы!$B:$B,$G231,Нормативы!$D:$D,'2020'!$I231,Нормативы!$F:$F,'2020'!$K231)</f>
        <v>88</v>
      </c>
      <c r="AF231" s="618">
        <f>SUMIFS(Нормативы!R:R,Нормативы!$B:$B,$G231,Нормативы!$D:$D,'2020'!$I231,Нормативы!$F:$F,'2020'!$K231)</f>
        <v>268</v>
      </c>
      <c r="AG231" s="618">
        <f>SUMIFS(Нормативы!S:S,Нормативы!$B:$B,$G231,Нормативы!$D:$D,'2020'!$I231,Нормативы!$F:$F,'2020'!$K231)</f>
        <v>580</v>
      </c>
      <c r="AH231" s="618">
        <f>SUMIFS(Нормативы!T:T,Нормативы!$B:$B,$G231,Нормативы!$D:$D,'2020'!$I231,Нормативы!$F:$F,'2020'!$K231)</f>
        <v>54</v>
      </c>
      <c r="AI231" s="618">
        <f>SUMIFS(Нормативы!U:U,Нормативы!$B:$B,$G231,Нормативы!$D:$D,'2020'!$I231,Нормативы!$F:$F,'2020'!$K231)</f>
        <v>77</v>
      </c>
      <c r="AJ231" s="618">
        <f>SUMIFS(Нормативы!V:V,Нормативы!$B:$B,$G231,Нормативы!$D:$D,'2020'!$I231,Нормативы!$F:$F,'2020'!$K231)</f>
        <v>8</v>
      </c>
      <c r="AK231" s="618">
        <f>SUMIFS(Нормативы!W:W,Нормативы!$B:$B,$G231,Нормативы!$D:$D,'2020'!$I231,Нормативы!$F:$F,'2020'!$K231)</f>
        <v>105</v>
      </c>
      <c r="AL231" s="618">
        <f>SUMIFS(Нормативы!X:X,Нормативы!$B:$B,$G231,Нормативы!$D:$D,'2020'!$I231,Нормативы!$F:$F,'2020'!$K231)*O231</f>
        <v>1612</v>
      </c>
      <c r="AM231" s="618">
        <f t="shared" si="677"/>
        <v>1238.0999999999999</v>
      </c>
      <c r="AN231" s="618">
        <f t="shared" si="678"/>
        <v>373.9</v>
      </c>
      <c r="AO231" s="618">
        <f>SUMIFS(Нормативы!AA:AA,Нормативы!$B:$B,$G231,Нормативы!$D:$D,'2020'!$I231,Нормативы!$F:$F,'2020'!$K231)</f>
        <v>0</v>
      </c>
      <c r="AP231" s="619">
        <f t="shared" si="679"/>
        <v>12722</v>
      </c>
      <c r="AQ231" s="413">
        <f t="shared" si="616"/>
        <v>596967</v>
      </c>
      <c r="AR231" s="618">
        <f t="shared" si="680"/>
        <v>458500</v>
      </c>
      <c r="AS231" s="618">
        <f t="shared" si="681"/>
        <v>138467</v>
      </c>
      <c r="AT231" s="616">
        <f t="shared" si="617"/>
        <v>82119</v>
      </c>
      <c r="AU231" s="616">
        <f t="shared" si="618"/>
        <v>16461</v>
      </c>
      <c r="AV231" s="616">
        <f t="shared" si="619"/>
        <v>75423</v>
      </c>
      <c r="AW231" s="616">
        <f t="shared" si="620"/>
        <v>177165</v>
      </c>
      <c r="AX231" s="616">
        <f t="shared" si="621"/>
        <v>4836</v>
      </c>
      <c r="AY231" s="616">
        <f t="shared" si="622"/>
        <v>160797</v>
      </c>
      <c r="AZ231" s="616">
        <f t="shared" si="623"/>
        <v>3348</v>
      </c>
      <c r="BA231" s="616">
        <f t="shared" si="624"/>
        <v>8184</v>
      </c>
      <c r="BB231" s="616">
        <f t="shared" si="625"/>
        <v>24924</v>
      </c>
      <c r="BC231" s="616">
        <f t="shared" si="626"/>
        <v>53940</v>
      </c>
      <c r="BD231" s="616">
        <f t="shared" si="627"/>
        <v>5022</v>
      </c>
      <c r="BE231" s="616">
        <f t="shared" si="628"/>
        <v>7161</v>
      </c>
      <c r="BF231" s="616">
        <f t="shared" si="629"/>
        <v>744</v>
      </c>
      <c r="BG231" s="616">
        <f t="shared" si="630"/>
        <v>9765</v>
      </c>
      <c r="BH231" s="616">
        <f t="shared" si="631"/>
        <v>149916</v>
      </c>
      <c r="BI231" s="618">
        <f t="shared" si="682"/>
        <v>115142.9</v>
      </c>
      <c r="BJ231" s="618">
        <f t="shared" si="683"/>
        <v>34773.1</v>
      </c>
      <c r="BK231" s="616">
        <f t="shared" si="632"/>
        <v>0</v>
      </c>
      <c r="BL231" s="620">
        <f t="shared" si="633"/>
        <v>1183146</v>
      </c>
      <c r="BM231" s="616">
        <f t="shared" si="634"/>
        <v>1753889</v>
      </c>
      <c r="BN231" s="618">
        <f t="shared" si="635"/>
        <v>1347073</v>
      </c>
      <c r="BO231" s="618">
        <f t="shared" si="636"/>
        <v>406816</v>
      </c>
      <c r="BP231" s="616">
        <f t="shared" si="684"/>
        <v>82119</v>
      </c>
      <c r="BQ231" s="616">
        <f t="shared" si="685"/>
        <v>16461</v>
      </c>
      <c r="BR231" s="616">
        <f t="shared" si="686"/>
        <v>75423</v>
      </c>
      <c r="BS231" s="616">
        <f t="shared" si="637"/>
        <v>177165</v>
      </c>
      <c r="BT231" s="616">
        <f t="shared" si="638"/>
        <v>4836</v>
      </c>
      <c r="BU231" s="616">
        <f t="shared" si="639"/>
        <v>160797</v>
      </c>
      <c r="BV231" s="616">
        <f t="shared" si="640"/>
        <v>3348</v>
      </c>
      <c r="BW231" s="616">
        <f t="shared" si="641"/>
        <v>8184</v>
      </c>
      <c r="BX231" s="616">
        <f t="shared" si="642"/>
        <v>313419</v>
      </c>
      <c r="BY231" s="616">
        <f t="shared" si="643"/>
        <v>53940</v>
      </c>
      <c r="BZ231" s="616">
        <f t="shared" si="644"/>
        <v>5022</v>
      </c>
      <c r="CA231" s="616">
        <f t="shared" si="645"/>
        <v>7161</v>
      </c>
      <c r="CB231" s="616">
        <f t="shared" si="646"/>
        <v>744</v>
      </c>
      <c r="CC231" s="616">
        <f t="shared" si="647"/>
        <v>9765</v>
      </c>
      <c r="CD231" s="616">
        <f t="shared" si="648"/>
        <v>440453</v>
      </c>
      <c r="CE231" s="618">
        <f t="shared" si="687"/>
        <v>338289.6</v>
      </c>
      <c r="CF231" s="618">
        <f t="shared" si="688"/>
        <v>102163.4</v>
      </c>
      <c r="CG231" s="616">
        <f t="shared" si="649"/>
        <v>0</v>
      </c>
      <c r="CH231" s="621">
        <f t="shared" si="650"/>
        <v>2919100</v>
      </c>
      <c r="CI231" s="88">
        <f t="shared" si="651"/>
        <v>18859.021499999999</v>
      </c>
      <c r="CJ231" s="90">
        <f t="shared" si="652"/>
        <v>14484.6559</v>
      </c>
      <c r="CK231" s="90">
        <f t="shared" si="653"/>
        <v>4374.3656000000001</v>
      </c>
      <c r="CL231" s="88">
        <f t="shared" si="654"/>
        <v>883</v>
      </c>
      <c r="CM231" s="88">
        <f t="shared" si="655"/>
        <v>177</v>
      </c>
      <c r="CN231" s="88">
        <f t="shared" si="656"/>
        <v>811</v>
      </c>
      <c r="CO231" s="88">
        <f t="shared" si="657"/>
        <v>1905</v>
      </c>
      <c r="CP231" s="88">
        <f t="shared" si="658"/>
        <v>52</v>
      </c>
      <c r="CQ231" s="88">
        <f t="shared" si="659"/>
        <v>1729</v>
      </c>
      <c r="CR231" s="88">
        <f t="shared" si="660"/>
        <v>36</v>
      </c>
      <c r="CS231" s="88">
        <f t="shared" si="661"/>
        <v>88</v>
      </c>
      <c r="CT231" s="88">
        <f t="shared" si="662"/>
        <v>3370.0967999999998</v>
      </c>
      <c r="CU231" s="88">
        <f t="shared" si="663"/>
        <v>580</v>
      </c>
      <c r="CV231" s="88">
        <f t="shared" si="664"/>
        <v>54</v>
      </c>
      <c r="CW231" s="88">
        <f t="shared" si="665"/>
        <v>77</v>
      </c>
      <c r="CX231" s="88">
        <f t="shared" si="666"/>
        <v>8</v>
      </c>
      <c r="CY231" s="88">
        <f t="shared" si="667"/>
        <v>105</v>
      </c>
      <c r="CZ231" s="88">
        <f t="shared" si="668"/>
        <v>4736.0537999999997</v>
      </c>
      <c r="DA231" s="90">
        <f t="shared" si="669"/>
        <v>3637.5225999999998</v>
      </c>
      <c r="DB231" s="90">
        <f t="shared" si="670"/>
        <v>1098.5311999999999</v>
      </c>
      <c r="DC231" s="88">
        <f t="shared" si="671"/>
        <v>0</v>
      </c>
      <c r="DD231" s="88">
        <f t="shared" si="672"/>
        <v>31388.171999999999</v>
      </c>
      <c r="AUV231" s="699">
        <f t="shared" si="586"/>
        <v>18859.02</v>
      </c>
      <c r="AUW231" s="699">
        <f t="shared" si="587"/>
        <v>14484.65</v>
      </c>
      <c r="AUX231" s="699">
        <f t="shared" si="588"/>
        <v>4374.37</v>
      </c>
      <c r="AUY231" s="699">
        <f t="shared" si="706"/>
        <v>883</v>
      </c>
      <c r="AUZ231" s="699">
        <f t="shared" si="615"/>
        <v>1309.03</v>
      </c>
      <c r="AVA231" s="699">
        <f t="shared" si="615"/>
        <v>11.75</v>
      </c>
      <c r="AVB231" s="699">
        <f t="shared" si="707"/>
        <v>1905</v>
      </c>
      <c r="AVC231" s="699">
        <f t="shared" si="708"/>
        <v>52</v>
      </c>
      <c r="AVD231" s="699">
        <f t="shared" si="709"/>
        <v>1729</v>
      </c>
      <c r="AVE231" s="699">
        <f t="shared" si="710"/>
        <v>36</v>
      </c>
      <c r="AVF231" s="699">
        <f t="shared" si="711"/>
        <v>88</v>
      </c>
      <c r="AVG231" s="699">
        <f t="shared" si="712"/>
        <v>3370.1</v>
      </c>
      <c r="AVH231" s="699">
        <f t="shared" si="713"/>
        <v>580</v>
      </c>
      <c r="AVI231" s="699">
        <f t="shared" si="714"/>
        <v>54</v>
      </c>
      <c r="AVJ231" s="699">
        <f t="shared" si="715"/>
        <v>77</v>
      </c>
      <c r="AVK231" s="699">
        <f t="shared" si="716"/>
        <v>8</v>
      </c>
      <c r="AVL231" s="699">
        <f t="shared" si="717"/>
        <v>105</v>
      </c>
      <c r="AVM231" s="699">
        <f t="shared" si="718"/>
        <v>4736.05</v>
      </c>
      <c r="AVN231" s="699">
        <f t="shared" si="719"/>
        <v>3637.52</v>
      </c>
      <c r="AVO231" s="699">
        <f t="shared" si="720"/>
        <v>1098.53</v>
      </c>
      <c r="AVP231" s="699">
        <f t="shared" si="721"/>
        <v>0</v>
      </c>
      <c r="AVQ231" s="699">
        <f t="shared" si="722"/>
        <v>31388.17</v>
      </c>
    </row>
    <row r="232" spans="1:108 1244:1265" ht="30" customHeight="1" x14ac:dyDescent="0.25">
      <c r="A232" s="643">
        <v>1</v>
      </c>
      <c r="B232" s="643">
        <v>14</v>
      </c>
      <c r="C232" s="664" t="s">
        <v>249</v>
      </c>
      <c r="D232" s="2"/>
      <c r="E232" s="101" t="s">
        <v>344</v>
      </c>
      <c r="F232" s="643" t="s">
        <v>31</v>
      </c>
      <c r="G232" s="643">
        <v>1</v>
      </c>
      <c r="H232" s="658" t="s">
        <v>10</v>
      </c>
      <c r="I232" s="643">
        <v>0</v>
      </c>
      <c r="J232" s="101" t="s">
        <v>373</v>
      </c>
      <c r="K232" s="643">
        <v>3</v>
      </c>
      <c r="L232" s="683" t="s">
        <v>349</v>
      </c>
      <c r="M232" s="11" t="s">
        <v>281</v>
      </c>
      <c r="N232" s="101" t="s">
        <v>387</v>
      </c>
      <c r="O232" s="643">
        <v>1</v>
      </c>
      <c r="P232" s="632">
        <v>38</v>
      </c>
      <c r="Q232" s="632">
        <v>38</v>
      </c>
      <c r="R232" s="632">
        <v>38</v>
      </c>
      <c r="S232" s="675">
        <f>SUMIF('Территориальный кк'!$A:$A,'2020'!$B232,'Территориальный кк'!D:D)</f>
        <v>2.9380000000000002</v>
      </c>
      <c r="T232" s="676">
        <f>SUMIF('Территориальный кк'!$A:$A,'2020'!$B232,'Территориальный кк'!E:E)</f>
        <v>12.574999999999999</v>
      </c>
      <c r="U232" s="618">
        <f>SUMIFS(Нормативы!G:G,Нормативы!$B:$B,$G232,Нормативы!$D:$D,'2020'!$I232,Нормативы!$F:$F,'2020'!$K232)*O232</f>
        <v>64190</v>
      </c>
      <c r="V232" s="618">
        <f t="shared" si="674"/>
        <v>49301.1</v>
      </c>
      <c r="W232" s="618">
        <f t="shared" si="675"/>
        <v>14888.9</v>
      </c>
      <c r="X232" s="618">
        <f>SUMIFS(Нормативы!J:J,Нормативы!$B:$B,$G232,Нормативы!$D:$D,'2020'!$I232,Нормативы!$F:$F,'2020'!$K232)</f>
        <v>8830</v>
      </c>
      <c r="Y232" s="618">
        <f>SUMIFS(Нормативы!K:K,Нормативы!$B:$B,$G232,Нормативы!$D:$D,'2020'!$I232,Нормативы!$F:$F,'2020'!$K232)</f>
        <v>1766</v>
      </c>
      <c r="Z232" s="618">
        <f>SUMIFS(Нормативы!L:L,Нормативы!$B:$B,$G232,Нормативы!$D:$D,'2020'!$I232,Нормативы!$F:$F,'2020'!$K232)</f>
        <v>8110</v>
      </c>
      <c r="AA232" s="618">
        <f t="shared" si="676"/>
        <v>19050</v>
      </c>
      <c r="AB232" s="618">
        <f>SUMIFS(Нормативы!N:N,Нормативы!$B:$B,$G232,Нормативы!$D:$D,'2020'!$I232,Нормативы!$F:$F,'2020'!$K232)*O232</f>
        <v>520</v>
      </c>
      <c r="AC232" s="618">
        <f>SUMIFS(Нормативы!O:O,Нормативы!$B:$B,$G232,Нормативы!$D:$D,'2020'!$I232,Нормативы!$F:$F,'2020'!$K232)</f>
        <v>17290</v>
      </c>
      <c r="AD232" s="618">
        <f>SUMIFS(Нормативы!P:P,Нормативы!$B:$B,$G232,Нормативы!$D:$D,'2020'!$I232,Нормативы!$F:$F,'2020'!$K232)*O232</f>
        <v>360</v>
      </c>
      <c r="AE232" s="618">
        <f>SUMIFS(Нормативы!Q:Q,Нормативы!$B:$B,$G232,Нормативы!$D:$D,'2020'!$I232,Нормативы!$F:$F,'2020'!$K232)</f>
        <v>880</v>
      </c>
      <c r="AF232" s="618">
        <f>SUMIFS(Нормативы!R:R,Нормативы!$B:$B,$G232,Нормативы!$D:$D,'2020'!$I232,Нормативы!$F:$F,'2020'!$K232)</f>
        <v>2680</v>
      </c>
      <c r="AG232" s="618">
        <f>SUMIFS(Нормативы!S:S,Нормативы!$B:$B,$G232,Нормативы!$D:$D,'2020'!$I232,Нормативы!$F:$F,'2020'!$K232)</f>
        <v>5800</v>
      </c>
      <c r="AH232" s="618">
        <f>SUMIFS(Нормативы!T:T,Нормативы!$B:$B,$G232,Нормативы!$D:$D,'2020'!$I232,Нормативы!$F:$F,'2020'!$K232)</f>
        <v>540</v>
      </c>
      <c r="AI232" s="618">
        <f>SUMIFS(Нормативы!U:U,Нормативы!$B:$B,$G232,Нормативы!$D:$D,'2020'!$I232,Нормативы!$F:$F,'2020'!$K232)</f>
        <v>770</v>
      </c>
      <c r="AJ232" s="618">
        <f>SUMIFS(Нормативы!V:V,Нормативы!$B:$B,$G232,Нормативы!$D:$D,'2020'!$I232,Нормативы!$F:$F,'2020'!$K232)</f>
        <v>80</v>
      </c>
      <c r="AK232" s="618">
        <f>SUMIFS(Нормативы!W:W,Нормативы!$B:$B,$G232,Нормативы!$D:$D,'2020'!$I232,Нормативы!$F:$F,'2020'!$K232)</f>
        <v>1050</v>
      </c>
      <c r="AL232" s="618">
        <f>SUMIFS(Нормативы!X:X,Нормативы!$B:$B,$G232,Нормативы!$D:$D,'2020'!$I232,Нормативы!$F:$F,'2020'!$K232)*O232</f>
        <v>16120</v>
      </c>
      <c r="AM232" s="618">
        <f t="shared" si="677"/>
        <v>12381</v>
      </c>
      <c r="AN232" s="618">
        <f t="shared" si="678"/>
        <v>3739</v>
      </c>
      <c r="AO232" s="618">
        <f>SUMIFS(Нормативы!AA:AA,Нормативы!$B:$B,$G232,Нормативы!$D:$D,'2020'!$I232,Нормативы!$F:$F,'2020'!$K232)</f>
        <v>3520</v>
      </c>
      <c r="AP232" s="619">
        <f t="shared" si="679"/>
        <v>130740</v>
      </c>
      <c r="AQ232" s="413">
        <f t="shared" si="616"/>
        <v>2439220</v>
      </c>
      <c r="AR232" s="618">
        <f t="shared" si="680"/>
        <v>1873440.9</v>
      </c>
      <c r="AS232" s="618">
        <f t="shared" si="681"/>
        <v>565779.1</v>
      </c>
      <c r="AT232" s="616">
        <f t="shared" si="617"/>
        <v>335540</v>
      </c>
      <c r="AU232" s="616">
        <f t="shared" si="618"/>
        <v>67108</v>
      </c>
      <c r="AV232" s="616">
        <f t="shared" si="619"/>
        <v>308180</v>
      </c>
      <c r="AW232" s="616">
        <f t="shared" si="620"/>
        <v>723900</v>
      </c>
      <c r="AX232" s="616">
        <f t="shared" si="621"/>
        <v>19760</v>
      </c>
      <c r="AY232" s="616">
        <f t="shared" si="622"/>
        <v>657020</v>
      </c>
      <c r="AZ232" s="616">
        <f t="shared" si="623"/>
        <v>13680</v>
      </c>
      <c r="BA232" s="616">
        <f t="shared" si="624"/>
        <v>33440</v>
      </c>
      <c r="BB232" s="616">
        <f t="shared" si="625"/>
        <v>101840</v>
      </c>
      <c r="BC232" s="616">
        <f t="shared" si="626"/>
        <v>220400</v>
      </c>
      <c r="BD232" s="616">
        <f t="shared" si="627"/>
        <v>20520</v>
      </c>
      <c r="BE232" s="616">
        <f t="shared" si="628"/>
        <v>29260</v>
      </c>
      <c r="BF232" s="616">
        <f t="shared" si="629"/>
        <v>3040</v>
      </c>
      <c r="BG232" s="616">
        <f t="shared" si="630"/>
        <v>39900</v>
      </c>
      <c r="BH232" s="616">
        <f t="shared" si="631"/>
        <v>612560</v>
      </c>
      <c r="BI232" s="618">
        <f t="shared" si="682"/>
        <v>470476.2</v>
      </c>
      <c r="BJ232" s="618">
        <f t="shared" si="683"/>
        <v>142083.79999999999</v>
      </c>
      <c r="BK232" s="616">
        <f t="shared" si="632"/>
        <v>133760</v>
      </c>
      <c r="BL232" s="620">
        <f t="shared" si="633"/>
        <v>4968120</v>
      </c>
      <c r="BM232" s="616">
        <f t="shared" si="634"/>
        <v>7166428</v>
      </c>
      <c r="BN232" s="618">
        <f t="shared" si="635"/>
        <v>5504169</v>
      </c>
      <c r="BO232" s="618">
        <f>BM232-BN232</f>
        <v>1662259</v>
      </c>
      <c r="BP232" s="616">
        <f t="shared" si="684"/>
        <v>335540</v>
      </c>
      <c r="BQ232" s="616">
        <f t="shared" si="685"/>
        <v>67108</v>
      </c>
      <c r="BR232" s="616">
        <f t="shared" si="686"/>
        <v>308180</v>
      </c>
      <c r="BS232" s="616">
        <f t="shared" si="637"/>
        <v>723900</v>
      </c>
      <c r="BT232" s="616">
        <f t="shared" si="638"/>
        <v>19760</v>
      </c>
      <c r="BU232" s="616">
        <f t="shared" si="639"/>
        <v>657020</v>
      </c>
      <c r="BV232" s="616">
        <f t="shared" si="640"/>
        <v>13680</v>
      </c>
      <c r="BW232" s="616">
        <f t="shared" si="641"/>
        <v>33440</v>
      </c>
      <c r="BX232" s="616">
        <f t="shared" si="642"/>
        <v>1280638</v>
      </c>
      <c r="BY232" s="616">
        <f t="shared" si="643"/>
        <v>220400</v>
      </c>
      <c r="BZ232" s="616">
        <f t="shared" si="644"/>
        <v>20520</v>
      </c>
      <c r="CA232" s="616">
        <f t="shared" si="645"/>
        <v>29260</v>
      </c>
      <c r="CB232" s="616">
        <f t="shared" si="646"/>
        <v>3040</v>
      </c>
      <c r="CC232" s="616">
        <f t="shared" si="647"/>
        <v>39900</v>
      </c>
      <c r="CD232" s="616">
        <f t="shared" si="648"/>
        <v>1799701</v>
      </c>
      <c r="CE232" s="618">
        <f t="shared" si="687"/>
        <v>1382258.8</v>
      </c>
      <c r="CF232" s="618">
        <f t="shared" si="688"/>
        <v>417442.2</v>
      </c>
      <c r="CG232" s="616">
        <f t="shared" si="649"/>
        <v>133760</v>
      </c>
      <c r="CH232" s="621">
        <f t="shared" si="650"/>
        <v>12061267</v>
      </c>
      <c r="CI232" s="88">
        <f t="shared" si="651"/>
        <v>188590.21049999999</v>
      </c>
      <c r="CJ232" s="90">
        <f t="shared" si="652"/>
        <v>144846.5526</v>
      </c>
      <c r="CK232" s="90">
        <f>ROUND(BO232/$P232,4)</f>
        <v>43743.657899999998</v>
      </c>
      <c r="CL232" s="88">
        <f t="shared" si="654"/>
        <v>8830</v>
      </c>
      <c r="CM232" s="88">
        <f t="shared" si="655"/>
        <v>1766</v>
      </c>
      <c r="CN232" s="88">
        <f t="shared" si="656"/>
        <v>8110</v>
      </c>
      <c r="CO232" s="88">
        <f t="shared" si="657"/>
        <v>19050</v>
      </c>
      <c r="CP232" s="88">
        <f t="shared" si="658"/>
        <v>520</v>
      </c>
      <c r="CQ232" s="88">
        <f t="shared" si="659"/>
        <v>17290</v>
      </c>
      <c r="CR232" s="88">
        <f t="shared" si="660"/>
        <v>360</v>
      </c>
      <c r="CS232" s="88">
        <f t="shared" si="661"/>
        <v>880</v>
      </c>
      <c r="CT232" s="88">
        <f t="shared" si="662"/>
        <v>33701</v>
      </c>
      <c r="CU232" s="88">
        <f t="shared" si="663"/>
        <v>5800</v>
      </c>
      <c r="CV232" s="88">
        <f t="shared" si="664"/>
        <v>540</v>
      </c>
      <c r="CW232" s="88">
        <f t="shared" si="665"/>
        <v>770</v>
      </c>
      <c r="CX232" s="88">
        <f t="shared" si="666"/>
        <v>80</v>
      </c>
      <c r="CY232" s="88">
        <f t="shared" si="667"/>
        <v>1050</v>
      </c>
      <c r="CZ232" s="88">
        <f t="shared" si="668"/>
        <v>47360.552600000003</v>
      </c>
      <c r="DA232" s="90">
        <f t="shared" si="669"/>
        <v>36375.231599999999</v>
      </c>
      <c r="DB232" s="90">
        <f t="shared" si="670"/>
        <v>10985.321099999999</v>
      </c>
      <c r="DC232" s="88">
        <f t="shared" si="671"/>
        <v>3520</v>
      </c>
      <c r="DD232" s="88">
        <f t="shared" si="672"/>
        <v>317401.76319999999</v>
      </c>
      <c r="AUV232" s="699">
        <f t="shared" si="586"/>
        <v>188590.21</v>
      </c>
      <c r="AUW232" s="699">
        <f t="shared" si="587"/>
        <v>144846.54999999999</v>
      </c>
      <c r="AUX232" s="699">
        <f t="shared" si="588"/>
        <v>43743.66</v>
      </c>
      <c r="AUY232" s="699">
        <f t="shared" si="706"/>
        <v>8830</v>
      </c>
      <c r="AUZ232" s="699">
        <f t="shared" si="615"/>
        <v>5336.62</v>
      </c>
      <c r="AVA232" s="699">
        <f t="shared" si="615"/>
        <v>4.8</v>
      </c>
      <c r="AVB232" s="699">
        <f t="shared" si="707"/>
        <v>19050</v>
      </c>
      <c r="AVC232" s="699">
        <f t="shared" si="708"/>
        <v>520</v>
      </c>
      <c r="AVD232" s="699">
        <f t="shared" si="709"/>
        <v>17290</v>
      </c>
      <c r="AVE232" s="699">
        <f t="shared" si="710"/>
        <v>360</v>
      </c>
      <c r="AVF232" s="699">
        <f t="shared" si="711"/>
        <v>880</v>
      </c>
      <c r="AVG232" s="699">
        <f t="shared" si="712"/>
        <v>33701</v>
      </c>
      <c r="AVH232" s="699">
        <f t="shared" si="713"/>
        <v>5800</v>
      </c>
      <c r="AVI232" s="699">
        <f t="shared" si="714"/>
        <v>540</v>
      </c>
      <c r="AVJ232" s="699">
        <f t="shared" si="715"/>
        <v>770</v>
      </c>
      <c r="AVK232" s="699">
        <f t="shared" si="716"/>
        <v>80</v>
      </c>
      <c r="AVL232" s="699">
        <f t="shared" si="717"/>
        <v>1050</v>
      </c>
      <c r="AVM232" s="699">
        <f t="shared" si="718"/>
        <v>47360.55</v>
      </c>
      <c r="AVN232" s="699">
        <f t="shared" si="719"/>
        <v>36375.230000000003</v>
      </c>
      <c r="AVO232" s="699">
        <f t="shared" si="720"/>
        <v>10985.32</v>
      </c>
      <c r="AVP232" s="699">
        <f t="shared" si="721"/>
        <v>3520</v>
      </c>
      <c r="AVQ232" s="699">
        <f t="shared" si="722"/>
        <v>317401.76</v>
      </c>
    </row>
    <row r="233" spans="1:108 1244:1265" s="608" customFormat="1" ht="30" customHeight="1" x14ac:dyDescent="0.25">
      <c r="A233" s="634">
        <v>1</v>
      </c>
      <c r="B233" s="634">
        <v>14</v>
      </c>
      <c r="C233" s="633" t="s">
        <v>249</v>
      </c>
      <c r="D233" s="2"/>
      <c r="E233" s="602" t="s">
        <v>344</v>
      </c>
      <c r="F233" s="634" t="s">
        <v>31</v>
      </c>
      <c r="G233" s="634">
        <v>1</v>
      </c>
      <c r="H233" s="656" t="s">
        <v>10</v>
      </c>
      <c r="I233" s="634">
        <v>0</v>
      </c>
      <c r="J233" s="602" t="s">
        <v>373</v>
      </c>
      <c r="K233" s="634">
        <v>3</v>
      </c>
      <c r="L233" s="681" t="s">
        <v>349</v>
      </c>
      <c r="M233" s="601" t="s">
        <v>461</v>
      </c>
      <c r="N233" s="602" t="s">
        <v>401</v>
      </c>
      <c r="O233" s="634">
        <v>2</v>
      </c>
      <c r="P233" s="633">
        <v>1</v>
      </c>
      <c r="Q233" s="633">
        <v>1</v>
      </c>
      <c r="R233" s="633">
        <v>1</v>
      </c>
      <c r="S233" s="671">
        <f>'Территориальный кк'!D17</f>
        <v>2.9380000000000002</v>
      </c>
      <c r="T233" s="672">
        <f>'Территориальный кк'!E17</f>
        <v>12.574999999999999</v>
      </c>
      <c r="U233" s="618">
        <f>SUMIFS(Нормативы!G:G,Нормативы!$B:$B,$G233,Нормативы!$D:$D,'2020'!$I233,Нормативы!$F:$F,'2020'!$K233)*O233</f>
        <v>128380</v>
      </c>
      <c r="V233" s="618">
        <f t="shared" ref="V233" si="723">ROUND(U233/1.302,1)</f>
        <v>98602.2</v>
      </c>
      <c r="W233" s="618">
        <f t="shared" ref="W233" si="724">U233-V233</f>
        <v>29777.8</v>
      </c>
      <c r="X233" s="618">
        <f>SUMIFS(Нормативы!J:J,Нормативы!$B:$B,$G233,Нормативы!$D:$D,'2020'!$I233,Нормативы!$F:$F,'2020'!$K233)</f>
        <v>8830</v>
      </c>
      <c r="Y233" s="618">
        <f>SUMIFS(Нормативы!K:K,Нормативы!$B:$B,$G233,Нормативы!$D:$D,'2020'!$I233,Нормативы!$F:$F,'2020'!$K233)</f>
        <v>1766</v>
      </c>
      <c r="Z233" s="618">
        <f>SUMIFS(Нормативы!L:L,Нормативы!$B:$B,$G233,Нормативы!$D:$D,'2020'!$I233,Нормативы!$F:$F,'2020'!$K233)</f>
        <v>8110</v>
      </c>
      <c r="AA233" s="618">
        <f t="shared" ref="AA233" si="725">AB233+AC233+AD233+AE233</f>
        <v>19930</v>
      </c>
      <c r="AB233" s="618">
        <f>SUMIFS(Нормативы!N:N,Нормативы!$B:$B,$G233,Нормативы!$D:$D,'2020'!$I233,Нормативы!$F:$F,'2020'!$K233)*O233</f>
        <v>1040</v>
      </c>
      <c r="AC233" s="618">
        <f>SUMIFS(Нормативы!O:O,Нормативы!$B:$B,$G233,Нормативы!$D:$D,'2020'!$I233,Нормативы!$F:$F,'2020'!$K233)</f>
        <v>17290</v>
      </c>
      <c r="AD233" s="618">
        <f>SUMIFS(Нормативы!P:P,Нормативы!$B:$B,$G233,Нормативы!$D:$D,'2020'!$I233,Нормативы!$F:$F,'2020'!$K233)*O233</f>
        <v>720</v>
      </c>
      <c r="AE233" s="618">
        <f>SUMIFS(Нормативы!Q:Q,Нормативы!$B:$B,$G233,Нормативы!$D:$D,'2020'!$I233,Нормативы!$F:$F,'2020'!$K233)</f>
        <v>880</v>
      </c>
      <c r="AF233" s="618">
        <f>SUMIFS(Нормативы!R:R,Нормативы!$B:$B,$G233,Нормативы!$D:$D,'2020'!$I233,Нормативы!$F:$F,'2020'!$K233)</f>
        <v>2680</v>
      </c>
      <c r="AG233" s="618">
        <f>SUMIFS(Нормативы!S:S,Нормативы!$B:$B,$G233,Нормативы!$D:$D,'2020'!$I233,Нормативы!$F:$F,'2020'!$K233)</f>
        <v>5800</v>
      </c>
      <c r="AH233" s="618">
        <f>SUMIFS(Нормативы!T:T,Нормативы!$B:$B,$G233,Нормативы!$D:$D,'2020'!$I233,Нормативы!$F:$F,'2020'!$K233)</f>
        <v>540</v>
      </c>
      <c r="AI233" s="618">
        <f>SUMIFS(Нормативы!U:U,Нормативы!$B:$B,$G233,Нормативы!$D:$D,'2020'!$I233,Нормативы!$F:$F,'2020'!$K233)</f>
        <v>770</v>
      </c>
      <c r="AJ233" s="618">
        <f>SUMIFS(Нормативы!V:V,Нормативы!$B:$B,$G233,Нормативы!$D:$D,'2020'!$I233,Нормативы!$F:$F,'2020'!$K233)</f>
        <v>80</v>
      </c>
      <c r="AK233" s="618">
        <f>SUMIFS(Нормативы!W:W,Нормативы!$B:$B,$G233,Нормативы!$D:$D,'2020'!$I233,Нормативы!$F:$F,'2020'!$K233)</f>
        <v>1050</v>
      </c>
      <c r="AL233" s="618">
        <f>SUMIFS(Нормативы!X:X,Нормативы!$B:$B,$G233,Нормативы!$D:$D,'2020'!$I233,Нормативы!$F:$F,'2020'!$K233)*O233</f>
        <v>32240</v>
      </c>
      <c r="AM233" s="618">
        <f t="shared" ref="AM233" si="726">ROUND(AL233/1.302,1)</f>
        <v>24761.9</v>
      </c>
      <c r="AN233" s="618">
        <f t="shared" ref="AN233" si="727">AL233-AM233</f>
        <v>7478.1</v>
      </c>
      <c r="AO233" s="618">
        <f>SUMIFS(Нормативы!AA:AA,Нормативы!$B:$B,$G233,Нормативы!$D:$D,'2020'!$I233,Нормативы!$F:$F,'2020'!$K233)</f>
        <v>3520</v>
      </c>
      <c r="AP233" s="619">
        <f t="shared" ref="AP233" si="728">U233+X233+Z233+AA233++AF233+AG233+AH233+AI233+AJ233+AK233+AL233+AO233</f>
        <v>211930</v>
      </c>
      <c r="AQ233" s="611">
        <f t="shared" si="616"/>
        <v>128380</v>
      </c>
      <c r="AR233" s="622">
        <f t="shared" si="680"/>
        <v>98602.2</v>
      </c>
      <c r="AS233" s="622">
        <f t="shared" si="681"/>
        <v>29777.8</v>
      </c>
      <c r="AT233" s="614">
        <f t="shared" si="617"/>
        <v>8830</v>
      </c>
      <c r="AU233" s="614">
        <f t="shared" si="618"/>
        <v>1766</v>
      </c>
      <c r="AV233" s="614">
        <f t="shared" si="619"/>
        <v>8110</v>
      </c>
      <c r="AW233" s="614">
        <f t="shared" si="620"/>
        <v>19930</v>
      </c>
      <c r="AX233" s="614">
        <f t="shared" si="621"/>
        <v>1040</v>
      </c>
      <c r="AY233" s="614">
        <f t="shared" si="622"/>
        <v>17290</v>
      </c>
      <c r="AZ233" s="614">
        <f t="shared" si="623"/>
        <v>720</v>
      </c>
      <c r="BA233" s="614">
        <f t="shared" si="624"/>
        <v>880</v>
      </c>
      <c r="BB233" s="614">
        <f t="shared" si="625"/>
        <v>2680</v>
      </c>
      <c r="BC233" s="614">
        <f t="shared" si="626"/>
        <v>5800</v>
      </c>
      <c r="BD233" s="614">
        <f t="shared" si="627"/>
        <v>540</v>
      </c>
      <c r="BE233" s="614">
        <f t="shared" si="628"/>
        <v>770</v>
      </c>
      <c r="BF233" s="614">
        <f t="shared" si="629"/>
        <v>80</v>
      </c>
      <c r="BG233" s="614">
        <f t="shared" si="630"/>
        <v>1050</v>
      </c>
      <c r="BH233" s="614">
        <f t="shared" si="631"/>
        <v>32240</v>
      </c>
      <c r="BI233" s="614">
        <f t="shared" ref="BI233" si="729">ROUND($P233*AM233,0)</f>
        <v>24762</v>
      </c>
      <c r="BJ233" s="614">
        <f t="shared" ref="BJ233" si="730">ROUND($P233*AN233,0)</f>
        <v>7478</v>
      </c>
      <c r="BK233" s="614">
        <f t="shared" si="632"/>
        <v>3520</v>
      </c>
      <c r="BL233" s="620">
        <f t="shared" si="633"/>
        <v>211930</v>
      </c>
      <c r="BM233" s="614">
        <f t="shared" si="634"/>
        <v>377180</v>
      </c>
      <c r="BN233" s="622">
        <f t="shared" si="635"/>
        <v>289692.79999999999</v>
      </c>
      <c r="BO233" s="622">
        <f>BM233-BN233</f>
        <v>87487.2</v>
      </c>
      <c r="BP233" s="614">
        <f t="shared" si="684"/>
        <v>8830</v>
      </c>
      <c r="BQ233" s="614">
        <f t="shared" si="685"/>
        <v>1766</v>
      </c>
      <c r="BR233" s="614">
        <f t="shared" si="686"/>
        <v>8110</v>
      </c>
      <c r="BS233" s="614">
        <f t="shared" si="637"/>
        <v>19930</v>
      </c>
      <c r="BT233" s="614">
        <f t="shared" si="638"/>
        <v>1040</v>
      </c>
      <c r="BU233" s="614">
        <f t="shared" si="639"/>
        <v>17290</v>
      </c>
      <c r="BV233" s="614">
        <f t="shared" si="640"/>
        <v>720</v>
      </c>
      <c r="BW233" s="614">
        <f t="shared" si="641"/>
        <v>880</v>
      </c>
      <c r="BX233" s="614">
        <f t="shared" si="642"/>
        <v>33701</v>
      </c>
      <c r="BY233" s="614">
        <f t="shared" si="643"/>
        <v>5800</v>
      </c>
      <c r="BZ233" s="614">
        <f t="shared" si="644"/>
        <v>540</v>
      </c>
      <c r="CA233" s="614">
        <f t="shared" si="645"/>
        <v>770</v>
      </c>
      <c r="CB233" s="614">
        <f t="shared" si="646"/>
        <v>80</v>
      </c>
      <c r="CC233" s="614">
        <f t="shared" si="647"/>
        <v>1050</v>
      </c>
      <c r="CD233" s="614">
        <f t="shared" si="648"/>
        <v>94721</v>
      </c>
      <c r="CE233" s="622">
        <f t="shared" si="687"/>
        <v>72750.399999999994</v>
      </c>
      <c r="CF233" s="622">
        <f t="shared" si="688"/>
        <v>21970.6</v>
      </c>
      <c r="CG233" s="614">
        <f t="shared" si="649"/>
        <v>3520</v>
      </c>
      <c r="CH233" s="621">
        <f t="shared" si="650"/>
        <v>554232</v>
      </c>
      <c r="CI233" s="607"/>
      <c r="CJ233" s="607"/>
      <c r="CK233" s="607"/>
      <c r="CL233" s="607"/>
      <c r="CM233" s="607"/>
      <c r="CN233" s="607"/>
      <c r="CO233" s="607"/>
      <c r="CP233" s="607"/>
      <c r="CQ233" s="607"/>
      <c r="CR233" s="607"/>
      <c r="CS233" s="607"/>
      <c r="CT233" s="607"/>
      <c r="CU233" s="607"/>
      <c r="CV233" s="607"/>
      <c r="CW233" s="607"/>
      <c r="CX233" s="607"/>
      <c r="CY233" s="607"/>
      <c r="CZ233" s="607"/>
      <c r="DA233" s="607"/>
      <c r="DB233" s="607"/>
      <c r="DC233" s="607"/>
      <c r="DD233" s="607"/>
      <c r="AUV233" s="699">
        <f t="shared" si="586"/>
        <v>377180</v>
      </c>
      <c r="AUW233" s="699">
        <f t="shared" si="587"/>
        <v>289692.78000000003</v>
      </c>
      <c r="AUX233" s="699">
        <f t="shared" si="588"/>
        <v>87487.22</v>
      </c>
      <c r="AUY233" s="699">
        <f t="shared" si="706"/>
        <v>8830</v>
      </c>
      <c r="AUZ233" s="699">
        <f t="shared" si="615"/>
        <v>140.44</v>
      </c>
      <c r="AVA233" s="699">
        <f t="shared" si="615"/>
        <v>0.06</v>
      </c>
      <c r="AVB233" s="699">
        <f t="shared" si="707"/>
        <v>19930</v>
      </c>
      <c r="AVC233" s="699">
        <f t="shared" si="708"/>
        <v>1040</v>
      </c>
      <c r="AVD233" s="699">
        <f t="shared" si="709"/>
        <v>17290</v>
      </c>
      <c r="AVE233" s="699">
        <f t="shared" si="710"/>
        <v>720</v>
      </c>
      <c r="AVF233" s="699">
        <f t="shared" si="711"/>
        <v>880</v>
      </c>
      <c r="AVG233" s="699">
        <f t="shared" si="712"/>
        <v>33701</v>
      </c>
      <c r="AVH233" s="699">
        <f t="shared" si="713"/>
        <v>5800</v>
      </c>
      <c r="AVI233" s="699">
        <f t="shared" si="714"/>
        <v>540</v>
      </c>
      <c r="AVJ233" s="699">
        <f t="shared" si="715"/>
        <v>770</v>
      </c>
      <c r="AVK233" s="699">
        <f t="shared" si="716"/>
        <v>80</v>
      </c>
      <c r="AVL233" s="699">
        <f t="shared" si="717"/>
        <v>1050</v>
      </c>
      <c r="AVM233" s="699">
        <f t="shared" si="718"/>
        <v>94721</v>
      </c>
      <c r="AVN233" s="699">
        <f t="shared" si="719"/>
        <v>72750.38</v>
      </c>
      <c r="AVO233" s="699">
        <f t="shared" si="720"/>
        <v>21970.62</v>
      </c>
      <c r="AVP233" s="699">
        <f t="shared" si="721"/>
        <v>3520</v>
      </c>
      <c r="AVQ233" s="699">
        <f t="shared" si="722"/>
        <v>554232</v>
      </c>
    </row>
    <row r="234" spans="1:108 1244:1265" ht="30" customHeight="1" x14ac:dyDescent="0.25">
      <c r="A234" s="643">
        <v>1</v>
      </c>
      <c r="B234" s="643">
        <v>14</v>
      </c>
      <c r="C234" s="664" t="s">
        <v>249</v>
      </c>
      <c r="D234" s="2"/>
      <c r="E234" s="101" t="s">
        <v>344</v>
      </c>
      <c r="F234" s="643" t="s">
        <v>31</v>
      </c>
      <c r="G234" s="643">
        <v>1</v>
      </c>
      <c r="H234" s="658" t="s">
        <v>8</v>
      </c>
      <c r="I234" s="643">
        <v>3</v>
      </c>
      <c r="J234" s="101" t="s">
        <v>373</v>
      </c>
      <c r="K234" s="643">
        <v>3</v>
      </c>
      <c r="L234" s="683" t="s">
        <v>349</v>
      </c>
      <c r="M234" s="11" t="s">
        <v>282</v>
      </c>
      <c r="N234" s="101" t="s">
        <v>387</v>
      </c>
      <c r="O234" s="643">
        <v>1</v>
      </c>
      <c r="P234" s="632">
        <v>16</v>
      </c>
      <c r="Q234" s="632">
        <v>16</v>
      </c>
      <c r="R234" s="632">
        <v>16</v>
      </c>
      <c r="S234" s="675">
        <f>SUMIF('Территориальный кк'!$A:$A,'2020'!$B234,'Территориальный кк'!D:D)</f>
        <v>2.9380000000000002</v>
      </c>
      <c r="T234" s="676">
        <f>SUMIF('Территориальный кк'!$A:$A,'2020'!$B234,'Территориальный кк'!E:E)</f>
        <v>12.574999999999999</v>
      </c>
      <c r="U234" s="618">
        <f>SUMIFS(Нормативы!G:G,Нормативы!$B:$B,$G234,Нормативы!$D:$D,'2020'!$I234,Нормативы!$F:$F,'2020'!$K234)*O234</f>
        <v>6419</v>
      </c>
      <c r="V234" s="618">
        <f t="shared" si="674"/>
        <v>4930.1000000000004</v>
      </c>
      <c r="W234" s="618">
        <f t="shared" si="675"/>
        <v>1488.9</v>
      </c>
      <c r="X234" s="618">
        <f>SUMIFS(Нормативы!J:J,Нормативы!$B:$B,$G234,Нормативы!$D:$D,'2020'!$I234,Нормативы!$F:$F,'2020'!$K234)</f>
        <v>883</v>
      </c>
      <c r="Y234" s="618">
        <f>SUMIFS(Нормативы!K:K,Нормативы!$B:$B,$G234,Нормативы!$D:$D,'2020'!$I234,Нормативы!$F:$F,'2020'!$K234)</f>
        <v>177</v>
      </c>
      <c r="Z234" s="618">
        <f>SUMIFS(Нормативы!L:L,Нормативы!$B:$B,$G234,Нормативы!$D:$D,'2020'!$I234,Нормативы!$F:$F,'2020'!$K234)</f>
        <v>811</v>
      </c>
      <c r="AA234" s="618">
        <f t="shared" si="676"/>
        <v>1905</v>
      </c>
      <c r="AB234" s="618">
        <f>SUMIFS(Нормативы!N:N,Нормативы!$B:$B,$G234,Нормативы!$D:$D,'2020'!$I234,Нормативы!$F:$F,'2020'!$K234)*O234</f>
        <v>52</v>
      </c>
      <c r="AC234" s="618">
        <f>SUMIFS(Нормативы!O:O,Нормативы!$B:$B,$G234,Нормативы!$D:$D,'2020'!$I234,Нормативы!$F:$F,'2020'!$K234)</f>
        <v>1729</v>
      </c>
      <c r="AD234" s="618">
        <f>SUMIFS(Нормативы!P:P,Нормативы!$B:$B,$G234,Нормативы!$D:$D,'2020'!$I234,Нормативы!$F:$F,'2020'!$K234)*O234</f>
        <v>36</v>
      </c>
      <c r="AE234" s="618">
        <f>SUMIFS(Нормативы!Q:Q,Нормативы!$B:$B,$G234,Нормативы!$D:$D,'2020'!$I234,Нормативы!$F:$F,'2020'!$K234)</f>
        <v>88</v>
      </c>
      <c r="AF234" s="618">
        <f>SUMIFS(Нормативы!R:R,Нормативы!$B:$B,$G234,Нормативы!$D:$D,'2020'!$I234,Нормативы!$F:$F,'2020'!$K234)</f>
        <v>268</v>
      </c>
      <c r="AG234" s="618">
        <f>SUMIFS(Нормативы!S:S,Нормативы!$B:$B,$G234,Нормативы!$D:$D,'2020'!$I234,Нормативы!$F:$F,'2020'!$K234)</f>
        <v>580</v>
      </c>
      <c r="AH234" s="618">
        <f>SUMIFS(Нормативы!T:T,Нормативы!$B:$B,$G234,Нормативы!$D:$D,'2020'!$I234,Нормативы!$F:$F,'2020'!$K234)</f>
        <v>54</v>
      </c>
      <c r="AI234" s="618">
        <f>SUMIFS(Нормативы!U:U,Нормативы!$B:$B,$G234,Нормативы!$D:$D,'2020'!$I234,Нормативы!$F:$F,'2020'!$K234)</f>
        <v>77</v>
      </c>
      <c r="AJ234" s="618">
        <f>SUMIFS(Нормативы!V:V,Нормативы!$B:$B,$G234,Нормативы!$D:$D,'2020'!$I234,Нормативы!$F:$F,'2020'!$K234)</f>
        <v>8</v>
      </c>
      <c r="AK234" s="618">
        <f>SUMIFS(Нормативы!W:W,Нормативы!$B:$B,$G234,Нормативы!$D:$D,'2020'!$I234,Нормативы!$F:$F,'2020'!$K234)</f>
        <v>105</v>
      </c>
      <c r="AL234" s="618">
        <f>SUMIFS(Нормативы!X:X,Нормативы!$B:$B,$G234,Нормативы!$D:$D,'2020'!$I234,Нормативы!$F:$F,'2020'!$K234)*O234</f>
        <v>1612</v>
      </c>
      <c r="AM234" s="618">
        <f t="shared" si="677"/>
        <v>1238.0999999999999</v>
      </c>
      <c r="AN234" s="618">
        <f t="shared" si="678"/>
        <v>373.9</v>
      </c>
      <c r="AO234" s="618">
        <f>SUMIFS(Нормативы!AA:AA,Нормативы!$B:$B,$G234,Нормативы!$D:$D,'2020'!$I234,Нормативы!$F:$F,'2020'!$K234)</f>
        <v>0</v>
      </c>
      <c r="AP234" s="619">
        <f t="shared" si="679"/>
        <v>12722</v>
      </c>
      <c r="AQ234" s="413">
        <f t="shared" si="616"/>
        <v>102704</v>
      </c>
      <c r="AR234" s="618">
        <f t="shared" si="680"/>
        <v>78881.7</v>
      </c>
      <c r="AS234" s="618">
        <f t="shared" si="681"/>
        <v>23822.3</v>
      </c>
      <c r="AT234" s="616">
        <f t="shared" si="617"/>
        <v>14128</v>
      </c>
      <c r="AU234" s="616">
        <f t="shared" si="618"/>
        <v>2832</v>
      </c>
      <c r="AV234" s="616">
        <f t="shared" si="619"/>
        <v>12976</v>
      </c>
      <c r="AW234" s="616">
        <f t="shared" si="620"/>
        <v>30480</v>
      </c>
      <c r="AX234" s="616">
        <f t="shared" si="621"/>
        <v>832</v>
      </c>
      <c r="AY234" s="616">
        <f t="shared" si="622"/>
        <v>27664</v>
      </c>
      <c r="AZ234" s="616">
        <f t="shared" si="623"/>
        <v>576</v>
      </c>
      <c r="BA234" s="616">
        <f t="shared" si="624"/>
        <v>1408</v>
      </c>
      <c r="BB234" s="616">
        <f t="shared" si="625"/>
        <v>4288</v>
      </c>
      <c r="BC234" s="616">
        <f t="shared" si="626"/>
        <v>9280</v>
      </c>
      <c r="BD234" s="616">
        <f t="shared" si="627"/>
        <v>864</v>
      </c>
      <c r="BE234" s="616">
        <f t="shared" si="628"/>
        <v>1232</v>
      </c>
      <c r="BF234" s="616">
        <f t="shared" si="629"/>
        <v>128</v>
      </c>
      <c r="BG234" s="616">
        <f t="shared" si="630"/>
        <v>1680</v>
      </c>
      <c r="BH234" s="616">
        <f t="shared" si="631"/>
        <v>25792</v>
      </c>
      <c r="BI234" s="618">
        <f t="shared" si="682"/>
        <v>19809.5</v>
      </c>
      <c r="BJ234" s="618">
        <f t="shared" si="683"/>
        <v>5982.5</v>
      </c>
      <c r="BK234" s="616">
        <f t="shared" si="632"/>
        <v>0</v>
      </c>
      <c r="BL234" s="620">
        <f t="shared" si="633"/>
        <v>203552</v>
      </c>
      <c r="BM234" s="616">
        <f t="shared" si="634"/>
        <v>301744</v>
      </c>
      <c r="BN234" s="618">
        <f t="shared" si="635"/>
        <v>231754.2</v>
      </c>
      <c r="BO234" s="618">
        <f t="shared" si="636"/>
        <v>69989.8</v>
      </c>
      <c r="BP234" s="616">
        <f t="shared" si="684"/>
        <v>14128</v>
      </c>
      <c r="BQ234" s="616">
        <f t="shared" si="685"/>
        <v>2832</v>
      </c>
      <c r="BR234" s="616">
        <f t="shared" si="686"/>
        <v>12976</v>
      </c>
      <c r="BS234" s="616">
        <f t="shared" si="637"/>
        <v>30480</v>
      </c>
      <c r="BT234" s="616">
        <f t="shared" si="638"/>
        <v>832</v>
      </c>
      <c r="BU234" s="616">
        <f t="shared" si="639"/>
        <v>27664</v>
      </c>
      <c r="BV234" s="616">
        <f t="shared" si="640"/>
        <v>576</v>
      </c>
      <c r="BW234" s="616">
        <f t="shared" si="641"/>
        <v>1408</v>
      </c>
      <c r="BX234" s="616">
        <f t="shared" si="642"/>
        <v>53922</v>
      </c>
      <c r="BY234" s="616">
        <f t="shared" si="643"/>
        <v>9280</v>
      </c>
      <c r="BZ234" s="616">
        <f t="shared" si="644"/>
        <v>864</v>
      </c>
      <c r="CA234" s="616">
        <f t="shared" si="645"/>
        <v>1232</v>
      </c>
      <c r="CB234" s="616">
        <f t="shared" si="646"/>
        <v>128</v>
      </c>
      <c r="CC234" s="616">
        <f t="shared" si="647"/>
        <v>1680</v>
      </c>
      <c r="CD234" s="616">
        <f t="shared" si="648"/>
        <v>75777</v>
      </c>
      <c r="CE234" s="618">
        <f t="shared" si="687"/>
        <v>58200.5</v>
      </c>
      <c r="CF234" s="618">
        <f t="shared" si="688"/>
        <v>17576.5</v>
      </c>
      <c r="CG234" s="616">
        <f t="shared" si="649"/>
        <v>0</v>
      </c>
      <c r="CH234" s="621">
        <f t="shared" si="650"/>
        <v>502211</v>
      </c>
      <c r="CI234" s="88">
        <f t="shared" si="651"/>
        <v>18859</v>
      </c>
      <c r="CJ234" s="90">
        <f t="shared" si="652"/>
        <v>14484.637500000001</v>
      </c>
      <c r="CK234" s="90">
        <f t="shared" si="653"/>
        <v>4374.3625000000002</v>
      </c>
      <c r="CL234" s="88">
        <f t="shared" si="654"/>
        <v>883</v>
      </c>
      <c r="CM234" s="88">
        <f t="shared" si="655"/>
        <v>177</v>
      </c>
      <c r="CN234" s="88">
        <f t="shared" si="656"/>
        <v>811</v>
      </c>
      <c r="CO234" s="88">
        <f t="shared" si="657"/>
        <v>1905</v>
      </c>
      <c r="CP234" s="88">
        <f t="shared" si="658"/>
        <v>52</v>
      </c>
      <c r="CQ234" s="88">
        <f t="shared" si="659"/>
        <v>1729</v>
      </c>
      <c r="CR234" s="88">
        <f t="shared" si="660"/>
        <v>36</v>
      </c>
      <c r="CS234" s="88">
        <f t="shared" si="661"/>
        <v>88</v>
      </c>
      <c r="CT234" s="88">
        <f t="shared" si="662"/>
        <v>3370.125</v>
      </c>
      <c r="CU234" s="88">
        <f t="shared" si="663"/>
        <v>580</v>
      </c>
      <c r="CV234" s="88">
        <f t="shared" si="664"/>
        <v>54</v>
      </c>
      <c r="CW234" s="88">
        <f t="shared" si="665"/>
        <v>77</v>
      </c>
      <c r="CX234" s="88">
        <f t="shared" si="666"/>
        <v>8</v>
      </c>
      <c r="CY234" s="88">
        <f t="shared" si="667"/>
        <v>105</v>
      </c>
      <c r="CZ234" s="88">
        <f t="shared" si="668"/>
        <v>4736.0625</v>
      </c>
      <c r="DA234" s="90">
        <f t="shared" si="669"/>
        <v>3637.5313000000001</v>
      </c>
      <c r="DB234" s="90">
        <f t="shared" si="670"/>
        <v>1098.5313000000001</v>
      </c>
      <c r="DC234" s="88">
        <f t="shared" si="671"/>
        <v>0</v>
      </c>
      <c r="DD234" s="88">
        <f t="shared" si="672"/>
        <v>31388.1875</v>
      </c>
      <c r="AUV234" s="699">
        <f t="shared" si="586"/>
        <v>18859</v>
      </c>
      <c r="AUW234" s="699">
        <f t="shared" si="587"/>
        <v>14484.64</v>
      </c>
      <c r="AUX234" s="699">
        <f t="shared" si="588"/>
        <v>4374.3599999999997</v>
      </c>
      <c r="AUY234" s="699">
        <f t="shared" si="706"/>
        <v>883</v>
      </c>
      <c r="AUZ234" s="699">
        <f t="shared" si="615"/>
        <v>225.21</v>
      </c>
      <c r="AVA234" s="699">
        <f t="shared" si="615"/>
        <v>2.02</v>
      </c>
      <c r="AVB234" s="699">
        <f t="shared" si="707"/>
        <v>1905</v>
      </c>
      <c r="AVC234" s="699">
        <f t="shared" si="708"/>
        <v>52</v>
      </c>
      <c r="AVD234" s="699">
        <f t="shared" si="709"/>
        <v>1729</v>
      </c>
      <c r="AVE234" s="699">
        <f t="shared" si="710"/>
        <v>36</v>
      </c>
      <c r="AVF234" s="699">
        <f t="shared" si="711"/>
        <v>88</v>
      </c>
      <c r="AVG234" s="699">
        <f t="shared" si="712"/>
        <v>3370.13</v>
      </c>
      <c r="AVH234" s="699">
        <f t="shared" si="713"/>
        <v>580</v>
      </c>
      <c r="AVI234" s="699">
        <f t="shared" si="714"/>
        <v>54</v>
      </c>
      <c r="AVJ234" s="699">
        <f t="shared" si="715"/>
        <v>77</v>
      </c>
      <c r="AVK234" s="699">
        <f t="shared" si="716"/>
        <v>8</v>
      </c>
      <c r="AVL234" s="699">
        <f t="shared" si="717"/>
        <v>105</v>
      </c>
      <c r="AVM234" s="699">
        <f t="shared" si="718"/>
        <v>4736.0600000000004</v>
      </c>
      <c r="AVN234" s="699">
        <f t="shared" si="719"/>
        <v>3637.53</v>
      </c>
      <c r="AVO234" s="699">
        <f t="shared" si="720"/>
        <v>1098.53</v>
      </c>
      <c r="AVP234" s="699">
        <f t="shared" si="721"/>
        <v>0</v>
      </c>
      <c r="AVQ234" s="699">
        <f t="shared" si="722"/>
        <v>31388.19</v>
      </c>
    </row>
    <row r="235" spans="1:108 1244:1265" ht="30" customHeight="1" x14ac:dyDescent="0.25">
      <c r="A235" s="643">
        <v>1</v>
      </c>
      <c r="B235" s="643">
        <v>14</v>
      </c>
      <c r="C235" s="664" t="s">
        <v>249</v>
      </c>
      <c r="D235" s="2"/>
      <c r="E235" s="101" t="s">
        <v>344</v>
      </c>
      <c r="F235" s="643" t="s">
        <v>31</v>
      </c>
      <c r="G235" s="643">
        <v>1</v>
      </c>
      <c r="H235" s="658" t="s">
        <v>8</v>
      </c>
      <c r="I235" s="643">
        <v>3</v>
      </c>
      <c r="J235" s="101" t="s">
        <v>376</v>
      </c>
      <c r="K235" s="643">
        <v>1</v>
      </c>
      <c r="L235" s="683" t="s">
        <v>349</v>
      </c>
      <c r="M235" s="11" t="s">
        <v>324</v>
      </c>
      <c r="N235" s="101" t="s">
        <v>387</v>
      </c>
      <c r="O235" s="643">
        <v>1</v>
      </c>
      <c r="P235" s="632">
        <v>10</v>
      </c>
      <c r="Q235" s="632">
        <v>10</v>
      </c>
      <c r="R235" s="632">
        <v>10</v>
      </c>
      <c r="S235" s="675">
        <f>SUMIF('Территориальный кк'!$A:$A,'2020'!$B235,'Территориальный кк'!D:D)</f>
        <v>2.9380000000000002</v>
      </c>
      <c r="T235" s="676">
        <f>SUMIF('Территориальный кк'!$A:$A,'2020'!$B235,'Территориальный кк'!E:E)</f>
        <v>12.574999999999999</v>
      </c>
      <c r="U235" s="618">
        <f>SUMIFS(Нормативы!G:G,Нормативы!$B:$B,$G235,Нормативы!$D:$D,'2020'!$I235,Нормативы!$F:$F,'2020'!$K235)*O235</f>
        <v>5402</v>
      </c>
      <c r="V235" s="618">
        <f t="shared" si="674"/>
        <v>4149</v>
      </c>
      <c r="W235" s="618">
        <f t="shared" si="675"/>
        <v>1253</v>
      </c>
      <c r="X235" s="618">
        <f>SUMIFS(Нормативы!J:J,Нормативы!$B:$B,$G235,Нормативы!$D:$D,'2020'!$I235,Нормативы!$F:$F,'2020'!$K235)</f>
        <v>22</v>
      </c>
      <c r="Y235" s="618">
        <f>SUMIFS(Нормативы!K:K,Нормативы!$B:$B,$G235,Нормативы!$D:$D,'2020'!$I235,Нормативы!$F:$F,'2020'!$K235)</f>
        <v>4</v>
      </c>
      <c r="Z235" s="618">
        <f>SUMIFS(Нормативы!L:L,Нормативы!$B:$B,$G235,Нормативы!$D:$D,'2020'!$I235,Нормативы!$F:$F,'2020'!$K235)</f>
        <v>232</v>
      </c>
      <c r="AA235" s="618">
        <f t="shared" si="676"/>
        <v>371</v>
      </c>
      <c r="AB235" s="618">
        <f>SUMIFS(Нормативы!N:N,Нормативы!$B:$B,$G235,Нормативы!$D:$D,'2020'!$I235,Нормативы!$F:$F,'2020'!$K235)*O235</f>
        <v>52</v>
      </c>
      <c r="AC235" s="618">
        <f>SUMIFS(Нормативы!O:O,Нормативы!$B:$B,$G235,Нормативы!$D:$D,'2020'!$I235,Нормативы!$F:$F,'2020'!$K235)</f>
        <v>214</v>
      </c>
      <c r="AD235" s="618">
        <f>SUMIFS(Нормативы!P:P,Нормативы!$B:$B,$G235,Нормативы!$D:$D,'2020'!$I235,Нормативы!$F:$F,'2020'!$K235)*O235</f>
        <v>31</v>
      </c>
      <c r="AE235" s="618">
        <f>SUMIFS(Нормативы!Q:Q,Нормативы!$B:$B,$G235,Нормативы!$D:$D,'2020'!$I235,Нормативы!$F:$F,'2020'!$K235)</f>
        <v>74</v>
      </c>
      <c r="AF235" s="618">
        <f>SUMIFS(Нормативы!R:R,Нормативы!$B:$B,$G235,Нормативы!$D:$D,'2020'!$I235,Нормативы!$F:$F,'2020'!$K235)</f>
        <v>246</v>
      </c>
      <c r="AG235" s="618">
        <f>SUMIFS(Нормативы!S:S,Нормативы!$B:$B,$G235,Нормативы!$D:$D,'2020'!$I235,Нормативы!$F:$F,'2020'!$K235)</f>
        <v>508</v>
      </c>
      <c r="AH235" s="618">
        <f>SUMIFS(Нормативы!T:T,Нормативы!$B:$B,$G235,Нормативы!$D:$D,'2020'!$I235,Нормативы!$F:$F,'2020'!$K235)</f>
        <v>54</v>
      </c>
      <c r="AI235" s="618">
        <f>SUMIFS(Нормативы!U:U,Нормативы!$B:$B,$G235,Нормативы!$D:$D,'2020'!$I235,Нормативы!$F:$F,'2020'!$K235)</f>
        <v>77</v>
      </c>
      <c r="AJ235" s="618">
        <f>SUMIFS(Нормативы!V:V,Нормативы!$B:$B,$G235,Нормативы!$D:$D,'2020'!$I235,Нормативы!$F:$F,'2020'!$K235)</f>
        <v>8</v>
      </c>
      <c r="AK235" s="618">
        <f>SUMIFS(Нормативы!W:W,Нормативы!$B:$B,$G235,Нормативы!$D:$D,'2020'!$I235,Нормативы!$F:$F,'2020'!$K235)</f>
        <v>30</v>
      </c>
      <c r="AL235" s="618">
        <f>SUMIFS(Нормативы!X:X,Нормативы!$B:$B,$G235,Нормативы!$D:$D,'2020'!$I235,Нормативы!$F:$F,'2020'!$K235)*O235</f>
        <v>1344</v>
      </c>
      <c r="AM235" s="618">
        <f t="shared" si="677"/>
        <v>1032.3</v>
      </c>
      <c r="AN235" s="618">
        <f t="shared" si="678"/>
        <v>311.7</v>
      </c>
      <c r="AO235" s="618">
        <f>SUMIFS(Нормативы!AA:AA,Нормативы!$B:$B,$G235,Нормативы!$D:$D,'2020'!$I235,Нормативы!$F:$F,'2020'!$K235)</f>
        <v>0</v>
      </c>
      <c r="AP235" s="619">
        <f t="shared" si="679"/>
        <v>8294</v>
      </c>
      <c r="AQ235" s="413">
        <f t="shared" si="616"/>
        <v>54020</v>
      </c>
      <c r="AR235" s="618">
        <f t="shared" si="680"/>
        <v>41490</v>
      </c>
      <c r="AS235" s="618">
        <f t="shared" si="681"/>
        <v>12530</v>
      </c>
      <c r="AT235" s="616">
        <f t="shared" si="617"/>
        <v>220</v>
      </c>
      <c r="AU235" s="616">
        <f t="shared" si="618"/>
        <v>40</v>
      </c>
      <c r="AV235" s="616">
        <f t="shared" si="619"/>
        <v>2320</v>
      </c>
      <c r="AW235" s="616">
        <f t="shared" si="620"/>
        <v>3710</v>
      </c>
      <c r="AX235" s="616">
        <f t="shared" si="621"/>
        <v>520</v>
      </c>
      <c r="AY235" s="616">
        <f t="shared" si="622"/>
        <v>2140</v>
      </c>
      <c r="AZ235" s="616">
        <f t="shared" si="623"/>
        <v>310</v>
      </c>
      <c r="BA235" s="616">
        <f t="shared" si="624"/>
        <v>740</v>
      </c>
      <c r="BB235" s="616">
        <f t="shared" si="625"/>
        <v>2460</v>
      </c>
      <c r="BC235" s="616">
        <f t="shared" si="626"/>
        <v>5080</v>
      </c>
      <c r="BD235" s="616">
        <f t="shared" si="627"/>
        <v>540</v>
      </c>
      <c r="BE235" s="616">
        <f t="shared" si="628"/>
        <v>770</v>
      </c>
      <c r="BF235" s="616">
        <f t="shared" si="629"/>
        <v>80</v>
      </c>
      <c r="BG235" s="616">
        <f t="shared" si="630"/>
        <v>300</v>
      </c>
      <c r="BH235" s="616">
        <f t="shared" si="631"/>
        <v>13440</v>
      </c>
      <c r="BI235" s="618">
        <f t="shared" si="682"/>
        <v>10322.6</v>
      </c>
      <c r="BJ235" s="618">
        <f t="shared" si="683"/>
        <v>3117.4</v>
      </c>
      <c r="BK235" s="616">
        <f t="shared" si="632"/>
        <v>0</v>
      </c>
      <c r="BL235" s="620">
        <f t="shared" si="633"/>
        <v>82940</v>
      </c>
      <c r="BM235" s="616">
        <f t="shared" si="634"/>
        <v>158711</v>
      </c>
      <c r="BN235" s="618">
        <f t="shared" si="635"/>
        <v>121897.8</v>
      </c>
      <c r="BO235" s="618">
        <f t="shared" si="636"/>
        <v>36813.199999999997</v>
      </c>
      <c r="BP235" s="616">
        <f t="shared" si="684"/>
        <v>220</v>
      </c>
      <c r="BQ235" s="616">
        <f t="shared" si="685"/>
        <v>40</v>
      </c>
      <c r="BR235" s="616">
        <f t="shared" si="686"/>
        <v>2320</v>
      </c>
      <c r="BS235" s="616">
        <f t="shared" si="637"/>
        <v>3710</v>
      </c>
      <c r="BT235" s="616">
        <f t="shared" si="638"/>
        <v>520</v>
      </c>
      <c r="BU235" s="616">
        <f t="shared" si="639"/>
        <v>2140</v>
      </c>
      <c r="BV235" s="616">
        <f t="shared" si="640"/>
        <v>310</v>
      </c>
      <c r="BW235" s="616">
        <f t="shared" si="641"/>
        <v>740</v>
      </c>
      <c r="BX235" s="616">
        <f t="shared" si="642"/>
        <v>30935</v>
      </c>
      <c r="BY235" s="616">
        <f t="shared" si="643"/>
        <v>5080</v>
      </c>
      <c r="BZ235" s="616">
        <f t="shared" si="644"/>
        <v>540</v>
      </c>
      <c r="CA235" s="616">
        <f t="shared" si="645"/>
        <v>770</v>
      </c>
      <c r="CB235" s="616">
        <f t="shared" si="646"/>
        <v>80</v>
      </c>
      <c r="CC235" s="616">
        <f t="shared" si="647"/>
        <v>300</v>
      </c>
      <c r="CD235" s="616">
        <f t="shared" si="648"/>
        <v>39487</v>
      </c>
      <c r="CE235" s="618">
        <f t="shared" si="687"/>
        <v>30328</v>
      </c>
      <c r="CF235" s="618">
        <f t="shared" si="688"/>
        <v>9159</v>
      </c>
      <c r="CG235" s="616">
        <f t="shared" si="649"/>
        <v>0</v>
      </c>
      <c r="CH235" s="621">
        <f t="shared" si="650"/>
        <v>242153</v>
      </c>
      <c r="CI235" s="88">
        <f t="shared" si="651"/>
        <v>15871.1</v>
      </c>
      <c r="CJ235" s="90">
        <f t="shared" si="652"/>
        <v>12189.78</v>
      </c>
      <c r="CK235" s="90">
        <f t="shared" si="653"/>
        <v>3681.32</v>
      </c>
      <c r="CL235" s="88">
        <f t="shared" si="654"/>
        <v>22</v>
      </c>
      <c r="CM235" s="88">
        <f t="shared" si="655"/>
        <v>4</v>
      </c>
      <c r="CN235" s="88">
        <f t="shared" si="656"/>
        <v>232</v>
      </c>
      <c r="CO235" s="88">
        <f t="shared" si="657"/>
        <v>371</v>
      </c>
      <c r="CP235" s="88">
        <f t="shared" si="658"/>
        <v>52</v>
      </c>
      <c r="CQ235" s="88">
        <f t="shared" si="659"/>
        <v>214</v>
      </c>
      <c r="CR235" s="88">
        <f t="shared" si="660"/>
        <v>31</v>
      </c>
      <c r="CS235" s="88">
        <f t="shared" si="661"/>
        <v>74</v>
      </c>
      <c r="CT235" s="88">
        <f t="shared" si="662"/>
        <v>3093.5</v>
      </c>
      <c r="CU235" s="88">
        <f t="shared" si="663"/>
        <v>508</v>
      </c>
      <c r="CV235" s="88">
        <f t="shared" si="664"/>
        <v>54</v>
      </c>
      <c r="CW235" s="88">
        <f t="shared" si="665"/>
        <v>77</v>
      </c>
      <c r="CX235" s="88">
        <f t="shared" si="666"/>
        <v>8</v>
      </c>
      <c r="CY235" s="88">
        <f t="shared" si="667"/>
        <v>30</v>
      </c>
      <c r="CZ235" s="88">
        <f t="shared" si="668"/>
        <v>3948.7</v>
      </c>
      <c r="DA235" s="90">
        <f t="shared" si="669"/>
        <v>3032.8</v>
      </c>
      <c r="DB235" s="90">
        <f t="shared" si="670"/>
        <v>915.9</v>
      </c>
      <c r="DC235" s="88">
        <f t="shared" si="671"/>
        <v>0</v>
      </c>
      <c r="DD235" s="88">
        <f t="shared" si="672"/>
        <v>24215.3</v>
      </c>
      <c r="AUV235" s="699">
        <f t="shared" si="586"/>
        <v>15871.1</v>
      </c>
      <c r="AUW235" s="699">
        <f t="shared" si="587"/>
        <v>12189.78</v>
      </c>
      <c r="AUX235" s="699">
        <f t="shared" si="588"/>
        <v>3681.32</v>
      </c>
      <c r="AUY235" s="699">
        <f t="shared" si="706"/>
        <v>22</v>
      </c>
      <c r="AUZ235" s="699">
        <f t="shared" si="615"/>
        <v>3.18</v>
      </c>
      <c r="AVA235" s="699">
        <f t="shared" si="615"/>
        <v>0.43</v>
      </c>
      <c r="AVB235" s="699">
        <f t="shared" si="707"/>
        <v>371</v>
      </c>
      <c r="AVC235" s="699">
        <f t="shared" si="708"/>
        <v>52</v>
      </c>
      <c r="AVD235" s="699">
        <f t="shared" si="709"/>
        <v>214</v>
      </c>
      <c r="AVE235" s="699">
        <f t="shared" si="710"/>
        <v>31</v>
      </c>
      <c r="AVF235" s="699">
        <f t="shared" si="711"/>
        <v>74</v>
      </c>
      <c r="AVG235" s="699">
        <f t="shared" si="712"/>
        <v>3093.5</v>
      </c>
      <c r="AVH235" s="699">
        <f t="shared" si="713"/>
        <v>508</v>
      </c>
      <c r="AVI235" s="699">
        <f t="shared" si="714"/>
        <v>54</v>
      </c>
      <c r="AVJ235" s="699">
        <f t="shared" si="715"/>
        <v>77</v>
      </c>
      <c r="AVK235" s="699">
        <f t="shared" si="716"/>
        <v>8</v>
      </c>
      <c r="AVL235" s="699">
        <f t="shared" si="717"/>
        <v>30</v>
      </c>
      <c r="AVM235" s="699">
        <f t="shared" si="718"/>
        <v>3948.7</v>
      </c>
      <c r="AVN235" s="699">
        <f t="shared" si="719"/>
        <v>3032.8</v>
      </c>
      <c r="AVO235" s="699">
        <f t="shared" si="720"/>
        <v>915.9</v>
      </c>
      <c r="AVP235" s="699">
        <f t="shared" si="721"/>
        <v>0</v>
      </c>
      <c r="AVQ235" s="699">
        <f t="shared" si="722"/>
        <v>24215.3</v>
      </c>
    </row>
    <row r="236" spans="1:108 1244:1265" ht="30" customHeight="1" x14ac:dyDescent="0.25">
      <c r="A236" s="643">
        <v>1</v>
      </c>
      <c r="B236" s="643">
        <v>14</v>
      </c>
      <c r="C236" s="664" t="s">
        <v>249</v>
      </c>
      <c r="D236" s="2"/>
      <c r="E236" s="101" t="s">
        <v>344</v>
      </c>
      <c r="F236" s="643" t="s">
        <v>31</v>
      </c>
      <c r="G236" s="643">
        <v>1</v>
      </c>
      <c r="H236" s="658" t="s">
        <v>10</v>
      </c>
      <c r="I236" s="643">
        <v>0</v>
      </c>
      <c r="J236" s="101" t="s">
        <v>359</v>
      </c>
      <c r="K236" s="643">
        <v>1</v>
      </c>
      <c r="L236" s="683" t="s">
        <v>349</v>
      </c>
      <c r="M236" s="11" t="s">
        <v>263</v>
      </c>
      <c r="N236" s="101" t="s">
        <v>387</v>
      </c>
      <c r="O236" s="643">
        <v>1</v>
      </c>
      <c r="P236" s="632">
        <v>14</v>
      </c>
      <c r="Q236" s="632">
        <v>14</v>
      </c>
      <c r="R236" s="632">
        <v>14</v>
      </c>
      <c r="S236" s="675">
        <f>SUMIF('Территориальный кк'!$A:$A,'2020'!$B236,'Территориальный кк'!D:D)</f>
        <v>2.9380000000000002</v>
      </c>
      <c r="T236" s="676">
        <f>SUMIF('Территориальный кк'!$A:$A,'2020'!$B236,'Территориальный кк'!E:E)</f>
        <v>12.574999999999999</v>
      </c>
      <c r="U236" s="618">
        <f>SUMIFS(Нормативы!G:G,Нормативы!$B:$B,$G236,Нормативы!$D:$D,'2020'!$I236,Нормативы!$F:$F,'2020'!$K236)*O236</f>
        <v>54020</v>
      </c>
      <c r="V236" s="618">
        <f t="shared" si="674"/>
        <v>41490</v>
      </c>
      <c r="W236" s="618">
        <f t="shared" si="675"/>
        <v>12530</v>
      </c>
      <c r="X236" s="618">
        <f>SUMIFS(Нормативы!J:J,Нормативы!$B:$B,$G236,Нормативы!$D:$D,'2020'!$I236,Нормативы!$F:$F,'2020'!$K236)</f>
        <v>220</v>
      </c>
      <c r="Y236" s="618">
        <f>SUMIFS(Нормативы!K:K,Нормативы!$B:$B,$G236,Нормативы!$D:$D,'2020'!$I236,Нормативы!$F:$F,'2020'!$K236)</f>
        <v>44</v>
      </c>
      <c r="Z236" s="618">
        <f>SUMIFS(Нормативы!L:L,Нормативы!$B:$B,$G236,Нормативы!$D:$D,'2020'!$I236,Нормативы!$F:$F,'2020'!$K236)</f>
        <v>2320</v>
      </c>
      <c r="AA236" s="618">
        <f t="shared" si="676"/>
        <v>3710</v>
      </c>
      <c r="AB236" s="618">
        <f>SUMIFS(Нормативы!N:N,Нормативы!$B:$B,$G236,Нормативы!$D:$D,'2020'!$I236,Нормативы!$F:$F,'2020'!$K236)*O236</f>
        <v>520</v>
      </c>
      <c r="AC236" s="618">
        <f>SUMIFS(Нормативы!O:O,Нормативы!$B:$B,$G236,Нормативы!$D:$D,'2020'!$I236,Нормативы!$F:$F,'2020'!$K236)</f>
        <v>2140</v>
      </c>
      <c r="AD236" s="618">
        <f>SUMIFS(Нормативы!P:P,Нормативы!$B:$B,$G236,Нормативы!$D:$D,'2020'!$I236,Нормативы!$F:$F,'2020'!$K236)*O236</f>
        <v>310</v>
      </c>
      <c r="AE236" s="618">
        <f>SUMIFS(Нормативы!Q:Q,Нормативы!$B:$B,$G236,Нормативы!$D:$D,'2020'!$I236,Нормативы!$F:$F,'2020'!$K236)</f>
        <v>740</v>
      </c>
      <c r="AF236" s="618">
        <f>SUMIFS(Нормативы!R:R,Нормативы!$B:$B,$G236,Нормативы!$D:$D,'2020'!$I236,Нормативы!$F:$F,'2020'!$K236)</f>
        <v>2460</v>
      </c>
      <c r="AG236" s="618">
        <f>SUMIFS(Нормативы!S:S,Нормативы!$B:$B,$G236,Нормативы!$D:$D,'2020'!$I236,Нормативы!$F:$F,'2020'!$K236)</f>
        <v>5080</v>
      </c>
      <c r="AH236" s="618">
        <f>SUMIFS(Нормативы!T:T,Нормативы!$B:$B,$G236,Нормативы!$D:$D,'2020'!$I236,Нормативы!$F:$F,'2020'!$K236)</f>
        <v>540</v>
      </c>
      <c r="AI236" s="618">
        <f>SUMIFS(Нормативы!U:U,Нормативы!$B:$B,$G236,Нормативы!$D:$D,'2020'!$I236,Нормативы!$F:$F,'2020'!$K236)</f>
        <v>770</v>
      </c>
      <c r="AJ236" s="618">
        <f>SUMIFS(Нормативы!V:V,Нормативы!$B:$B,$G236,Нормативы!$D:$D,'2020'!$I236,Нормативы!$F:$F,'2020'!$K236)</f>
        <v>80</v>
      </c>
      <c r="AK236" s="618">
        <f>SUMIFS(Нормативы!W:W,Нормативы!$B:$B,$G236,Нормативы!$D:$D,'2020'!$I236,Нормативы!$F:$F,'2020'!$K236)</f>
        <v>300</v>
      </c>
      <c r="AL236" s="618">
        <f>SUMIFS(Нормативы!X:X,Нормативы!$B:$B,$G236,Нормативы!$D:$D,'2020'!$I236,Нормативы!$F:$F,'2020'!$K236)*O236</f>
        <v>13440</v>
      </c>
      <c r="AM236" s="618">
        <f t="shared" si="677"/>
        <v>10322.6</v>
      </c>
      <c r="AN236" s="618">
        <f t="shared" si="678"/>
        <v>3117.4</v>
      </c>
      <c r="AO236" s="618">
        <f>SUMIFS(Нормативы!AA:AA,Нормативы!$B:$B,$G236,Нормативы!$D:$D,'2020'!$I236,Нормативы!$F:$F,'2020'!$K236)</f>
        <v>3520</v>
      </c>
      <c r="AP236" s="619">
        <f t="shared" si="679"/>
        <v>86460</v>
      </c>
      <c r="AQ236" s="413">
        <f t="shared" si="616"/>
        <v>756280</v>
      </c>
      <c r="AR236" s="618">
        <f t="shared" si="680"/>
        <v>580860.19999999995</v>
      </c>
      <c r="AS236" s="618">
        <f t="shared" si="681"/>
        <v>175419.8</v>
      </c>
      <c r="AT236" s="616">
        <f t="shared" si="617"/>
        <v>3080</v>
      </c>
      <c r="AU236" s="616">
        <f t="shared" si="618"/>
        <v>616</v>
      </c>
      <c r="AV236" s="616">
        <f t="shared" si="619"/>
        <v>32480</v>
      </c>
      <c r="AW236" s="616">
        <f t="shared" si="620"/>
        <v>51940</v>
      </c>
      <c r="AX236" s="616">
        <f t="shared" si="621"/>
        <v>7280</v>
      </c>
      <c r="AY236" s="616">
        <f t="shared" si="622"/>
        <v>29960</v>
      </c>
      <c r="AZ236" s="616">
        <f t="shared" si="623"/>
        <v>4340</v>
      </c>
      <c r="BA236" s="616">
        <f t="shared" si="624"/>
        <v>10360</v>
      </c>
      <c r="BB236" s="616">
        <f t="shared" si="625"/>
        <v>34440</v>
      </c>
      <c r="BC236" s="616">
        <f t="shared" si="626"/>
        <v>71120</v>
      </c>
      <c r="BD236" s="616">
        <f t="shared" si="627"/>
        <v>7560</v>
      </c>
      <c r="BE236" s="616">
        <f t="shared" si="628"/>
        <v>10780</v>
      </c>
      <c r="BF236" s="616">
        <f t="shared" si="629"/>
        <v>1120</v>
      </c>
      <c r="BG236" s="616">
        <f t="shared" si="630"/>
        <v>4200</v>
      </c>
      <c r="BH236" s="616">
        <f t="shared" si="631"/>
        <v>188160</v>
      </c>
      <c r="BI236" s="618">
        <f t="shared" si="682"/>
        <v>144516.1</v>
      </c>
      <c r="BJ236" s="618">
        <f t="shared" si="683"/>
        <v>43643.9</v>
      </c>
      <c r="BK236" s="616">
        <f t="shared" si="632"/>
        <v>49280</v>
      </c>
      <c r="BL236" s="620">
        <f t="shared" si="633"/>
        <v>1210440</v>
      </c>
      <c r="BM236" s="616">
        <f t="shared" si="634"/>
        <v>2221951</v>
      </c>
      <c r="BN236" s="618">
        <f t="shared" si="635"/>
        <v>1706567.6</v>
      </c>
      <c r="BO236" s="618">
        <f t="shared" si="636"/>
        <v>515383.4</v>
      </c>
      <c r="BP236" s="616">
        <f t="shared" si="684"/>
        <v>3080</v>
      </c>
      <c r="BQ236" s="616">
        <f t="shared" si="685"/>
        <v>616</v>
      </c>
      <c r="BR236" s="616">
        <f t="shared" si="686"/>
        <v>32480</v>
      </c>
      <c r="BS236" s="616">
        <f t="shared" si="637"/>
        <v>51940</v>
      </c>
      <c r="BT236" s="616">
        <f t="shared" si="638"/>
        <v>7280</v>
      </c>
      <c r="BU236" s="616">
        <f t="shared" si="639"/>
        <v>29960</v>
      </c>
      <c r="BV236" s="616">
        <f t="shared" si="640"/>
        <v>4340</v>
      </c>
      <c r="BW236" s="616">
        <f t="shared" si="641"/>
        <v>10360</v>
      </c>
      <c r="BX236" s="616">
        <f t="shared" si="642"/>
        <v>433083</v>
      </c>
      <c r="BY236" s="616">
        <f t="shared" si="643"/>
        <v>71120</v>
      </c>
      <c r="BZ236" s="616">
        <f t="shared" si="644"/>
        <v>7560</v>
      </c>
      <c r="CA236" s="616">
        <f t="shared" si="645"/>
        <v>10780</v>
      </c>
      <c r="CB236" s="616">
        <f t="shared" si="646"/>
        <v>1120</v>
      </c>
      <c r="CC236" s="616">
        <f t="shared" si="647"/>
        <v>4200</v>
      </c>
      <c r="CD236" s="616">
        <f t="shared" si="648"/>
        <v>552814</v>
      </c>
      <c r="CE236" s="618">
        <f t="shared" si="687"/>
        <v>424588.3</v>
      </c>
      <c r="CF236" s="618">
        <f t="shared" si="688"/>
        <v>128225.7</v>
      </c>
      <c r="CG236" s="616">
        <f t="shared" si="649"/>
        <v>49280</v>
      </c>
      <c r="CH236" s="621">
        <f t="shared" si="650"/>
        <v>3439408</v>
      </c>
      <c r="CI236" s="88">
        <f t="shared" si="651"/>
        <v>158710.78570000001</v>
      </c>
      <c r="CJ236" s="90">
        <f t="shared" si="652"/>
        <v>121897.6857</v>
      </c>
      <c r="CK236" s="90">
        <f t="shared" si="653"/>
        <v>36813.1</v>
      </c>
      <c r="CL236" s="88">
        <f t="shared" si="654"/>
        <v>220</v>
      </c>
      <c r="CM236" s="88">
        <f t="shared" si="655"/>
        <v>44</v>
      </c>
      <c r="CN236" s="88">
        <f t="shared" si="656"/>
        <v>2320</v>
      </c>
      <c r="CO236" s="88">
        <f t="shared" si="657"/>
        <v>3710</v>
      </c>
      <c r="CP236" s="88">
        <f t="shared" si="658"/>
        <v>520</v>
      </c>
      <c r="CQ236" s="88">
        <f t="shared" si="659"/>
        <v>2140</v>
      </c>
      <c r="CR236" s="88">
        <f t="shared" si="660"/>
        <v>310</v>
      </c>
      <c r="CS236" s="88">
        <f t="shared" si="661"/>
        <v>740</v>
      </c>
      <c r="CT236" s="88">
        <f t="shared" si="662"/>
        <v>30934.5</v>
      </c>
      <c r="CU236" s="88">
        <f t="shared" si="663"/>
        <v>5080</v>
      </c>
      <c r="CV236" s="88">
        <f t="shared" si="664"/>
        <v>540</v>
      </c>
      <c r="CW236" s="88">
        <f t="shared" si="665"/>
        <v>770</v>
      </c>
      <c r="CX236" s="88">
        <f t="shared" si="666"/>
        <v>80</v>
      </c>
      <c r="CY236" s="88">
        <f t="shared" si="667"/>
        <v>300</v>
      </c>
      <c r="CZ236" s="88">
        <f t="shared" si="668"/>
        <v>39486.7143</v>
      </c>
      <c r="DA236" s="90">
        <f t="shared" si="669"/>
        <v>30327.735700000001</v>
      </c>
      <c r="DB236" s="90">
        <f t="shared" si="670"/>
        <v>9158.9786000000004</v>
      </c>
      <c r="DC236" s="88">
        <f t="shared" si="671"/>
        <v>3520</v>
      </c>
      <c r="DD236" s="88">
        <f t="shared" si="672"/>
        <v>245672</v>
      </c>
      <c r="AUV236" s="699">
        <f t="shared" si="586"/>
        <v>158710.79</v>
      </c>
      <c r="AUW236" s="699">
        <f t="shared" si="587"/>
        <v>121897.69</v>
      </c>
      <c r="AUX236" s="699">
        <f t="shared" si="588"/>
        <v>36813.1</v>
      </c>
      <c r="AUY236" s="699">
        <f t="shared" si="706"/>
        <v>220</v>
      </c>
      <c r="AUZ236" s="699">
        <f t="shared" si="615"/>
        <v>48.99</v>
      </c>
      <c r="AVA236" s="699">
        <f t="shared" si="615"/>
        <v>0.6</v>
      </c>
      <c r="AVB236" s="699">
        <f t="shared" si="707"/>
        <v>3710</v>
      </c>
      <c r="AVC236" s="699">
        <f t="shared" si="708"/>
        <v>520</v>
      </c>
      <c r="AVD236" s="699">
        <f t="shared" si="709"/>
        <v>2140</v>
      </c>
      <c r="AVE236" s="699">
        <f t="shared" si="710"/>
        <v>310</v>
      </c>
      <c r="AVF236" s="699">
        <f t="shared" si="711"/>
        <v>740</v>
      </c>
      <c r="AVG236" s="699">
        <f t="shared" si="712"/>
        <v>30934.5</v>
      </c>
      <c r="AVH236" s="699">
        <f t="shared" si="713"/>
        <v>5080</v>
      </c>
      <c r="AVI236" s="699">
        <f t="shared" si="714"/>
        <v>540</v>
      </c>
      <c r="AVJ236" s="699">
        <f t="shared" si="715"/>
        <v>770</v>
      </c>
      <c r="AVK236" s="699">
        <f t="shared" si="716"/>
        <v>80</v>
      </c>
      <c r="AVL236" s="699">
        <f t="shared" si="717"/>
        <v>300</v>
      </c>
      <c r="AVM236" s="699">
        <f t="shared" si="718"/>
        <v>39486.71</v>
      </c>
      <c r="AVN236" s="699">
        <f t="shared" si="719"/>
        <v>30327.73</v>
      </c>
      <c r="AVO236" s="699">
        <f t="shared" si="720"/>
        <v>9158.98</v>
      </c>
      <c r="AVP236" s="699">
        <f t="shared" si="721"/>
        <v>3520</v>
      </c>
      <c r="AVQ236" s="699">
        <f t="shared" si="722"/>
        <v>245672</v>
      </c>
    </row>
    <row r="237" spans="1:108 1244:1265" ht="30" customHeight="1" x14ac:dyDescent="0.25">
      <c r="A237" s="643">
        <v>1</v>
      </c>
      <c r="B237" s="643">
        <v>14</v>
      </c>
      <c r="C237" s="664" t="s">
        <v>249</v>
      </c>
      <c r="D237" s="2"/>
      <c r="E237" s="101" t="s">
        <v>344</v>
      </c>
      <c r="F237" s="643" t="s">
        <v>31</v>
      </c>
      <c r="G237" s="643">
        <v>1</v>
      </c>
      <c r="H237" s="658" t="s">
        <v>8</v>
      </c>
      <c r="I237" s="643">
        <v>3</v>
      </c>
      <c r="J237" s="101" t="s">
        <v>359</v>
      </c>
      <c r="K237" s="643">
        <v>1</v>
      </c>
      <c r="L237" s="683" t="s">
        <v>349</v>
      </c>
      <c r="M237" s="11" t="s">
        <v>264</v>
      </c>
      <c r="N237" s="101" t="s">
        <v>387</v>
      </c>
      <c r="O237" s="643">
        <v>1</v>
      </c>
      <c r="P237" s="632">
        <v>23</v>
      </c>
      <c r="Q237" s="632">
        <v>23</v>
      </c>
      <c r="R237" s="632">
        <v>23</v>
      </c>
      <c r="S237" s="675">
        <f>SUMIF('Территориальный кк'!$A:$A,'2020'!$B237,'Территориальный кк'!D:D)</f>
        <v>2.9380000000000002</v>
      </c>
      <c r="T237" s="676">
        <f>SUMIF('Территориальный кк'!$A:$A,'2020'!$B237,'Территориальный кк'!E:E)</f>
        <v>12.574999999999999</v>
      </c>
      <c r="U237" s="618">
        <f>SUMIFS(Нормативы!G:G,Нормативы!$B:$B,$G237,Нормативы!$D:$D,'2020'!$I237,Нормативы!$F:$F,'2020'!$K237)*O237</f>
        <v>5402</v>
      </c>
      <c r="V237" s="618">
        <f t="shared" si="674"/>
        <v>4149</v>
      </c>
      <c r="W237" s="618">
        <f t="shared" si="675"/>
        <v>1253</v>
      </c>
      <c r="X237" s="618">
        <f>SUMIFS(Нормативы!J:J,Нормативы!$B:$B,$G237,Нормативы!$D:$D,'2020'!$I237,Нормативы!$F:$F,'2020'!$K237)</f>
        <v>22</v>
      </c>
      <c r="Y237" s="618">
        <f>SUMIFS(Нормативы!K:K,Нормативы!$B:$B,$G237,Нормативы!$D:$D,'2020'!$I237,Нормативы!$F:$F,'2020'!$K237)</f>
        <v>4</v>
      </c>
      <c r="Z237" s="618">
        <f>SUMIFS(Нормативы!L:L,Нормативы!$B:$B,$G237,Нормативы!$D:$D,'2020'!$I237,Нормативы!$F:$F,'2020'!$K237)</f>
        <v>232</v>
      </c>
      <c r="AA237" s="618">
        <f t="shared" si="676"/>
        <v>371</v>
      </c>
      <c r="AB237" s="618">
        <f>SUMIFS(Нормативы!N:N,Нормативы!$B:$B,$G237,Нормативы!$D:$D,'2020'!$I237,Нормативы!$F:$F,'2020'!$K237)*O237</f>
        <v>52</v>
      </c>
      <c r="AC237" s="618">
        <f>SUMIFS(Нормативы!O:O,Нормативы!$B:$B,$G237,Нормативы!$D:$D,'2020'!$I237,Нормативы!$F:$F,'2020'!$K237)</f>
        <v>214</v>
      </c>
      <c r="AD237" s="618">
        <f>SUMIFS(Нормативы!P:P,Нормативы!$B:$B,$G237,Нормативы!$D:$D,'2020'!$I237,Нормативы!$F:$F,'2020'!$K237)*O237</f>
        <v>31</v>
      </c>
      <c r="AE237" s="618">
        <f>SUMIFS(Нормативы!Q:Q,Нормативы!$B:$B,$G237,Нормативы!$D:$D,'2020'!$I237,Нормативы!$F:$F,'2020'!$K237)</f>
        <v>74</v>
      </c>
      <c r="AF237" s="618">
        <f>SUMIFS(Нормативы!R:R,Нормативы!$B:$B,$G237,Нормативы!$D:$D,'2020'!$I237,Нормативы!$F:$F,'2020'!$K237)</f>
        <v>246</v>
      </c>
      <c r="AG237" s="618">
        <f>SUMIFS(Нормативы!S:S,Нормативы!$B:$B,$G237,Нормативы!$D:$D,'2020'!$I237,Нормативы!$F:$F,'2020'!$K237)</f>
        <v>508</v>
      </c>
      <c r="AH237" s="618">
        <f>SUMIFS(Нормативы!T:T,Нормативы!$B:$B,$G237,Нормативы!$D:$D,'2020'!$I237,Нормативы!$F:$F,'2020'!$K237)</f>
        <v>54</v>
      </c>
      <c r="AI237" s="618">
        <f>SUMIFS(Нормативы!U:U,Нормативы!$B:$B,$G237,Нормативы!$D:$D,'2020'!$I237,Нормативы!$F:$F,'2020'!$K237)</f>
        <v>77</v>
      </c>
      <c r="AJ237" s="618">
        <f>SUMIFS(Нормативы!V:V,Нормативы!$B:$B,$G237,Нормативы!$D:$D,'2020'!$I237,Нормативы!$F:$F,'2020'!$K237)</f>
        <v>8</v>
      </c>
      <c r="AK237" s="618">
        <f>SUMIFS(Нормативы!W:W,Нормативы!$B:$B,$G237,Нормативы!$D:$D,'2020'!$I237,Нормативы!$F:$F,'2020'!$K237)</f>
        <v>30</v>
      </c>
      <c r="AL237" s="618">
        <f>SUMIFS(Нормативы!X:X,Нормативы!$B:$B,$G237,Нормативы!$D:$D,'2020'!$I237,Нормативы!$F:$F,'2020'!$K237)*O237</f>
        <v>1344</v>
      </c>
      <c r="AM237" s="618">
        <f t="shared" si="677"/>
        <v>1032.3</v>
      </c>
      <c r="AN237" s="618">
        <f t="shared" si="678"/>
        <v>311.7</v>
      </c>
      <c r="AO237" s="618">
        <f>SUMIFS(Нормативы!AA:AA,Нормативы!$B:$B,$G237,Нормативы!$D:$D,'2020'!$I237,Нормативы!$F:$F,'2020'!$K237)</f>
        <v>0</v>
      </c>
      <c r="AP237" s="619">
        <f t="shared" si="679"/>
        <v>8294</v>
      </c>
      <c r="AQ237" s="413">
        <f t="shared" si="616"/>
        <v>124246</v>
      </c>
      <c r="AR237" s="618">
        <f t="shared" si="680"/>
        <v>95427</v>
      </c>
      <c r="AS237" s="618">
        <f t="shared" si="681"/>
        <v>28819</v>
      </c>
      <c r="AT237" s="616">
        <f t="shared" si="617"/>
        <v>506</v>
      </c>
      <c r="AU237" s="616">
        <f t="shared" si="618"/>
        <v>92</v>
      </c>
      <c r="AV237" s="616">
        <f t="shared" si="619"/>
        <v>5336</v>
      </c>
      <c r="AW237" s="616">
        <f t="shared" si="620"/>
        <v>8533</v>
      </c>
      <c r="AX237" s="616">
        <f t="shared" si="621"/>
        <v>1196</v>
      </c>
      <c r="AY237" s="616">
        <f t="shared" si="622"/>
        <v>4922</v>
      </c>
      <c r="AZ237" s="616">
        <f t="shared" si="623"/>
        <v>713</v>
      </c>
      <c r="BA237" s="616">
        <f t="shared" si="624"/>
        <v>1702</v>
      </c>
      <c r="BB237" s="616">
        <f t="shared" si="625"/>
        <v>5658</v>
      </c>
      <c r="BC237" s="616">
        <f t="shared" si="626"/>
        <v>11684</v>
      </c>
      <c r="BD237" s="616">
        <f t="shared" si="627"/>
        <v>1242</v>
      </c>
      <c r="BE237" s="616">
        <f t="shared" si="628"/>
        <v>1771</v>
      </c>
      <c r="BF237" s="616">
        <f t="shared" si="629"/>
        <v>184</v>
      </c>
      <c r="BG237" s="616">
        <f t="shared" si="630"/>
        <v>690</v>
      </c>
      <c r="BH237" s="616">
        <f t="shared" si="631"/>
        <v>30912</v>
      </c>
      <c r="BI237" s="618">
        <f t="shared" si="682"/>
        <v>23741.9</v>
      </c>
      <c r="BJ237" s="618">
        <f t="shared" si="683"/>
        <v>7170.1</v>
      </c>
      <c r="BK237" s="616">
        <f t="shared" si="632"/>
        <v>0</v>
      </c>
      <c r="BL237" s="620">
        <f t="shared" si="633"/>
        <v>190762</v>
      </c>
      <c r="BM237" s="616">
        <f t="shared" si="634"/>
        <v>365035</v>
      </c>
      <c r="BN237" s="618">
        <f t="shared" si="635"/>
        <v>280364.79999999999</v>
      </c>
      <c r="BO237" s="618">
        <f t="shared" si="636"/>
        <v>84670.2</v>
      </c>
      <c r="BP237" s="616">
        <f t="shared" si="684"/>
        <v>506</v>
      </c>
      <c r="BQ237" s="616">
        <f t="shared" si="685"/>
        <v>92</v>
      </c>
      <c r="BR237" s="616">
        <f t="shared" si="686"/>
        <v>5336</v>
      </c>
      <c r="BS237" s="616">
        <f t="shared" si="637"/>
        <v>8533</v>
      </c>
      <c r="BT237" s="616">
        <f t="shared" si="638"/>
        <v>1196</v>
      </c>
      <c r="BU237" s="616">
        <f t="shared" si="639"/>
        <v>4922</v>
      </c>
      <c r="BV237" s="616">
        <f t="shared" si="640"/>
        <v>713</v>
      </c>
      <c r="BW237" s="616">
        <f t="shared" si="641"/>
        <v>1702</v>
      </c>
      <c r="BX237" s="616">
        <f t="shared" si="642"/>
        <v>71149</v>
      </c>
      <c r="BY237" s="616">
        <f t="shared" si="643"/>
        <v>11684</v>
      </c>
      <c r="BZ237" s="616">
        <f t="shared" si="644"/>
        <v>1242</v>
      </c>
      <c r="CA237" s="616">
        <f t="shared" si="645"/>
        <v>1771</v>
      </c>
      <c r="CB237" s="616">
        <f t="shared" si="646"/>
        <v>184</v>
      </c>
      <c r="CC237" s="616">
        <f t="shared" si="647"/>
        <v>690</v>
      </c>
      <c r="CD237" s="616">
        <f t="shared" si="648"/>
        <v>90819</v>
      </c>
      <c r="CE237" s="618">
        <f t="shared" si="687"/>
        <v>69753.5</v>
      </c>
      <c r="CF237" s="618">
        <f t="shared" si="688"/>
        <v>21065.5</v>
      </c>
      <c r="CG237" s="616">
        <f t="shared" si="649"/>
        <v>0</v>
      </c>
      <c r="CH237" s="621">
        <f t="shared" si="650"/>
        <v>556949</v>
      </c>
      <c r="CI237" s="88">
        <f t="shared" si="651"/>
        <v>15871.087</v>
      </c>
      <c r="CJ237" s="90">
        <f t="shared" si="652"/>
        <v>12189.7739</v>
      </c>
      <c r="CK237" s="90">
        <f t="shared" si="653"/>
        <v>3681.3130000000001</v>
      </c>
      <c r="CL237" s="88">
        <f t="shared" si="654"/>
        <v>22</v>
      </c>
      <c r="CM237" s="88">
        <f t="shared" si="655"/>
        <v>4</v>
      </c>
      <c r="CN237" s="88">
        <f t="shared" si="656"/>
        <v>232</v>
      </c>
      <c r="CO237" s="88">
        <f t="shared" si="657"/>
        <v>371</v>
      </c>
      <c r="CP237" s="88">
        <f t="shared" si="658"/>
        <v>52</v>
      </c>
      <c r="CQ237" s="88">
        <f t="shared" si="659"/>
        <v>214</v>
      </c>
      <c r="CR237" s="88">
        <f t="shared" si="660"/>
        <v>31</v>
      </c>
      <c r="CS237" s="88">
        <f t="shared" si="661"/>
        <v>74</v>
      </c>
      <c r="CT237" s="88">
        <f t="shared" si="662"/>
        <v>3093.4348</v>
      </c>
      <c r="CU237" s="88">
        <f t="shared" si="663"/>
        <v>508</v>
      </c>
      <c r="CV237" s="88">
        <f t="shared" si="664"/>
        <v>54</v>
      </c>
      <c r="CW237" s="88">
        <f t="shared" si="665"/>
        <v>77</v>
      </c>
      <c r="CX237" s="88">
        <f t="shared" si="666"/>
        <v>8</v>
      </c>
      <c r="CY237" s="88">
        <f t="shared" si="667"/>
        <v>30</v>
      </c>
      <c r="CZ237" s="88">
        <f t="shared" si="668"/>
        <v>3948.6522</v>
      </c>
      <c r="DA237" s="90">
        <f t="shared" si="669"/>
        <v>3032.7609000000002</v>
      </c>
      <c r="DB237" s="90">
        <f t="shared" si="670"/>
        <v>915.8913</v>
      </c>
      <c r="DC237" s="88">
        <f t="shared" si="671"/>
        <v>0</v>
      </c>
      <c r="DD237" s="88">
        <f t="shared" si="672"/>
        <v>24215.173900000002</v>
      </c>
      <c r="AUV237" s="699">
        <f t="shared" si="586"/>
        <v>15871.09</v>
      </c>
      <c r="AUW237" s="699">
        <f t="shared" si="587"/>
        <v>12189.78</v>
      </c>
      <c r="AUX237" s="699">
        <f t="shared" si="588"/>
        <v>3681.31</v>
      </c>
      <c r="AUY237" s="699">
        <f t="shared" si="706"/>
        <v>22</v>
      </c>
      <c r="AUZ237" s="699">
        <f t="shared" si="615"/>
        <v>7.32</v>
      </c>
      <c r="AVA237" s="699">
        <f t="shared" si="615"/>
        <v>0.99</v>
      </c>
      <c r="AVB237" s="699">
        <f t="shared" si="707"/>
        <v>371</v>
      </c>
      <c r="AVC237" s="699">
        <f t="shared" si="708"/>
        <v>52</v>
      </c>
      <c r="AVD237" s="699">
        <f t="shared" si="709"/>
        <v>214</v>
      </c>
      <c r="AVE237" s="699">
        <f t="shared" si="710"/>
        <v>31</v>
      </c>
      <c r="AVF237" s="699">
        <f t="shared" si="711"/>
        <v>74</v>
      </c>
      <c r="AVG237" s="699">
        <f t="shared" si="712"/>
        <v>3093.43</v>
      </c>
      <c r="AVH237" s="699">
        <f t="shared" si="713"/>
        <v>508</v>
      </c>
      <c r="AVI237" s="699">
        <f t="shared" si="714"/>
        <v>54</v>
      </c>
      <c r="AVJ237" s="699">
        <f t="shared" si="715"/>
        <v>77</v>
      </c>
      <c r="AVK237" s="699">
        <f t="shared" si="716"/>
        <v>8</v>
      </c>
      <c r="AVL237" s="699">
        <f t="shared" si="717"/>
        <v>30</v>
      </c>
      <c r="AVM237" s="699">
        <f t="shared" si="718"/>
        <v>3948.65</v>
      </c>
      <c r="AVN237" s="699">
        <f t="shared" si="719"/>
        <v>3032.76</v>
      </c>
      <c r="AVO237" s="699">
        <f t="shared" si="720"/>
        <v>915.89</v>
      </c>
      <c r="AVP237" s="699">
        <f t="shared" si="721"/>
        <v>0</v>
      </c>
      <c r="AVQ237" s="699">
        <f t="shared" si="722"/>
        <v>24215.17</v>
      </c>
    </row>
    <row r="238" spans="1:108 1244:1265" ht="30" customHeight="1" x14ac:dyDescent="0.25">
      <c r="A238" s="643">
        <v>1</v>
      </c>
      <c r="B238" s="643">
        <v>14</v>
      </c>
      <c r="C238" s="664" t="s">
        <v>249</v>
      </c>
      <c r="D238" s="2"/>
      <c r="E238" s="101" t="s">
        <v>344</v>
      </c>
      <c r="F238" s="643" t="s">
        <v>31</v>
      </c>
      <c r="G238" s="643">
        <v>1</v>
      </c>
      <c r="H238" s="658" t="s">
        <v>10</v>
      </c>
      <c r="I238" s="643">
        <v>0</v>
      </c>
      <c r="J238" s="101" t="s">
        <v>360</v>
      </c>
      <c r="K238" s="643">
        <v>3</v>
      </c>
      <c r="L238" s="683" t="s">
        <v>349</v>
      </c>
      <c r="M238" s="11" t="s">
        <v>265</v>
      </c>
      <c r="N238" s="101" t="s">
        <v>387</v>
      </c>
      <c r="O238" s="643">
        <v>1</v>
      </c>
      <c r="P238" s="632">
        <v>106</v>
      </c>
      <c r="Q238" s="632">
        <v>106</v>
      </c>
      <c r="R238" s="632">
        <v>106</v>
      </c>
      <c r="S238" s="675">
        <f>SUMIF('Территориальный кк'!$A:$A,'2020'!$B238,'Территориальный кк'!D:D)</f>
        <v>2.9380000000000002</v>
      </c>
      <c r="T238" s="676">
        <f>SUMIF('Территориальный кк'!$A:$A,'2020'!$B238,'Территориальный кк'!E:E)</f>
        <v>12.574999999999999</v>
      </c>
      <c r="U238" s="618">
        <f>SUMIFS(Нормативы!G:G,Нормативы!$B:$B,$G238,Нормативы!$D:$D,'2020'!$I238,Нормативы!$F:$F,'2020'!$K238)*O238</f>
        <v>64190</v>
      </c>
      <c r="V238" s="618">
        <f t="shared" si="674"/>
        <v>49301.1</v>
      </c>
      <c r="W238" s="618">
        <f t="shared" si="675"/>
        <v>14888.9</v>
      </c>
      <c r="X238" s="618">
        <f>SUMIFS(Нормативы!J:J,Нормативы!$B:$B,$G238,Нормативы!$D:$D,'2020'!$I238,Нормативы!$F:$F,'2020'!$K238)</f>
        <v>8830</v>
      </c>
      <c r="Y238" s="618">
        <f>SUMIFS(Нормативы!K:K,Нормативы!$B:$B,$G238,Нормативы!$D:$D,'2020'!$I238,Нормативы!$F:$F,'2020'!$K238)</f>
        <v>1766</v>
      </c>
      <c r="Z238" s="618">
        <f>SUMIFS(Нормативы!L:L,Нормативы!$B:$B,$G238,Нормативы!$D:$D,'2020'!$I238,Нормативы!$F:$F,'2020'!$K238)</f>
        <v>8110</v>
      </c>
      <c r="AA238" s="618">
        <f t="shared" si="676"/>
        <v>19050</v>
      </c>
      <c r="AB238" s="618">
        <f>SUMIFS(Нормативы!N:N,Нормативы!$B:$B,$G238,Нормативы!$D:$D,'2020'!$I238,Нормативы!$F:$F,'2020'!$K238)*O238</f>
        <v>520</v>
      </c>
      <c r="AC238" s="618">
        <f>SUMIFS(Нормативы!O:O,Нормативы!$B:$B,$G238,Нормативы!$D:$D,'2020'!$I238,Нормативы!$F:$F,'2020'!$K238)</f>
        <v>17290</v>
      </c>
      <c r="AD238" s="618">
        <f>SUMIFS(Нормативы!P:P,Нормативы!$B:$B,$G238,Нормативы!$D:$D,'2020'!$I238,Нормативы!$F:$F,'2020'!$K238)*O238</f>
        <v>360</v>
      </c>
      <c r="AE238" s="618">
        <f>SUMIFS(Нормативы!Q:Q,Нормативы!$B:$B,$G238,Нормативы!$D:$D,'2020'!$I238,Нормативы!$F:$F,'2020'!$K238)</f>
        <v>880</v>
      </c>
      <c r="AF238" s="618">
        <f>SUMIFS(Нормативы!R:R,Нормативы!$B:$B,$G238,Нормативы!$D:$D,'2020'!$I238,Нормативы!$F:$F,'2020'!$K238)</f>
        <v>2680</v>
      </c>
      <c r="AG238" s="618">
        <f>SUMIFS(Нормативы!S:S,Нормативы!$B:$B,$G238,Нормативы!$D:$D,'2020'!$I238,Нормативы!$F:$F,'2020'!$K238)</f>
        <v>5800</v>
      </c>
      <c r="AH238" s="618">
        <f>SUMIFS(Нормативы!T:T,Нормативы!$B:$B,$G238,Нормативы!$D:$D,'2020'!$I238,Нормативы!$F:$F,'2020'!$K238)</f>
        <v>540</v>
      </c>
      <c r="AI238" s="618">
        <f>SUMIFS(Нормативы!U:U,Нормативы!$B:$B,$G238,Нормативы!$D:$D,'2020'!$I238,Нормативы!$F:$F,'2020'!$K238)</f>
        <v>770</v>
      </c>
      <c r="AJ238" s="618">
        <f>SUMIFS(Нормативы!V:V,Нормативы!$B:$B,$G238,Нормативы!$D:$D,'2020'!$I238,Нормативы!$F:$F,'2020'!$K238)</f>
        <v>80</v>
      </c>
      <c r="AK238" s="618">
        <f>SUMIFS(Нормативы!W:W,Нормативы!$B:$B,$G238,Нормативы!$D:$D,'2020'!$I238,Нормативы!$F:$F,'2020'!$K238)</f>
        <v>1050</v>
      </c>
      <c r="AL238" s="618">
        <f>SUMIFS(Нормативы!X:X,Нормативы!$B:$B,$G238,Нормативы!$D:$D,'2020'!$I238,Нормативы!$F:$F,'2020'!$K238)*O238</f>
        <v>16120</v>
      </c>
      <c r="AM238" s="618">
        <f t="shared" si="677"/>
        <v>12381</v>
      </c>
      <c r="AN238" s="618">
        <f t="shared" si="678"/>
        <v>3739</v>
      </c>
      <c r="AO238" s="618">
        <f>SUMIFS(Нормативы!AA:AA,Нормативы!$B:$B,$G238,Нормативы!$D:$D,'2020'!$I238,Нормативы!$F:$F,'2020'!$K238)</f>
        <v>3520</v>
      </c>
      <c r="AP238" s="619">
        <f t="shared" si="679"/>
        <v>130740</v>
      </c>
      <c r="AQ238" s="413">
        <f t="shared" si="616"/>
        <v>6804140</v>
      </c>
      <c r="AR238" s="618">
        <f t="shared" si="680"/>
        <v>5225914</v>
      </c>
      <c r="AS238" s="618">
        <f t="shared" si="681"/>
        <v>1578226</v>
      </c>
      <c r="AT238" s="616">
        <f t="shared" si="617"/>
        <v>935980</v>
      </c>
      <c r="AU238" s="616">
        <f t="shared" si="618"/>
        <v>187196</v>
      </c>
      <c r="AV238" s="616">
        <f t="shared" si="619"/>
        <v>859660</v>
      </c>
      <c r="AW238" s="616">
        <f t="shared" si="620"/>
        <v>2019300</v>
      </c>
      <c r="AX238" s="616">
        <f t="shared" si="621"/>
        <v>55120</v>
      </c>
      <c r="AY238" s="616">
        <f t="shared" si="622"/>
        <v>1832740</v>
      </c>
      <c r="AZ238" s="616">
        <f t="shared" si="623"/>
        <v>38160</v>
      </c>
      <c r="BA238" s="616">
        <f t="shared" si="624"/>
        <v>93280</v>
      </c>
      <c r="BB238" s="616">
        <f t="shared" si="625"/>
        <v>284080</v>
      </c>
      <c r="BC238" s="616">
        <f t="shared" si="626"/>
        <v>614800</v>
      </c>
      <c r="BD238" s="616">
        <f t="shared" si="627"/>
        <v>57240</v>
      </c>
      <c r="BE238" s="616">
        <f t="shared" si="628"/>
        <v>81620</v>
      </c>
      <c r="BF238" s="616">
        <f t="shared" si="629"/>
        <v>8480</v>
      </c>
      <c r="BG238" s="616">
        <f t="shared" si="630"/>
        <v>111300</v>
      </c>
      <c r="BH238" s="616">
        <f t="shared" si="631"/>
        <v>1708720</v>
      </c>
      <c r="BI238" s="618">
        <f t="shared" si="682"/>
        <v>1312381</v>
      </c>
      <c r="BJ238" s="618">
        <f t="shared" si="683"/>
        <v>396339</v>
      </c>
      <c r="BK238" s="616">
        <f t="shared" si="632"/>
        <v>373120</v>
      </c>
      <c r="BL238" s="620">
        <f t="shared" si="633"/>
        <v>13858440</v>
      </c>
      <c r="BM238" s="616">
        <f t="shared" si="634"/>
        <v>19990563</v>
      </c>
      <c r="BN238" s="618">
        <f t="shared" si="635"/>
        <v>15353735</v>
      </c>
      <c r="BO238" s="618">
        <f t="shared" si="636"/>
        <v>4636828</v>
      </c>
      <c r="BP238" s="616">
        <f t="shared" si="684"/>
        <v>935980</v>
      </c>
      <c r="BQ238" s="616">
        <f t="shared" si="685"/>
        <v>187196</v>
      </c>
      <c r="BR238" s="616">
        <f t="shared" si="686"/>
        <v>859660</v>
      </c>
      <c r="BS238" s="616">
        <f t="shared" si="637"/>
        <v>2019300</v>
      </c>
      <c r="BT238" s="616">
        <f t="shared" si="638"/>
        <v>55120</v>
      </c>
      <c r="BU238" s="616">
        <f t="shared" si="639"/>
        <v>1832740</v>
      </c>
      <c r="BV238" s="616">
        <f t="shared" si="640"/>
        <v>38160</v>
      </c>
      <c r="BW238" s="616">
        <f t="shared" si="641"/>
        <v>93280</v>
      </c>
      <c r="BX238" s="616">
        <f t="shared" si="642"/>
        <v>3572306</v>
      </c>
      <c r="BY238" s="616">
        <f t="shared" si="643"/>
        <v>614800</v>
      </c>
      <c r="BZ238" s="616">
        <f t="shared" si="644"/>
        <v>57240</v>
      </c>
      <c r="CA238" s="616">
        <f t="shared" si="645"/>
        <v>81620</v>
      </c>
      <c r="CB238" s="616">
        <f t="shared" si="646"/>
        <v>8480</v>
      </c>
      <c r="CC238" s="616">
        <f t="shared" si="647"/>
        <v>111300</v>
      </c>
      <c r="CD238" s="616">
        <f t="shared" si="648"/>
        <v>5020219</v>
      </c>
      <c r="CE238" s="618">
        <f t="shared" si="687"/>
        <v>3855775</v>
      </c>
      <c r="CF238" s="618">
        <f t="shared" si="688"/>
        <v>1164444</v>
      </c>
      <c r="CG238" s="616">
        <f t="shared" si="649"/>
        <v>373120</v>
      </c>
      <c r="CH238" s="621">
        <f t="shared" si="650"/>
        <v>33644588</v>
      </c>
      <c r="CI238" s="88">
        <f t="shared" si="651"/>
        <v>188590.217</v>
      </c>
      <c r="CJ238" s="90">
        <f t="shared" si="652"/>
        <v>144846.55660000001</v>
      </c>
      <c r="CK238" s="90">
        <f t="shared" si="653"/>
        <v>43743.660400000001</v>
      </c>
      <c r="CL238" s="88">
        <f t="shared" si="654"/>
        <v>8830</v>
      </c>
      <c r="CM238" s="88">
        <f t="shared" si="655"/>
        <v>1766</v>
      </c>
      <c r="CN238" s="88">
        <f t="shared" si="656"/>
        <v>8110</v>
      </c>
      <c r="CO238" s="88">
        <f t="shared" si="657"/>
        <v>19050</v>
      </c>
      <c r="CP238" s="88">
        <f t="shared" si="658"/>
        <v>520</v>
      </c>
      <c r="CQ238" s="88">
        <f t="shared" si="659"/>
        <v>17290</v>
      </c>
      <c r="CR238" s="88">
        <f t="shared" si="660"/>
        <v>360</v>
      </c>
      <c r="CS238" s="88">
        <f t="shared" si="661"/>
        <v>880</v>
      </c>
      <c r="CT238" s="88">
        <f t="shared" si="662"/>
        <v>33701</v>
      </c>
      <c r="CU238" s="88">
        <f t="shared" si="663"/>
        <v>5800</v>
      </c>
      <c r="CV238" s="88">
        <f t="shared" si="664"/>
        <v>540</v>
      </c>
      <c r="CW238" s="88">
        <f t="shared" si="665"/>
        <v>770</v>
      </c>
      <c r="CX238" s="88">
        <f t="shared" si="666"/>
        <v>80</v>
      </c>
      <c r="CY238" s="88">
        <f t="shared" si="667"/>
        <v>1050</v>
      </c>
      <c r="CZ238" s="88">
        <f t="shared" si="668"/>
        <v>47360.556600000004</v>
      </c>
      <c r="DA238" s="90">
        <f t="shared" si="669"/>
        <v>36375.235800000002</v>
      </c>
      <c r="DB238" s="90">
        <f t="shared" si="670"/>
        <v>10985.3208</v>
      </c>
      <c r="DC238" s="88">
        <f t="shared" si="671"/>
        <v>3520</v>
      </c>
      <c r="DD238" s="88">
        <f t="shared" si="672"/>
        <v>317401.77360000001</v>
      </c>
      <c r="AUV238" s="699">
        <f t="shared" si="586"/>
        <v>188590.22</v>
      </c>
      <c r="AUW238" s="699">
        <f t="shared" si="587"/>
        <v>144846.56</v>
      </c>
      <c r="AUX238" s="699">
        <f t="shared" si="588"/>
        <v>43743.66</v>
      </c>
      <c r="AUY238" s="699">
        <f t="shared" si="706"/>
        <v>8830</v>
      </c>
      <c r="AUZ238" s="699">
        <f t="shared" si="615"/>
        <v>14886.36</v>
      </c>
      <c r="AVA238" s="699">
        <f t="shared" si="615"/>
        <v>13.39</v>
      </c>
      <c r="AVB238" s="699">
        <f t="shared" si="707"/>
        <v>19050</v>
      </c>
      <c r="AVC238" s="699">
        <f t="shared" si="708"/>
        <v>520</v>
      </c>
      <c r="AVD238" s="699">
        <f t="shared" si="709"/>
        <v>17290</v>
      </c>
      <c r="AVE238" s="699">
        <f t="shared" si="710"/>
        <v>360</v>
      </c>
      <c r="AVF238" s="699">
        <f t="shared" si="711"/>
        <v>880</v>
      </c>
      <c r="AVG238" s="699">
        <f t="shared" si="712"/>
        <v>33701</v>
      </c>
      <c r="AVH238" s="699">
        <f t="shared" si="713"/>
        <v>5800</v>
      </c>
      <c r="AVI238" s="699">
        <f t="shared" si="714"/>
        <v>540</v>
      </c>
      <c r="AVJ238" s="699">
        <f t="shared" si="715"/>
        <v>770</v>
      </c>
      <c r="AVK238" s="699">
        <f t="shared" si="716"/>
        <v>80</v>
      </c>
      <c r="AVL238" s="699">
        <f t="shared" si="717"/>
        <v>1050</v>
      </c>
      <c r="AVM238" s="699">
        <f t="shared" si="718"/>
        <v>47360.56</v>
      </c>
      <c r="AVN238" s="699">
        <f t="shared" si="719"/>
        <v>36375.24</v>
      </c>
      <c r="AVO238" s="699">
        <f t="shared" si="720"/>
        <v>10985.32</v>
      </c>
      <c r="AVP238" s="699">
        <f t="shared" si="721"/>
        <v>3520</v>
      </c>
      <c r="AVQ238" s="699">
        <f t="shared" si="722"/>
        <v>317401.77</v>
      </c>
    </row>
    <row r="239" spans="1:108 1244:1265" ht="30" customHeight="1" x14ac:dyDescent="0.25">
      <c r="A239" s="643">
        <v>1</v>
      </c>
      <c r="B239" s="643">
        <v>14</v>
      </c>
      <c r="C239" s="664" t="s">
        <v>249</v>
      </c>
      <c r="D239" s="2"/>
      <c r="E239" s="101" t="s">
        <v>344</v>
      </c>
      <c r="F239" s="643" t="s">
        <v>31</v>
      </c>
      <c r="G239" s="643">
        <v>1</v>
      </c>
      <c r="H239" s="658" t="s">
        <v>8</v>
      </c>
      <c r="I239" s="643">
        <v>3</v>
      </c>
      <c r="J239" s="101" t="s">
        <v>360</v>
      </c>
      <c r="K239" s="643">
        <v>3</v>
      </c>
      <c r="L239" s="683" t="s">
        <v>349</v>
      </c>
      <c r="M239" s="11" t="s">
        <v>266</v>
      </c>
      <c r="N239" s="101" t="s">
        <v>387</v>
      </c>
      <c r="O239" s="643">
        <v>1</v>
      </c>
      <c r="P239" s="632">
        <v>53</v>
      </c>
      <c r="Q239" s="632">
        <v>53</v>
      </c>
      <c r="R239" s="632">
        <v>53</v>
      </c>
      <c r="S239" s="675">
        <f>SUMIF('Территориальный кк'!$A:$A,'2020'!$B239,'Территориальный кк'!D:D)</f>
        <v>2.9380000000000002</v>
      </c>
      <c r="T239" s="676">
        <f>SUMIF('Территориальный кк'!$A:$A,'2020'!$B239,'Территориальный кк'!E:E)</f>
        <v>12.574999999999999</v>
      </c>
      <c r="U239" s="618">
        <f>SUMIFS(Нормативы!G:G,Нормативы!$B:$B,$G239,Нормативы!$D:$D,'2020'!$I239,Нормативы!$F:$F,'2020'!$K239)*O239</f>
        <v>6419</v>
      </c>
      <c r="V239" s="618">
        <f t="shared" si="674"/>
        <v>4930.1000000000004</v>
      </c>
      <c r="W239" s="618">
        <f t="shared" si="675"/>
        <v>1488.9</v>
      </c>
      <c r="X239" s="618">
        <f>SUMIFS(Нормативы!J:J,Нормативы!$B:$B,$G239,Нормативы!$D:$D,'2020'!$I239,Нормативы!$F:$F,'2020'!$K239)</f>
        <v>883</v>
      </c>
      <c r="Y239" s="618">
        <f>SUMIFS(Нормативы!K:K,Нормативы!$B:$B,$G239,Нормативы!$D:$D,'2020'!$I239,Нормативы!$F:$F,'2020'!$K239)</f>
        <v>177</v>
      </c>
      <c r="Z239" s="618">
        <f>SUMIFS(Нормативы!L:L,Нормативы!$B:$B,$G239,Нормативы!$D:$D,'2020'!$I239,Нормативы!$F:$F,'2020'!$K239)</f>
        <v>811</v>
      </c>
      <c r="AA239" s="618">
        <f t="shared" si="676"/>
        <v>1905</v>
      </c>
      <c r="AB239" s="618">
        <f>SUMIFS(Нормативы!N:N,Нормативы!$B:$B,$G239,Нормативы!$D:$D,'2020'!$I239,Нормативы!$F:$F,'2020'!$K239)*O239</f>
        <v>52</v>
      </c>
      <c r="AC239" s="618">
        <f>SUMIFS(Нормативы!O:O,Нормативы!$B:$B,$G239,Нормативы!$D:$D,'2020'!$I239,Нормативы!$F:$F,'2020'!$K239)</f>
        <v>1729</v>
      </c>
      <c r="AD239" s="618">
        <f>SUMIFS(Нормативы!P:P,Нормативы!$B:$B,$G239,Нормативы!$D:$D,'2020'!$I239,Нормативы!$F:$F,'2020'!$K239)*O239</f>
        <v>36</v>
      </c>
      <c r="AE239" s="618">
        <f>SUMIFS(Нормативы!Q:Q,Нормативы!$B:$B,$G239,Нормативы!$D:$D,'2020'!$I239,Нормативы!$F:$F,'2020'!$K239)</f>
        <v>88</v>
      </c>
      <c r="AF239" s="618">
        <f>SUMIFS(Нормативы!R:R,Нормативы!$B:$B,$G239,Нормативы!$D:$D,'2020'!$I239,Нормативы!$F:$F,'2020'!$K239)</f>
        <v>268</v>
      </c>
      <c r="AG239" s="618">
        <f>SUMIFS(Нормативы!S:S,Нормативы!$B:$B,$G239,Нормативы!$D:$D,'2020'!$I239,Нормативы!$F:$F,'2020'!$K239)</f>
        <v>580</v>
      </c>
      <c r="AH239" s="618">
        <f>SUMIFS(Нормативы!T:T,Нормативы!$B:$B,$G239,Нормативы!$D:$D,'2020'!$I239,Нормативы!$F:$F,'2020'!$K239)</f>
        <v>54</v>
      </c>
      <c r="AI239" s="618">
        <f>SUMIFS(Нормативы!U:U,Нормативы!$B:$B,$G239,Нормативы!$D:$D,'2020'!$I239,Нормативы!$F:$F,'2020'!$K239)</f>
        <v>77</v>
      </c>
      <c r="AJ239" s="618">
        <f>SUMIFS(Нормативы!V:V,Нормативы!$B:$B,$G239,Нормативы!$D:$D,'2020'!$I239,Нормативы!$F:$F,'2020'!$K239)</f>
        <v>8</v>
      </c>
      <c r="AK239" s="618">
        <f>SUMIFS(Нормативы!W:W,Нормативы!$B:$B,$G239,Нормативы!$D:$D,'2020'!$I239,Нормативы!$F:$F,'2020'!$K239)</f>
        <v>105</v>
      </c>
      <c r="AL239" s="618">
        <f>SUMIFS(Нормативы!X:X,Нормативы!$B:$B,$G239,Нормативы!$D:$D,'2020'!$I239,Нормативы!$F:$F,'2020'!$K239)*O239</f>
        <v>1612</v>
      </c>
      <c r="AM239" s="618">
        <f t="shared" si="677"/>
        <v>1238.0999999999999</v>
      </c>
      <c r="AN239" s="618">
        <f t="shared" si="678"/>
        <v>373.9</v>
      </c>
      <c r="AO239" s="618">
        <f>SUMIFS(Нормативы!AA:AA,Нормативы!$B:$B,$G239,Нормативы!$D:$D,'2020'!$I239,Нормативы!$F:$F,'2020'!$K239)</f>
        <v>0</v>
      </c>
      <c r="AP239" s="619">
        <f t="shared" si="679"/>
        <v>12722</v>
      </c>
      <c r="AQ239" s="413">
        <f t="shared" si="616"/>
        <v>340207</v>
      </c>
      <c r="AR239" s="618">
        <f t="shared" si="680"/>
        <v>261295.7</v>
      </c>
      <c r="AS239" s="618">
        <f t="shared" si="681"/>
        <v>78911.3</v>
      </c>
      <c r="AT239" s="616">
        <f t="shared" si="617"/>
        <v>46799</v>
      </c>
      <c r="AU239" s="616">
        <f t="shared" si="618"/>
        <v>9381</v>
      </c>
      <c r="AV239" s="616">
        <f t="shared" si="619"/>
        <v>42983</v>
      </c>
      <c r="AW239" s="616">
        <f t="shared" si="620"/>
        <v>100965</v>
      </c>
      <c r="AX239" s="616">
        <f t="shared" si="621"/>
        <v>2756</v>
      </c>
      <c r="AY239" s="616">
        <f t="shared" si="622"/>
        <v>91637</v>
      </c>
      <c r="AZ239" s="616">
        <f t="shared" si="623"/>
        <v>1908</v>
      </c>
      <c r="BA239" s="616">
        <f t="shared" si="624"/>
        <v>4664</v>
      </c>
      <c r="BB239" s="616">
        <f t="shared" si="625"/>
        <v>14204</v>
      </c>
      <c r="BC239" s="616">
        <f t="shared" si="626"/>
        <v>30740</v>
      </c>
      <c r="BD239" s="616">
        <f t="shared" si="627"/>
        <v>2862</v>
      </c>
      <c r="BE239" s="616">
        <f t="shared" si="628"/>
        <v>4081</v>
      </c>
      <c r="BF239" s="616">
        <f t="shared" si="629"/>
        <v>424</v>
      </c>
      <c r="BG239" s="616">
        <f t="shared" si="630"/>
        <v>5565</v>
      </c>
      <c r="BH239" s="616">
        <f t="shared" si="631"/>
        <v>85436</v>
      </c>
      <c r="BI239" s="618">
        <f t="shared" si="682"/>
        <v>65619</v>
      </c>
      <c r="BJ239" s="618">
        <f t="shared" si="683"/>
        <v>19817</v>
      </c>
      <c r="BK239" s="616">
        <f t="shared" si="632"/>
        <v>0</v>
      </c>
      <c r="BL239" s="620">
        <f t="shared" si="633"/>
        <v>674266</v>
      </c>
      <c r="BM239" s="616">
        <f t="shared" si="634"/>
        <v>999528</v>
      </c>
      <c r="BN239" s="618">
        <f t="shared" si="635"/>
        <v>767686.6</v>
      </c>
      <c r="BO239" s="618">
        <f t="shared" si="636"/>
        <v>231841.4</v>
      </c>
      <c r="BP239" s="616">
        <f t="shared" si="684"/>
        <v>46799</v>
      </c>
      <c r="BQ239" s="616">
        <f t="shared" si="685"/>
        <v>9381</v>
      </c>
      <c r="BR239" s="616">
        <f t="shared" si="686"/>
        <v>42983</v>
      </c>
      <c r="BS239" s="616">
        <f t="shared" si="637"/>
        <v>100965</v>
      </c>
      <c r="BT239" s="616">
        <f t="shared" si="638"/>
        <v>2756</v>
      </c>
      <c r="BU239" s="616">
        <f t="shared" si="639"/>
        <v>91637</v>
      </c>
      <c r="BV239" s="616">
        <f t="shared" si="640"/>
        <v>1908</v>
      </c>
      <c r="BW239" s="616">
        <f t="shared" si="641"/>
        <v>4664</v>
      </c>
      <c r="BX239" s="616">
        <f t="shared" si="642"/>
        <v>178615</v>
      </c>
      <c r="BY239" s="616">
        <f t="shared" si="643"/>
        <v>30740</v>
      </c>
      <c r="BZ239" s="616">
        <f t="shared" si="644"/>
        <v>2862</v>
      </c>
      <c r="CA239" s="616">
        <f t="shared" si="645"/>
        <v>4081</v>
      </c>
      <c r="CB239" s="616">
        <f t="shared" si="646"/>
        <v>424</v>
      </c>
      <c r="CC239" s="616">
        <f t="shared" si="647"/>
        <v>5565</v>
      </c>
      <c r="CD239" s="616">
        <f t="shared" si="648"/>
        <v>251011</v>
      </c>
      <c r="CE239" s="618">
        <f t="shared" si="687"/>
        <v>192788.8</v>
      </c>
      <c r="CF239" s="618">
        <f t="shared" si="688"/>
        <v>58222.2</v>
      </c>
      <c r="CG239" s="616">
        <f t="shared" si="649"/>
        <v>0</v>
      </c>
      <c r="CH239" s="621">
        <f t="shared" si="650"/>
        <v>1663573</v>
      </c>
      <c r="CI239" s="88">
        <f t="shared" si="651"/>
        <v>18859.018899999999</v>
      </c>
      <c r="CJ239" s="90">
        <f t="shared" si="652"/>
        <v>14484.6528</v>
      </c>
      <c r="CK239" s="90">
        <f t="shared" si="653"/>
        <v>4374.366</v>
      </c>
      <c r="CL239" s="88">
        <f t="shared" si="654"/>
        <v>883</v>
      </c>
      <c r="CM239" s="88">
        <f t="shared" si="655"/>
        <v>177</v>
      </c>
      <c r="CN239" s="88">
        <f t="shared" si="656"/>
        <v>811</v>
      </c>
      <c r="CO239" s="88">
        <f t="shared" si="657"/>
        <v>1905</v>
      </c>
      <c r="CP239" s="88">
        <f t="shared" si="658"/>
        <v>52</v>
      </c>
      <c r="CQ239" s="88">
        <f t="shared" si="659"/>
        <v>1729</v>
      </c>
      <c r="CR239" s="88">
        <f t="shared" si="660"/>
        <v>36</v>
      </c>
      <c r="CS239" s="88">
        <f t="shared" si="661"/>
        <v>88</v>
      </c>
      <c r="CT239" s="88">
        <f t="shared" si="662"/>
        <v>3370.0943000000002</v>
      </c>
      <c r="CU239" s="88">
        <f t="shared" si="663"/>
        <v>580</v>
      </c>
      <c r="CV239" s="88">
        <f t="shared" si="664"/>
        <v>54</v>
      </c>
      <c r="CW239" s="88">
        <f t="shared" si="665"/>
        <v>77</v>
      </c>
      <c r="CX239" s="88">
        <f t="shared" si="666"/>
        <v>8</v>
      </c>
      <c r="CY239" s="88">
        <f t="shared" si="667"/>
        <v>105</v>
      </c>
      <c r="CZ239" s="88">
        <f t="shared" si="668"/>
        <v>4736.0565999999999</v>
      </c>
      <c r="DA239" s="90">
        <f t="shared" si="669"/>
        <v>3637.5245</v>
      </c>
      <c r="DB239" s="90">
        <f t="shared" si="670"/>
        <v>1098.5320999999999</v>
      </c>
      <c r="DC239" s="88">
        <f t="shared" si="671"/>
        <v>0</v>
      </c>
      <c r="DD239" s="88">
        <f t="shared" si="672"/>
        <v>31388.1698</v>
      </c>
      <c r="AUV239" s="699">
        <f t="shared" si="586"/>
        <v>18859.02</v>
      </c>
      <c r="AUW239" s="699">
        <f t="shared" si="587"/>
        <v>14484.65</v>
      </c>
      <c r="AUX239" s="699">
        <f t="shared" si="588"/>
        <v>4374.37</v>
      </c>
      <c r="AUY239" s="699">
        <f t="shared" si="706"/>
        <v>883</v>
      </c>
      <c r="AUZ239" s="699">
        <f t="shared" si="615"/>
        <v>746</v>
      </c>
      <c r="AVA239" s="699">
        <f t="shared" si="615"/>
        <v>6.7</v>
      </c>
      <c r="AVB239" s="699">
        <f t="shared" si="707"/>
        <v>1905</v>
      </c>
      <c r="AVC239" s="699">
        <f t="shared" si="708"/>
        <v>52</v>
      </c>
      <c r="AVD239" s="699">
        <f t="shared" si="709"/>
        <v>1729</v>
      </c>
      <c r="AVE239" s="699">
        <f t="shared" si="710"/>
        <v>36</v>
      </c>
      <c r="AVF239" s="699">
        <f t="shared" si="711"/>
        <v>88</v>
      </c>
      <c r="AVG239" s="699">
        <f t="shared" si="712"/>
        <v>3370.09</v>
      </c>
      <c r="AVH239" s="699">
        <f t="shared" si="713"/>
        <v>580</v>
      </c>
      <c r="AVI239" s="699">
        <f t="shared" si="714"/>
        <v>54</v>
      </c>
      <c r="AVJ239" s="699">
        <f t="shared" si="715"/>
        <v>77</v>
      </c>
      <c r="AVK239" s="699">
        <f t="shared" si="716"/>
        <v>8</v>
      </c>
      <c r="AVL239" s="699">
        <f t="shared" si="717"/>
        <v>105</v>
      </c>
      <c r="AVM239" s="699">
        <f t="shared" si="718"/>
        <v>4736.0600000000004</v>
      </c>
      <c r="AVN239" s="699">
        <f t="shared" si="719"/>
        <v>3637.53</v>
      </c>
      <c r="AVO239" s="699">
        <f t="shared" si="720"/>
        <v>1098.53</v>
      </c>
      <c r="AVP239" s="699">
        <f t="shared" si="721"/>
        <v>0</v>
      </c>
      <c r="AVQ239" s="699">
        <f t="shared" si="722"/>
        <v>31388.17</v>
      </c>
    </row>
    <row r="240" spans="1:108 1244:1265" ht="30" customHeight="1" x14ac:dyDescent="0.25">
      <c r="A240" s="643">
        <v>1</v>
      </c>
      <c r="B240" s="643">
        <v>14</v>
      </c>
      <c r="C240" s="664" t="s">
        <v>249</v>
      </c>
      <c r="D240" s="2"/>
      <c r="E240" s="101" t="s">
        <v>345</v>
      </c>
      <c r="F240" s="643" t="s">
        <v>38</v>
      </c>
      <c r="G240" s="643">
        <v>2</v>
      </c>
      <c r="H240" s="658" t="s">
        <v>10</v>
      </c>
      <c r="I240" s="643">
        <v>0</v>
      </c>
      <c r="J240" s="101" t="s">
        <v>361</v>
      </c>
      <c r="K240" s="643">
        <v>3</v>
      </c>
      <c r="L240" s="683" t="s">
        <v>350</v>
      </c>
      <c r="M240" s="11" t="s">
        <v>267</v>
      </c>
      <c r="N240" s="101" t="s">
        <v>387</v>
      </c>
      <c r="O240" s="643">
        <v>1</v>
      </c>
      <c r="P240" s="632">
        <v>7</v>
      </c>
      <c r="Q240" s="632">
        <v>7</v>
      </c>
      <c r="R240" s="632">
        <v>7</v>
      </c>
      <c r="S240" s="675">
        <f>SUMIF('Территориальный кк'!$A:$A,'2020'!$B240,'Территориальный кк'!D:D)</f>
        <v>2.9380000000000002</v>
      </c>
      <c r="T240" s="676">
        <f>SUMIF('Территориальный кк'!$A:$A,'2020'!$B240,'Территориальный кк'!E:E)</f>
        <v>12.574999999999999</v>
      </c>
      <c r="U240" s="618">
        <f>SUMIFS(Нормативы!G:G,Нормативы!$B:$B,$G240,Нормативы!$D:$D,'2020'!$I240,Нормативы!$F:$F,'2020'!$K240)*O240</f>
        <v>70600</v>
      </c>
      <c r="V240" s="618">
        <f t="shared" si="674"/>
        <v>54224.3</v>
      </c>
      <c r="W240" s="618">
        <f t="shared" si="675"/>
        <v>16375.7</v>
      </c>
      <c r="X240" s="618">
        <f>SUMIFS(Нормативы!J:J,Нормативы!$B:$B,$G240,Нормативы!$D:$D,'2020'!$I240,Нормативы!$F:$F,'2020'!$K240)</f>
        <v>8860</v>
      </c>
      <c r="Y240" s="618">
        <f>SUMIFS(Нормативы!K:K,Нормативы!$B:$B,$G240,Нормативы!$D:$D,'2020'!$I240,Нормативы!$F:$F,'2020'!$K240)</f>
        <v>0</v>
      </c>
      <c r="Z240" s="618">
        <f>SUMIFS(Нормативы!L:L,Нормативы!$B:$B,$G240,Нормативы!$D:$D,'2020'!$I240,Нормативы!$F:$F,'2020'!$K240)</f>
        <v>8110</v>
      </c>
      <c r="AA240" s="618">
        <f t="shared" si="676"/>
        <v>21610</v>
      </c>
      <c r="AB240" s="618">
        <f>SUMIFS(Нормативы!N:N,Нормативы!$B:$B,$G240,Нормативы!$D:$D,'2020'!$I240,Нормативы!$F:$F,'2020'!$K240)*O240</f>
        <v>520</v>
      </c>
      <c r="AC240" s="618">
        <f>SUMIFS(Нормативы!O:O,Нормативы!$B:$B,$G240,Нормативы!$D:$D,'2020'!$I240,Нормативы!$F:$F,'2020'!$K240)</f>
        <v>19720</v>
      </c>
      <c r="AD240" s="618">
        <f>SUMIFS(Нормативы!P:P,Нормативы!$B:$B,$G240,Нормативы!$D:$D,'2020'!$I240,Нормативы!$F:$F,'2020'!$K240)*O240</f>
        <v>400</v>
      </c>
      <c r="AE240" s="618">
        <f>SUMIFS(Нормативы!Q:Q,Нормативы!$B:$B,$G240,Нормативы!$D:$D,'2020'!$I240,Нормативы!$F:$F,'2020'!$K240)</f>
        <v>970</v>
      </c>
      <c r="AF240" s="618">
        <f>SUMIFS(Нормативы!R:R,Нормативы!$B:$B,$G240,Нормативы!$D:$D,'2020'!$I240,Нормативы!$F:$F,'2020'!$K240)</f>
        <v>2680</v>
      </c>
      <c r="AG240" s="618">
        <f>SUMIFS(Нормативы!S:S,Нормативы!$B:$B,$G240,Нормативы!$D:$D,'2020'!$I240,Нормативы!$F:$F,'2020'!$K240)</f>
        <v>5800</v>
      </c>
      <c r="AH240" s="618">
        <f>SUMIFS(Нормативы!T:T,Нормативы!$B:$B,$G240,Нормативы!$D:$D,'2020'!$I240,Нормативы!$F:$F,'2020'!$K240)</f>
        <v>540</v>
      </c>
      <c r="AI240" s="618">
        <f>SUMIFS(Нормативы!U:U,Нормативы!$B:$B,$G240,Нормативы!$D:$D,'2020'!$I240,Нормативы!$F:$F,'2020'!$K240)</f>
        <v>770</v>
      </c>
      <c r="AJ240" s="618">
        <f>SUMIFS(Нормативы!V:V,Нормативы!$B:$B,$G240,Нормативы!$D:$D,'2020'!$I240,Нормативы!$F:$F,'2020'!$K240)</f>
        <v>80</v>
      </c>
      <c r="AK240" s="618">
        <f>SUMIFS(Нормативы!W:W,Нормативы!$B:$B,$G240,Нормативы!$D:$D,'2020'!$I240,Нормативы!$F:$F,'2020'!$K240)</f>
        <v>330</v>
      </c>
      <c r="AL240" s="618">
        <f>SUMIFS(Нормативы!X:X,Нормативы!$B:$B,$G240,Нормативы!$D:$D,'2020'!$I240,Нормативы!$F:$F,'2020'!$K240)*O240</f>
        <v>16120</v>
      </c>
      <c r="AM240" s="618">
        <f t="shared" si="677"/>
        <v>12381</v>
      </c>
      <c r="AN240" s="618">
        <f t="shared" si="678"/>
        <v>3739</v>
      </c>
      <c r="AO240" s="618">
        <f>SUMIFS(Нормативы!AA:AA,Нормативы!$B:$B,$G240,Нормативы!$D:$D,'2020'!$I240,Нормативы!$F:$F,'2020'!$K240)</f>
        <v>3520</v>
      </c>
      <c r="AP240" s="619">
        <f t="shared" si="679"/>
        <v>139020</v>
      </c>
      <c r="AQ240" s="413">
        <f t="shared" si="616"/>
        <v>494200</v>
      </c>
      <c r="AR240" s="618">
        <f t="shared" si="680"/>
        <v>379569.9</v>
      </c>
      <c r="AS240" s="618">
        <f t="shared" si="681"/>
        <v>114630.1</v>
      </c>
      <c r="AT240" s="616">
        <f t="shared" si="617"/>
        <v>62020</v>
      </c>
      <c r="AU240" s="616">
        <f t="shared" si="618"/>
        <v>0</v>
      </c>
      <c r="AV240" s="616">
        <f t="shared" si="619"/>
        <v>56770</v>
      </c>
      <c r="AW240" s="616">
        <f t="shared" si="620"/>
        <v>151270</v>
      </c>
      <c r="AX240" s="616">
        <f t="shared" si="621"/>
        <v>3640</v>
      </c>
      <c r="AY240" s="616">
        <f t="shared" si="622"/>
        <v>138040</v>
      </c>
      <c r="AZ240" s="616">
        <f t="shared" si="623"/>
        <v>2800</v>
      </c>
      <c r="BA240" s="616">
        <f t="shared" si="624"/>
        <v>6790</v>
      </c>
      <c r="BB240" s="616">
        <f t="shared" si="625"/>
        <v>18760</v>
      </c>
      <c r="BC240" s="616">
        <f t="shared" si="626"/>
        <v>40600</v>
      </c>
      <c r="BD240" s="616">
        <f t="shared" si="627"/>
        <v>3780</v>
      </c>
      <c r="BE240" s="616">
        <f t="shared" si="628"/>
        <v>5390</v>
      </c>
      <c r="BF240" s="616">
        <f t="shared" si="629"/>
        <v>560</v>
      </c>
      <c r="BG240" s="616">
        <f t="shared" si="630"/>
        <v>2310</v>
      </c>
      <c r="BH240" s="616">
        <f t="shared" si="631"/>
        <v>112840</v>
      </c>
      <c r="BI240" s="618">
        <f t="shared" si="682"/>
        <v>86666.7</v>
      </c>
      <c r="BJ240" s="618">
        <f t="shared" si="683"/>
        <v>26173.3</v>
      </c>
      <c r="BK240" s="616">
        <f t="shared" si="632"/>
        <v>24640</v>
      </c>
      <c r="BL240" s="620">
        <f t="shared" si="633"/>
        <v>973140</v>
      </c>
      <c r="BM240" s="616">
        <f t="shared" si="634"/>
        <v>1451960</v>
      </c>
      <c r="BN240" s="618">
        <f t="shared" si="635"/>
        <v>1115176.7</v>
      </c>
      <c r="BO240" s="618">
        <f t="shared" si="636"/>
        <v>336783.3</v>
      </c>
      <c r="BP240" s="616">
        <f t="shared" si="684"/>
        <v>62020</v>
      </c>
      <c r="BQ240" s="616">
        <f t="shared" si="685"/>
        <v>0</v>
      </c>
      <c r="BR240" s="616">
        <f t="shared" si="686"/>
        <v>56770</v>
      </c>
      <c r="BS240" s="616">
        <f t="shared" si="637"/>
        <v>151270</v>
      </c>
      <c r="BT240" s="616">
        <f t="shared" si="638"/>
        <v>3640</v>
      </c>
      <c r="BU240" s="616">
        <f t="shared" si="639"/>
        <v>138040</v>
      </c>
      <c r="BV240" s="616">
        <f t="shared" si="640"/>
        <v>2800</v>
      </c>
      <c r="BW240" s="616">
        <f t="shared" si="641"/>
        <v>6790</v>
      </c>
      <c r="BX240" s="616">
        <f t="shared" si="642"/>
        <v>235907</v>
      </c>
      <c r="BY240" s="616">
        <f t="shared" si="643"/>
        <v>40600</v>
      </c>
      <c r="BZ240" s="616">
        <f t="shared" si="644"/>
        <v>3780</v>
      </c>
      <c r="CA240" s="616">
        <f t="shared" si="645"/>
        <v>5390</v>
      </c>
      <c r="CB240" s="616">
        <f t="shared" si="646"/>
        <v>560</v>
      </c>
      <c r="CC240" s="616">
        <f t="shared" si="647"/>
        <v>2310</v>
      </c>
      <c r="CD240" s="616">
        <f t="shared" si="648"/>
        <v>331524</v>
      </c>
      <c r="CE240" s="618">
        <f t="shared" si="687"/>
        <v>254626.7</v>
      </c>
      <c r="CF240" s="618">
        <f t="shared" si="688"/>
        <v>76897.3</v>
      </c>
      <c r="CG240" s="616">
        <f t="shared" si="649"/>
        <v>24640</v>
      </c>
      <c r="CH240" s="621">
        <f t="shared" si="650"/>
        <v>2366731</v>
      </c>
      <c r="CI240" s="88">
        <f t="shared" si="651"/>
        <v>207422.85709999999</v>
      </c>
      <c r="CJ240" s="90">
        <f t="shared" si="652"/>
        <v>159310.9571</v>
      </c>
      <c r="CK240" s="90">
        <f t="shared" si="653"/>
        <v>48111.9</v>
      </c>
      <c r="CL240" s="88">
        <f t="shared" si="654"/>
        <v>8860</v>
      </c>
      <c r="CM240" s="88">
        <f t="shared" si="655"/>
        <v>0</v>
      </c>
      <c r="CN240" s="88">
        <f t="shared" si="656"/>
        <v>8110</v>
      </c>
      <c r="CO240" s="88">
        <f t="shared" si="657"/>
        <v>21610</v>
      </c>
      <c r="CP240" s="88">
        <f t="shared" si="658"/>
        <v>520</v>
      </c>
      <c r="CQ240" s="88">
        <f t="shared" si="659"/>
        <v>19720</v>
      </c>
      <c r="CR240" s="88">
        <f t="shared" si="660"/>
        <v>400</v>
      </c>
      <c r="CS240" s="88">
        <f t="shared" si="661"/>
        <v>970</v>
      </c>
      <c r="CT240" s="88">
        <f t="shared" si="662"/>
        <v>33701</v>
      </c>
      <c r="CU240" s="88">
        <f t="shared" si="663"/>
        <v>5800</v>
      </c>
      <c r="CV240" s="88">
        <f t="shared" si="664"/>
        <v>540</v>
      </c>
      <c r="CW240" s="88">
        <f t="shared" si="665"/>
        <v>770</v>
      </c>
      <c r="CX240" s="88">
        <f t="shared" si="666"/>
        <v>80</v>
      </c>
      <c r="CY240" s="88">
        <f t="shared" si="667"/>
        <v>330</v>
      </c>
      <c r="CZ240" s="88">
        <f t="shared" si="668"/>
        <v>47360.571400000001</v>
      </c>
      <c r="DA240" s="90">
        <f t="shared" si="669"/>
        <v>36375.242899999997</v>
      </c>
      <c r="DB240" s="90">
        <f t="shared" si="670"/>
        <v>10985.328600000001</v>
      </c>
      <c r="DC240" s="88">
        <f t="shared" si="671"/>
        <v>3520</v>
      </c>
      <c r="DD240" s="88">
        <f t="shared" si="672"/>
        <v>338104.42859999998</v>
      </c>
      <c r="AUV240" s="699">
        <f t="shared" si="586"/>
        <v>207422.86</v>
      </c>
      <c r="AUW240" s="699">
        <f t="shared" si="587"/>
        <v>159310.95000000001</v>
      </c>
      <c r="AUX240" s="699">
        <f t="shared" si="588"/>
        <v>48111.91</v>
      </c>
      <c r="AUY240" s="699">
        <f t="shared" si="706"/>
        <v>8860</v>
      </c>
      <c r="AUZ240" s="699">
        <f t="shared" si="615"/>
        <v>0</v>
      </c>
      <c r="AVA240" s="699">
        <f t="shared" si="615"/>
        <v>0.8</v>
      </c>
      <c r="AVB240" s="699">
        <f t="shared" si="707"/>
        <v>21610</v>
      </c>
      <c r="AVC240" s="699">
        <f t="shared" si="708"/>
        <v>520</v>
      </c>
      <c r="AVD240" s="699">
        <f t="shared" si="709"/>
        <v>19720</v>
      </c>
      <c r="AVE240" s="699">
        <f t="shared" si="710"/>
        <v>400</v>
      </c>
      <c r="AVF240" s="699">
        <f t="shared" si="711"/>
        <v>970</v>
      </c>
      <c r="AVG240" s="699">
        <f t="shared" si="712"/>
        <v>33701</v>
      </c>
      <c r="AVH240" s="699">
        <f t="shared" si="713"/>
        <v>5800</v>
      </c>
      <c r="AVI240" s="699">
        <f t="shared" si="714"/>
        <v>540</v>
      </c>
      <c r="AVJ240" s="699">
        <f t="shared" si="715"/>
        <v>770</v>
      </c>
      <c r="AVK240" s="699">
        <f t="shared" si="716"/>
        <v>80</v>
      </c>
      <c r="AVL240" s="699">
        <f t="shared" si="717"/>
        <v>330</v>
      </c>
      <c r="AVM240" s="699">
        <f t="shared" si="718"/>
        <v>47360.57</v>
      </c>
      <c r="AVN240" s="699">
        <f t="shared" si="719"/>
        <v>36375.25</v>
      </c>
      <c r="AVO240" s="699">
        <f t="shared" si="720"/>
        <v>10985.32</v>
      </c>
      <c r="AVP240" s="699">
        <f t="shared" si="721"/>
        <v>3520</v>
      </c>
      <c r="AVQ240" s="699">
        <f t="shared" si="722"/>
        <v>338104.43</v>
      </c>
    </row>
    <row r="241" spans="1:108 1244:1265" ht="30" customHeight="1" x14ac:dyDescent="0.25">
      <c r="A241" s="643">
        <v>1</v>
      </c>
      <c r="B241" s="643">
        <v>14</v>
      </c>
      <c r="C241" s="664" t="s">
        <v>249</v>
      </c>
      <c r="D241" s="2"/>
      <c r="E241" s="101" t="s">
        <v>345</v>
      </c>
      <c r="F241" s="643" t="s">
        <v>38</v>
      </c>
      <c r="G241" s="643">
        <v>2</v>
      </c>
      <c r="H241" s="658" t="s">
        <v>8</v>
      </c>
      <c r="I241" s="643">
        <v>3</v>
      </c>
      <c r="J241" s="101" t="s">
        <v>361</v>
      </c>
      <c r="K241" s="643">
        <v>3</v>
      </c>
      <c r="L241" s="683" t="s">
        <v>350</v>
      </c>
      <c r="M241" s="11" t="s">
        <v>294</v>
      </c>
      <c r="N241" s="101" t="s">
        <v>387</v>
      </c>
      <c r="O241" s="643">
        <v>1</v>
      </c>
      <c r="P241" s="632">
        <v>7</v>
      </c>
      <c r="Q241" s="632">
        <v>7</v>
      </c>
      <c r="R241" s="632">
        <v>7</v>
      </c>
      <c r="S241" s="675">
        <f>SUMIF('Территориальный кк'!$A:$A,'2020'!$B241,'Территориальный кк'!D:D)</f>
        <v>2.9380000000000002</v>
      </c>
      <c r="T241" s="676">
        <f>SUMIF('Территориальный кк'!$A:$A,'2020'!$B241,'Территориальный кк'!E:E)</f>
        <v>12.574999999999999</v>
      </c>
      <c r="U241" s="618">
        <f>SUMIFS(Нормативы!G:G,Нормативы!$B:$B,$G241,Нормативы!$D:$D,'2020'!$I241,Нормативы!$F:$F,'2020'!$K241)*O241</f>
        <v>12944</v>
      </c>
      <c r="V241" s="618">
        <f t="shared" si="674"/>
        <v>9941.6</v>
      </c>
      <c r="W241" s="618">
        <f t="shared" si="675"/>
        <v>3002.4</v>
      </c>
      <c r="X241" s="618">
        <f>SUMIFS(Нормативы!J:J,Нормативы!$B:$B,$G241,Нормативы!$D:$D,'2020'!$I241,Нормативы!$F:$F,'2020'!$K241)</f>
        <v>486</v>
      </c>
      <c r="Y241" s="618">
        <f>SUMIFS(Нормативы!K:K,Нормативы!$B:$B,$G241,Нормативы!$D:$D,'2020'!$I241,Нормативы!$F:$F,'2020'!$K241)</f>
        <v>97</v>
      </c>
      <c r="Z241" s="618">
        <f>SUMIFS(Нормативы!L:L,Нормативы!$B:$B,$G241,Нормативы!$D:$D,'2020'!$I241,Нормативы!$F:$F,'2020'!$K241)</f>
        <v>348</v>
      </c>
      <c r="AA241" s="618">
        <f t="shared" si="676"/>
        <v>2031</v>
      </c>
      <c r="AB241" s="618">
        <f>SUMIFS(Нормативы!N:N,Нормативы!$B:$B,$G241,Нормативы!$D:$D,'2020'!$I241,Нормативы!$F:$F,'2020'!$K241)*O241</f>
        <v>52</v>
      </c>
      <c r="AC241" s="618">
        <f>SUMIFS(Нормативы!O:O,Нормативы!$B:$B,$G241,Нормативы!$D:$D,'2020'!$I241,Нормативы!$F:$F,'2020'!$K241)</f>
        <v>1728</v>
      </c>
      <c r="AD241" s="618">
        <f>SUMIFS(Нормативы!P:P,Нормативы!$B:$B,$G241,Нормативы!$D:$D,'2020'!$I241,Нормативы!$F:$F,'2020'!$K241)*O241</f>
        <v>73</v>
      </c>
      <c r="AE241" s="618">
        <f>SUMIFS(Нормативы!Q:Q,Нормативы!$B:$B,$G241,Нормативы!$D:$D,'2020'!$I241,Нормативы!$F:$F,'2020'!$K241)</f>
        <v>178</v>
      </c>
      <c r="AF241" s="618">
        <f>SUMIFS(Нормативы!R:R,Нормативы!$B:$B,$G241,Нормативы!$D:$D,'2020'!$I241,Нормативы!$F:$F,'2020'!$K241)</f>
        <v>275</v>
      </c>
      <c r="AG241" s="618">
        <f>SUMIFS(Нормативы!S:S,Нормативы!$B:$B,$G241,Нормативы!$D:$D,'2020'!$I241,Нормативы!$F:$F,'2020'!$K241)</f>
        <v>580</v>
      </c>
      <c r="AH241" s="618">
        <f>SUMIFS(Нормативы!T:T,Нормативы!$B:$B,$G241,Нормативы!$D:$D,'2020'!$I241,Нормативы!$F:$F,'2020'!$K241)</f>
        <v>54</v>
      </c>
      <c r="AI241" s="618">
        <f>SUMIFS(Нормативы!U:U,Нормативы!$B:$B,$G241,Нормативы!$D:$D,'2020'!$I241,Нормативы!$F:$F,'2020'!$K241)</f>
        <v>77</v>
      </c>
      <c r="AJ241" s="618">
        <f>SUMIFS(Нормативы!V:V,Нормативы!$B:$B,$G241,Нормативы!$D:$D,'2020'!$I241,Нормативы!$F:$F,'2020'!$K241)</f>
        <v>8</v>
      </c>
      <c r="AK241" s="618">
        <f>SUMIFS(Нормативы!W:W,Нормативы!$B:$B,$G241,Нормативы!$D:$D,'2020'!$I241,Нормативы!$F:$F,'2020'!$K241)</f>
        <v>39</v>
      </c>
      <c r="AL241" s="618">
        <f>SUMIFS(Нормативы!X:X,Нормативы!$B:$B,$G241,Нормативы!$D:$D,'2020'!$I241,Нормативы!$F:$F,'2020'!$K241)*O241</f>
        <v>1612</v>
      </c>
      <c r="AM241" s="618">
        <f t="shared" si="677"/>
        <v>1238.0999999999999</v>
      </c>
      <c r="AN241" s="618">
        <f t="shared" si="678"/>
        <v>373.9</v>
      </c>
      <c r="AO241" s="618">
        <f>SUMIFS(Нормативы!AA:AA,Нормативы!$B:$B,$G241,Нормативы!$D:$D,'2020'!$I241,Нормативы!$F:$F,'2020'!$K241)</f>
        <v>0</v>
      </c>
      <c r="AP241" s="619">
        <f t="shared" si="679"/>
        <v>18454</v>
      </c>
      <c r="AQ241" s="413">
        <f t="shared" si="616"/>
        <v>90608</v>
      </c>
      <c r="AR241" s="618">
        <f t="shared" si="680"/>
        <v>69591.399999999994</v>
      </c>
      <c r="AS241" s="618">
        <f t="shared" si="681"/>
        <v>21016.6</v>
      </c>
      <c r="AT241" s="616">
        <f t="shared" si="617"/>
        <v>3402</v>
      </c>
      <c r="AU241" s="616">
        <f t="shared" si="618"/>
        <v>679</v>
      </c>
      <c r="AV241" s="616">
        <f t="shared" si="619"/>
        <v>2436</v>
      </c>
      <c r="AW241" s="616">
        <f t="shared" si="620"/>
        <v>14217</v>
      </c>
      <c r="AX241" s="616">
        <f t="shared" si="621"/>
        <v>364</v>
      </c>
      <c r="AY241" s="616">
        <f t="shared" si="622"/>
        <v>12096</v>
      </c>
      <c r="AZ241" s="616">
        <f t="shared" si="623"/>
        <v>511</v>
      </c>
      <c r="BA241" s="616">
        <f t="shared" si="624"/>
        <v>1246</v>
      </c>
      <c r="BB241" s="616">
        <f t="shared" si="625"/>
        <v>1925</v>
      </c>
      <c r="BC241" s="616">
        <f t="shared" si="626"/>
        <v>4060</v>
      </c>
      <c r="BD241" s="616">
        <f t="shared" si="627"/>
        <v>378</v>
      </c>
      <c r="BE241" s="616">
        <f t="shared" si="628"/>
        <v>539</v>
      </c>
      <c r="BF241" s="616">
        <f t="shared" si="629"/>
        <v>56</v>
      </c>
      <c r="BG241" s="616">
        <f t="shared" si="630"/>
        <v>273</v>
      </c>
      <c r="BH241" s="616">
        <f t="shared" si="631"/>
        <v>11284</v>
      </c>
      <c r="BI241" s="618">
        <f t="shared" si="682"/>
        <v>8666.7000000000007</v>
      </c>
      <c r="BJ241" s="618">
        <f t="shared" si="683"/>
        <v>2617.3000000000002</v>
      </c>
      <c r="BK241" s="616">
        <f t="shared" si="632"/>
        <v>0</v>
      </c>
      <c r="BL241" s="620">
        <f t="shared" si="633"/>
        <v>129178</v>
      </c>
      <c r="BM241" s="616">
        <f t="shared" si="634"/>
        <v>266206</v>
      </c>
      <c r="BN241" s="618">
        <f t="shared" si="635"/>
        <v>204459.3</v>
      </c>
      <c r="BO241" s="618">
        <f t="shared" si="636"/>
        <v>61746.7</v>
      </c>
      <c r="BP241" s="616">
        <f t="shared" si="684"/>
        <v>3402</v>
      </c>
      <c r="BQ241" s="616">
        <f t="shared" si="685"/>
        <v>679</v>
      </c>
      <c r="BR241" s="616">
        <f t="shared" si="686"/>
        <v>2436</v>
      </c>
      <c r="BS241" s="616">
        <f t="shared" si="637"/>
        <v>14217</v>
      </c>
      <c r="BT241" s="616">
        <f t="shared" si="638"/>
        <v>364</v>
      </c>
      <c r="BU241" s="616">
        <f t="shared" si="639"/>
        <v>12096</v>
      </c>
      <c r="BV241" s="616">
        <f t="shared" si="640"/>
        <v>511</v>
      </c>
      <c r="BW241" s="616">
        <f t="shared" si="641"/>
        <v>1246</v>
      </c>
      <c r="BX241" s="616">
        <f t="shared" si="642"/>
        <v>24207</v>
      </c>
      <c r="BY241" s="616">
        <f t="shared" si="643"/>
        <v>4060</v>
      </c>
      <c r="BZ241" s="616">
        <f t="shared" si="644"/>
        <v>378</v>
      </c>
      <c r="CA241" s="616">
        <f t="shared" si="645"/>
        <v>539</v>
      </c>
      <c r="CB241" s="616">
        <f t="shared" si="646"/>
        <v>56</v>
      </c>
      <c r="CC241" s="616">
        <f t="shared" si="647"/>
        <v>273</v>
      </c>
      <c r="CD241" s="616">
        <f t="shared" si="648"/>
        <v>33152</v>
      </c>
      <c r="CE241" s="618">
        <f t="shared" si="687"/>
        <v>25462.400000000001</v>
      </c>
      <c r="CF241" s="618">
        <f t="shared" si="688"/>
        <v>7689.6</v>
      </c>
      <c r="CG241" s="616">
        <f t="shared" si="649"/>
        <v>0</v>
      </c>
      <c r="CH241" s="621">
        <f t="shared" si="650"/>
        <v>348926</v>
      </c>
      <c r="CI241" s="88">
        <f t="shared" si="651"/>
        <v>38029.428599999999</v>
      </c>
      <c r="CJ241" s="90">
        <f t="shared" si="652"/>
        <v>29208.471399999999</v>
      </c>
      <c r="CK241" s="90">
        <f t="shared" si="653"/>
        <v>8820.9570999999996</v>
      </c>
      <c r="CL241" s="88">
        <f t="shared" si="654"/>
        <v>486</v>
      </c>
      <c r="CM241" s="88">
        <f t="shared" si="655"/>
        <v>97</v>
      </c>
      <c r="CN241" s="88">
        <f t="shared" si="656"/>
        <v>348</v>
      </c>
      <c r="CO241" s="88">
        <f t="shared" si="657"/>
        <v>2031</v>
      </c>
      <c r="CP241" s="88">
        <f t="shared" si="658"/>
        <v>52</v>
      </c>
      <c r="CQ241" s="88">
        <f t="shared" si="659"/>
        <v>1728</v>
      </c>
      <c r="CR241" s="88">
        <f t="shared" si="660"/>
        <v>73</v>
      </c>
      <c r="CS241" s="88">
        <f t="shared" si="661"/>
        <v>178</v>
      </c>
      <c r="CT241" s="88">
        <f t="shared" si="662"/>
        <v>3458.1428999999998</v>
      </c>
      <c r="CU241" s="88">
        <f t="shared" si="663"/>
        <v>580</v>
      </c>
      <c r="CV241" s="88">
        <f t="shared" si="664"/>
        <v>54</v>
      </c>
      <c r="CW241" s="88">
        <f t="shared" si="665"/>
        <v>77</v>
      </c>
      <c r="CX241" s="88">
        <f t="shared" si="666"/>
        <v>8</v>
      </c>
      <c r="CY241" s="88">
        <f t="shared" si="667"/>
        <v>39</v>
      </c>
      <c r="CZ241" s="88">
        <f t="shared" si="668"/>
        <v>4736</v>
      </c>
      <c r="DA241" s="90">
        <f t="shared" si="669"/>
        <v>3637.4857000000002</v>
      </c>
      <c r="DB241" s="90">
        <f t="shared" si="670"/>
        <v>1098.5143</v>
      </c>
      <c r="DC241" s="88">
        <f t="shared" si="671"/>
        <v>0</v>
      </c>
      <c r="DD241" s="88">
        <f t="shared" si="672"/>
        <v>49846.571400000001</v>
      </c>
      <c r="AUV241" s="699">
        <f t="shared" si="586"/>
        <v>38029.43</v>
      </c>
      <c r="AUW241" s="699">
        <f t="shared" si="587"/>
        <v>29208.47</v>
      </c>
      <c r="AUX241" s="699">
        <f t="shared" si="588"/>
        <v>8820.9599999999991</v>
      </c>
      <c r="AUY241" s="699">
        <f t="shared" si="706"/>
        <v>486</v>
      </c>
      <c r="AUZ241" s="699">
        <f t="shared" si="615"/>
        <v>54</v>
      </c>
      <c r="AVA241" s="699">
        <f t="shared" si="615"/>
        <v>0.19</v>
      </c>
      <c r="AVB241" s="699">
        <f t="shared" si="707"/>
        <v>2031</v>
      </c>
      <c r="AVC241" s="699">
        <f t="shared" si="708"/>
        <v>52</v>
      </c>
      <c r="AVD241" s="699">
        <f t="shared" si="709"/>
        <v>1728</v>
      </c>
      <c r="AVE241" s="699">
        <f t="shared" si="710"/>
        <v>73</v>
      </c>
      <c r="AVF241" s="699">
        <f t="shared" si="711"/>
        <v>178</v>
      </c>
      <c r="AVG241" s="699">
        <f t="shared" si="712"/>
        <v>3458.14</v>
      </c>
      <c r="AVH241" s="699">
        <f t="shared" si="713"/>
        <v>580</v>
      </c>
      <c r="AVI241" s="699">
        <f t="shared" si="714"/>
        <v>54</v>
      </c>
      <c r="AVJ241" s="699">
        <f t="shared" si="715"/>
        <v>77</v>
      </c>
      <c r="AVK241" s="699">
        <f t="shared" si="716"/>
        <v>8</v>
      </c>
      <c r="AVL241" s="699">
        <f t="shared" si="717"/>
        <v>39</v>
      </c>
      <c r="AVM241" s="699">
        <f t="shared" si="718"/>
        <v>4736</v>
      </c>
      <c r="AVN241" s="699">
        <f t="shared" si="719"/>
        <v>3637.48</v>
      </c>
      <c r="AVO241" s="699">
        <f t="shared" si="720"/>
        <v>1098.52</v>
      </c>
      <c r="AVP241" s="699">
        <f t="shared" si="721"/>
        <v>0</v>
      </c>
      <c r="AVQ241" s="699">
        <f t="shared" si="722"/>
        <v>49846.57</v>
      </c>
    </row>
    <row r="242" spans="1:108 1244:1265" ht="30" customHeight="1" x14ac:dyDescent="0.25">
      <c r="A242" s="643">
        <v>1</v>
      </c>
      <c r="B242" s="643">
        <v>14</v>
      </c>
      <c r="C242" s="664" t="s">
        <v>249</v>
      </c>
      <c r="D242" s="2"/>
      <c r="E242" s="101" t="s">
        <v>345</v>
      </c>
      <c r="F242" s="643" t="s">
        <v>38</v>
      </c>
      <c r="G242" s="643">
        <v>2</v>
      </c>
      <c r="H242" s="658" t="s">
        <v>10</v>
      </c>
      <c r="I242" s="643">
        <v>0</v>
      </c>
      <c r="J242" s="101" t="s">
        <v>364</v>
      </c>
      <c r="K242" s="643">
        <v>3</v>
      </c>
      <c r="L242" s="683" t="s">
        <v>350</v>
      </c>
      <c r="M242" s="11" t="s">
        <v>270</v>
      </c>
      <c r="N242" s="101" t="s">
        <v>387</v>
      </c>
      <c r="O242" s="643">
        <v>1</v>
      </c>
      <c r="P242" s="632">
        <v>12</v>
      </c>
      <c r="Q242" s="632">
        <v>12</v>
      </c>
      <c r="R242" s="632">
        <v>12</v>
      </c>
      <c r="S242" s="675">
        <f>SUMIF('Территориальный кк'!$A:$A,'2020'!$B242,'Территориальный кк'!D:D)</f>
        <v>2.9380000000000002</v>
      </c>
      <c r="T242" s="676">
        <f>SUMIF('Территориальный кк'!$A:$A,'2020'!$B242,'Территориальный кк'!E:E)</f>
        <v>12.574999999999999</v>
      </c>
      <c r="U242" s="618">
        <f>SUMIFS(Нормативы!G:G,Нормативы!$B:$B,$G242,Нормативы!$D:$D,'2020'!$I242,Нормативы!$F:$F,'2020'!$K242)*O242</f>
        <v>70600</v>
      </c>
      <c r="V242" s="618">
        <f t="shared" si="674"/>
        <v>54224.3</v>
      </c>
      <c r="W242" s="618">
        <f t="shared" si="675"/>
        <v>16375.7</v>
      </c>
      <c r="X242" s="618">
        <f>SUMIFS(Нормативы!J:J,Нормативы!$B:$B,$G242,Нормативы!$D:$D,'2020'!$I242,Нормативы!$F:$F,'2020'!$K242)</f>
        <v>8860</v>
      </c>
      <c r="Y242" s="618">
        <f>SUMIFS(Нормативы!K:K,Нормативы!$B:$B,$G242,Нормативы!$D:$D,'2020'!$I242,Нормативы!$F:$F,'2020'!$K242)</f>
        <v>0</v>
      </c>
      <c r="Z242" s="618">
        <f>SUMIFS(Нормативы!L:L,Нормативы!$B:$B,$G242,Нормативы!$D:$D,'2020'!$I242,Нормативы!$F:$F,'2020'!$K242)</f>
        <v>8110</v>
      </c>
      <c r="AA242" s="618">
        <f t="shared" si="676"/>
        <v>21610</v>
      </c>
      <c r="AB242" s="618">
        <f>SUMIFS(Нормативы!N:N,Нормативы!$B:$B,$G242,Нормативы!$D:$D,'2020'!$I242,Нормативы!$F:$F,'2020'!$K242)*O242</f>
        <v>520</v>
      </c>
      <c r="AC242" s="618">
        <f>SUMIFS(Нормативы!O:O,Нормативы!$B:$B,$G242,Нормативы!$D:$D,'2020'!$I242,Нормативы!$F:$F,'2020'!$K242)</f>
        <v>19720</v>
      </c>
      <c r="AD242" s="618">
        <f>SUMIFS(Нормативы!P:P,Нормативы!$B:$B,$G242,Нормативы!$D:$D,'2020'!$I242,Нормативы!$F:$F,'2020'!$K242)*O242</f>
        <v>400</v>
      </c>
      <c r="AE242" s="618">
        <f>SUMIFS(Нормативы!Q:Q,Нормативы!$B:$B,$G242,Нормативы!$D:$D,'2020'!$I242,Нормативы!$F:$F,'2020'!$K242)</f>
        <v>970</v>
      </c>
      <c r="AF242" s="618">
        <f>SUMIFS(Нормативы!R:R,Нормативы!$B:$B,$G242,Нормативы!$D:$D,'2020'!$I242,Нормативы!$F:$F,'2020'!$K242)</f>
        <v>2680</v>
      </c>
      <c r="AG242" s="618">
        <f>SUMIFS(Нормативы!S:S,Нормативы!$B:$B,$G242,Нормативы!$D:$D,'2020'!$I242,Нормативы!$F:$F,'2020'!$K242)</f>
        <v>5800</v>
      </c>
      <c r="AH242" s="618">
        <f>SUMIFS(Нормативы!T:T,Нормативы!$B:$B,$G242,Нормативы!$D:$D,'2020'!$I242,Нормативы!$F:$F,'2020'!$K242)</f>
        <v>540</v>
      </c>
      <c r="AI242" s="618">
        <f>SUMIFS(Нормативы!U:U,Нормативы!$B:$B,$G242,Нормативы!$D:$D,'2020'!$I242,Нормативы!$F:$F,'2020'!$K242)</f>
        <v>770</v>
      </c>
      <c r="AJ242" s="618">
        <f>SUMIFS(Нормативы!V:V,Нормативы!$B:$B,$G242,Нормативы!$D:$D,'2020'!$I242,Нормативы!$F:$F,'2020'!$K242)</f>
        <v>80</v>
      </c>
      <c r="AK242" s="618">
        <f>SUMIFS(Нормативы!W:W,Нормативы!$B:$B,$G242,Нормативы!$D:$D,'2020'!$I242,Нормативы!$F:$F,'2020'!$K242)</f>
        <v>330</v>
      </c>
      <c r="AL242" s="618">
        <f>SUMIFS(Нормативы!X:X,Нормативы!$B:$B,$G242,Нормативы!$D:$D,'2020'!$I242,Нормативы!$F:$F,'2020'!$K242)*O242</f>
        <v>16120</v>
      </c>
      <c r="AM242" s="618">
        <f t="shared" si="677"/>
        <v>12381</v>
      </c>
      <c r="AN242" s="618">
        <f t="shared" si="678"/>
        <v>3739</v>
      </c>
      <c r="AO242" s="618">
        <f>SUMIFS(Нормативы!AA:AA,Нормативы!$B:$B,$G242,Нормативы!$D:$D,'2020'!$I242,Нормативы!$F:$F,'2020'!$K242)</f>
        <v>3520</v>
      </c>
      <c r="AP242" s="619">
        <f t="shared" si="679"/>
        <v>139020</v>
      </c>
      <c r="AQ242" s="413">
        <f t="shared" si="616"/>
        <v>847200</v>
      </c>
      <c r="AR242" s="618">
        <f t="shared" si="680"/>
        <v>650691.19999999995</v>
      </c>
      <c r="AS242" s="618">
        <f t="shared" si="681"/>
        <v>196508.79999999999</v>
      </c>
      <c r="AT242" s="616">
        <f t="shared" si="617"/>
        <v>106320</v>
      </c>
      <c r="AU242" s="616">
        <f t="shared" si="618"/>
        <v>0</v>
      </c>
      <c r="AV242" s="616">
        <f t="shared" si="619"/>
        <v>97320</v>
      </c>
      <c r="AW242" s="616">
        <f t="shared" si="620"/>
        <v>259320</v>
      </c>
      <c r="AX242" s="616">
        <f t="shared" si="621"/>
        <v>6240</v>
      </c>
      <c r="AY242" s="616">
        <f t="shared" si="622"/>
        <v>236640</v>
      </c>
      <c r="AZ242" s="616">
        <f t="shared" si="623"/>
        <v>4800</v>
      </c>
      <c r="BA242" s="616">
        <f t="shared" si="624"/>
        <v>11640</v>
      </c>
      <c r="BB242" s="616">
        <f t="shared" si="625"/>
        <v>32160</v>
      </c>
      <c r="BC242" s="616">
        <f t="shared" si="626"/>
        <v>69600</v>
      </c>
      <c r="BD242" s="616">
        <f t="shared" si="627"/>
        <v>6480</v>
      </c>
      <c r="BE242" s="616">
        <f t="shared" si="628"/>
        <v>9240</v>
      </c>
      <c r="BF242" s="616">
        <f t="shared" si="629"/>
        <v>960</v>
      </c>
      <c r="BG242" s="616">
        <f t="shared" si="630"/>
        <v>3960</v>
      </c>
      <c r="BH242" s="616">
        <f t="shared" si="631"/>
        <v>193440</v>
      </c>
      <c r="BI242" s="618">
        <f t="shared" si="682"/>
        <v>148571.4</v>
      </c>
      <c r="BJ242" s="618">
        <f t="shared" si="683"/>
        <v>44868.6</v>
      </c>
      <c r="BK242" s="616">
        <f t="shared" si="632"/>
        <v>42240</v>
      </c>
      <c r="BL242" s="620">
        <f t="shared" si="633"/>
        <v>1668240</v>
      </c>
      <c r="BM242" s="616">
        <f t="shared" si="634"/>
        <v>2489074</v>
      </c>
      <c r="BN242" s="618">
        <f t="shared" si="635"/>
        <v>1911731.2</v>
      </c>
      <c r="BO242" s="618">
        <f t="shared" si="636"/>
        <v>577342.80000000005</v>
      </c>
      <c r="BP242" s="616">
        <f t="shared" si="684"/>
        <v>106320</v>
      </c>
      <c r="BQ242" s="616">
        <f t="shared" si="685"/>
        <v>0</v>
      </c>
      <c r="BR242" s="616">
        <f t="shared" si="686"/>
        <v>97320</v>
      </c>
      <c r="BS242" s="616">
        <f t="shared" si="637"/>
        <v>259320</v>
      </c>
      <c r="BT242" s="616">
        <f t="shared" si="638"/>
        <v>6240</v>
      </c>
      <c r="BU242" s="616">
        <f t="shared" si="639"/>
        <v>236640</v>
      </c>
      <c r="BV242" s="616">
        <f t="shared" si="640"/>
        <v>4800</v>
      </c>
      <c r="BW242" s="616">
        <f t="shared" si="641"/>
        <v>11640</v>
      </c>
      <c r="BX242" s="616">
        <f t="shared" si="642"/>
        <v>404412</v>
      </c>
      <c r="BY242" s="616">
        <f t="shared" si="643"/>
        <v>69600</v>
      </c>
      <c r="BZ242" s="616">
        <f t="shared" si="644"/>
        <v>6480</v>
      </c>
      <c r="CA242" s="616">
        <f t="shared" si="645"/>
        <v>9240</v>
      </c>
      <c r="CB242" s="616">
        <f t="shared" si="646"/>
        <v>960</v>
      </c>
      <c r="CC242" s="616">
        <f t="shared" si="647"/>
        <v>3960</v>
      </c>
      <c r="CD242" s="616">
        <f t="shared" si="648"/>
        <v>568327</v>
      </c>
      <c r="CE242" s="618">
        <f t="shared" si="687"/>
        <v>436503.1</v>
      </c>
      <c r="CF242" s="618">
        <f t="shared" si="688"/>
        <v>131823.9</v>
      </c>
      <c r="CG242" s="616">
        <f t="shared" si="649"/>
        <v>42240</v>
      </c>
      <c r="CH242" s="621">
        <f t="shared" si="650"/>
        <v>4057253</v>
      </c>
      <c r="CI242" s="88">
        <f t="shared" si="651"/>
        <v>207422.8333</v>
      </c>
      <c r="CJ242" s="90">
        <f t="shared" si="652"/>
        <v>159310.9333</v>
      </c>
      <c r="CK242" s="90">
        <f t="shared" si="653"/>
        <v>48111.9</v>
      </c>
      <c r="CL242" s="88">
        <f t="shared" si="654"/>
        <v>8860</v>
      </c>
      <c r="CM242" s="88">
        <f t="shared" si="655"/>
        <v>0</v>
      </c>
      <c r="CN242" s="88">
        <f t="shared" si="656"/>
        <v>8110</v>
      </c>
      <c r="CO242" s="88">
        <f t="shared" si="657"/>
        <v>21610</v>
      </c>
      <c r="CP242" s="88">
        <f t="shared" si="658"/>
        <v>520</v>
      </c>
      <c r="CQ242" s="88">
        <f t="shared" si="659"/>
        <v>19720</v>
      </c>
      <c r="CR242" s="88">
        <f t="shared" si="660"/>
        <v>400</v>
      </c>
      <c r="CS242" s="88">
        <f t="shared" si="661"/>
        <v>970</v>
      </c>
      <c r="CT242" s="88">
        <f t="shared" si="662"/>
        <v>33701</v>
      </c>
      <c r="CU242" s="88">
        <f t="shared" si="663"/>
        <v>5800</v>
      </c>
      <c r="CV242" s="88">
        <f t="shared" si="664"/>
        <v>540</v>
      </c>
      <c r="CW242" s="88">
        <f t="shared" si="665"/>
        <v>770</v>
      </c>
      <c r="CX242" s="88">
        <f t="shared" si="666"/>
        <v>80</v>
      </c>
      <c r="CY242" s="88">
        <f t="shared" si="667"/>
        <v>330</v>
      </c>
      <c r="CZ242" s="88">
        <f t="shared" si="668"/>
        <v>47360.583299999998</v>
      </c>
      <c r="DA242" s="90">
        <f t="shared" si="669"/>
        <v>36375.258300000001</v>
      </c>
      <c r="DB242" s="90">
        <f t="shared" si="670"/>
        <v>10985.325000000001</v>
      </c>
      <c r="DC242" s="88">
        <f t="shared" si="671"/>
        <v>3520</v>
      </c>
      <c r="DD242" s="88">
        <f t="shared" si="672"/>
        <v>338104.4167</v>
      </c>
      <c r="AUV242" s="699">
        <f t="shared" si="586"/>
        <v>207422.83</v>
      </c>
      <c r="AUW242" s="699">
        <f t="shared" si="587"/>
        <v>159310.93</v>
      </c>
      <c r="AUX242" s="699">
        <f t="shared" si="588"/>
        <v>48111.9</v>
      </c>
      <c r="AUY242" s="699">
        <f t="shared" si="706"/>
        <v>8860</v>
      </c>
      <c r="AUZ242" s="699">
        <f t="shared" si="615"/>
        <v>0</v>
      </c>
      <c r="AVA242" s="699">
        <f t="shared" si="615"/>
        <v>1.38</v>
      </c>
      <c r="AVB242" s="699">
        <f t="shared" si="707"/>
        <v>21610</v>
      </c>
      <c r="AVC242" s="699">
        <f t="shared" si="708"/>
        <v>520</v>
      </c>
      <c r="AVD242" s="699">
        <f t="shared" si="709"/>
        <v>19720</v>
      </c>
      <c r="AVE242" s="699">
        <f t="shared" si="710"/>
        <v>400</v>
      </c>
      <c r="AVF242" s="699">
        <f t="shared" si="711"/>
        <v>970</v>
      </c>
      <c r="AVG242" s="699">
        <f t="shared" si="712"/>
        <v>33701</v>
      </c>
      <c r="AVH242" s="699">
        <f t="shared" si="713"/>
        <v>5800</v>
      </c>
      <c r="AVI242" s="699">
        <f t="shared" si="714"/>
        <v>540</v>
      </c>
      <c r="AVJ242" s="699">
        <f t="shared" si="715"/>
        <v>770</v>
      </c>
      <c r="AVK242" s="699">
        <f t="shared" si="716"/>
        <v>80</v>
      </c>
      <c r="AVL242" s="699">
        <f t="shared" si="717"/>
        <v>330</v>
      </c>
      <c r="AVM242" s="699">
        <f t="shared" si="718"/>
        <v>47360.58</v>
      </c>
      <c r="AVN242" s="699">
        <f t="shared" si="719"/>
        <v>36375.25</v>
      </c>
      <c r="AVO242" s="699">
        <f t="shared" si="720"/>
        <v>10985.33</v>
      </c>
      <c r="AVP242" s="699">
        <f t="shared" si="721"/>
        <v>3520</v>
      </c>
      <c r="AVQ242" s="699">
        <f t="shared" si="722"/>
        <v>338104.42</v>
      </c>
    </row>
    <row r="243" spans="1:108 1244:1265" ht="30" customHeight="1" x14ac:dyDescent="0.25">
      <c r="A243" s="643">
        <v>1</v>
      </c>
      <c r="B243" s="643">
        <v>14</v>
      </c>
      <c r="C243" s="664" t="s">
        <v>249</v>
      </c>
      <c r="D243" s="2"/>
      <c r="E243" s="101" t="s">
        <v>345</v>
      </c>
      <c r="F243" s="643" t="s">
        <v>38</v>
      </c>
      <c r="G243" s="643">
        <v>2</v>
      </c>
      <c r="H243" s="658" t="s">
        <v>8</v>
      </c>
      <c r="I243" s="643">
        <v>3</v>
      </c>
      <c r="J243" s="101" t="s">
        <v>364</v>
      </c>
      <c r="K243" s="643">
        <v>3</v>
      </c>
      <c r="L243" s="683" t="s">
        <v>350</v>
      </c>
      <c r="M243" s="11" t="s">
        <v>307</v>
      </c>
      <c r="N243" s="101" t="s">
        <v>387</v>
      </c>
      <c r="O243" s="643">
        <v>1</v>
      </c>
      <c r="P243" s="632">
        <v>13</v>
      </c>
      <c r="Q243" s="632">
        <v>13</v>
      </c>
      <c r="R243" s="632">
        <v>13</v>
      </c>
      <c r="S243" s="675">
        <f>SUMIF('Территориальный кк'!$A:$A,'2020'!$B243,'Территориальный кк'!D:D)</f>
        <v>2.9380000000000002</v>
      </c>
      <c r="T243" s="676">
        <f>SUMIF('Территориальный кк'!$A:$A,'2020'!$B243,'Территориальный кк'!E:E)</f>
        <v>12.574999999999999</v>
      </c>
      <c r="U243" s="618">
        <f>SUMIFS(Нормативы!G:G,Нормативы!$B:$B,$G243,Нормативы!$D:$D,'2020'!$I243,Нормативы!$F:$F,'2020'!$K243)*O243</f>
        <v>12944</v>
      </c>
      <c r="V243" s="618">
        <f t="shared" si="674"/>
        <v>9941.6</v>
      </c>
      <c r="W243" s="618">
        <f t="shared" si="675"/>
        <v>3002.4</v>
      </c>
      <c r="X243" s="618">
        <f>SUMIFS(Нормативы!J:J,Нормативы!$B:$B,$G243,Нормативы!$D:$D,'2020'!$I243,Нормативы!$F:$F,'2020'!$K243)</f>
        <v>486</v>
      </c>
      <c r="Y243" s="618">
        <f>SUMIFS(Нормативы!K:K,Нормативы!$B:$B,$G243,Нормативы!$D:$D,'2020'!$I243,Нормативы!$F:$F,'2020'!$K243)</f>
        <v>97</v>
      </c>
      <c r="Z243" s="618">
        <f>SUMIFS(Нормативы!L:L,Нормативы!$B:$B,$G243,Нормативы!$D:$D,'2020'!$I243,Нормативы!$F:$F,'2020'!$K243)</f>
        <v>348</v>
      </c>
      <c r="AA243" s="618">
        <f t="shared" si="676"/>
        <v>2031</v>
      </c>
      <c r="AB243" s="618">
        <f>SUMIFS(Нормативы!N:N,Нормативы!$B:$B,$G243,Нормативы!$D:$D,'2020'!$I243,Нормативы!$F:$F,'2020'!$K243)*O243</f>
        <v>52</v>
      </c>
      <c r="AC243" s="618">
        <f>SUMIFS(Нормативы!O:O,Нормативы!$B:$B,$G243,Нормативы!$D:$D,'2020'!$I243,Нормативы!$F:$F,'2020'!$K243)</f>
        <v>1728</v>
      </c>
      <c r="AD243" s="618">
        <f>SUMIFS(Нормативы!P:P,Нормативы!$B:$B,$G243,Нормативы!$D:$D,'2020'!$I243,Нормативы!$F:$F,'2020'!$K243)*O243</f>
        <v>73</v>
      </c>
      <c r="AE243" s="618">
        <f>SUMIFS(Нормативы!Q:Q,Нормативы!$B:$B,$G243,Нормативы!$D:$D,'2020'!$I243,Нормативы!$F:$F,'2020'!$K243)</f>
        <v>178</v>
      </c>
      <c r="AF243" s="618">
        <f>SUMIFS(Нормативы!R:R,Нормативы!$B:$B,$G243,Нормативы!$D:$D,'2020'!$I243,Нормативы!$F:$F,'2020'!$K243)</f>
        <v>275</v>
      </c>
      <c r="AG243" s="618">
        <f>SUMIFS(Нормативы!S:S,Нормативы!$B:$B,$G243,Нормативы!$D:$D,'2020'!$I243,Нормативы!$F:$F,'2020'!$K243)</f>
        <v>580</v>
      </c>
      <c r="AH243" s="618">
        <f>SUMIFS(Нормативы!T:T,Нормативы!$B:$B,$G243,Нормативы!$D:$D,'2020'!$I243,Нормативы!$F:$F,'2020'!$K243)</f>
        <v>54</v>
      </c>
      <c r="AI243" s="618">
        <f>SUMIFS(Нормативы!U:U,Нормативы!$B:$B,$G243,Нормативы!$D:$D,'2020'!$I243,Нормативы!$F:$F,'2020'!$K243)</f>
        <v>77</v>
      </c>
      <c r="AJ243" s="618">
        <f>SUMIFS(Нормативы!V:V,Нормативы!$B:$B,$G243,Нормативы!$D:$D,'2020'!$I243,Нормативы!$F:$F,'2020'!$K243)</f>
        <v>8</v>
      </c>
      <c r="AK243" s="618">
        <f>SUMIFS(Нормативы!W:W,Нормативы!$B:$B,$G243,Нормативы!$D:$D,'2020'!$I243,Нормативы!$F:$F,'2020'!$K243)</f>
        <v>39</v>
      </c>
      <c r="AL243" s="618">
        <f>SUMIFS(Нормативы!X:X,Нормативы!$B:$B,$G243,Нормативы!$D:$D,'2020'!$I243,Нормативы!$F:$F,'2020'!$K243)*O243</f>
        <v>1612</v>
      </c>
      <c r="AM243" s="618">
        <f t="shared" si="677"/>
        <v>1238.0999999999999</v>
      </c>
      <c r="AN243" s="618">
        <f t="shared" si="678"/>
        <v>373.9</v>
      </c>
      <c r="AO243" s="618">
        <f>SUMIFS(Нормативы!AA:AA,Нормативы!$B:$B,$G243,Нормативы!$D:$D,'2020'!$I243,Нормативы!$F:$F,'2020'!$K243)</f>
        <v>0</v>
      </c>
      <c r="AP243" s="619">
        <f t="shared" si="679"/>
        <v>18454</v>
      </c>
      <c r="AQ243" s="413">
        <f t="shared" si="616"/>
        <v>168272</v>
      </c>
      <c r="AR243" s="618">
        <f t="shared" si="680"/>
        <v>129241.2</v>
      </c>
      <c r="AS243" s="618">
        <f t="shared" si="681"/>
        <v>39030.800000000003</v>
      </c>
      <c r="AT243" s="616">
        <f t="shared" si="617"/>
        <v>6318</v>
      </c>
      <c r="AU243" s="616">
        <f t="shared" si="618"/>
        <v>1261</v>
      </c>
      <c r="AV243" s="616">
        <f t="shared" si="619"/>
        <v>4524</v>
      </c>
      <c r="AW243" s="616">
        <f t="shared" si="620"/>
        <v>26403</v>
      </c>
      <c r="AX243" s="616">
        <f t="shared" si="621"/>
        <v>676</v>
      </c>
      <c r="AY243" s="616">
        <f t="shared" si="622"/>
        <v>22464</v>
      </c>
      <c r="AZ243" s="616">
        <f t="shared" si="623"/>
        <v>949</v>
      </c>
      <c r="BA243" s="616">
        <f t="shared" si="624"/>
        <v>2314</v>
      </c>
      <c r="BB243" s="616">
        <f t="shared" si="625"/>
        <v>3575</v>
      </c>
      <c r="BC243" s="616">
        <f t="shared" si="626"/>
        <v>7540</v>
      </c>
      <c r="BD243" s="616">
        <f t="shared" si="627"/>
        <v>702</v>
      </c>
      <c r="BE243" s="616">
        <f t="shared" si="628"/>
        <v>1001</v>
      </c>
      <c r="BF243" s="616">
        <f t="shared" si="629"/>
        <v>104</v>
      </c>
      <c r="BG243" s="616">
        <f t="shared" si="630"/>
        <v>507</v>
      </c>
      <c r="BH243" s="616">
        <f t="shared" si="631"/>
        <v>20956</v>
      </c>
      <c r="BI243" s="618">
        <f t="shared" si="682"/>
        <v>16095.2</v>
      </c>
      <c r="BJ243" s="618">
        <f t="shared" si="683"/>
        <v>4860.8</v>
      </c>
      <c r="BK243" s="616">
        <f t="shared" si="632"/>
        <v>0</v>
      </c>
      <c r="BL243" s="620">
        <f t="shared" si="633"/>
        <v>239902</v>
      </c>
      <c r="BM243" s="616">
        <f t="shared" si="634"/>
        <v>494383</v>
      </c>
      <c r="BN243" s="618">
        <f t="shared" si="635"/>
        <v>379710.4</v>
      </c>
      <c r="BO243" s="618">
        <f t="shared" si="636"/>
        <v>114672.6</v>
      </c>
      <c r="BP243" s="616">
        <f t="shared" si="684"/>
        <v>6318</v>
      </c>
      <c r="BQ243" s="616">
        <f t="shared" si="685"/>
        <v>1261</v>
      </c>
      <c r="BR243" s="616">
        <f t="shared" si="686"/>
        <v>4524</v>
      </c>
      <c r="BS243" s="616">
        <f t="shared" si="637"/>
        <v>26403</v>
      </c>
      <c r="BT243" s="616">
        <f t="shared" si="638"/>
        <v>676</v>
      </c>
      <c r="BU243" s="616">
        <f t="shared" si="639"/>
        <v>22464</v>
      </c>
      <c r="BV243" s="616">
        <f t="shared" si="640"/>
        <v>949</v>
      </c>
      <c r="BW243" s="616">
        <f t="shared" si="641"/>
        <v>2314</v>
      </c>
      <c r="BX243" s="616">
        <f t="shared" si="642"/>
        <v>44956</v>
      </c>
      <c r="BY243" s="616">
        <f t="shared" si="643"/>
        <v>7540</v>
      </c>
      <c r="BZ243" s="616">
        <f t="shared" si="644"/>
        <v>702</v>
      </c>
      <c r="CA243" s="616">
        <f t="shared" si="645"/>
        <v>1001</v>
      </c>
      <c r="CB243" s="616">
        <f t="shared" si="646"/>
        <v>104</v>
      </c>
      <c r="CC243" s="616">
        <f t="shared" si="647"/>
        <v>507</v>
      </c>
      <c r="CD243" s="616">
        <f t="shared" si="648"/>
        <v>61569</v>
      </c>
      <c r="CE243" s="618">
        <f t="shared" si="687"/>
        <v>47288</v>
      </c>
      <c r="CF243" s="618">
        <f t="shared" si="688"/>
        <v>14281</v>
      </c>
      <c r="CG243" s="616">
        <f t="shared" si="649"/>
        <v>0</v>
      </c>
      <c r="CH243" s="621">
        <f t="shared" si="650"/>
        <v>648007</v>
      </c>
      <c r="CI243" s="88">
        <f t="shared" si="651"/>
        <v>38029.461499999998</v>
      </c>
      <c r="CJ243" s="90">
        <f t="shared" si="652"/>
        <v>29208.492300000002</v>
      </c>
      <c r="CK243" s="90">
        <f t="shared" si="653"/>
        <v>8820.9691999999995</v>
      </c>
      <c r="CL243" s="88">
        <f t="shared" si="654"/>
        <v>486</v>
      </c>
      <c r="CM243" s="88">
        <f t="shared" si="655"/>
        <v>97</v>
      </c>
      <c r="CN243" s="88">
        <f t="shared" si="656"/>
        <v>348</v>
      </c>
      <c r="CO243" s="88">
        <f t="shared" si="657"/>
        <v>2031</v>
      </c>
      <c r="CP243" s="88">
        <f t="shared" si="658"/>
        <v>52</v>
      </c>
      <c r="CQ243" s="88">
        <f t="shared" si="659"/>
        <v>1728</v>
      </c>
      <c r="CR243" s="88">
        <f t="shared" si="660"/>
        <v>73</v>
      </c>
      <c r="CS243" s="88">
        <f t="shared" si="661"/>
        <v>178</v>
      </c>
      <c r="CT243" s="88">
        <f t="shared" si="662"/>
        <v>3458.1538</v>
      </c>
      <c r="CU243" s="88">
        <f t="shared" si="663"/>
        <v>580</v>
      </c>
      <c r="CV243" s="88">
        <f t="shared" si="664"/>
        <v>54</v>
      </c>
      <c r="CW243" s="88">
        <f t="shared" si="665"/>
        <v>77</v>
      </c>
      <c r="CX243" s="88">
        <f t="shared" si="666"/>
        <v>8</v>
      </c>
      <c r="CY243" s="88">
        <f t="shared" si="667"/>
        <v>39</v>
      </c>
      <c r="CZ243" s="88">
        <f t="shared" si="668"/>
        <v>4736.0769</v>
      </c>
      <c r="DA243" s="90">
        <f t="shared" si="669"/>
        <v>3637.5385000000001</v>
      </c>
      <c r="DB243" s="90">
        <f t="shared" si="670"/>
        <v>1098.5385000000001</v>
      </c>
      <c r="DC243" s="88">
        <f t="shared" si="671"/>
        <v>0</v>
      </c>
      <c r="DD243" s="88">
        <f t="shared" si="672"/>
        <v>49846.692300000002</v>
      </c>
      <c r="AUV243" s="699">
        <f t="shared" si="586"/>
        <v>38029.46</v>
      </c>
      <c r="AUW243" s="699">
        <f t="shared" si="587"/>
        <v>29208.49</v>
      </c>
      <c r="AUX243" s="699">
        <f t="shared" si="588"/>
        <v>8820.9699999999993</v>
      </c>
      <c r="AUY243" s="699">
        <f t="shared" si="706"/>
        <v>486</v>
      </c>
      <c r="AUZ243" s="699">
        <f t="shared" si="615"/>
        <v>100.28</v>
      </c>
      <c r="AVA243" s="699">
        <f t="shared" si="615"/>
        <v>0.35</v>
      </c>
      <c r="AVB243" s="699">
        <f t="shared" si="707"/>
        <v>2031</v>
      </c>
      <c r="AVC243" s="699">
        <f t="shared" si="708"/>
        <v>52</v>
      </c>
      <c r="AVD243" s="699">
        <f t="shared" si="709"/>
        <v>1728</v>
      </c>
      <c r="AVE243" s="699">
        <f t="shared" si="710"/>
        <v>73</v>
      </c>
      <c r="AVF243" s="699">
        <f t="shared" si="711"/>
        <v>178</v>
      </c>
      <c r="AVG243" s="699">
        <f t="shared" si="712"/>
        <v>3458.15</v>
      </c>
      <c r="AVH243" s="699">
        <f t="shared" si="713"/>
        <v>580</v>
      </c>
      <c r="AVI243" s="699">
        <f t="shared" si="714"/>
        <v>54</v>
      </c>
      <c r="AVJ243" s="699">
        <f t="shared" si="715"/>
        <v>77</v>
      </c>
      <c r="AVK243" s="699">
        <f t="shared" si="716"/>
        <v>8</v>
      </c>
      <c r="AVL243" s="699">
        <f t="shared" si="717"/>
        <v>39</v>
      </c>
      <c r="AVM243" s="699">
        <f t="shared" si="718"/>
        <v>4736.08</v>
      </c>
      <c r="AVN243" s="699">
        <f t="shared" si="719"/>
        <v>3637.54</v>
      </c>
      <c r="AVO243" s="699">
        <f t="shared" si="720"/>
        <v>1098.54</v>
      </c>
      <c r="AVP243" s="699">
        <f t="shared" si="721"/>
        <v>0</v>
      </c>
      <c r="AVQ243" s="699">
        <f t="shared" si="722"/>
        <v>49846.69</v>
      </c>
    </row>
    <row r="244" spans="1:108 1244:1265" ht="30" customHeight="1" x14ac:dyDescent="0.25">
      <c r="A244" s="642">
        <v>1</v>
      </c>
      <c r="B244" s="642">
        <v>14</v>
      </c>
      <c r="C244" s="663" t="s">
        <v>249</v>
      </c>
      <c r="D244" s="2"/>
      <c r="E244" s="277" t="s">
        <v>348</v>
      </c>
      <c r="F244" s="642" t="s">
        <v>40</v>
      </c>
      <c r="G244" s="642">
        <v>4</v>
      </c>
      <c r="H244" s="657" t="s">
        <v>10</v>
      </c>
      <c r="I244" s="642">
        <v>0</v>
      </c>
      <c r="J244" s="277" t="s">
        <v>391</v>
      </c>
      <c r="K244" s="642">
        <v>3</v>
      </c>
      <c r="L244" s="682" t="s">
        <v>353</v>
      </c>
      <c r="M244" s="419" t="s">
        <v>317</v>
      </c>
      <c r="N244" s="277" t="s">
        <v>387</v>
      </c>
      <c r="O244" s="642">
        <v>1</v>
      </c>
      <c r="P244" s="632">
        <v>27</v>
      </c>
      <c r="Q244" s="632">
        <v>27</v>
      </c>
      <c r="R244" s="632">
        <v>27</v>
      </c>
      <c r="S244" s="673">
        <f>SUMIF('Территориальный кк'!$A:$A,'2020'!$B244,'Территориальный кк'!F:F)</f>
        <v>2.9380000000000002</v>
      </c>
      <c r="T244" s="673">
        <f>SUMIF('Территориальный кк'!$A:$A,'2020'!$B244,'Территориальный кк'!G:G)</f>
        <v>11.721</v>
      </c>
      <c r="U244" s="624">
        <f>SUMIFS(Нормативы!G:G,Нормативы!$B:$B,$G244,Нормативы!$D:$D,'2020'!$I244,Нормативы!$F:$F,'2020'!$K244)*O244</f>
        <v>22310</v>
      </c>
      <c r="V244" s="624">
        <f t="shared" si="674"/>
        <v>17135.2</v>
      </c>
      <c r="W244" s="624">
        <f t="shared" si="675"/>
        <v>5174.8</v>
      </c>
      <c r="X244" s="624">
        <f>SUMIFS(Нормативы!J:J,Нормативы!$B:$B,$G244,Нормативы!$D:$D,'2020'!$I244,Нормативы!$F:$F,'2020'!$K244)</f>
        <v>1910</v>
      </c>
      <c r="Y244" s="624">
        <f>SUMIFS(Нормативы!K:K,Нормативы!$B:$B,$G244,Нормативы!$D:$D,'2020'!$I244,Нормативы!$F:$F,'2020'!$K244)</f>
        <v>382</v>
      </c>
      <c r="Z244" s="624">
        <f>SUMIFS(Нормативы!L:L,Нормативы!$B:$B,$G244,Нормативы!$D:$D,'2020'!$I244,Нормативы!$F:$F,'2020'!$K244)</f>
        <v>3970</v>
      </c>
      <c r="AA244" s="624">
        <f t="shared" si="676"/>
        <v>13670</v>
      </c>
      <c r="AB244" s="624">
        <f>SUMIFS(Нормативы!N:N,Нормативы!$B:$B,$G244,Нормативы!$D:$D,'2020'!$I244,Нормативы!$F:$F,'2020'!$K244)*O244</f>
        <v>460</v>
      </c>
      <c r="AC244" s="624">
        <f>SUMIFS(Нормативы!O:O,Нормативы!$B:$B,$G244,Нормативы!$D:$D,'2020'!$I244,Нормативы!$F:$F,'2020'!$K244)</f>
        <v>9200</v>
      </c>
      <c r="AD244" s="624">
        <f>SUMIFS(Нормативы!P:P,Нормативы!$B:$B,$G244,Нормативы!$D:$D,'2020'!$I244,Нормативы!$F:$F,'2020'!$K244)*O244</f>
        <v>3270</v>
      </c>
      <c r="AE244" s="624">
        <f>SUMIFS(Нормативы!Q:Q,Нормативы!$B:$B,$G244,Нормативы!$D:$D,'2020'!$I244,Нормативы!$F:$F,'2020'!$K244)</f>
        <v>740</v>
      </c>
      <c r="AF244" s="624">
        <f>SUMIFS(Нормативы!R:R,Нормативы!$B:$B,$G244,Нормативы!$D:$D,'2020'!$I244,Нормативы!$F:$F,'2020'!$K244)</f>
        <v>2120</v>
      </c>
      <c r="AG244" s="624">
        <f>SUMIFS(Нормативы!S:S,Нормативы!$B:$B,$G244,Нормативы!$D:$D,'2020'!$I244,Нормативы!$F:$F,'2020'!$K244)</f>
        <v>8620</v>
      </c>
      <c r="AH244" s="624">
        <f>SUMIFS(Нормативы!T:T,Нормативы!$B:$B,$G244,Нормативы!$D:$D,'2020'!$I244,Нормативы!$F:$F,'2020'!$K244)</f>
        <v>310</v>
      </c>
      <c r="AI244" s="624">
        <f>SUMIFS(Нормативы!U:U,Нормативы!$B:$B,$G244,Нормативы!$D:$D,'2020'!$I244,Нормативы!$F:$F,'2020'!$K244)</f>
        <v>1240</v>
      </c>
      <c r="AJ244" s="624">
        <f>SUMIFS(Нормативы!V:V,Нормативы!$B:$B,$G244,Нормативы!$D:$D,'2020'!$I244,Нормативы!$F:$F,'2020'!$K244)</f>
        <v>50</v>
      </c>
      <c r="AK244" s="624">
        <f>SUMIFS(Нормативы!W:W,Нормативы!$B:$B,$G244,Нормативы!$D:$D,'2020'!$I244,Нормативы!$F:$F,'2020'!$K244)</f>
        <v>2570</v>
      </c>
      <c r="AL244" s="624">
        <f>SUMIFS(Нормативы!X:X,Нормативы!$B:$B,$G244,Нормативы!$D:$D,'2020'!$I244,Нормативы!$F:$F,'2020'!$K244)*O244</f>
        <v>17850</v>
      </c>
      <c r="AM244" s="624">
        <f t="shared" si="677"/>
        <v>13709.7</v>
      </c>
      <c r="AN244" s="624">
        <f t="shared" si="678"/>
        <v>4140.3</v>
      </c>
      <c r="AO244" s="624">
        <f>SUMIFS(Нормативы!AA:AA,Нормативы!$B:$B,$G244,Нормативы!$D:$D,'2020'!$I244,Нормативы!$F:$F,'2020'!$K244)</f>
        <v>650</v>
      </c>
      <c r="AP244" s="621">
        <f t="shared" si="679"/>
        <v>75270</v>
      </c>
      <c r="AQ244" s="610">
        <f t="shared" si="616"/>
        <v>602370</v>
      </c>
      <c r="AR244" s="624">
        <f t="shared" si="680"/>
        <v>462649.8</v>
      </c>
      <c r="AS244" s="624">
        <f t="shared" si="681"/>
        <v>139720.20000000001</v>
      </c>
      <c r="AT244" s="615">
        <f t="shared" si="617"/>
        <v>51570</v>
      </c>
      <c r="AU244" s="615">
        <f t="shared" si="618"/>
        <v>10314</v>
      </c>
      <c r="AV244" s="615">
        <f t="shared" si="619"/>
        <v>107190</v>
      </c>
      <c r="AW244" s="615">
        <f t="shared" si="620"/>
        <v>369090</v>
      </c>
      <c r="AX244" s="615">
        <f t="shared" si="621"/>
        <v>12420</v>
      </c>
      <c r="AY244" s="615">
        <f t="shared" si="622"/>
        <v>248400</v>
      </c>
      <c r="AZ244" s="615">
        <f t="shared" si="623"/>
        <v>88290</v>
      </c>
      <c r="BA244" s="615">
        <f t="shared" si="624"/>
        <v>19980</v>
      </c>
      <c r="BB244" s="615">
        <f t="shared" si="625"/>
        <v>57240</v>
      </c>
      <c r="BC244" s="615">
        <f t="shared" si="626"/>
        <v>232740</v>
      </c>
      <c r="BD244" s="615">
        <f t="shared" si="627"/>
        <v>8370</v>
      </c>
      <c r="BE244" s="615">
        <f t="shared" si="628"/>
        <v>33480</v>
      </c>
      <c r="BF244" s="615">
        <f t="shared" si="629"/>
        <v>1350</v>
      </c>
      <c r="BG244" s="615">
        <f t="shared" si="630"/>
        <v>69390</v>
      </c>
      <c r="BH244" s="615">
        <f t="shared" si="631"/>
        <v>481950</v>
      </c>
      <c r="BI244" s="624">
        <f t="shared" si="682"/>
        <v>370161.3</v>
      </c>
      <c r="BJ244" s="624">
        <f t="shared" si="683"/>
        <v>111788.7</v>
      </c>
      <c r="BK244" s="615">
        <f t="shared" si="632"/>
        <v>17550</v>
      </c>
      <c r="BL244" s="620">
        <f t="shared" si="633"/>
        <v>2032290</v>
      </c>
      <c r="BM244" s="615">
        <f t="shared" si="634"/>
        <v>1769763</v>
      </c>
      <c r="BN244" s="624">
        <f t="shared" si="635"/>
        <v>1359265</v>
      </c>
      <c r="BO244" s="624">
        <f t="shared" si="636"/>
        <v>410498</v>
      </c>
      <c r="BP244" s="615">
        <f t="shared" si="684"/>
        <v>51570</v>
      </c>
      <c r="BQ244" s="615">
        <f t="shared" si="685"/>
        <v>10314</v>
      </c>
      <c r="BR244" s="615">
        <f t="shared" si="686"/>
        <v>107190</v>
      </c>
      <c r="BS244" s="615">
        <f t="shared" si="637"/>
        <v>369090</v>
      </c>
      <c r="BT244" s="616">
        <f t="shared" si="638"/>
        <v>12420</v>
      </c>
      <c r="BU244" s="616">
        <f t="shared" si="639"/>
        <v>248400</v>
      </c>
      <c r="BV244" s="616">
        <f t="shared" si="640"/>
        <v>88290</v>
      </c>
      <c r="BW244" s="616">
        <f t="shared" si="641"/>
        <v>19980</v>
      </c>
      <c r="BX244" s="615">
        <f t="shared" si="642"/>
        <v>670910</v>
      </c>
      <c r="BY244" s="615">
        <f t="shared" si="643"/>
        <v>232740</v>
      </c>
      <c r="BZ244" s="615">
        <f t="shared" si="644"/>
        <v>8370</v>
      </c>
      <c r="CA244" s="615">
        <f t="shared" si="645"/>
        <v>33480</v>
      </c>
      <c r="CB244" s="615">
        <f t="shared" si="646"/>
        <v>1350</v>
      </c>
      <c r="CC244" s="615">
        <f t="shared" si="647"/>
        <v>69390</v>
      </c>
      <c r="CD244" s="615">
        <f t="shared" si="648"/>
        <v>1415969</v>
      </c>
      <c r="CE244" s="624">
        <f t="shared" si="687"/>
        <v>1087533.8</v>
      </c>
      <c r="CF244" s="624">
        <f t="shared" si="688"/>
        <v>328435.20000000001</v>
      </c>
      <c r="CG244" s="615">
        <f t="shared" si="649"/>
        <v>17550</v>
      </c>
      <c r="CH244" s="621">
        <f t="shared" si="650"/>
        <v>4747372</v>
      </c>
      <c r="CI244" s="88">
        <f t="shared" si="651"/>
        <v>65546.777799999996</v>
      </c>
      <c r="CJ244" s="90">
        <f t="shared" si="652"/>
        <v>50343.148099999999</v>
      </c>
      <c r="CK244" s="90">
        <f t="shared" si="653"/>
        <v>15203.6296</v>
      </c>
      <c r="CL244" s="88">
        <f t="shared" si="654"/>
        <v>1910</v>
      </c>
      <c r="CM244" s="88">
        <f t="shared" si="655"/>
        <v>382</v>
      </c>
      <c r="CN244" s="88">
        <f t="shared" si="656"/>
        <v>3970</v>
      </c>
      <c r="CO244" s="88">
        <f t="shared" si="657"/>
        <v>13670</v>
      </c>
      <c r="CP244" s="88">
        <f t="shared" si="658"/>
        <v>460</v>
      </c>
      <c r="CQ244" s="88">
        <f t="shared" si="659"/>
        <v>9200</v>
      </c>
      <c r="CR244" s="88">
        <f t="shared" si="660"/>
        <v>3270</v>
      </c>
      <c r="CS244" s="88">
        <f t="shared" si="661"/>
        <v>740</v>
      </c>
      <c r="CT244" s="88">
        <f t="shared" si="662"/>
        <v>24848.518499999998</v>
      </c>
      <c r="CU244" s="88">
        <f t="shared" si="663"/>
        <v>8620</v>
      </c>
      <c r="CV244" s="88">
        <f t="shared" si="664"/>
        <v>310</v>
      </c>
      <c r="CW244" s="88">
        <f t="shared" si="665"/>
        <v>1240</v>
      </c>
      <c r="CX244" s="88">
        <f t="shared" si="666"/>
        <v>50</v>
      </c>
      <c r="CY244" s="88">
        <f t="shared" si="667"/>
        <v>2570</v>
      </c>
      <c r="CZ244" s="88">
        <f t="shared" si="668"/>
        <v>52443.296300000002</v>
      </c>
      <c r="DA244" s="90">
        <f t="shared" si="669"/>
        <v>40279.029600000002</v>
      </c>
      <c r="DB244" s="90">
        <f t="shared" si="670"/>
        <v>12164.2667</v>
      </c>
      <c r="DC244" s="88">
        <f t="shared" si="671"/>
        <v>650</v>
      </c>
      <c r="DD244" s="88">
        <f t="shared" si="672"/>
        <v>175828.5926</v>
      </c>
      <c r="AUV244" s="699">
        <f t="shared" si="586"/>
        <v>65546.78</v>
      </c>
      <c r="AUW244" s="699">
        <f t="shared" si="587"/>
        <v>50343.15</v>
      </c>
      <c r="AUX244" s="699">
        <f t="shared" si="588"/>
        <v>15203.63</v>
      </c>
      <c r="AUY244" s="699">
        <f t="shared" si="706"/>
        <v>1910</v>
      </c>
      <c r="AUZ244" s="699">
        <f t="shared" si="615"/>
        <v>879.96</v>
      </c>
      <c r="AVA244" s="699">
        <f t="shared" si="615"/>
        <v>4.8</v>
      </c>
      <c r="AVB244" s="699">
        <f t="shared" si="707"/>
        <v>13670</v>
      </c>
      <c r="AVC244" s="699">
        <f t="shared" si="708"/>
        <v>460</v>
      </c>
      <c r="AVD244" s="699">
        <f t="shared" si="709"/>
        <v>9200</v>
      </c>
      <c r="AVE244" s="699">
        <f t="shared" si="710"/>
        <v>3270</v>
      </c>
      <c r="AVF244" s="699">
        <f t="shared" si="711"/>
        <v>740</v>
      </c>
      <c r="AVG244" s="699">
        <f t="shared" si="712"/>
        <v>24848.52</v>
      </c>
      <c r="AVH244" s="699">
        <f t="shared" si="713"/>
        <v>8620</v>
      </c>
      <c r="AVI244" s="699">
        <f t="shared" si="714"/>
        <v>310</v>
      </c>
      <c r="AVJ244" s="699">
        <f t="shared" si="715"/>
        <v>1240</v>
      </c>
      <c r="AVK244" s="699">
        <f t="shared" si="716"/>
        <v>50</v>
      </c>
      <c r="AVL244" s="699">
        <f t="shared" si="717"/>
        <v>2570</v>
      </c>
      <c r="AVM244" s="699">
        <f t="shared" si="718"/>
        <v>52443.3</v>
      </c>
      <c r="AVN244" s="699">
        <f t="shared" si="719"/>
        <v>40279.03</v>
      </c>
      <c r="AVO244" s="699">
        <f t="shared" si="720"/>
        <v>12164.27</v>
      </c>
      <c r="AVP244" s="699">
        <f t="shared" si="721"/>
        <v>650</v>
      </c>
      <c r="AVQ244" s="699">
        <f t="shared" si="722"/>
        <v>175828.59</v>
      </c>
    </row>
    <row r="245" spans="1:108 1244:1265" ht="30" customHeight="1" x14ac:dyDescent="0.25">
      <c r="A245" s="643">
        <v>1</v>
      </c>
      <c r="B245" s="643">
        <v>12</v>
      </c>
      <c r="C245" s="664" t="s">
        <v>27</v>
      </c>
      <c r="D245" s="2"/>
      <c r="E245" s="101" t="s">
        <v>344</v>
      </c>
      <c r="F245" s="643" t="s">
        <v>31</v>
      </c>
      <c r="G245" s="643">
        <v>1</v>
      </c>
      <c r="H245" s="658" t="s">
        <v>10</v>
      </c>
      <c r="I245" s="643">
        <v>0</v>
      </c>
      <c r="J245" s="101" t="s">
        <v>389</v>
      </c>
      <c r="K245" s="643">
        <v>1</v>
      </c>
      <c r="L245" s="683" t="s">
        <v>349</v>
      </c>
      <c r="M245" s="11" t="s">
        <v>314</v>
      </c>
      <c r="N245" s="101" t="s">
        <v>387</v>
      </c>
      <c r="O245" s="643">
        <v>1</v>
      </c>
      <c r="P245" s="632"/>
      <c r="Q245" s="632"/>
      <c r="R245" s="632"/>
      <c r="S245" s="675">
        <f>SUMIF('Территориальный кк'!$A:$A,'2020'!$B245,'Территориальный кк'!D:D)</f>
        <v>1.4350000000000001</v>
      </c>
      <c r="T245" s="676">
        <f>SUMIF('Территориальный кк'!$A:$A,'2020'!$B245,'Территориальный кк'!E:E)</f>
        <v>2.5099999999999998</v>
      </c>
      <c r="U245" s="618">
        <f>SUMIFS(Нормативы!G:G,Нормативы!$B:$B,$G245,Нормативы!$D:$D,'2020'!$I245,Нормативы!$F:$F,'2020'!$K245)*O245</f>
        <v>54020</v>
      </c>
      <c r="V245" s="618">
        <f t="shared" si="674"/>
        <v>41490</v>
      </c>
      <c r="W245" s="618">
        <f t="shared" si="675"/>
        <v>12530</v>
      </c>
      <c r="X245" s="618">
        <f>SUMIFS(Нормативы!J:J,Нормативы!$B:$B,$G245,Нормативы!$D:$D,'2020'!$I245,Нормативы!$F:$F,'2020'!$K245)</f>
        <v>220</v>
      </c>
      <c r="Y245" s="618">
        <f>SUMIFS(Нормативы!K:K,Нормативы!$B:$B,$G245,Нормативы!$D:$D,'2020'!$I245,Нормативы!$F:$F,'2020'!$K245)</f>
        <v>44</v>
      </c>
      <c r="Z245" s="618">
        <f>SUMIFS(Нормативы!L:L,Нормативы!$B:$B,$G245,Нормативы!$D:$D,'2020'!$I245,Нормативы!$F:$F,'2020'!$K245)</f>
        <v>2320</v>
      </c>
      <c r="AA245" s="618">
        <f t="shared" si="676"/>
        <v>3710</v>
      </c>
      <c r="AB245" s="618">
        <f>SUMIFS(Нормативы!N:N,Нормативы!$B:$B,$G245,Нормативы!$D:$D,'2020'!$I245,Нормативы!$F:$F,'2020'!$K245)*O245</f>
        <v>520</v>
      </c>
      <c r="AC245" s="618">
        <f>SUMIFS(Нормативы!O:O,Нормативы!$B:$B,$G245,Нормативы!$D:$D,'2020'!$I245,Нормативы!$F:$F,'2020'!$K245)</f>
        <v>2140</v>
      </c>
      <c r="AD245" s="618">
        <f>SUMIFS(Нормативы!P:P,Нормативы!$B:$B,$G245,Нормативы!$D:$D,'2020'!$I245,Нормативы!$F:$F,'2020'!$K245)*O245</f>
        <v>310</v>
      </c>
      <c r="AE245" s="618">
        <f>SUMIFS(Нормативы!Q:Q,Нормативы!$B:$B,$G245,Нормативы!$D:$D,'2020'!$I245,Нормативы!$F:$F,'2020'!$K245)</f>
        <v>740</v>
      </c>
      <c r="AF245" s="618">
        <f>SUMIFS(Нормативы!R:R,Нормативы!$B:$B,$G245,Нормативы!$D:$D,'2020'!$I245,Нормативы!$F:$F,'2020'!$K245)</f>
        <v>2460</v>
      </c>
      <c r="AG245" s="618">
        <f>SUMIFS(Нормативы!S:S,Нормативы!$B:$B,$G245,Нормативы!$D:$D,'2020'!$I245,Нормативы!$F:$F,'2020'!$K245)</f>
        <v>5080</v>
      </c>
      <c r="AH245" s="618">
        <f>SUMIFS(Нормативы!T:T,Нормативы!$B:$B,$G245,Нормативы!$D:$D,'2020'!$I245,Нормативы!$F:$F,'2020'!$K245)</f>
        <v>540</v>
      </c>
      <c r="AI245" s="618">
        <f>SUMIFS(Нормативы!U:U,Нормативы!$B:$B,$G245,Нормативы!$D:$D,'2020'!$I245,Нормативы!$F:$F,'2020'!$K245)</f>
        <v>770</v>
      </c>
      <c r="AJ245" s="618">
        <f>SUMIFS(Нормативы!V:V,Нормативы!$B:$B,$G245,Нормативы!$D:$D,'2020'!$I245,Нормативы!$F:$F,'2020'!$K245)</f>
        <v>80</v>
      </c>
      <c r="AK245" s="618">
        <f>SUMIFS(Нормативы!W:W,Нормативы!$B:$B,$G245,Нормативы!$D:$D,'2020'!$I245,Нормативы!$F:$F,'2020'!$K245)</f>
        <v>300</v>
      </c>
      <c r="AL245" s="618">
        <f>SUMIFS(Нормативы!X:X,Нормативы!$B:$B,$G245,Нормативы!$D:$D,'2020'!$I245,Нормативы!$F:$F,'2020'!$K245)*O245</f>
        <v>13440</v>
      </c>
      <c r="AM245" s="618">
        <f t="shared" si="677"/>
        <v>10322.6</v>
      </c>
      <c r="AN245" s="618">
        <f t="shared" si="678"/>
        <v>3117.4</v>
      </c>
      <c r="AO245" s="618">
        <f>SUMIFS(Нормативы!AA:AA,Нормативы!$B:$B,$G245,Нормативы!$D:$D,'2020'!$I245,Нормативы!$F:$F,'2020'!$K245)</f>
        <v>3520</v>
      </c>
      <c r="AP245" s="619">
        <f t="shared" si="679"/>
        <v>86460</v>
      </c>
      <c r="AQ245" s="413">
        <f t="shared" si="616"/>
        <v>0</v>
      </c>
      <c r="AR245" s="618">
        <f t="shared" si="680"/>
        <v>0</v>
      </c>
      <c r="AS245" s="618">
        <f t="shared" si="681"/>
        <v>0</v>
      </c>
      <c r="AT245" s="616">
        <f t="shared" si="617"/>
        <v>0</v>
      </c>
      <c r="AU245" s="616">
        <f t="shared" si="618"/>
        <v>0</v>
      </c>
      <c r="AV245" s="616">
        <f t="shared" si="619"/>
        <v>0</v>
      </c>
      <c r="AW245" s="616">
        <f t="shared" si="620"/>
        <v>0</v>
      </c>
      <c r="AX245" s="616">
        <f t="shared" si="621"/>
        <v>0</v>
      </c>
      <c r="AY245" s="616">
        <f t="shared" si="622"/>
        <v>0</v>
      </c>
      <c r="AZ245" s="616">
        <f t="shared" si="623"/>
        <v>0</v>
      </c>
      <c r="BA245" s="616">
        <f t="shared" si="624"/>
        <v>0</v>
      </c>
      <c r="BB245" s="616">
        <f t="shared" si="625"/>
        <v>0</v>
      </c>
      <c r="BC245" s="616">
        <f t="shared" si="626"/>
        <v>0</v>
      </c>
      <c r="BD245" s="616">
        <f t="shared" si="627"/>
        <v>0</v>
      </c>
      <c r="BE245" s="616">
        <f t="shared" si="628"/>
        <v>0</v>
      </c>
      <c r="BF245" s="616">
        <f t="shared" si="629"/>
        <v>0</v>
      </c>
      <c r="BG245" s="616">
        <f t="shared" si="630"/>
        <v>0</v>
      </c>
      <c r="BH245" s="616">
        <f t="shared" si="631"/>
        <v>0</v>
      </c>
      <c r="BI245" s="618">
        <f t="shared" si="682"/>
        <v>0</v>
      </c>
      <c r="BJ245" s="618">
        <f t="shared" si="683"/>
        <v>0</v>
      </c>
      <c r="BK245" s="616">
        <f t="shared" si="632"/>
        <v>0</v>
      </c>
      <c r="BL245" s="620">
        <f t="shared" si="633"/>
        <v>0</v>
      </c>
      <c r="BM245" s="616">
        <f t="shared" si="634"/>
        <v>0</v>
      </c>
      <c r="BN245" s="618">
        <f t="shared" si="635"/>
        <v>0</v>
      </c>
      <c r="BO245" s="618">
        <f t="shared" si="636"/>
        <v>0</v>
      </c>
      <c r="BP245" s="616">
        <f t="shared" si="684"/>
        <v>0</v>
      </c>
      <c r="BQ245" s="616">
        <f t="shared" si="685"/>
        <v>0</v>
      </c>
      <c r="BR245" s="616">
        <f t="shared" si="686"/>
        <v>0</v>
      </c>
      <c r="BS245" s="616">
        <f t="shared" si="637"/>
        <v>0</v>
      </c>
      <c r="BT245" s="616">
        <f t="shared" si="638"/>
        <v>0</v>
      </c>
      <c r="BU245" s="616">
        <f t="shared" si="639"/>
        <v>0</v>
      </c>
      <c r="BV245" s="616">
        <f t="shared" si="640"/>
        <v>0</v>
      </c>
      <c r="BW245" s="616">
        <f t="shared" si="641"/>
        <v>0</v>
      </c>
      <c r="BX245" s="616">
        <f t="shared" si="642"/>
        <v>0</v>
      </c>
      <c r="BY245" s="616">
        <f t="shared" si="643"/>
        <v>0</v>
      </c>
      <c r="BZ245" s="616">
        <f t="shared" si="644"/>
        <v>0</v>
      </c>
      <c r="CA245" s="616">
        <f t="shared" si="645"/>
        <v>0</v>
      </c>
      <c r="CB245" s="616">
        <f t="shared" si="646"/>
        <v>0</v>
      </c>
      <c r="CC245" s="616">
        <f t="shared" si="647"/>
        <v>0</v>
      </c>
      <c r="CD245" s="616">
        <f t="shared" si="648"/>
        <v>0</v>
      </c>
      <c r="CE245" s="618">
        <f t="shared" si="687"/>
        <v>0</v>
      </c>
      <c r="CF245" s="618">
        <f t="shared" si="688"/>
        <v>0</v>
      </c>
      <c r="CG245" s="616">
        <f t="shared" si="649"/>
        <v>0</v>
      </c>
      <c r="CH245" s="621">
        <f>BM245+BP245+BR245+BS245++BX245+BY245+BZ245+CA245+CB245+CC245+CD245+CG245</f>
        <v>0</v>
      </c>
      <c r="CI245" s="88" t="e">
        <f t="shared" si="651"/>
        <v>#DIV/0!</v>
      </c>
      <c r="CJ245" s="90" t="e">
        <f t="shared" si="652"/>
        <v>#DIV/0!</v>
      </c>
      <c r="CK245" s="90" t="e">
        <f t="shared" si="653"/>
        <v>#DIV/0!</v>
      </c>
      <c r="CL245" s="88" t="e">
        <f t="shared" si="654"/>
        <v>#DIV/0!</v>
      </c>
      <c r="CM245" s="88" t="e">
        <f t="shared" si="655"/>
        <v>#DIV/0!</v>
      </c>
      <c r="CN245" s="88" t="e">
        <f t="shared" si="656"/>
        <v>#DIV/0!</v>
      </c>
      <c r="CO245" s="88" t="e">
        <f t="shared" si="657"/>
        <v>#DIV/0!</v>
      </c>
      <c r="CP245" s="88" t="e">
        <f t="shared" si="658"/>
        <v>#DIV/0!</v>
      </c>
      <c r="CQ245" s="88" t="e">
        <f t="shared" si="659"/>
        <v>#DIV/0!</v>
      </c>
      <c r="CR245" s="88" t="e">
        <f t="shared" si="660"/>
        <v>#DIV/0!</v>
      </c>
      <c r="CS245" s="88" t="e">
        <f t="shared" si="661"/>
        <v>#DIV/0!</v>
      </c>
      <c r="CT245" s="88" t="e">
        <f t="shared" si="662"/>
        <v>#DIV/0!</v>
      </c>
      <c r="CU245" s="88" t="e">
        <f t="shared" si="663"/>
        <v>#DIV/0!</v>
      </c>
      <c r="CV245" s="88" t="e">
        <f t="shared" si="664"/>
        <v>#DIV/0!</v>
      </c>
      <c r="CW245" s="88" t="e">
        <f t="shared" si="665"/>
        <v>#DIV/0!</v>
      </c>
      <c r="CX245" s="88" t="e">
        <f t="shared" si="666"/>
        <v>#DIV/0!</v>
      </c>
      <c r="CY245" s="88" t="e">
        <f t="shared" si="667"/>
        <v>#DIV/0!</v>
      </c>
      <c r="CZ245" s="88" t="e">
        <f t="shared" si="668"/>
        <v>#DIV/0!</v>
      </c>
      <c r="DA245" s="90" t="e">
        <f t="shared" si="669"/>
        <v>#DIV/0!</v>
      </c>
      <c r="DB245" s="90" t="e">
        <f t="shared" si="670"/>
        <v>#DIV/0!</v>
      </c>
      <c r="DC245" s="88" t="e">
        <f t="shared" si="671"/>
        <v>#DIV/0!</v>
      </c>
      <c r="DD245" s="88" t="e">
        <f>ROUND(CH245/$P245,4)</f>
        <v>#DIV/0!</v>
      </c>
      <c r="AUV245" s="699">
        <v>0</v>
      </c>
      <c r="AUW245" s="699">
        <f t="shared" si="587"/>
        <v>0</v>
      </c>
      <c r="AUX245" s="699">
        <f t="shared" si="588"/>
        <v>0</v>
      </c>
      <c r="AUY245" s="699">
        <f t="shared" si="615"/>
        <v>0</v>
      </c>
      <c r="AUZ245" s="699">
        <f t="shared" si="615"/>
        <v>0</v>
      </c>
      <c r="AVA245" s="699">
        <f t="shared" si="615"/>
        <v>0</v>
      </c>
      <c r="AVB245" s="699">
        <f t="shared" si="673"/>
        <v>0</v>
      </c>
      <c r="AVC245" s="697"/>
      <c r="AVD245" s="697"/>
      <c r="AVE245" s="697"/>
      <c r="AVF245" s="697"/>
      <c r="AVG245" s="697"/>
      <c r="AVH245" s="697"/>
      <c r="AVI245" s="697"/>
      <c r="AVJ245" s="697"/>
      <c r="AVK245" s="697"/>
      <c r="AVL245" s="697"/>
      <c r="AVM245" s="697"/>
      <c r="AVN245" s="697"/>
      <c r="AVO245" s="697"/>
      <c r="AVP245" s="697"/>
      <c r="AVQ245" s="697"/>
    </row>
    <row r="246" spans="1:108 1244:1265" s="608" customFormat="1" ht="30" customHeight="1" x14ac:dyDescent="0.25">
      <c r="A246" s="634">
        <v>1</v>
      </c>
      <c r="B246" s="634">
        <v>12</v>
      </c>
      <c r="C246" s="633" t="s">
        <v>27</v>
      </c>
      <c r="D246" s="2"/>
      <c r="E246" s="602" t="s">
        <v>344</v>
      </c>
      <c r="F246" s="634" t="s">
        <v>31</v>
      </c>
      <c r="G246" s="634">
        <v>1</v>
      </c>
      <c r="H246" s="656" t="s">
        <v>10</v>
      </c>
      <c r="I246" s="634">
        <v>0</v>
      </c>
      <c r="J246" s="602" t="s">
        <v>394</v>
      </c>
      <c r="K246" s="634">
        <v>1</v>
      </c>
      <c r="L246" s="681" t="s">
        <v>349</v>
      </c>
      <c r="M246" s="601"/>
      <c r="N246" s="602" t="s">
        <v>401</v>
      </c>
      <c r="O246" s="634">
        <v>2</v>
      </c>
      <c r="P246" s="633">
        <v>1</v>
      </c>
      <c r="Q246" s="633">
        <v>1</v>
      </c>
      <c r="R246" s="633">
        <v>1</v>
      </c>
      <c r="S246" s="671">
        <f>'Территориальный кк'!D15</f>
        <v>1.4350000000000001</v>
      </c>
      <c r="T246" s="672">
        <f>'Территориальный кк'!E15</f>
        <v>2.5099999999999998</v>
      </c>
      <c r="U246" s="618">
        <f>SUMIFS(Нормативы!G:G,Нормативы!$B:$B,$G246,Нормативы!$D:$D,'2020'!$I246,Нормативы!$F:$F,'2020'!$K246)*O246</f>
        <v>108040</v>
      </c>
      <c r="V246" s="618">
        <f t="shared" ref="V246" si="731">ROUND(U246/1.302,1)</f>
        <v>82980</v>
      </c>
      <c r="W246" s="618">
        <f t="shared" ref="W246" si="732">U246-V246</f>
        <v>25060</v>
      </c>
      <c r="X246" s="618">
        <f>SUMIFS(Нормативы!J:J,Нормативы!$B:$B,$G246,Нормативы!$D:$D,'2020'!$I246,Нормативы!$F:$F,'2020'!$K246)</f>
        <v>220</v>
      </c>
      <c r="Y246" s="618">
        <f>SUMIFS(Нормативы!K:K,Нормативы!$B:$B,$G246,Нормативы!$D:$D,'2020'!$I246,Нормативы!$F:$F,'2020'!$K246)</f>
        <v>44</v>
      </c>
      <c r="Z246" s="618">
        <f>SUMIFS(Нормативы!L:L,Нормативы!$B:$B,$G246,Нормативы!$D:$D,'2020'!$I246,Нормативы!$F:$F,'2020'!$K246)</f>
        <v>2320</v>
      </c>
      <c r="AA246" s="618">
        <f t="shared" ref="AA246" si="733">AB246+AC246+AD246+AE246</f>
        <v>4540</v>
      </c>
      <c r="AB246" s="618">
        <f>SUMIFS(Нормативы!N:N,Нормативы!$B:$B,$G246,Нормативы!$D:$D,'2020'!$I246,Нормативы!$F:$F,'2020'!$K246)*O246</f>
        <v>1040</v>
      </c>
      <c r="AC246" s="618">
        <f>SUMIFS(Нормативы!O:O,Нормативы!$B:$B,$G246,Нормативы!$D:$D,'2020'!$I246,Нормативы!$F:$F,'2020'!$K246)</f>
        <v>2140</v>
      </c>
      <c r="AD246" s="618">
        <f>SUMIFS(Нормативы!P:P,Нормативы!$B:$B,$G246,Нормативы!$D:$D,'2020'!$I246,Нормативы!$F:$F,'2020'!$K246)*O246</f>
        <v>620</v>
      </c>
      <c r="AE246" s="618">
        <f>SUMIFS(Нормативы!Q:Q,Нормативы!$B:$B,$G246,Нормативы!$D:$D,'2020'!$I246,Нормативы!$F:$F,'2020'!$K246)</f>
        <v>740</v>
      </c>
      <c r="AF246" s="618">
        <f>SUMIFS(Нормативы!R:R,Нормативы!$B:$B,$G246,Нормативы!$D:$D,'2020'!$I246,Нормативы!$F:$F,'2020'!$K246)</f>
        <v>2460</v>
      </c>
      <c r="AG246" s="618">
        <f>SUMIFS(Нормативы!S:S,Нормативы!$B:$B,$G246,Нормативы!$D:$D,'2020'!$I246,Нормативы!$F:$F,'2020'!$K246)</f>
        <v>5080</v>
      </c>
      <c r="AH246" s="618">
        <f>SUMIFS(Нормативы!T:T,Нормативы!$B:$B,$G246,Нормативы!$D:$D,'2020'!$I246,Нормативы!$F:$F,'2020'!$K246)</f>
        <v>540</v>
      </c>
      <c r="AI246" s="618">
        <f>SUMIFS(Нормативы!U:U,Нормативы!$B:$B,$G246,Нормативы!$D:$D,'2020'!$I246,Нормативы!$F:$F,'2020'!$K246)</f>
        <v>770</v>
      </c>
      <c r="AJ246" s="618">
        <f>SUMIFS(Нормативы!V:V,Нормативы!$B:$B,$G246,Нормативы!$D:$D,'2020'!$I246,Нормативы!$F:$F,'2020'!$K246)</f>
        <v>80</v>
      </c>
      <c r="AK246" s="618">
        <f>SUMIFS(Нормативы!W:W,Нормативы!$B:$B,$G246,Нормативы!$D:$D,'2020'!$I246,Нормативы!$F:$F,'2020'!$K246)</f>
        <v>300</v>
      </c>
      <c r="AL246" s="618">
        <f>SUMIFS(Нормативы!X:X,Нормативы!$B:$B,$G246,Нормативы!$D:$D,'2020'!$I246,Нормативы!$F:$F,'2020'!$K246)*O246</f>
        <v>26880</v>
      </c>
      <c r="AM246" s="618">
        <f t="shared" ref="AM246" si="734">ROUND(AL246/1.302,1)</f>
        <v>20645.2</v>
      </c>
      <c r="AN246" s="618">
        <f t="shared" ref="AN246" si="735">AL246-AM246</f>
        <v>6234.8</v>
      </c>
      <c r="AO246" s="618">
        <f>SUMIFS(Нормативы!AA:AA,Нормативы!$B:$B,$G246,Нормативы!$D:$D,'2020'!$I246,Нормативы!$F:$F,'2020'!$K246)</f>
        <v>3520</v>
      </c>
      <c r="AP246" s="619">
        <f t="shared" ref="AP246" si="736">U246+X246+Z246+AA246++AF246+AG246+AH246+AI246+AJ246+AK246+AL246+AO246</f>
        <v>154750</v>
      </c>
      <c r="AQ246" s="611">
        <f t="shared" si="616"/>
        <v>108040</v>
      </c>
      <c r="AR246" s="622">
        <f t="shared" si="680"/>
        <v>82980</v>
      </c>
      <c r="AS246" s="622">
        <f t="shared" si="681"/>
        <v>25060</v>
      </c>
      <c r="AT246" s="614">
        <f t="shared" si="617"/>
        <v>220</v>
      </c>
      <c r="AU246" s="614">
        <f t="shared" si="618"/>
        <v>44</v>
      </c>
      <c r="AV246" s="614">
        <f t="shared" si="619"/>
        <v>2320</v>
      </c>
      <c r="AW246" s="614">
        <f t="shared" si="620"/>
        <v>4540</v>
      </c>
      <c r="AX246" s="614">
        <f t="shared" si="621"/>
        <v>1040</v>
      </c>
      <c r="AY246" s="614">
        <f t="shared" si="622"/>
        <v>2140</v>
      </c>
      <c r="AZ246" s="614">
        <f t="shared" si="623"/>
        <v>620</v>
      </c>
      <c r="BA246" s="614">
        <f t="shared" si="624"/>
        <v>740</v>
      </c>
      <c r="BB246" s="614">
        <f t="shared" si="625"/>
        <v>2460</v>
      </c>
      <c r="BC246" s="614">
        <f t="shared" si="626"/>
        <v>5080</v>
      </c>
      <c r="BD246" s="614">
        <f t="shared" si="627"/>
        <v>540</v>
      </c>
      <c r="BE246" s="614">
        <f t="shared" si="628"/>
        <v>770</v>
      </c>
      <c r="BF246" s="614">
        <f t="shared" si="629"/>
        <v>80</v>
      </c>
      <c r="BG246" s="614">
        <f t="shared" si="630"/>
        <v>300</v>
      </c>
      <c r="BH246" s="614">
        <f t="shared" si="631"/>
        <v>26880</v>
      </c>
      <c r="BI246" s="622">
        <f t="shared" si="682"/>
        <v>20645.2</v>
      </c>
      <c r="BJ246" s="622">
        <f t="shared" si="683"/>
        <v>6234.8</v>
      </c>
      <c r="BK246" s="614">
        <f t="shared" si="632"/>
        <v>3520</v>
      </c>
      <c r="BL246" s="620">
        <f t="shared" si="633"/>
        <v>154750</v>
      </c>
      <c r="BM246" s="614">
        <f t="shared" si="634"/>
        <v>155037</v>
      </c>
      <c r="BN246" s="622">
        <f t="shared" si="635"/>
        <v>119076</v>
      </c>
      <c r="BO246" s="622">
        <f t="shared" si="636"/>
        <v>35961</v>
      </c>
      <c r="BP246" s="614">
        <f t="shared" si="684"/>
        <v>220</v>
      </c>
      <c r="BQ246" s="614">
        <f t="shared" si="685"/>
        <v>44</v>
      </c>
      <c r="BR246" s="614">
        <f t="shared" si="686"/>
        <v>2320</v>
      </c>
      <c r="BS246" s="614">
        <f t="shared" si="637"/>
        <v>4540</v>
      </c>
      <c r="BT246" s="614">
        <f t="shared" si="638"/>
        <v>1040</v>
      </c>
      <c r="BU246" s="614">
        <f t="shared" si="639"/>
        <v>2140</v>
      </c>
      <c r="BV246" s="614">
        <f t="shared" si="640"/>
        <v>620</v>
      </c>
      <c r="BW246" s="614">
        <f t="shared" si="641"/>
        <v>740</v>
      </c>
      <c r="BX246" s="614">
        <f t="shared" ref="BX246" si="737">BB246</f>
        <v>2460</v>
      </c>
      <c r="BY246" s="614">
        <f t="shared" si="643"/>
        <v>5080</v>
      </c>
      <c r="BZ246" s="614">
        <f t="shared" si="644"/>
        <v>540</v>
      </c>
      <c r="CA246" s="614">
        <f t="shared" si="645"/>
        <v>770</v>
      </c>
      <c r="CB246" s="614">
        <f t="shared" si="646"/>
        <v>80</v>
      </c>
      <c r="CC246" s="614">
        <f t="shared" si="647"/>
        <v>300</v>
      </c>
      <c r="CD246" s="614">
        <f t="shared" ref="CD246" si="738">BH246</f>
        <v>26880</v>
      </c>
      <c r="CE246" s="614">
        <f t="shared" ref="CE246" si="739">BI246</f>
        <v>20645.2</v>
      </c>
      <c r="CF246" s="614">
        <f t="shared" ref="CF246" si="740">BJ246</f>
        <v>6234.8</v>
      </c>
      <c r="CG246" s="614">
        <f t="shared" si="649"/>
        <v>3520</v>
      </c>
      <c r="CH246" s="621">
        <f>BM246+BP246+BR246+BS246++BX246+BY246+BZ246+CA246+CB246+CC246+CD246+CG246</f>
        <v>201747</v>
      </c>
      <c r="CI246" s="607"/>
      <c r="CJ246" s="607"/>
      <c r="CK246" s="607"/>
      <c r="CL246" s="607"/>
      <c r="CM246" s="607"/>
      <c r="CN246" s="607"/>
      <c r="CO246" s="607"/>
      <c r="CP246" s="607"/>
      <c r="CQ246" s="607"/>
      <c r="CR246" s="607"/>
      <c r="CS246" s="607"/>
      <c r="CT246" s="607"/>
      <c r="CU246" s="607"/>
      <c r="CV246" s="607"/>
      <c r="CW246" s="607"/>
      <c r="CX246" s="607"/>
      <c r="CY246" s="607"/>
      <c r="CZ246" s="607"/>
      <c r="DA246" s="607"/>
      <c r="DB246" s="607"/>
      <c r="DC246" s="607"/>
      <c r="DD246" s="607"/>
      <c r="AUV246" s="699">
        <f t="shared" si="586"/>
        <v>155037</v>
      </c>
      <c r="AUW246" s="699">
        <f t="shared" si="587"/>
        <v>119076.04</v>
      </c>
      <c r="AUX246" s="699">
        <f t="shared" si="588"/>
        <v>35960.959999999999</v>
      </c>
      <c r="AUY246" s="699">
        <f t="shared" ref="AUY246:AUY266" si="741">BP246/P246</f>
        <v>220</v>
      </c>
      <c r="AUZ246" s="699">
        <f t="shared" si="615"/>
        <v>17.53</v>
      </c>
      <c r="AVA246" s="699">
        <f t="shared" si="615"/>
        <v>0.02</v>
      </c>
      <c r="AVB246" s="699">
        <f t="shared" ref="AVB246:AVB266" si="742">AVC246+AVD246+AVE246+AVF246</f>
        <v>4540</v>
      </c>
      <c r="AVC246" s="699">
        <f t="shared" ref="AVC246:AVC266" si="743">BT246/P246</f>
        <v>1040</v>
      </c>
      <c r="AVD246" s="699">
        <f t="shared" ref="AVD246:AVD266" si="744">BU246/P246</f>
        <v>2140</v>
      </c>
      <c r="AVE246" s="699">
        <f t="shared" ref="AVE246:AVE266" si="745">BV246/P246</f>
        <v>620</v>
      </c>
      <c r="AVF246" s="699">
        <f t="shared" ref="AVF246:AVF266" si="746">BW246/P246</f>
        <v>740</v>
      </c>
      <c r="AVG246" s="699">
        <f t="shared" ref="AVG246:AVG266" si="747">BX246/P246</f>
        <v>2460</v>
      </c>
      <c r="AVH246" s="699">
        <f t="shared" ref="AVH246:AVH266" si="748">BY246/P246</f>
        <v>5080</v>
      </c>
      <c r="AVI246" s="699">
        <f t="shared" ref="AVI246:AVI266" si="749">BZ246/P246</f>
        <v>540</v>
      </c>
      <c r="AVJ246" s="699">
        <f t="shared" ref="AVJ246:AVJ266" si="750">CA246/P246</f>
        <v>770</v>
      </c>
      <c r="AVK246" s="699">
        <f t="shared" ref="AVK246:AVK266" si="751">CB246/P246</f>
        <v>80</v>
      </c>
      <c r="AVL246" s="699">
        <f t="shared" ref="AVL246:AVL266" si="752">CC246/P246</f>
        <v>300</v>
      </c>
      <c r="AVM246" s="699">
        <f t="shared" ref="AVM246:AVM266" si="753">CD246/P246</f>
        <v>26880</v>
      </c>
      <c r="AVN246" s="699">
        <f t="shared" ref="AVN246:AVN266" si="754">AVM246/1.302</f>
        <v>20645.16</v>
      </c>
      <c r="AVO246" s="699">
        <f t="shared" ref="AVO246:AVO266" si="755">AVM246-AVN246</f>
        <v>6234.84</v>
      </c>
      <c r="AVP246" s="699">
        <f t="shared" ref="AVP246:AVP266" si="756">CG246/P246</f>
        <v>3520</v>
      </c>
      <c r="AVQ246" s="699">
        <f t="shared" ref="AVQ246:AVQ266" si="757">CH246/P246</f>
        <v>201747</v>
      </c>
    </row>
    <row r="247" spans="1:108 1244:1265" ht="30" customHeight="1" x14ac:dyDescent="0.25">
      <c r="A247" s="643">
        <v>1</v>
      </c>
      <c r="B247" s="643">
        <v>12</v>
      </c>
      <c r="C247" s="664" t="s">
        <v>27</v>
      </c>
      <c r="D247" s="2"/>
      <c r="E247" s="101" t="s">
        <v>344</v>
      </c>
      <c r="F247" s="643" t="s">
        <v>31</v>
      </c>
      <c r="G247" s="643">
        <v>1</v>
      </c>
      <c r="H247" s="658" t="s">
        <v>10</v>
      </c>
      <c r="I247" s="643">
        <v>0</v>
      </c>
      <c r="J247" s="101" t="s">
        <v>394</v>
      </c>
      <c r="K247" s="643">
        <v>1</v>
      </c>
      <c r="L247" s="683" t="s">
        <v>349</v>
      </c>
      <c r="M247" s="11" t="s">
        <v>325</v>
      </c>
      <c r="N247" s="101" t="s">
        <v>387</v>
      </c>
      <c r="O247" s="643">
        <v>1</v>
      </c>
      <c r="P247" s="632">
        <v>10</v>
      </c>
      <c r="Q247" s="632">
        <v>10</v>
      </c>
      <c r="R247" s="632">
        <v>10</v>
      </c>
      <c r="S247" s="675">
        <f>SUMIF('Территориальный кк'!$A:$A,'2020'!$B247,'Территориальный кк'!D:D)</f>
        <v>1.4350000000000001</v>
      </c>
      <c r="T247" s="676">
        <f>SUMIF('Территориальный кк'!$A:$A,'2020'!$B247,'Территориальный кк'!E:E)</f>
        <v>2.5099999999999998</v>
      </c>
      <c r="U247" s="618">
        <f>SUMIFS(Нормативы!G:G,Нормативы!$B:$B,$G247,Нормативы!$D:$D,'2020'!$I247,Нормативы!$F:$F,'2020'!$K247)*O247</f>
        <v>54020</v>
      </c>
      <c r="V247" s="618">
        <f t="shared" si="674"/>
        <v>41490</v>
      </c>
      <c r="W247" s="618">
        <f t="shared" si="675"/>
        <v>12530</v>
      </c>
      <c r="X247" s="618">
        <f>SUMIFS(Нормативы!J:J,Нормативы!$B:$B,$G247,Нормативы!$D:$D,'2020'!$I247,Нормативы!$F:$F,'2020'!$K247)</f>
        <v>220</v>
      </c>
      <c r="Y247" s="618">
        <f>SUMIFS(Нормативы!K:K,Нормативы!$B:$B,$G247,Нормативы!$D:$D,'2020'!$I247,Нормативы!$F:$F,'2020'!$K247)</f>
        <v>44</v>
      </c>
      <c r="Z247" s="618">
        <f>SUMIFS(Нормативы!L:L,Нормативы!$B:$B,$G247,Нормативы!$D:$D,'2020'!$I247,Нормативы!$F:$F,'2020'!$K247)</f>
        <v>2320</v>
      </c>
      <c r="AA247" s="618">
        <f t="shared" si="676"/>
        <v>3710</v>
      </c>
      <c r="AB247" s="618">
        <f>SUMIFS(Нормативы!N:N,Нормативы!$B:$B,$G247,Нормативы!$D:$D,'2020'!$I247,Нормативы!$F:$F,'2020'!$K247)*O247</f>
        <v>520</v>
      </c>
      <c r="AC247" s="618">
        <f>SUMIFS(Нормативы!O:O,Нормативы!$B:$B,$G247,Нормативы!$D:$D,'2020'!$I247,Нормативы!$F:$F,'2020'!$K247)</f>
        <v>2140</v>
      </c>
      <c r="AD247" s="618">
        <f>SUMIFS(Нормативы!P:P,Нормативы!$B:$B,$G247,Нормативы!$D:$D,'2020'!$I247,Нормативы!$F:$F,'2020'!$K247)*O247</f>
        <v>310</v>
      </c>
      <c r="AE247" s="618">
        <f>SUMIFS(Нормативы!Q:Q,Нормативы!$B:$B,$G247,Нормативы!$D:$D,'2020'!$I247,Нормативы!$F:$F,'2020'!$K247)</f>
        <v>740</v>
      </c>
      <c r="AF247" s="618">
        <f>SUMIFS(Нормативы!R:R,Нормативы!$B:$B,$G247,Нормативы!$D:$D,'2020'!$I247,Нормативы!$F:$F,'2020'!$K247)</f>
        <v>2460</v>
      </c>
      <c r="AG247" s="618">
        <f>SUMIFS(Нормативы!S:S,Нормативы!$B:$B,$G247,Нормативы!$D:$D,'2020'!$I247,Нормативы!$F:$F,'2020'!$K247)</f>
        <v>5080</v>
      </c>
      <c r="AH247" s="618">
        <f>SUMIFS(Нормативы!T:T,Нормативы!$B:$B,$G247,Нормативы!$D:$D,'2020'!$I247,Нормативы!$F:$F,'2020'!$K247)</f>
        <v>540</v>
      </c>
      <c r="AI247" s="618">
        <f>SUMIFS(Нормативы!U:U,Нормативы!$B:$B,$G247,Нормативы!$D:$D,'2020'!$I247,Нормативы!$F:$F,'2020'!$K247)</f>
        <v>770</v>
      </c>
      <c r="AJ247" s="618">
        <f>SUMIFS(Нормативы!V:V,Нормативы!$B:$B,$G247,Нормативы!$D:$D,'2020'!$I247,Нормативы!$F:$F,'2020'!$K247)</f>
        <v>80</v>
      </c>
      <c r="AK247" s="618">
        <f>SUMIFS(Нормативы!W:W,Нормативы!$B:$B,$G247,Нормативы!$D:$D,'2020'!$I247,Нормативы!$F:$F,'2020'!$K247)</f>
        <v>300</v>
      </c>
      <c r="AL247" s="618">
        <f>SUMIFS(Нормативы!X:X,Нормативы!$B:$B,$G247,Нормативы!$D:$D,'2020'!$I247,Нормативы!$F:$F,'2020'!$K247)*O247</f>
        <v>13440</v>
      </c>
      <c r="AM247" s="618">
        <f t="shared" si="677"/>
        <v>10322.6</v>
      </c>
      <c r="AN247" s="618">
        <f t="shared" si="678"/>
        <v>3117.4</v>
      </c>
      <c r="AO247" s="618">
        <f>SUMIFS(Нормативы!AA:AA,Нормативы!$B:$B,$G247,Нормативы!$D:$D,'2020'!$I247,Нормативы!$F:$F,'2020'!$K247)</f>
        <v>3520</v>
      </c>
      <c r="AP247" s="619">
        <f t="shared" si="679"/>
        <v>86460</v>
      </c>
      <c r="AQ247" s="413">
        <f t="shared" si="616"/>
        <v>540200</v>
      </c>
      <c r="AR247" s="618">
        <f t="shared" si="680"/>
        <v>414900.2</v>
      </c>
      <c r="AS247" s="618">
        <f t="shared" si="681"/>
        <v>125299.8</v>
      </c>
      <c r="AT247" s="616">
        <f t="shared" si="617"/>
        <v>2200</v>
      </c>
      <c r="AU247" s="616">
        <f t="shared" si="618"/>
        <v>440</v>
      </c>
      <c r="AV247" s="616">
        <f t="shared" si="619"/>
        <v>23200</v>
      </c>
      <c r="AW247" s="616">
        <f t="shared" si="620"/>
        <v>37100</v>
      </c>
      <c r="AX247" s="616">
        <f t="shared" si="621"/>
        <v>5200</v>
      </c>
      <c r="AY247" s="616">
        <f t="shared" si="622"/>
        <v>21400</v>
      </c>
      <c r="AZ247" s="616">
        <f t="shared" si="623"/>
        <v>3100</v>
      </c>
      <c r="BA247" s="616">
        <f t="shared" si="624"/>
        <v>7400</v>
      </c>
      <c r="BB247" s="616">
        <f t="shared" si="625"/>
        <v>24600</v>
      </c>
      <c r="BC247" s="616">
        <f t="shared" si="626"/>
        <v>50800</v>
      </c>
      <c r="BD247" s="616">
        <f t="shared" si="627"/>
        <v>5400</v>
      </c>
      <c r="BE247" s="616">
        <f t="shared" si="628"/>
        <v>7700</v>
      </c>
      <c r="BF247" s="616">
        <f t="shared" si="629"/>
        <v>800</v>
      </c>
      <c r="BG247" s="616">
        <f t="shared" si="630"/>
        <v>3000</v>
      </c>
      <c r="BH247" s="616">
        <f t="shared" si="631"/>
        <v>134400</v>
      </c>
      <c r="BI247" s="618">
        <f t="shared" si="682"/>
        <v>103225.8</v>
      </c>
      <c r="BJ247" s="618">
        <f t="shared" si="683"/>
        <v>31174.2</v>
      </c>
      <c r="BK247" s="616">
        <f t="shared" si="632"/>
        <v>35200</v>
      </c>
      <c r="BL247" s="620">
        <f t="shared" si="633"/>
        <v>864600</v>
      </c>
      <c r="BM247" s="616">
        <f t="shared" si="634"/>
        <v>775187</v>
      </c>
      <c r="BN247" s="618">
        <f t="shared" si="635"/>
        <v>595381.69999999995</v>
      </c>
      <c r="BO247" s="618">
        <f t="shared" si="636"/>
        <v>179805.3</v>
      </c>
      <c r="BP247" s="616">
        <f t="shared" si="684"/>
        <v>2200</v>
      </c>
      <c r="BQ247" s="616">
        <f t="shared" si="685"/>
        <v>440</v>
      </c>
      <c r="BR247" s="616">
        <f t="shared" si="686"/>
        <v>23200</v>
      </c>
      <c r="BS247" s="616">
        <f t="shared" si="637"/>
        <v>37100</v>
      </c>
      <c r="BT247" s="616">
        <f t="shared" si="638"/>
        <v>5200</v>
      </c>
      <c r="BU247" s="616">
        <f t="shared" si="639"/>
        <v>21400</v>
      </c>
      <c r="BV247" s="616">
        <f t="shared" si="640"/>
        <v>3100</v>
      </c>
      <c r="BW247" s="616">
        <f t="shared" si="641"/>
        <v>7400</v>
      </c>
      <c r="BX247" s="616">
        <f t="shared" si="642"/>
        <v>61746</v>
      </c>
      <c r="BY247" s="616">
        <f t="shared" si="643"/>
        <v>50800</v>
      </c>
      <c r="BZ247" s="616">
        <f t="shared" si="644"/>
        <v>5400</v>
      </c>
      <c r="CA247" s="616">
        <f t="shared" si="645"/>
        <v>7700</v>
      </c>
      <c r="CB247" s="616">
        <f t="shared" si="646"/>
        <v>800</v>
      </c>
      <c r="CC247" s="616">
        <f t="shared" si="647"/>
        <v>3000</v>
      </c>
      <c r="CD247" s="616">
        <f t="shared" si="648"/>
        <v>192864</v>
      </c>
      <c r="CE247" s="618">
        <f t="shared" si="687"/>
        <v>148129</v>
      </c>
      <c r="CF247" s="618">
        <f t="shared" si="688"/>
        <v>44735</v>
      </c>
      <c r="CG247" s="616">
        <f t="shared" si="649"/>
        <v>35200</v>
      </c>
      <c r="CH247" s="621">
        <f t="shared" si="650"/>
        <v>1195197</v>
      </c>
      <c r="CI247" s="88">
        <f t="shared" si="651"/>
        <v>77518.7</v>
      </c>
      <c r="CJ247" s="90">
        <f t="shared" si="652"/>
        <v>59538.17</v>
      </c>
      <c r="CK247" s="90">
        <f t="shared" si="653"/>
        <v>17980.53</v>
      </c>
      <c r="CL247" s="88">
        <f t="shared" si="654"/>
        <v>220</v>
      </c>
      <c r="CM247" s="88">
        <f t="shared" si="655"/>
        <v>44</v>
      </c>
      <c r="CN247" s="88">
        <f t="shared" si="656"/>
        <v>2320</v>
      </c>
      <c r="CO247" s="88">
        <f t="shared" si="657"/>
        <v>3710</v>
      </c>
      <c r="CP247" s="88">
        <f t="shared" si="658"/>
        <v>520</v>
      </c>
      <c r="CQ247" s="88">
        <f t="shared" si="659"/>
        <v>2140</v>
      </c>
      <c r="CR247" s="88">
        <f t="shared" si="660"/>
        <v>310</v>
      </c>
      <c r="CS247" s="88">
        <f t="shared" si="661"/>
        <v>740</v>
      </c>
      <c r="CT247" s="88">
        <f t="shared" si="662"/>
        <v>6174.6</v>
      </c>
      <c r="CU247" s="88">
        <f t="shared" si="663"/>
        <v>5080</v>
      </c>
      <c r="CV247" s="88">
        <f t="shared" si="664"/>
        <v>540</v>
      </c>
      <c r="CW247" s="88">
        <f t="shared" si="665"/>
        <v>770</v>
      </c>
      <c r="CX247" s="88">
        <f t="shared" si="666"/>
        <v>80</v>
      </c>
      <c r="CY247" s="88">
        <f t="shared" si="667"/>
        <v>300</v>
      </c>
      <c r="CZ247" s="88">
        <f t="shared" si="668"/>
        <v>19286.400000000001</v>
      </c>
      <c r="DA247" s="90">
        <f t="shared" si="669"/>
        <v>14812.9</v>
      </c>
      <c r="DB247" s="90">
        <f t="shared" si="670"/>
        <v>4473.5</v>
      </c>
      <c r="DC247" s="88">
        <f t="shared" si="671"/>
        <v>3520</v>
      </c>
      <c r="DD247" s="88">
        <f t="shared" si="672"/>
        <v>119519.7</v>
      </c>
      <c r="AUV247" s="699">
        <f t="shared" si="586"/>
        <v>77518.7</v>
      </c>
      <c r="AUW247" s="699">
        <f t="shared" si="587"/>
        <v>59538.17</v>
      </c>
      <c r="AUX247" s="699">
        <f t="shared" si="588"/>
        <v>17980.53</v>
      </c>
      <c r="AUY247" s="699">
        <f t="shared" si="741"/>
        <v>220</v>
      </c>
      <c r="AUZ247" s="699">
        <f t="shared" si="615"/>
        <v>175.3</v>
      </c>
      <c r="AVA247" s="699">
        <f t="shared" si="615"/>
        <v>0.43</v>
      </c>
      <c r="AVB247" s="699">
        <f t="shared" si="742"/>
        <v>3710</v>
      </c>
      <c r="AVC247" s="699">
        <f t="shared" si="743"/>
        <v>520</v>
      </c>
      <c r="AVD247" s="699">
        <f t="shared" si="744"/>
        <v>2140</v>
      </c>
      <c r="AVE247" s="699">
        <f t="shared" si="745"/>
        <v>310</v>
      </c>
      <c r="AVF247" s="699">
        <f t="shared" si="746"/>
        <v>740</v>
      </c>
      <c r="AVG247" s="699">
        <f t="shared" si="747"/>
        <v>6174.6</v>
      </c>
      <c r="AVH247" s="699">
        <f t="shared" si="748"/>
        <v>5080</v>
      </c>
      <c r="AVI247" s="699">
        <f t="shared" si="749"/>
        <v>540</v>
      </c>
      <c r="AVJ247" s="699">
        <f t="shared" si="750"/>
        <v>770</v>
      </c>
      <c r="AVK247" s="699">
        <f t="shared" si="751"/>
        <v>80</v>
      </c>
      <c r="AVL247" s="699">
        <f t="shared" si="752"/>
        <v>300</v>
      </c>
      <c r="AVM247" s="699">
        <f t="shared" si="753"/>
        <v>19286.400000000001</v>
      </c>
      <c r="AVN247" s="699">
        <f t="shared" si="754"/>
        <v>14812.9</v>
      </c>
      <c r="AVO247" s="699">
        <f t="shared" si="755"/>
        <v>4473.5</v>
      </c>
      <c r="AVP247" s="699">
        <f t="shared" si="756"/>
        <v>3520</v>
      </c>
      <c r="AVQ247" s="699">
        <f t="shared" si="757"/>
        <v>119519.7</v>
      </c>
    </row>
    <row r="248" spans="1:108 1244:1265" ht="30" customHeight="1" x14ac:dyDescent="0.25">
      <c r="A248" s="643">
        <v>1</v>
      </c>
      <c r="B248" s="643">
        <v>12</v>
      </c>
      <c r="C248" s="664" t="s">
        <v>27</v>
      </c>
      <c r="D248" s="2"/>
      <c r="E248" s="101" t="s">
        <v>344</v>
      </c>
      <c r="F248" s="643" t="s">
        <v>31</v>
      </c>
      <c r="G248" s="643">
        <v>1</v>
      </c>
      <c r="H248" s="658" t="s">
        <v>10</v>
      </c>
      <c r="I248" s="643">
        <v>0</v>
      </c>
      <c r="J248" s="101" t="s">
        <v>356</v>
      </c>
      <c r="K248" s="643">
        <v>3</v>
      </c>
      <c r="L248" s="683" t="s">
        <v>349</v>
      </c>
      <c r="M248" s="11" t="s">
        <v>255</v>
      </c>
      <c r="N248" s="101" t="s">
        <v>387</v>
      </c>
      <c r="O248" s="643">
        <v>1</v>
      </c>
      <c r="P248" s="632">
        <v>629</v>
      </c>
      <c r="Q248" s="632">
        <v>629</v>
      </c>
      <c r="R248" s="632">
        <v>629</v>
      </c>
      <c r="S248" s="675">
        <f>SUMIF('Территориальный кк'!$A:$A,'2020'!$B248,'Территориальный кк'!D:D)</f>
        <v>1.4350000000000001</v>
      </c>
      <c r="T248" s="676">
        <f>SUMIF('Территориальный кк'!$A:$A,'2020'!$B248,'Территориальный кк'!E:E)</f>
        <v>2.5099999999999998</v>
      </c>
      <c r="U248" s="618">
        <f>SUMIFS(Нормативы!G:G,Нормативы!$B:$B,$G248,Нормативы!$D:$D,'2020'!$I248,Нормативы!$F:$F,'2020'!$K248)*O248</f>
        <v>64190</v>
      </c>
      <c r="V248" s="618">
        <f t="shared" si="674"/>
        <v>49301.1</v>
      </c>
      <c r="W248" s="618">
        <f t="shared" si="675"/>
        <v>14888.9</v>
      </c>
      <c r="X248" s="618">
        <f>SUMIFS(Нормативы!J:J,Нормативы!$B:$B,$G248,Нормативы!$D:$D,'2020'!$I248,Нормативы!$F:$F,'2020'!$K248)</f>
        <v>8830</v>
      </c>
      <c r="Y248" s="618">
        <f>SUMIFS(Нормативы!K:K,Нормативы!$B:$B,$G248,Нормативы!$D:$D,'2020'!$I248,Нормативы!$F:$F,'2020'!$K248)</f>
        <v>1766</v>
      </c>
      <c r="Z248" s="618">
        <f>SUMIFS(Нормативы!L:L,Нормативы!$B:$B,$G248,Нормативы!$D:$D,'2020'!$I248,Нормативы!$F:$F,'2020'!$K248)</f>
        <v>8110</v>
      </c>
      <c r="AA248" s="618">
        <f t="shared" si="676"/>
        <v>19050</v>
      </c>
      <c r="AB248" s="618">
        <f>SUMIFS(Нормативы!N:N,Нормативы!$B:$B,$G248,Нормативы!$D:$D,'2020'!$I248,Нормативы!$F:$F,'2020'!$K248)*O248</f>
        <v>520</v>
      </c>
      <c r="AC248" s="618">
        <f>SUMIFS(Нормативы!O:O,Нормативы!$B:$B,$G248,Нормативы!$D:$D,'2020'!$I248,Нормативы!$F:$F,'2020'!$K248)</f>
        <v>17290</v>
      </c>
      <c r="AD248" s="618">
        <f>SUMIFS(Нормативы!P:P,Нормативы!$B:$B,$G248,Нормативы!$D:$D,'2020'!$I248,Нормативы!$F:$F,'2020'!$K248)*O248</f>
        <v>360</v>
      </c>
      <c r="AE248" s="618">
        <f>SUMIFS(Нормативы!Q:Q,Нормативы!$B:$B,$G248,Нормативы!$D:$D,'2020'!$I248,Нормативы!$F:$F,'2020'!$K248)</f>
        <v>880</v>
      </c>
      <c r="AF248" s="618">
        <f>SUMIFS(Нормативы!R:R,Нормативы!$B:$B,$G248,Нормативы!$D:$D,'2020'!$I248,Нормативы!$F:$F,'2020'!$K248)</f>
        <v>2680</v>
      </c>
      <c r="AG248" s="618">
        <f>SUMIFS(Нормативы!S:S,Нормативы!$B:$B,$G248,Нормативы!$D:$D,'2020'!$I248,Нормативы!$F:$F,'2020'!$K248)</f>
        <v>5800</v>
      </c>
      <c r="AH248" s="618">
        <f>SUMIFS(Нормативы!T:T,Нормативы!$B:$B,$G248,Нормативы!$D:$D,'2020'!$I248,Нормативы!$F:$F,'2020'!$K248)</f>
        <v>540</v>
      </c>
      <c r="AI248" s="618">
        <f>SUMIFS(Нормативы!U:U,Нормативы!$B:$B,$G248,Нормативы!$D:$D,'2020'!$I248,Нормативы!$F:$F,'2020'!$K248)</f>
        <v>770</v>
      </c>
      <c r="AJ248" s="618">
        <f>SUMIFS(Нормативы!V:V,Нормативы!$B:$B,$G248,Нормативы!$D:$D,'2020'!$I248,Нормативы!$F:$F,'2020'!$K248)</f>
        <v>80</v>
      </c>
      <c r="AK248" s="618">
        <f>SUMIFS(Нормативы!W:W,Нормативы!$B:$B,$G248,Нормативы!$D:$D,'2020'!$I248,Нормативы!$F:$F,'2020'!$K248)</f>
        <v>1050</v>
      </c>
      <c r="AL248" s="618">
        <f>SUMIFS(Нормативы!X:X,Нормативы!$B:$B,$G248,Нормативы!$D:$D,'2020'!$I248,Нормативы!$F:$F,'2020'!$K248)*O248</f>
        <v>16120</v>
      </c>
      <c r="AM248" s="618">
        <f t="shared" si="677"/>
        <v>12381</v>
      </c>
      <c r="AN248" s="618">
        <f t="shared" si="678"/>
        <v>3739</v>
      </c>
      <c r="AO248" s="618">
        <f>SUMIFS(Нормативы!AA:AA,Нормативы!$B:$B,$G248,Нормативы!$D:$D,'2020'!$I248,Нормативы!$F:$F,'2020'!$K248)</f>
        <v>3520</v>
      </c>
      <c r="AP248" s="619">
        <f t="shared" si="679"/>
        <v>130740</v>
      </c>
      <c r="AQ248" s="413">
        <f t="shared" si="616"/>
        <v>40375510</v>
      </c>
      <c r="AR248" s="618">
        <f t="shared" si="680"/>
        <v>31010376.300000001</v>
      </c>
      <c r="AS248" s="618">
        <f t="shared" si="681"/>
        <v>9365133.6999999993</v>
      </c>
      <c r="AT248" s="616">
        <f t="shared" si="617"/>
        <v>5554070</v>
      </c>
      <c r="AU248" s="616">
        <f t="shared" si="618"/>
        <v>1110814</v>
      </c>
      <c r="AV248" s="616">
        <f t="shared" si="619"/>
        <v>5101190</v>
      </c>
      <c r="AW248" s="616">
        <f t="shared" si="620"/>
        <v>11982450</v>
      </c>
      <c r="AX248" s="616">
        <f t="shared" si="621"/>
        <v>327080</v>
      </c>
      <c r="AY248" s="616">
        <f t="shared" si="622"/>
        <v>10875410</v>
      </c>
      <c r="AZ248" s="616">
        <f t="shared" si="623"/>
        <v>226440</v>
      </c>
      <c r="BA248" s="616">
        <f t="shared" si="624"/>
        <v>553520</v>
      </c>
      <c r="BB248" s="616">
        <f t="shared" si="625"/>
        <v>1685720</v>
      </c>
      <c r="BC248" s="616">
        <f t="shared" si="626"/>
        <v>3648200</v>
      </c>
      <c r="BD248" s="616">
        <f t="shared" si="627"/>
        <v>339660</v>
      </c>
      <c r="BE248" s="616">
        <f t="shared" si="628"/>
        <v>484330</v>
      </c>
      <c r="BF248" s="616">
        <f t="shared" si="629"/>
        <v>50320</v>
      </c>
      <c r="BG248" s="616">
        <f t="shared" si="630"/>
        <v>660450</v>
      </c>
      <c r="BH248" s="616">
        <f t="shared" si="631"/>
        <v>10139480</v>
      </c>
      <c r="BI248" s="618">
        <f t="shared" si="682"/>
        <v>7787619</v>
      </c>
      <c r="BJ248" s="618">
        <f t="shared" si="683"/>
        <v>2351861</v>
      </c>
      <c r="BK248" s="616">
        <f t="shared" si="632"/>
        <v>2214080</v>
      </c>
      <c r="BL248" s="620">
        <f t="shared" si="633"/>
        <v>82235460</v>
      </c>
      <c r="BM248" s="616">
        <f t="shared" si="634"/>
        <v>57938857</v>
      </c>
      <c r="BN248" s="618">
        <f t="shared" si="635"/>
        <v>44499890.200000003</v>
      </c>
      <c r="BO248" s="618">
        <f t="shared" si="636"/>
        <v>13438966.800000001</v>
      </c>
      <c r="BP248" s="616">
        <f t="shared" si="684"/>
        <v>5554070</v>
      </c>
      <c r="BQ248" s="616">
        <f t="shared" si="685"/>
        <v>1110814</v>
      </c>
      <c r="BR248" s="616">
        <f t="shared" si="686"/>
        <v>5101190</v>
      </c>
      <c r="BS248" s="616">
        <f t="shared" si="637"/>
        <v>11982450</v>
      </c>
      <c r="BT248" s="616">
        <f t="shared" si="638"/>
        <v>327080</v>
      </c>
      <c r="BU248" s="616">
        <f t="shared" si="639"/>
        <v>10875410</v>
      </c>
      <c r="BV248" s="616">
        <f t="shared" si="640"/>
        <v>226440</v>
      </c>
      <c r="BW248" s="616">
        <f t="shared" si="641"/>
        <v>553520</v>
      </c>
      <c r="BX248" s="616">
        <f t="shared" si="642"/>
        <v>4231157</v>
      </c>
      <c r="BY248" s="616">
        <f t="shared" si="643"/>
        <v>3648200</v>
      </c>
      <c r="BZ248" s="616">
        <f t="shared" si="644"/>
        <v>339660</v>
      </c>
      <c r="CA248" s="616">
        <f t="shared" si="645"/>
        <v>484330</v>
      </c>
      <c r="CB248" s="616">
        <f t="shared" si="646"/>
        <v>50320</v>
      </c>
      <c r="CC248" s="616">
        <f t="shared" si="647"/>
        <v>660450</v>
      </c>
      <c r="CD248" s="616">
        <f t="shared" si="648"/>
        <v>14550154</v>
      </c>
      <c r="CE248" s="618">
        <f t="shared" si="687"/>
        <v>11175233.5</v>
      </c>
      <c r="CF248" s="618">
        <f t="shared" si="688"/>
        <v>3374920.5</v>
      </c>
      <c r="CG248" s="616">
        <f t="shared" si="649"/>
        <v>2214080</v>
      </c>
      <c r="CH248" s="621">
        <f t="shared" si="650"/>
        <v>106754918</v>
      </c>
      <c r="CI248" s="88">
        <f t="shared" si="651"/>
        <v>92112.650200000004</v>
      </c>
      <c r="CJ248" s="90">
        <f t="shared" si="652"/>
        <v>70747.0432</v>
      </c>
      <c r="CK248" s="90">
        <f t="shared" si="653"/>
        <v>21365.607</v>
      </c>
      <c r="CL248" s="88">
        <f t="shared" si="654"/>
        <v>8830</v>
      </c>
      <c r="CM248" s="88">
        <f t="shared" si="655"/>
        <v>1766</v>
      </c>
      <c r="CN248" s="88">
        <f t="shared" si="656"/>
        <v>8110</v>
      </c>
      <c r="CO248" s="88">
        <f t="shared" si="657"/>
        <v>19050</v>
      </c>
      <c r="CP248" s="88">
        <f t="shared" si="658"/>
        <v>520</v>
      </c>
      <c r="CQ248" s="88">
        <f t="shared" si="659"/>
        <v>17290</v>
      </c>
      <c r="CR248" s="88">
        <f t="shared" si="660"/>
        <v>360</v>
      </c>
      <c r="CS248" s="88">
        <f t="shared" si="661"/>
        <v>880</v>
      </c>
      <c r="CT248" s="88">
        <f t="shared" si="662"/>
        <v>6726.7996999999996</v>
      </c>
      <c r="CU248" s="88">
        <f t="shared" si="663"/>
        <v>5800</v>
      </c>
      <c r="CV248" s="88">
        <f t="shared" si="664"/>
        <v>540</v>
      </c>
      <c r="CW248" s="88">
        <f t="shared" si="665"/>
        <v>770</v>
      </c>
      <c r="CX248" s="88">
        <f t="shared" si="666"/>
        <v>80</v>
      </c>
      <c r="CY248" s="88">
        <f t="shared" si="667"/>
        <v>1050</v>
      </c>
      <c r="CZ248" s="88">
        <f t="shared" si="668"/>
        <v>23132.2003</v>
      </c>
      <c r="DA248" s="90">
        <f t="shared" si="669"/>
        <v>17766.6669</v>
      </c>
      <c r="DB248" s="90">
        <f t="shared" si="670"/>
        <v>5365.5334000000003</v>
      </c>
      <c r="DC248" s="88">
        <f t="shared" si="671"/>
        <v>3520</v>
      </c>
      <c r="DD248" s="88">
        <f t="shared" si="672"/>
        <v>169721.6502</v>
      </c>
      <c r="AUV248" s="699">
        <f t="shared" si="586"/>
        <v>92112.65</v>
      </c>
      <c r="AUW248" s="699">
        <f t="shared" si="587"/>
        <v>70747.039999999994</v>
      </c>
      <c r="AUX248" s="699">
        <f t="shared" si="588"/>
        <v>21365.61</v>
      </c>
      <c r="AUY248" s="699">
        <f t="shared" si="741"/>
        <v>8830</v>
      </c>
      <c r="AUZ248" s="699">
        <f t="shared" si="615"/>
        <v>442555.38</v>
      </c>
      <c r="AVA248" s="699">
        <f t="shared" si="615"/>
        <v>79.47</v>
      </c>
      <c r="AVB248" s="699">
        <f t="shared" si="742"/>
        <v>19050</v>
      </c>
      <c r="AVC248" s="699">
        <f t="shared" si="743"/>
        <v>520</v>
      </c>
      <c r="AVD248" s="699">
        <f t="shared" si="744"/>
        <v>17290</v>
      </c>
      <c r="AVE248" s="699">
        <f t="shared" si="745"/>
        <v>360</v>
      </c>
      <c r="AVF248" s="699">
        <f t="shared" si="746"/>
        <v>880</v>
      </c>
      <c r="AVG248" s="699">
        <f t="shared" si="747"/>
        <v>6726.8</v>
      </c>
      <c r="AVH248" s="699">
        <f t="shared" si="748"/>
        <v>5800</v>
      </c>
      <c r="AVI248" s="699">
        <f t="shared" si="749"/>
        <v>540</v>
      </c>
      <c r="AVJ248" s="699">
        <f t="shared" si="750"/>
        <v>770</v>
      </c>
      <c r="AVK248" s="699">
        <f t="shared" si="751"/>
        <v>80</v>
      </c>
      <c r="AVL248" s="699">
        <f t="shared" si="752"/>
        <v>1050</v>
      </c>
      <c r="AVM248" s="699">
        <f t="shared" si="753"/>
        <v>23132.2</v>
      </c>
      <c r="AVN248" s="699">
        <f t="shared" si="754"/>
        <v>17766.669999999998</v>
      </c>
      <c r="AVO248" s="699">
        <f t="shared" si="755"/>
        <v>5365.53</v>
      </c>
      <c r="AVP248" s="699">
        <f t="shared" si="756"/>
        <v>3520</v>
      </c>
      <c r="AVQ248" s="699">
        <f t="shared" si="757"/>
        <v>169721.65</v>
      </c>
    </row>
    <row r="249" spans="1:108 1244:1265" ht="30" customHeight="1" x14ac:dyDescent="0.25">
      <c r="A249" s="643">
        <v>1</v>
      </c>
      <c r="B249" s="643">
        <v>12</v>
      </c>
      <c r="C249" s="664" t="s">
        <v>27</v>
      </c>
      <c r="D249" s="2"/>
      <c r="E249" s="101" t="s">
        <v>344</v>
      </c>
      <c r="F249" s="643" t="s">
        <v>31</v>
      </c>
      <c r="G249" s="643">
        <v>1</v>
      </c>
      <c r="H249" s="658" t="s">
        <v>10</v>
      </c>
      <c r="I249" s="643">
        <v>0</v>
      </c>
      <c r="J249" s="101" t="s">
        <v>356</v>
      </c>
      <c r="K249" s="643">
        <v>3</v>
      </c>
      <c r="L249" s="683" t="s">
        <v>349</v>
      </c>
      <c r="M249" s="11" t="s">
        <v>256</v>
      </c>
      <c r="N249" s="101" t="s">
        <v>401</v>
      </c>
      <c r="O249" s="643">
        <v>2</v>
      </c>
      <c r="P249" s="632">
        <v>9</v>
      </c>
      <c r="Q249" s="632">
        <v>9</v>
      </c>
      <c r="R249" s="632">
        <v>9</v>
      </c>
      <c r="S249" s="675">
        <f>SUMIF('Территориальный кк'!$A:$A,'2020'!$B249,'Территориальный кк'!D:D)</f>
        <v>1.4350000000000001</v>
      </c>
      <c r="T249" s="676">
        <f>SUMIF('Территориальный кк'!$A:$A,'2020'!$B249,'Территориальный кк'!E:E)</f>
        <v>2.5099999999999998</v>
      </c>
      <c r="U249" s="618">
        <f>SUMIFS(Нормативы!G:G,Нормативы!$B:$B,$G249,Нормативы!$D:$D,'2020'!$I249,Нормативы!$F:$F,'2020'!$K249)*O249</f>
        <v>128380</v>
      </c>
      <c r="V249" s="618">
        <f t="shared" si="674"/>
        <v>98602.2</v>
      </c>
      <c r="W249" s="618">
        <f t="shared" si="675"/>
        <v>29777.8</v>
      </c>
      <c r="X249" s="618">
        <f>SUMIFS(Нормативы!J:J,Нормативы!$B:$B,$G249,Нормативы!$D:$D,'2020'!$I249,Нормативы!$F:$F,'2020'!$K249)</f>
        <v>8830</v>
      </c>
      <c r="Y249" s="618">
        <f>SUMIFS(Нормативы!K:K,Нормативы!$B:$B,$G249,Нормативы!$D:$D,'2020'!$I249,Нормативы!$F:$F,'2020'!$K249)</f>
        <v>1766</v>
      </c>
      <c r="Z249" s="618">
        <f>SUMIFS(Нормативы!L:L,Нормативы!$B:$B,$G249,Нормативы!$D:$D,'2020'!$I249,Нормативы!$F:$F,'2020'!$K249)</f>
        <v>8110</v>
      </c>
      <c r="AA249" s="618">
        <f t="shared" si="676"/>
        <v>19930</v>
      </c>
      <c r="AB249" s="618">
        <f>SUMIFS(Нормативы!N:N,Нормативы!$B:$B,$G249,Нормативы!$D:$D,'2020'!$I249,Нормативы!$F:$F,'2020'!$K249)*O249</f>
        <v>1040</v>
      </c>
      <c r="AC249" s="618">
        <f>SUMIFS(Нормативы!O:O,Нормативы!$B:$B,$G249,Нормативы!$D:$D,'2020'!$I249,Нормативы!$F:$F,'2020'!$K249)</f>
        <v>17290</v>
      </c>
      <c r="AD249" s="618">
        <f>SUMIFS(Нормативы!P:P,Нормативы!$B:$B,$G249,Нормативы!$D:$D,'2020'!$I249,Нормативы!$F:$F,'2020'!$K249)*O249</f>
        <v>720</v>
      </c>
      <c r="AE249" s="618">
        <f>SUMIFS(Нормативы!Q:Q,Нормативы!$B:$B,$G249,Нормативы!$D:$D,'2020'!$I249,Нормативы!$F:$F,'2020'!$K249)</f>
        <v>880</v>
      </c>
      <c r="AF249" s="618">
        <f>SUMIFS(Нормативы!R:R,Нормативы!$B:$B,$G249,Нормативы!$D:$D,'2020'!$I249,Нормативы!$F:$F,'2020'!$K249)</f>
        <v>2680</v>
      </c>
      <c r="AG249" s="618">
        <f>SUMIFS(Нормативы!S:S,Нормативы!$B:$B,$G249,Нормативы!$D:$D,'2020'!$I249,Нормативы!$F:$F,'2020'!$K249)</f>
        <v>5800</v>
      </c>
      <c r="AH249" s="618">
        <f>SUMIFS(Нормативы!T:T,Нормативы!$B:$B,$G249,Нормативы!$D:$D,'2020'!$I249,Нормативы!$F:$F,'2020'!$K249)</f>
        <v>540</v>
      </c>
      <c r="AI249" s="618">
        <f>SUMIFS(Нормативы!U:U,Нормативы!$B:$B,$G249,Нормативы!$D:$D,'2020'!$I249,Нормативы!$F:$F,'2020'!$K249)</f>
        <v>770</v>
      </c>
      <c r="AJ249" s="618">
        <f>SUMIFS(Нормативы!V:V,Нормативы!$B:$B,$G249,Нормативы!$D:$D,'2020'!$I249,Нормативы!$F:$F,'2020'!$K249)</f>
        <v>80</v>
      </c>
      <c r="AK249" s="618">
        <f>SUMIFS(Нормативы!W:W,Нормативы!$B:$B,$G249,Нормативы!$D:$D,'2020'!$I249,Нормативы!$F:$F,'2020'!$K249)</f>
        <v>1050</v>
      </c>
      <c r="AL249" s="618">
        <f>SUMIFS(Нормативы!X:X,Нормативы!$B:$B,$G249,Нормативы!$D:$D,'2020'!$I249,Нормативы!$F:$F,'2020'!$K249)*O249</f>
        <v>32240</v>
      </c>
      <c r="AM249" s="618">
        <f t="shared" si="677"/>
        <v>24761.9</v>
      </c>
      <c r="AN249" s="618">
        <f t="shared" si="678"/>
        <v>7478.1</v>
      </c>
      <c r="AO249" s="618">
        <f>SUMIFS(Нормативы!AA:AA,Нормативы!$B:$B,$G249,Нормативы!$D:$D,'2020'!$I249,Нормативы!$F:$F,'2020'!$K249)</f>
        <v>3520</v>
      </c>
      <c r="AP249" s="619">
        <f t="shared" si="679"/>
        <v>211930</v>
      </c>
      <c r="AQ249" s="413">
        <f t="shared" si="616"/>
        <v>1155420</v>
      </c>
      <c r="AR249" s="618">
        <f t="shared" si="680"/>
        <v>887419.4</v>
      </c>
      <c r="AS249" s="618">
        <f t="shared" si="681"/>
        <v>268000.59999999998</v>
      </c>
      <c r="AT249" s="616">
        <f t="shared" si="617"/>
        <v>79470</v>
      </c>
      <c r="AU249" s="616">
        <f t="shared" si="618"/>
        <v>15894</v>
      </c>
      <c r="AV249" s="616">
        <f t="shared" si="619"/>
        <v>72990</v>
      </c>
      <c r="AW249" s="616">
        <f t="shared" si="620"/>
        <v>179370</v>
      </c>
      <c r="AX249" s="616">
        <f t="shared" si="621"/>
        <v>9360</v>
      </c>
      <c r="AY249" s="616">
        <f t="shared" si="622"/>
        <v>155610</v>
      </c>
      <c r="AZ249" s="616">
        <f t="shared" si="623"/>
        <v>6480</v>
      </c>
      <c r="BA249" s="616">
        <f t="shared" si="624"/>
        <v>7920</v>
      </c>
      <c r="BB249" s="616">
        <f t="shared" si="625"/>
        <v>24120</v>
      </c>
      <c r="BC249" s="616">
        <f t="shared" si="626"/>
        <v>52200</v>
      </c>
      <c r="BD249" s="616">
        <f t="shared" si="627"/>
        <v>4860</v>
      </c>
      <c r="BE249" s="616">
        <f t="shared" si="628"/>
        <v>6930</v>
      </c>
      <c r="BF249" s="616">
        <f t="shared" si="629"/>
        <v>720</v>
      </c>
      <c r="BG249" s="616">
        <f t="shared" si="630"/>
        <v>9450</v>
      </c>
      <c r="BH249" s="616">
        <f t="shared" si="631"/>
        <v>290160</v>
      </c>
      <c r="BI249" s="618">
        <f t="shared" si="682"/>
        <v>222857.1</v>
      </c>
      <c r="BJ249" s="618">
        <f t="shared" si="683"/>
        <v>67302.899999999994</v>
      </c>
      <c r="BK249" s="616">
        <f t="shared" si="632"/>
        <v>31680</v>
      </c>
      <c r="BL249" s="620">
        <f t="shared" si="633"/>
        <v>1907370</v>
      </c>
      <c r="BM249" s="616">
        <f t="shared" si="634"/>
        <v>1658028</v>
      </c>
      <c r="BN249" s="618">
        <f t="shared" si="635"/>
        <v>1273447</v>
      </c>
      <c r="BO249" s="618">
        <f t="shared" si="636"/>
        <v>384581</v>
      </c>
      <c r="BP249" s="616">
        <f t="shared" si="684"/>
        <v>79470</v>
      </c>
      <c r="BQ249" s="616">
        <f t="shared" si="685"/>
        <v>15894</v>
      </c>
      <c r="BR249" s="616">
        <f t="shared" si="686"/>
        <v>72990</v>
      </c>
      <c r="BS249" s="616">
        <f t="shared" si="637"/>
        <v>179370</v>
      </c>
      <c r="BT249" s="616">
        <f t="shared" si="638"/>
        <v>9360</v>
      </c>
      <c r="BU249" s="616">
        <f t="shared" si="639"/>
        <v>155610</v>
      </c>
      <c r="BV249" s="616">
        <f t="shared" si="640"/>
        <v>6480</v>
      </c>
      <c r="BW249" s="616">
        <f t="shared" si="641"/>
        <v>7920</v>
      </c>
      <c r="BX249" s="616">
        <f t="shared" si="642"/>
        <v>60541</v>
      </c>
      <c r="BY249" s="616">
        <f t="shared" si="643"/>
        <v>52200</v>
      </c>
      <c r="BZ249" s="616">
        <f t="shared" si="644"/>
        <v>4860</v>
      </c>
      <c r="CA249" s="616">
        <f t="shared" si="645"/>
        <v>6930</v>
      </c>
      <c r="CB249" s="616">
        <f t="shared" si="646"/>
        <v>720</v>
      </c>
      <c r="CC249" s="616">
        <f t="shared" si="647"/>
        <v>9450</v>
      </c>
      <c r="CD249" s="616">
        <f t="shared" si="648"/>
        <v>416380</v>
      </c>
      <c r="CE249" s="618">
        <f t="shared" si="687"/>
        <v>319800.3</v>
      </c>
      <c r="CF249" s="618">
        <f t="shared" si="688"/>
        <v>96579.7</v>
      </c>
      <c r="CG249" s="616">
        <f t="shared" si="649"/>
        <v>31680</v>
      </c>
      <c r="CH249" s="621">
        <f t="shared" si="650"/>
        <v>2572619</v>
      </c>
      <c r="CI249" s="88">
        <f t="shared" si="651"/>
        <v>184225.3333</v>
      </c>
      <c r="CJ249" s="90">
        <f t="shared" si="652"/>
        <v>141494.11110000001</v>
      </c>
      <c r="CK249" s="90">
        <f t="shared" si="653"/>
        <v>42731.222199999997</v>
      </c>
      <c r="CL249" s="88">
        <f t="shared" si="654"/>
        <v>8830</v>
      </c>
      <c r="CM249" s="88">
        <f t="shared" si="655"/>
        <v>1766</v>
      </c>
      <c r="CN249" s="88">
        <f t="shared" si="656"/>
        <v>8110</v>
      </c>
      <c r="CO249" s="88">
        <f t="shared" si="657"/>
        <v>19930</v>
      </c>
      <c r="CP249" s="88">
        <f t="shared" si="658"/>
        <v>1040</v>
      </c>
      <c r="CQ249" s="88">
        <f t="shared" si="659"/>
        <v>17290</v>
      </c>
      <c r="CR249" s="88">
        <f t="shared" si="660"/>
        <v>720</v>
      </c>
      <c r="CS249" s="88">
        <f t="shared" si="661"/>
        <v>880</v>
      </c>
      <c r="CT249" s="88">
        <f t="shared" si="662"/>
        <v>6726.7777999999998</v>
      </c>
      <c r="CU249" s="88">
        <f t="shared" si="663"/>
        <v>5800</v>
      </c>
      <c r="CV249" s="88">
        <f t="shared" si="664"/>
        <v>540</v>
      </c>
      <c r="CW249" s="88">
        <f t="shared" si="665"/>
        <v>770</v>
      </c>
      <c r="CX249" s="88">
        <f t="shared" si="666"/>
        <v>80</v>
      </c>
      <c r="CY249" s="88">
        <f t="shared" si="667"/>
        <v>1050</v>
      </c>
      <c r="CZ249" s="88">
        <f t="shared" si="668"/>
        <v>46264.4444</v>
      </c>
      <c r="DA249" s="90">
        <f t="shared" si="669"/>
        <v>35533.366699999999</v>
      </c>
      <c r="DB249" s="90">
        <f t="shared" si="670"/>
        <v>10731.077799999999</v>
      </c>
      <c r="DC249" s="88">
        <f t="shared" si="671"/>
        <v>3520</v>
      </c>
      <c r="DD249" s="88">
        <f t="shared" si="672"/>
        <v>285846.55560000002</v>
      </c>
      <c r="AUV249" s="699">
        <f t="shared" si="586"/>
        <v>184225.33</v>
      </c>
      <c r="AUW249" s="699">
        <f t="shared" si="587"/>
        <v>141494.10999999999</v>
      </c>
      <c r="AUX249" s="699">
        <f t="shared" si="588"/>
        <v>42731.22</v>
      </c>
      <c r="AUY249" s="699">
        <f t="shared" si="741"/>
        <v>8830</v>
      </c>
      <c r="AUZ249" s="699">
        <f t="shared" si="615"/>
        <v>6332.27</v>
      </c>
      <c r="AVA249" s="699">
        <f t="shared" si="615"/>
        <v>0.56999999999999995</v>
      </c>
      <c r="AVB249" s="699">
        <f t="shared" si="742"/>
        <v>19930</v>
      </c>
      <c r="AVC249" s="699">
        <f t="shared" si="743"/>
        <v>1040</v>
      </c>
      <c r="AVD249" s="699">
        <f t="shared" si="744"/>
        <v>17290</v>
      </c>
      <c r="AVE249" s="699">
        <f t="shared" si="745"/>
        <v>720</v>
      </c>
      <c r="AVF249" s="699">
        <f t="shared" si="746"/>
        <v>880</v>
      </c>
      <c r="AVG249" s="699">
        <f t="shared" si="747"/>
        <v>6726.78</v>
      </c>
      <c r="AVH249" s="699">
        <f t="shared" si="748"/>
        <v>5800</v>
      </c>
      <c r="AVI249" s="699">
        <f t="shared" si="749"/>
        <v>540</v>
      </c>
      <c r="AVJ249" s="699">
        <f t="shared" si="750"/>
        <v>770</v>
      </c>
      <c r="AVK249" s="699">
        <f t="shared" si="751"/>
        <v>80</v>
      </c>
      <c r="AVL249" s="699">
        <f t="shared" si="752"/>
        <v>1050</v>
      </c>
      <c r="AVM249" s="699">
        <f t="shared" si="753"/>
        <v>46264.44</v>
      </c>
      <c r="AVN249" s="699">
        <f t="shared" si="754"/>
        <v>35533.360000000001</v>
      </c>
      <c r="AVO249" s="699">
        <f t="shared" si="755"/>
        <v>10731.08</v>
      </c>
      <c r="AVP249" s="699">
        <f t="shared" si="756"/>
        <v>3520</v>
      </c>
      <c r="AVQ249" s="699">
        <f t="shared" si="757"/>
        <v>285846.56</v>
      </c>
    </row>
    <row r="250" spans="1:108 1244:1265" ht="30" customHeight="1" x14ac:dyDescent="0.25">
      <c r="A250" s="643">
        <v>1</v>
      </c>
      <c r="B250" s="643">
        <v>12</v>
      </c>
      <c r="C250" s="664" t="s">
        <v>27</v>
      </c>
      <c r="D250" s="2"/>
      <c r="E250" s="101" t="s">
        <v>344</v>
      </c>
      <c r="F250" s="643" t="s">
        <v>31</v>
      </c>
      <c r="G250" s="643">
        <v>1</v>
      </c>
      <c r="H250" s="658" t="s">
        <v>8</v>
      </c>
      <c r="I250" s="643">
        <v>3</v>
      </c>
      <c r="J250" s="101" t="s">
        <v>356</v>
      </c>
      <c r="K250" s="643">
        <v>3</v>
      </c>
      <c r="L250" s="683" t="s">
        <v>349</v>
      </c>
      <c r="M250" s="11" t="s">
        <v>257</v>
      </c>
      <c r="N250" s="101" t="s">
        <v>387</v>
      </c>
      <c r="O250" s="643">
        <v>1</v>
      </c>
      <c r="P250" s="632">
        <v>203</v>
      </c>
      <c r="Q250" s="632">
        <v>203</v>
      </c>
      <c r="R250" s="632">
        <v>203</v>
      </c>
      <c r="S250" s="675">
        <f>SUMIF('Территориальный кк'!$A:$A,'2020'!$B250,'Территориальный кк'!D:D)</f>
        <v>1.4350000000000001</v>
      </c>
      <c r="T250" s="676">
        <f>SUMIF('Территориальный кк'!$A:$A,'2020'!$B250,'Территориальный кк'!E:E)</f>
        <v>2.5099999999999998</v>
      </c>
      <c r="U250" s="618">
        <f>SUMIFS(Нормативы!G:G,Нормативы!$B:$B,$G250,Нормативы!$D:$D,'2020'!$I250,Нормативы!$F:$F,'2020'!$K250)*O250</f>
        <v>6419</v>
      </c>
      <c r="V250" s="618">
        <f t="shared" si="674"/>
        <v>4930.1000000000004</v>
      </c>
      <c r="W250" s="618">
        <f t="shared" si="675"/>
        <v>1488.9</v>
      </c>
      <c r="X250" s="618">
        <f>SUMIFS(Нормативы!J:J,Нормативы!$B:$B,$G250,Нормативы!$D:$D,'2020'!$I250,Нормативы!$F:$F,'2020'!$K250)</f>
        <v>883</v>
      </c>
      <c r="Y250" s="618">
        <f>SUMIFS(Нормативы!K:K,Нормативы!$B:$B,$G250,Нормативы!$D:$D,'2020'!$I250,Нормативы!$F:$F,'2020'!$K250)</f>
        <v>177</v>
      </c>
      <c r="Z250" s="618">
        <f>SUMIFS(Нормативы!L:L,Нормативы!$B:$B,$G250,Нормативы!$D:$D,'2020'!$I250,Нормативы!$F:$F,'2020'!$K250)</f>
        <v>811</v>
      </c>
      <c r="AA250" s="618">
        <f t="shared" si="676"/>
        <v>1905</v>
      </c>
      <c r="AB250" s="618">
        <f>SUMIFS(Нормативы!N:N,Нормативы!$B:$B,$G250,Нормативы!$D:$D,'2020'!$I250,Нормативы!$F:$F,'2020'!$K250)*O250</f>
        <v>52</v>
      </c>
      <c r="AC250" s="618">
        <f>SUMIFS(Нормативы!O:O,Нормативы!$B:$B,$G250,Нормативы!$D:$D,'2020'!$I250,Нормативы!$F:$F,'2020'!$K250)</f>
        <v>1729</v>
      </c>
      <c r="AD250" s="618">
        <f>SUMIFS(Нормативы!P:P,Нормативы!$B:$B,$G250,Нормативы!$D:$D,'2020'!$I250,Нормативы!$F:$F,'2020'!$K250)*O250</f>
        <v>36</v>
      </c>
      <c r="AE250" s="618">
        <f>SUMIFS(Нормативы!Q:Q,Нормативы!$B:$B,$G250,Нормативы!$D:$D,'2020'!$I250,Нормативы!$F:$F,'2020'!$K250)</f>
        <v>88</v>
      </c>
      <c r="AF250" s="618">
        <f>SUMIFS(Нормативы!R:R,Нормативы!$B:$B,$G250,Нормативы!$D:$D,'2020'!$I250,Нормативы!$F:$F,'2020'!$K250)</f>
        <v>268</v>
      </c>
      <c r="AG250" s="618">
        <f>SUMIFS(Нормативы!S:S,Нормативы!$B:$B,$G250,Нормативы!$D:$D,'2020'!$I250,Нормативы!$F:$F,'2020'!$K250)</f>
        <v>580</v>
      </c>
      <c r="AH250" s="618">
        <f>SUMIFS(Нормативы!T:T,Нормативы!$B:$B,$G250,Нормативы!$D:$D,'2020'!$I250,Нормативы!$F:$F,'2020'!$K250)</f>
        <v>54</v>
      </c>
      <c r="AI250" s="618">
        <f>SUMIFS(Нормативы!U:U,Нормативы!$B:$B,$G250,Нормативы!$D:$D,'2020'!$I250,Нормативы!$F:$F,'2020'!$K250)</f>
        <v>77</v>
      </c>
      <c r="AJ250" s="618">
        <f>SUMIFS(Нормативы!V:V,Нормативы!$B:$B,$G250,Нормативы!$D:$D,'2020'!$I250,Нормативы!$F:$F,'2020'!$K250)</f>
        <v>8</v>
      </c>
      <c r="AK250" s="618">
        <f>SUMIFS(Нормативы!W:W,Нормативы!$B:$B,$G250,Нормативы!$D:$D,'2020'!$I250,Нормативы!$F:$F,'2020'!$K250)</f>
        <v>105</v>
      </c>
      <c r="AL250" s="618">
        <f>SUMIFS(Нормативы!X:X,Нормативы!$B:$B,$G250,Нормативы!$D:$D,'2020'!$I250,Нормативы!$F:$F,'2020'!$K250)*O250</f>
        <v>1612</v>
      </c>
      <c r="AM250" s="618">
        <f t="shared" si="677"/>
        <v>1238.0999999999999</v>
      </c>
      <c r="AN250" s="618">
        <f t="shared" si="678"/>
        <v>373.9</v>
      </c>
      <c r="AO250" s="618">
        <f>SUMIFS(Нормативы!AA:AA,Нормативы!$B:$B,$G250,Нормативы!$D:$D,'2020'!$I250,Нормативы!$F:$F,'2020'!$K250)</f>
        <v>0</v>
      </c>
      <c r="AP250" s="619">
        <f t="shared" si="679"/>
        <v>12722</v>
      </c>
      <c r="AQ250" s="413">
        <f t="shared" si="616"/>
        <v>1303057</v>
      </c>
      <c r="AR250" s="618">
        <f t="shared" si="680"/>
        <v>1000811.8</v>
      </c>
      <c r="AS250" s="618">
        <f t="shared" si="681"/>
        <v>302245.2</v>
      </c>
      <c r="AT250" s="616">
        <f t="shared" si="617"/>
        <v>179249</v>
      </c>
      <c r="AU250" s="616">
        <f t="shared" si="618"/>
        <v>35931</v>
      </c>
      <c r="AV250" s="616">
        <f t="shared" si="619"/>
        <v>164633</v>
      </c>
      <c r="AW250" s="616">
        <f t="shared" si="620"/>
        <v>386715</v>
      </c>
      <c r="AX250" s="616">
        <f t="shared" si="621"/>
        <v>10556</v>
      </c>
      <c r="AY250" s="616">
        <f t="shared" si="622"/>
        <v>350987</v>
      </c>
      <c r="AZ250" s="616">
        <f t="shared" si="623"/>
        <v>7308</v>
      </c>
      <c r="BA250" s="616">
        <f t="shared" si="624"/>
        <v>17864</v>
      </c>
      <c r="BB250" s="616">
        <f t="shared" si="625"/>
        <v>54404</v>
      </c>
      <c r="BC250" s="616">
        <f t="shared" si="626"/>
        <v>117740</v>
      </c>
      <c r="BD250" s="616">
        <f t="shared" si="627"/>
        <v>10962</v>
      </c>
      <c r="BE250" s="616">
        <f t="shared" si="628"/>
        <v>15631</v>
      </c>
      <c r="BF250" s="616">
        <f t="shared" si="629"/>
        <v>1624</v>
      </c>
      <c r="BG250" s="616">
        <f t="shared" si="630"/>
        <v>21315</v>
      </c>
      <c r="BH250" s="616">
        <f t="shared" si="631"/>
        <v>327236</v>
      </c>
      <c r="BI250" s="618">
        <f t="shared" si="682"/>
        <v>251333.3</v>
      </c>
      <c r="BJ250" s="618">
        <f t="shared" si="683"/>
        <v>75902.7</v>
      </c>
      <c r="BK250" s="616">
        <f t="shared" si="632"/>
        <v>0</v>
      </c>
      <c r="BL250" s="620">
        <f t="shared" si="633"/>
        <v>2582566</v>
      </c>
      <c r="BM250" s="616">
        <f t="shared" si="634"/>
        <v>1869887</v>
      </c>
      <c r="BN250" s="618">
        <f t="shared" si="635"/>
        <v>1436165.1</v>
      </c>
      <c r="BO250" s="618">
        <f t="shared" si="636"/>
        <v>433721.9</v>
      </c>
      <c r="BP250" s="616">
        <f t="shared" si="684"/>
        <v>179249</v>
      </c>
      <c r="BQ250" s="616">
        <f t="shared" si="685"/>
        <v>35931</v>
      </c>
      <c r="BR250" s="616">
        <f t="shared" si="686"/>
        <v>164633</v>
      </c>
      <c r="BS250" s="616">
        <f t="shared" si="637"/>
        <v>386715</v>
      </c>
      <c r="BT250" s="616">
        <f t="shared" si="638"/>
        <v>10556</v>
      </c>
      <c r="BU250" s="616">
        <f t="shared" si="639"/>
        <v>350987</v>
      </c>
      <c r="BV250" s="616">
        <f t="shared" si="640"/>
        <v>7308</v>
      </c>
      <c r="BW250" s="616">
        <f t="shared" si="641"/>
        <v>17864</v>
      </c>
      <c r="BX250" s="616">
        <f t="shared" si="642"/>
        <v>136554</v>
      </c>
      <c r="BY250" s="616">
        <f t="shared" si="643"/>
        <v>117740</v>
      </c>
      <c r="BZ250" s="616">
        <f t="shared" si="644"/>
        <v>10962</v>
      </c>
      <c r="CA250" s="616">
        <f t="shared" si="645"/>
        <v>15631</v>
      </c>
      <c r="CB250" s="616">
        <f t="shared" si="646"/>
        <v>1624</v>
      </c>
      <c r="CC250" s="616">
        <f t="shared" si="647"/>
        <v>21315</v>
      </c>
      <c r="CD250" s="616">
        <f t="shared" si="648"/>
        <v>469584</v>
      </c>
      <c r="CE250" s="618">
        <f t="shared" si="687"/>
        <v>360663.6</v>
      </c>
      <c r="CF250" s="618">
        <f t="shared" si="688"/>
        <v>108920.4</v>
      </c>
      <c r="CG250" s="616">
        <f t="shared" si="649"/>
        <v>0</v>
      </c>
      <c r="CH250" s="621">
        <f t="shared" si="650"/>
        <v>3373894</v>
      </c>
      <c r="CI250" s="88">
        <f t="shared" si="651"/>
        <v>9211.2659999999996</v>
      </c>
      <c r="CJ250" s="90">
        <f t="shared" si="652"/>
        <v>7074.7048999999997</v>
      </c>
      <c r="CK250" s="90">
        <f t="shared" si="653"/>
        <v>2136.5610999999999</v>
      </c>
      <c r="CL250" s="88">
        <f t="shared" si="654"/>
        <v>883</v>
      </c>
      <c r="CM250" s="88">
        <f t="shared" si="655"/>
        <v>177</v>
      </c>
      <c r="CN250" s="88">
        <f t="shared" si="656"/>
        <v>811</v>
      </c>
      <c r="CO250" s="88">
        <f t="shared" si="657"/>
        <v>1905</v>
      </c>
      <c r="CP250" s="88">
        <f t="shared" si="658"/>
        <v>52</v>
      </c>
      <c r="CQ250" s="88">
        <f t="shared" si="659"/>
        <v>1729</v>
      </c>
      <c r="CR250" s="88">
        <f t="shared" si="660"/>
        <v>36</v>
      </c>
      <c r="CS250" s="88">
        <f t="shared" si="661"/>
        <v>88</v>
      </c>
      <c r="CT250" s="88">
        <f t="shared" si="662"/>
        <v>672.6798</v>
      </c>
      <c r="CU250" s="88">
        <f t="shared" si="663"/>
        <v>580</v>
      </c>
      <c r="CV250" s="88">
        <f t="shared" si="664"/>
        <v>54</v>
      </c>
      <c r="CW250" s="88">
        <f t="shared" si="665"/>
        <v>77</v>
      </c>
      <c r="CX250" s="88">
        <f t="shared" si="666"/>
        <v>8</v>
      </c>
      <c r="CY250" s="88">
        <f t="shared" si="667"/>
        <v>105</v>
      </c>
      <c r="CZ250" s="88">
        <f t="shared" si="668"/>
        <v>2313.2217000000001</v>
      </c>
      <c r="DA250" s="90">
        <f t="shared" si="669"/>
        <v>1776.6679999999999</v>
      </c>
      <c r="DB250" s="90">
        <f t="shared" si="670"/>
        <v>536.55370000000005</v>
      </c>
      <c r="DC250" s="88">
        <f t="shared" si="671"/>
        <v>0</v>
      </c>
      <c r="DD250" s="88">
        <f t="shared" si="672"/>
        <v>16620.1675</v>
      </c>
      <c r="AUV250" s="699">
        <f t="shared" si="586"/>
        <v>9211.27</v>
      </c>
      <c r="AUW250" s="699">
        <f t="shared" si="587"/>
        <v>7074.71</v>
      </c>
      <c r="AUX250" s="699">
        <f t="shared" si="588"/>
        <v>2136.56</v>
      </c>
      <c r="AUY250" s="699">
        <f t="shared" si="741"/>
        <v>883</v>
      </c>
      <c r="AUZ250" s="699">
        <f t="shared" si="615"/>
        <v>14315.14</v>
      </c>
      <c r="AVA250" s="699">
        <f t="shared" si="615"/>
        <v>25.65</v>
      </c>
      <c r="AVB250" s="699">
        <f t="shared" si="742"/>
        <v>1905</v>
      </c>
      <c r="AVC250" s="699">
        <f t="shared" si="743"/>
        <v>52</v>
      </c>
      <c r="AVD250" s="699">
        <f t="shared" si="744"/>
        <v>1729</v>
      </c>
      <c r="AVE250" s="699">
        <f t="shared" si="745"/>
        <v>36</v>
      </c>
      <c r="AVF250" s="699">
        <f t="shared" si="746"/>
        <v>88</v>
      </c>
      <c r="AVG250" s="699">
        <f t="shared" si="747"/>
        <v>672.68</v>
      </c>
      <c r="AVH250" s="699">
        <f t="shared" si="748"/>
        <v>580</v>
      </c>
      <c r="AVI250" s="699">
        <f t="shared" si="749"/>
        <v>54</v>
      </c>
      <c r="AVJ250" s="699">
        <f t="shared" si="750"/>
        <v>77</v>
      </c>
      <c r="AVK250" s="699">
        <f t="shared" si="751"/>
        <v>8</v>
      </c>
      <c r="AVL250" s="699">
        <f t="shared" si="752"/>
        <v>105</v>
      </c>
      <c r="AVM250" s="699">
        <f t="shared" si="753"/>
        <v>2313.2199999999998</v>
      </c>
      <c r="AVN250" s="699">
        <f t="shared" si="754"/>
        <v>1776.67</v>
      </c>
      <c r="AVO250" s="699">
        <f t="shared" si="755"/>
        <v>536.54999999999995</v>
      </c>
      <c r="AVP250" s="699">
        <f t="shared" si="756"/>
        <v>0</v>
      </c>
      <c r="AVQ250" s="699">
        <f t="shared" si="757"/>
        <v>16620.169999999998</v>
      </c>
    </row>
    <row r="251" spans="1:108 1244:1265" ht="30" customHeight="1" x14ac:dyDescent="0.25">
      <c r="A251" s="643">
        <v>1</v>
      </c>
      <c r="B251" s="643">
        <v>12</v>
      </c>
      <c r="C251" s="664" t="s">
        <v>27</v>
      </c>
      <c r="D251" s="2"/>
      <c r="E251" s="101" t="s">
        <v>344</v>
      </c>
      <c r="F251" s="643" t="s">
        <v>31</v>
      </c>
      <c r="G251" s="643">
        <v>1</v>
      </c>
      <c r="H251" s="658" t="s">
        <v>8</v>
      </c>
      <c r="I251" s="643">
        <v>3</v>
      </c>
      <c r="J251" s="101" t="s">
        <v>356</v>
      </c>
      <c r="K251" s="643">
        <v>3</v>
      </c>
      <c r="L251" s="683" t="s">
        <v>349</v>
      </c>
      <c r="M251" s="11" t="s">
        <v>280</v>
      </c>
      <c r="N251" s="101" t="s">
        <v>401</v>
      </c>
      <c r="O251" s="643">
        <v>2</v>
      </c>
      <c r="P251" s="632">
        <v>6</v>
      </c>
      <c r="Q251" s="632">
        <v>6</v>
      </c>
      <c r="R251" s="632">
        <v>6</v>
      </c>
      <c r="S251" s="675">
        <f>SUMIF('Территориальный кк'!$A:$A,'2020'!$B251,'Территориальный кк'!D:D)</f>
        <v>1.4350000000000001</v>
      </c>
      <c r="T251" s="676">
        <f>SUMIF('Территориальный кк'!$A:$A,'2020'!$B251,'Территориальный кк'!E:E)</f>
        <v>2.5099999999999998</v>
      </c>
      <c r="U251" s="618">
        <f>SUMIFS(Нормативы!G:G,Нормативы!$B:$B,$G251,Нормативы!$D:$D,'2020'!$I251,Нормативы!$F:$F,'2020'!$K251)*O251</f>
        <v>12838</v>
      </c>
      <c r="V251" s="618">
        <f t="shared" si="674"/>
        <v>9860.2000000000007</v>
      </c>
      <c r="W251" s="618">
        <f t="shared" si="675"/>
        <v>2977.8</v>
      </c>
      <c r="X251" s="618">
        <f>SUMIFS(Нормативы!J:J,Нормативы!$B:$B,$G251,Нормативы!$D:$D,'2020'!$I251,Нормативы!$F:$F,'2020'!$K251)</f>
        <v>883</v>
      </c>
      <c r="Y251" s="618">
        <f>SUMIFS(Нормативы!K:K,Нормативы!$B:$B,$G251,Нормативы!$D:$D,'2020'!$I251,Нормативы!$F:$F,'2020'!$K251)</f>
        <v>177</v>
      </c>
      <c r="Z251" s="618">
        <f>SUMIFS(Нормативы!L:L,Нормативы!$B:$B,$G251,Нормативы!$D:$D,'2020'!$I251,Нормативы!$F:$F,'2020'!$K251)</f>
        <v>811</v>
      </c>
      <c r="AA251" s="618">
        <f t="shared" si="676"/>
        <v>1993</v>
      </c>
      <c r="AB251" s="618">
        <f>SUMIFS(Нормативы!N:N,Нормативы!$B:$B,$G251,Нормативы!$D:$D,'2020'!$I251,Нормативы!$F:$F,'2020'!$K251)*O251</f>
        <v>104</v>
      </c>
      <c r="AC251" s="618">
        <f>SUMIFS(Нормативы!O:O,Нормативы!$B:$B,$G251,Нормативы!$D:$D,'2020'!$I251,Нормативы!$F:$F,'2020'!$K251)</f>
        <v>1729</v>
      </c>
      <c r="AD251" s="618">
        <f>SUMIFS(Нормативы!P:P,Нормативы!$B:$B,$G251,Нормативы!$D:$D,'2020'!$I251,Нормативы!$F:$F,'2020'!$K251)*O251</f>
        <v>72</v>
      </c>
      <c r="AE251" s="618">
        <f>SUMIFS(Нормативы!Q:Q,Нормативы!$B:$B,$G251,Нормативы!$D:$D,'2020'!$I251,Нормативы!$F:$F,'2020'!$K251)</f>
        <v>88</v>
      </c>
      <c r="AF251" s="618">
        <f>SUMIFS(Нормативы!R:R,Нормативы!$B:$B,$G251,Нормативы!$D:$D,'2020'!$I251,Нормативы!$F:$F,'2020'!$K251)</f>
        <v>268</v>
      </c>
      <c r="AG251" s="618">
        <f>SUMIFS(Нормативы!S:S,Нормативы!$B:$B,$G251,Нормативы!$D:$D,'2020'!$I251,Нормативы!$F:$F,'2020'!$K251)</f>
        <v>580</v>
      </c>
      <c r="AH251" s="618">
        <f>SUMIFS(Нормативы!T:T,Нормативы!$B:$B,$G251,Нормативы!$D:$D,'2020'!$I251,Нормативы!$F:$F,'2020'!$K251)</f>
        <v>54</v>
      </c>
      <c r="AI251" s="618">
        <f>SUMIFS(Нормативы!U:U,Нормативы!$B:$B,$G251,Нормативы!$D:$D,'2020'!$I251,Нормативы!$F:$F,'2020'!$K251)</f>
        <v>77</v>
      </c>
      <c r="AJ251" s="618">
        <f>SUMIFS(Нормативы!V:V,Нормативы!$B:$B,$G251,Нормативы!$D:$D,'2020'!$I251,Нормативы!$F:$F,'2020'!$K251)</f>
        <v>8</v>
      </c>
      <c r="AK251" s="618">
        <f>SUMIFS(Нормативы!W:W,Нормативы!$B:$B,$G251,Нормативы!$D:$D,'2020'!$I251,Нормативы!$F:$F,'2020'!$K251)</f>
        <v>105</v>
      </c>
      <c r="AL251" s="618">
        <f>SUMIFS(Нормативы!X:X,Нормативы!$B:$B,$G251,Нормативы!$D:$D,'2020'!$I251,Нормативы!$F:$F,'2020'!$K251)*O251</f>
        <v>3224</v>
      </c>
      <c r="AM251" s="618">
        <f t="shared" si="677"/>
        <v>2476.1999999999998</v>
      </c>
      <c r="AN251" s="618">
        <f t="shared" si="678"/>
        <v>747.8</v>
      </c>
      <c r="AO251" s="618">
        <f>SUMIFS(Нормативы!AA:AA,Нормативы!$B:$B,$G251,Нормативы!$D:$D,'2020'!$I251,Нормативы!$F:$F,'2020'!$K251)</f>
        <v>0</v>
      </c>
      <c r="AP251" s="619">
        <f t="shared" si="679"/>
        <v>20841</v>
      </c>
      <c r="AQ251" s="413">
        <f t="shared" si="616"/>
        <v>77028</v>
      </c>
      <c r="AR251" s="618">
        <f t="shared" si="680"/>
        <v>59161.3</v>
      </c>
      <c r="AS251" s="618">
        <f t="shared" si="681"/>
        <v>17866.7</v>
      </c>
      <c r="AT251" s="616">
        <f t="shared" si="617"/>
        <v>5298</v>
      </c>
      <c r="AU251" s="616">
        <f t="shared" si="618"/>
        <v>1062</v>
      </c>
      <c r="AV251" s="616">
        <f t="shared" si="619"/>
        <v>4866</v>
      </c>
      <c r="AW251" s="616">
        <f t="shared" si="620"/>
        <v>11958</v>
      </c>
      <c r="AX251" s="616">
        <f t="shared" si="621"/>
        <v>624</v>
      </c>
      <c r="AY251" s="616">
        <f t="shared" si="622"/>
        <v>10374</v>
      </c>
      <c r="AZ251" s="616">
        <f t="shared" si="623"/>
        <v>432</v>
      </c>
      <c r="BA251" s="616">
        <f t="shared" si="624"/>
        <v>528</v>
      </c>
      <c r="BB251" s="616">
        <f t="shared" si="625"/>
        <v>1608</v>
      </c>
      <c r="BC251" s="616">
        <f t="shared" si="626"/>
        <v>3480</v>
      </c>
      <c r="BD251" s="616">
        <f t="shared" si="627"/>
        <v>324</v>
      </c>
      <c r="BE251" s="616">
        <f t="shared" si="628"/>
        <v>462</v>
      </c>
      <c r="BF251" s="616">
        <f t="shared" si="629"/>
        <v>48</v>
      </c>
      <c r="BG251" s="616">
        <f t="shared" si="630"/>
        <v>630</v>
      </c>
      <c r="BH251" s="616">
        <f t="shared" si="631"/>
        <v>19344</v>
      </c>
      <c r="BI251" s="618">
        <f t="shared" si="682"/>
        <v>14857.1</v>
      </c>
      <c r="BJ251" s="618">
        <f t="shared" si="683"/>
        <v>4486.8999999999996</v>
      </c>
      <c r="BK251" s="616">
        <f t="shared" si="632"/>
        <v>0</v>
      </c>
      <c r="BL251" s="620">
        <f t="shared" si="633"/>
        <v>125046</v>
      </c>
      <c r="BM251" s="616">
        <f t="shared" si="634"/>
        <v>110535</v>
      </c>
      <c r="BN251" s="618">
        <f t="shared" si="635"/>
        <v>84896.3</v>
      </c>
      <c r="BO251" s="618">
        <f t="shared" si="636"/>
        <v>25638.7</v>
      </c>
      <c r="BP251" s="616">
        <f t="shared" si="684"/>
        <v>5298</v>
      </c>
      <c r="BQ251" s="616">
        <f t="shared" si="685"/>
        <v>1062</v>
      </c>
      <c r="BR251" s="616">
        <f t="shared" si="686"/>
        <v>4866</v>
      </c>
      <c r="BS251" s="616">
        <f t="shared" si="637"/>
        <v>11958</v>
      </c>
      <c r="BT251" s="616">
        <f t="shared" si="638"/>
        <v>624</v>
      </c>
      <c r="BU251" s="616">
        <f t="shared" si="639"/>
        <v>10374</v>
      </c>
      <c r="BV251" s="616">
        <f t="shared" si="640"/>
        <v>432</v>
      </c>
      <c r="BW251" s="616">
        <f t="shared" si="641"/>
        <v>528</v>
      </c>
      <c r="BX251" s="616">
        <f t="shared" si="642"/>
        <v>4036</v>
      </c>
      <c r="BY251" s="616">
        <f t="shared" si="643"/>
        <v>3480</v>
      </c>
      <c r="BZ251" s="616">
        <f t="shared" si="644"/>
        <v>324</v>
      </c>
      <c r="CA251" s="616">
        <f t="shared" si="645"/>
        <v>462</v>
      </c>
      <c r="CB251" s="616">
        <f t="shared" si="646"/>
        <v>48</v>
      </c>
      <c r="CC251" s="616">
        <f t="shared" si="647"/>
        <v>630</v>
      </c>
      <c r="CD251" s="616">
        <f t="shared" si="648"/>
        <v>27759</v>
      </c>
      <c r="CE251" s="618">
        <f t="shared" si="687"/>
        <v>21320.3</v>
      </c>
      <c r="CF251" s="618">
        <f t="shared" si="688"/>
        <v>6438.7</v>
      </c>
      <c r="CG251" s="616">
        <f t="shared" si="649"/>
        <v>0</v>
      </c>
      <c r="CH251" s="621">
        <f t="shared" si="650"/>
        <v>169396</v>
      </c>
      <c r="CI251" s="88">
        <f t="shared" si="651"/>
        <v>18422.5</v>
      </c>
      <c r="CJ251" s="90">
        <f t="shared" si="652"/>
        <v>14149.3833</v>
      </c>
      <c r="CK251" s="90">
        <f t="shared" si="653"/>
        <v>4273.1166999999996</v>
      </c>
      <c r="CL251" s="88">
        <f t="shared" si="654"/>
        <v>883</v>
      </c>
      <c r="CM251" s="88">
        <f t="shared" si="655"/>
        <v>177</v>
      </c>
      <c r="CN251" s="88">
        <f t="shared" si="656"/>
        <v>811</v>
      </c>
      <c r="CO251" s="88">
        <f t="shared" si="657"/>
        <v>1993</v>
      </c>
      <c r="CP251" s="88">
        <f t="shared" si="658"/>
        <v>104</v>
      </c>
      <c r="CQ251" s="88">
        <f t="shared" si="659"/>
        <v>1729</v>
      </c>
      <c r="CR251" s="88">
        <f t="shared" si="660"/>
        <v>72</v>
      </c>
      <c r="CS251" s="88">
        <f t="shared" si="661"/>
        <v>88</v>
      </c>
      <c r="CT251" s="88">
        <f t="shared" si="662"/>
        <v>672.66669999999999</v>
      </c>
      <c r="CU251" s="88">
        <f t="shared" si="663"/>
        <v>580</v>
      </c>
      <c r="CV251" s="88">
        <f t="shared" si="664"/>
        <v>54</v>
      </c>
      <c r="CW251" s="88">
        <f t="shared" si="665"/>
        <v>77</v>
      </c>
      <c r="CX251" s="88">
        <f t="shared" si="666"/>
        <v>8</v>
      </c>
      <c r="CY251" s="88">
        <f t="shared" si="667"/>
        <v>105</v>
      </c>
      <c r="CZ251" s="88">
        <f t="shared" si="668"/>
        <v>4626.5</v>
      </c>
      <c r="DA251" s="90">
        <f t="shared" si="669"/>
        <v>3553.3833</v>
      </c>
      <c r="DB251" s="90">
        <f t="shared" si="670"/>
        <v>1073.1167</v>
      </c>
      <c r="DC251" s="88">
        <f t="shared" si="671"/>
        <v>0</v>
      </c>
      <c r="DD251" s="88">
        <f t="shared" si="672"/>
        <v>28232.666700000002</v>
      </c>
      <c r="AUV251" s="699">
        <f t="shared" si="586"/>
        <v>18422.5</v>
      </c>
      <c r="AUW251" s="699">
        <f t="shared" si="587"/>
        <v>14149.39</v>
      </c>
      <c r="AUX251" s="699">
        <f t="shared" si="588"/>
        <v>4273.1099999999997</v>
      </c>
      <c r="AUY251" s="699">
        <f t="shared" si="741"/>
        <v>883</v>
      </c>
      <c r="AUZ251" s="699">
        <f t="shared" si="615"/>
        <v>423.11</v>
      </c>
      <c r="AVA251" s="699">
        <f t="shared" si="615"/>
        <v>0.38</v>
      </c>
      <c r="AVB251" s="699">
        <f t="shared" si="742"/>
        <v>1993</v>
      </c>
      <c r="AVC251" s="699">
        <f t="shared" si="743"/>
        <v>104</v>
      </c>
      <c r="AVD251" s="699">
        <f t="shared" si="744"/>
        <v>1729</v>
      </c>
      <c r="AVE251" s="699">
        <f t="shared" si="745"/>
        <v>72</v>
      </c>
      <c r="AVF251" s="699">
        <f t="shared" si="746"/>
        <v>88</v>
      </c>
      <c r="AVG251" s="699">
        <f t="shared" si="747"/>
        <v>672.67</v>
      </c>
      <c r="AVH251" s="699">
        <f t="shared" si="748"/>
        <v>580</v>
      </c>
      <c r="AVI251" s="699">
        <f t="shared" si="749"/>
        <v>54</v>
      </c>
      <c r="AVJ251" s="699">
        <f t="shared" si="750"/>
        <v>77</v>
      </c>
      <c r="AVK251" s="699">
        <f t="shared" si="751"/>
        <v>8</v>
      </c>
      <c r="AVL251" s="699">
        <f t="shared" si="752"/>
        <v>105</v>
      </c>
      <c r="AVM251" s="699">
        <f t="shared" si="753"/>
        <v>4626.5</v>
      </c>
      <c r="AVN251" s="699">
        <f t="shared" si="754"/>
        <v>3553.38</v>
      </c>
      <c r="AVO251" s="699">
        <f t="shared" si="755"/>
        <v>1073.1199999999999</v>
      </c>
      <c r="AVP251" s="699">
        <f t="shared" si="756"/>
        <v>0</v>
      </c>
      <c r="AVQ251" s="699">
        <f t="shared" si="757"/>
        <v>28232.67</v>
      </c>
    </row>
    <row r="252" spans="1:108 1244:1265" ht="30" customHeight="1" x14ac:dyDescent="0.25">
      <c r="A252" s="643">
        <v>1</v>
      </c>
      <c r="B252" s="643">
        <v>12</v>
      </c>
      <c r="C252" s="664" t="s">
        <v>27</v>
      </c>
      <c r="D252" s="2"/>
      <c r="E252" s="101" t="s">
        <v>344</v>
      </c>
      <c r="F252" s="643" t="s">
        <v>31</v>
      </c>
      <c r="G252" s="643">
        <v>1</v>
      </c>
      <c r="H252" s="658" t="s">
        <v>10</v>
      </c>
      <c r="I252" s="643">
        <v>0</v>
      </c>
      <c r="J252" s="101" t="s">
        <v>357</v>
      </c>
      <c r="K252" s="643">
        <v>3</v>
      </c>
      <c r="L252" s="683" t="s">
        <v>349</v>
      </c>
      <c r="M252" s="11" t="s">
        <v>258</v>
      </c>
      <c r="N252" s="101" t="s">
        <v>387</v>
      </c>
      <c r="O252" s="643">
        <v>1</v>
      </c>
      <c r="P252" s="632">
        <v>117</v>
      </c>
      <c r="Q252" s="632">
        <v>117</v>
      </c>
      <c r="R252" s="632">
        <v>117</v>
      </c>
      <c r="S252" s="675">
        <f>SUMIF('Территориальный кк'!$A:$A,'2020'!$B252,'Территориальный кк'!D:D)</f>
        <v>1.4350000000000001</v>
      </c>
      <c r="T252" s="676">
        <f>SUMIF('Территориальный кк'!$A:$A,'2020'!$B252,'Территориальный кк'!E:E)</f>
        <v>2.5099999999999998</v>
      </c>
      <c r="U252" s="618">
        <f>SUMIFS(Нормативы!G:G,Нормативы!$B:$B,$G252,Нормативы!$D:$D,'2020'!$I252,Нормативы!$F:$F,'2020'!$K252)*O252</f>
        <v>64190</v>
      </c>
      <c r="V252" s="618">
        <f t="shared" si="674"/>
        <v>49301.1</v>
      </c>
      <c r="W252" s="618">
        <f t="shared" si="675"/>
        <v>14888.9</v>
      </c>
      <c r="X252" s="618">
        <f>SUMIFS(Нормативы!J:J,Нормативы!$B:$B,$G252,Нормативы!$D:$D,'2020'!$I252,Нормативы!$F:$F,'2020'!$K252)</f>
        <v>8830</v>
      </c>
      <c r="Y252" s="618">
        <f>SUMIFS(Нормативы!K:K,Нормативы!$B:$B,$G252,Нормативы!$D:$D,'2020'!$I252,Нормативы!$F:$F,'2020'!$K252)</f>
        <v>1766</v>
      </c>
      <c r="Z252" s="618">
        <f>SUMIFS(Нормативы!L:L,Нормативы!$B:$B,$G252,Нормативы!$D:$D,'2020'!$I252,Нормативы!$F:$F,'2020'!$K252)</f>
        <v>8110</v>
      </c>
      <c r="AA252" s="618">
        <f t="shared" si="676"/>
        <v>19050</v>
      </c>
      <c r="AB252" s="618">
        <f>SUMIFS(Нормативы!N:N,Нормативы!$B:$B,$G252,Нормативы!$D:$D,'2020'!$I252,Нормативы!$F:$F,'2020'!$K252)*O252</f>
        <v>520</v>
      </c>
      <c r="AC252" s="618">
        <f>SUMIFS(Нормативы!O:O,Нормативы!$B:$B,$G252,Нормативы!$D:$D,'2020'!$I252,Нормативы!$F:$F,'2020'!$K252)</f>
        <v>17290</v>
      </c>
      <c r="AD252" s="618">
        <f>SUMIFS(Нормативы!P:P,Нормативы!$B:$B,$G252,Нормативы!$D:$D,'2020'!$I252,Нормативы!$F:$F,'2020'!$K252)*O252</f>
        <v>360</v>
      </c>
      <c r="AE252" s="618">
        <f>SUMIFS(Нормативы!Q:Q,Нормативы!$B:$B,$G252,Нормативы!$D:$D,'2020'!$I252,Нормативы!$F:$F,'2020'!$K252)</f>
        <v>880</v>
      </c>
      <c r="AF252" s="618">
        <f>SUMIFS(Нормативы!R:R,Нормативы!$B:$B,$G252,Нормативы!$D:$D,'2020'!$I252,Нормативы!$F:$F,'2020'!$K252)</f>
        <v>2680</v>
      </c>
      <c r="AG252" s="618">
        <f>SUMIFS(Нормативы!S:S,Нормативы!$B:$B,$G252,Нормативы!$D:$D,'2020'!$I252,Нормативы!$F:$F,'2020'!$K252)</f>
        <v>5800</v>
      </c>
      <c r="AH252" s="618">
        <f>SUMIFS(Нормативы!T:T,Нормативы!$B:$B,$G252,Нормативы!$D:$D,'2020'!$I252,Нормативы!$F:$F,'2020'!$K252)</f>
        <v>540</v>
      </c>
      <c r="AI252" s="618">
        <f>SUMIFS(Нормативы!U:U,Нормативы!$B:$B,$G252,Нормативы!$D:$D,'2020'!$I252,Нормативы!$F:$F,'2020'!$K252)</f>
        <v>770</v>
      </c>
      <c r="AJ252" s="618">
        <f>SUMIFS(Нормативы!V:V,Нормативы!$B:$B,$G252,Нормативы!$D:$D,'2020'!$I252,Нормативы!$F:$F,'2020'!$K252)</f>
        <v>80</v>
      </c>
      <c r="AK252" s="618">
        <f>SUMIFS(Нормативы!W:W,Нормативы!$B:$B,$G252,Нормативы!$D:$D,'2020'!$I252,Нормативы!$F:$F,'2020'!$K252)</f>
        <v>1050</v>
      </c>
      <c r="AL252" s="618">
        <f>SUMIFS(Нормативы!X:X,Нормативы!$B:$B,$G252,Нормативы!$D:$D,'2020'!$I252,Нормативы!$F:$F,'2020'!$K252)*O252</f>
        <v>16120</v>
      </c>
      <c r="AM252" s="618">
        <f t="shared" si="677"/>
        <v>12381</v>
      </c>
      <c r="AN252" s="618">
        <f t="shared" si="678"/>
        <v>3739</v>
      </c>
      <c r="AO252" s="618">
        <f>SUMIFS(Нормативы!AA:AA,Нормативы!$B:$B,$G252,Нормативы!$D:$D,'2020'!$I252,Нормативы!$F:$F,'2020'!$K252)</f>
        <v>3520</v>
      </c>
      <c r="AP252" s="619">
        <f t="shared" si="679"/>
        <v>130740</v>
      </c>
      <c r="AQ252" s="413">
        <f t="shared" si="616"/>
        <v>7510230</v>
      </c>
      <c r="AR252" s="618">
        <f t="shared" si="680"/>
        <v>5768225.7999999998</v>
      </c>
      <c r="AS252" s="618">
        <f t="shared" si="681"/>
        <v>1742004.2</v>
      </c>
      <c r="AT252" s="616">
        <f t="shared" si="617"/>
        <v>1033110</v>
      </c>
      <c r="AU252" s="616">
        <f t="shared" si="618"/>
        <v>206622</v>
      </c>
      <c r="AV252" s="616">
        <f t="shared" si="619"/>
        <v>948870</v>
      </c>
      <c r="AW252" s="616">
        <f t="shared" si="620"/>
        <v>2228850</v>
      </c>
      <c r="AX252" s="616">
        <f t="shared" si="621"/>
        <v>60840</v>
      </c>
      <c r="AY252" s="616">
        <f t="shared" si="622"/>
        <v>2022930</v>
      </c>
      <c r="AZ252" s="616">
        <f t="shared" si="623"/>
        <v>42120</v>
      </c>
      <c r="BA252" s="616">
        <f t="shared" si="624"/>
        <v>102960</v>
      </c>
      <c r="BB252" s="616">
        <f t="shared" si="625"/>
        <v>313560</v>
      </c>
      <c r="BC252" s="616">
        <f t="shared" si="626"/>
        <v>678600</v>
      </c>
      <c r="BD252" s="616">
        <f t="shared" si="627"/>
        <v>63180</v>
      </c>
      <c r="BE252" s="616">
        <f t="shared" si="628"/>
        <v>90090</v>
      </c>
      <c r="BF252" s="616">
        <f t="shared" si="629"/>
        <v>9360</v>
      </c>
      <c r="BG252" s="616">
        <f t="shared" si="630"/>
        <v>122850</v>
      </c>
      <c r="BH252" s="616">
        <f t="shared" si="631"/>
        <v>1886040</v>
      </c>
      <c r="BI252" s="618">
        <f t="shared" si="682"/>
        <v>1448571.4</v>
      </c>
      <c r="BJ252" s="618">
        <f t="shared" si="683"/>
        <v>437468.6</v>
      </c>
      <c r="BK252" s="616">
        <f t="shared" si="632"/>
        <v>411840</v>
      </c>
      <c r="BL252" s="620">
        <f t="shared" si="633"/>
        <v>15296580</v>
      </c>
      <c r="BM252" s="616">
        <f t="shared" si="634"/>
        <v>10777180</v>
      </c>
      <c r="BN252" s="618">
        <f t="shared" si="635"/>
        <v>8277404</v>
      </c>
      <c r="BO252" s="618">
        <f t="shared" si="636"/>
        <v>2499776</v>
      </c>
      <c r="BP252" s="616">
        <f t="shared" si="684"/>
        <v>1033110</v>
      </c>
      <c r="BQ252" s="616">
        <f t="shared" si="685"/>
        <v>206622</v>
      </c>
      <c r="BR252" s="616">
        <f t="shared" si="686"/>
        <v>948870</v>
      </c>
      <c r="BS252" s="616">
        <f t="shared" si="637"/>
        <v>2228850</v>
      </c>
      <c r="BT252" s="616">
        <f t="shared" si="638"/>
        <v>60840</v>
      </c>
      <c r="BU252" s="616">
        <f t="shared" si="639"/>
        <v>2022930</v>
      </c>
      <c r="BV252" s="616">
        <f t="shared" si="640"/>
        <v>42120</v>
      </c>
      <c r="BW252" s="616">
        <f t="shared" si="641"/>
        <v>102960</v>
      </c>
      <c r="BX252" s="616">
        <f t="shared" si="642"/>
        <v>787036</v>
      </c>
      <c r="BY252" s="616">
        <f t="shared" si="643"/>
        <v>678600</v>
      </c>
      <c r="BZ252" s="616">
        <f t="shared" si="644"/>
        <v>63180</v>
      </c>
      <c r="CA252" s="616">
        <f t="shared" si="645"/>
        <v>90090</v>
      </c>
      <c r="CB252" s="616">
        <f t="shared" si="646"/>
        <v>9360</v>
      </c>
      <c r="CC252" s="616">
        <f t="shared" si="647"/>
        <v>122850</v>
      </c>
      <c r="CD252" s="616">
        <f t="shared" si="648"/>
        <v>2706467</v>
      </c>
      <c r="CE252" s="618">
        <f t="shared" si="687"/>
        <v>2078699.7</v>
      </c>
      <c r="CF252" s="618">
        <f t="shared" si="688"/>
        <v>627767.30000000005</v>
      </c>
      <c r="CG252" s="616">
        <f t="shared" si="649"/>
        <v>411840</v>
      </c>
      <c r="CH252" s="621">
        <f t="shared" si="650"/>
        <v>19857433</v>
      </c>
      <c r="CI252" s="88">
        <f t="shared" si="651"/>
        <v>92112.649600000004</v>
      </c>
      <c r="CJ252" s="90">
        <f t="shared" si="652"/>
        <v>70747.042700000005</v>
      </c>
      <c r="CK252" s="90">
        <f t="shared" si="653"/>
        <v>21365.606800000001</v>
      </c>
      <c r="CL252" s="88">
        <f t="shared" si="654"/>
        <v>8830</v>
      </c>
      <c r="CM252" s="88">
        <f t="shared" si="655"/>
        <v>1766</v>
      </c>
      <c r="CN252" s="88">
        <f t="shared" si="656"/>
        <v>8110</v>
      </c>
      <c r="CO252" s="88">
        <f t="shared" si="657"/>
        <v>19050</v>
      </c>
      <c r="CP252" s="88">
        <f t="shared" si="658"/>
        <v>520</v>
      </c>
      <c r="CQ252" s="88">
        <f t="shared" si="659"/>
        <v>17290</v>
      </c>
      <c r="CR252" s="88">
        <f t="shared" si="660"/>
        <v>360</v>
      </c>
      <c r="CS252" s="88">
        <f t="shared" si="661"/>
        <v>880</v>
      </c>
      <c r="CT252" s="88">
        <f t="shared" si="662"/>
        <v>6726.8033999999998</v>
      </c>
      <c r="CU252" s="88">
        <f t="shared" si="663"/>
        <v>5800</v>
      </c>
      <c r="CV252" s="88">
        <f t="shared" si="664"/>
        <v>540</v>
      </c>
      <c r="CW252" s="88">
        <f t="shared" si="665"/>
        <v>770</v>
      </c>
      <c r="CX252" s="88">
        <f t="shared" si="666"/>
        <v>80</v>
      </c>
      <c r="CY252" s="88">
        <f t="shared" si="667"/>
        <v>1050</v>
      </c>
      <c r="CZ252" s="88">
        <f t="shared" si="668"/>
        <v>23132.196599999999</v>
      </c>
      <c r="DA252" s="90">
        <f t="shared" si="669"/>
        <v>17766.664100000002</v>
      </c>
      <c r="DB252" s="90">
        <f t="shared" si="670"/>
        <v>5365.5325000000003</v>
      </c>
      <c r="DC252" s="88">
        <f t="shared" si="671"/>
        <v>3520</v>
      </c>
      <c r="DD252" s="88">
        <f t="shared" si="672"/>
        <v>169721.6496</v>
      </c>
      <c r="AUV252" s="699">
        <f t="shared" si="586"/>
        <v>92112.65</v>
      </c>
      <c r="AUW252" s="699">
        <f t="shared" si="587"/>
        <v>70747.039999999994</v>
      </c>
      <c r="AUX252" s="699">
        <f t="shared" si="588"/>
        <v>21365.61</v>
      </c>
      <c r="AUY252" s="699">
        <f t="shared" si="741"/>
        <v>8830</v>
      </c>
      <c r="AUZ252" s="699">
        <f t="shared" si="615"/>
        <v>82319.520000000004</v>
      </c>
      <c r="AVA252" s="699">
        <f t="shared" si="615"/>
        <v>14.78</v>
      </c>
      <c r="AVB252" s="699">
        <f t="shared" si="742"/>
        <v>19050</v>
      </c>
      <c r="AVC252" s="699">
        <f t="shared" si="743"/>
        <v>520</v>
      </c>
      <c r="AVD252" s="699">
        <f t="shared" si="744"/>
        <v>17290</v>
      </c>
      <c r="AVE252" s="699">
        <f t="shared" si="745"/>
        <v>360</v>
      </c>
      <c r="AVF252" s="699">
        <f t="shared" si="746"/>
        <v>880</v>
      </c>
      <c r="AVG252" s="699">
        <f t="shared" si="747"/>
        <v>6726.8</v>
      </c>
      <c r="AVH252" s="699">
        <f t="shared" si="748"/>
        <v>5800</v>
      </c>
      <c r="AVI252" s="699">
        <f t="shared" si="749"/>
        <v>540</v>
      </c>
      <c r="AVJ252" s="699">
        <f t="shared" si="750"/>
        <v>770</v>
      </c>
      <c r="AVK252" s="699">
        <f t="shared" si="751"/>
        <v>80</v>
      </c>
      <c r="AVL252" s="699">
        <f t="shared" si="752"/>
        <v>1050</v>
      </c>
      <c r="AVM252" s="699">
        <f t="shared" si="753"/>
        <v>23132.2</v>
      </c>
      <c r="AVN252" s="699">
        <f t="shared" si="754"/>
        <v>17766.669999999998</v>
      </c>
      <c r="AVO252" s="699">
        <f t="shared" si="755"/>
        <v>5365.53</v>
      </c>
      <c r="AVP252" s="699">
        <f t="shared" si="756"/>
        <v>3520</v>
      </c>
      <c r="AVQ252" s="699">
        <f t="shared" si="757"/>
        <v>169721.65</v>
      </c>
    </row>
    <row r="253" spans="1:108 1244:1265" ht="30" customHeight="1" x14ac:dyDescent="0.25">
      <c r="A253" s="643">
        <v>1</v>
      </c>
      <c r="B253" s="643">
        <v>12</v>
      </c>
      <c r="C253" s="664" t="s">
        <v>27</v>
      </c>
      <c r="D253" s="2"/>
      <c r="E253" s="101" t="s">
        <v>344</v>
      </c>
      <c r="F253" s="643" t="s">
        <v>31</v>
      </c>
      <c r="G253" s="643">
        <v>1</v>
      </c>
      <c r="H253" s="658" t="s">
        <v>10</v>
      </c>
      <c r="I253" s="643">
        <v>0</v>
      </c>
      <c r="J253" s="101" t="s">
        <v>357</v>
      </c>
      <c r="K253" s="643">
        <v>3</v>
      </c>
      <c r="L253" s="683" t="s">
        <v>349</v>
      </c>
      <c r="M253" s="11" t="s">
        <v>259</v>
      </c>
      <c r="N253" s="101" t="s">
        <v>401</v>
      </c>
      <c r="O253" s="643">
        <v>2</v>
      </c>
      <c r="P253" s="632">
        <v>8</v>
      </c>
      <c r="Q253" s="632">
        <v>8</v>
      </c>
      <c r="R253" s="632">
        <v>8</v>
      </c>
      <c r="S253" s="675">
        <f>SUMIF('Территориальный кк'!$A:$A,'2020'!$B253,'Территориальный кк'!D:D)</f>
        <v>1.4350000000000001</v>
      </c>
      <c r="T253" s="676">
        <f>SUMIF('Территориальный кк'!$A:$A,'2020'!$B253,'Территориальный кк'!E:E)</f>
        <v>2.5099999999999998</v>
      </c>
      <c r="U253" s="618">
        <f>SUMIFS(Нормативы!G:G,Нормативы!$B:$B,$G253,Нормативы!$D:$D,'2020'!$I253,Нормативы!$F:$F,'2020'!$K253)*O253</f>
        <v>128380</v>
      </c>
      <c r="V253" s="618">
        <f t="shared" si="674"/>
        <v>98602.2</v>
      </c>
      <c r="W253" s="618">
        <f t="shared" si="675"/>
        <v>29777.8</v>
      </c>
      <c r="X253" s="618">
        <f>SUMIFS(Нормативы!J:J,Нормативы!$B:$B,$G253,Нормативы!$D:$D,'2020'!$I253,Нормативы!$F:$F,'2020'!$K253)</f>
        <v>8830</v>
      </c>
      <c r="Y253" s="618">
        <f>SUMIFS(Нормативы!K:K,Нормативы!$B:$B,$G253,Нормативы!$D:$D,'2020'!$I253,Нормативы!$F:$F,'2020'!$K253)</f>
        <v>1766</v>
      </c>
      <c r="Z253" s="618">
        <f>SUMIFS(Нормативы!L:L,Нормативы!$B:$B,$G253,Нормативы!$D:$D,'2020'!$I253,Нормативы!$F:$F,'2020'!$K253)</f>
        <v>8110</v>
      </c>
      <c r="AA253" s="618">
        <f t="shared" si="676"/>
        <v>19930</v>
      </c>
      <c r="AB253" s="618">
        <f>SUMIFS(Нормативы!N:N,Нормативы!$B:$B,$G253,Нормативы!$D:$D,'2020'!$I253,Нормативы!$F:$F,'2020'!$K253)*O253</f>
        <v>1040</v>
      </c>
      <c r="AC253" s="618">
        <f>SUMIFS(Нормативы!O:O,Нормативы!$B:$B,$G253,Нормативы!$D:$D,'2020'!$I253,Нормативы!$F:$F,'2020'!$K253)</f>
        <v>17290</v>
      </c>
      <c r="AD253" s="618">
        <f>SUMIFS(Нормативы!P:P,Нормативы!$B:$B,$G253,Нормативы!$D:$D,'2020'!$I253,Нормативы!$F:$F,'2020'!$K253)*O253</f>
        <v>720</v>
      </c>
      <c r="AE253" s="618">
        <f>SUMIFS(Нормативы!Q:Q,Нормативы!$B:$B,$G253,Нормативы!$D:$D,'2020'!$I253,Нормативы!$F:$F,'2020'!$K253)</f>
        <v>880</v>
      </c>
      <c r="AF253" s="618">
        <f>SUMIFS(Нормативы!R:R,Нормативы!$B:$B,$G253,Нормативы!$D:$D,'2020'!$I253,Нормативы!$F:$F,'2020'!$K253)</f>
        <v>2680</v>
      </c>
      <c r="AG253" s="618">
        <f>SUMIFS(Нормативы!S:S,Нормативы!$B:$B,$G253,Нормативы!$D:$D,'2020'!$I253,Нормативы!$F:$F,'2020'!$K253)</f>
        <v>5800</v>
      </c>
      <c r="AH253" s="618">
        <f>SUMIFS(Нормативы!T:T,Нормативы!$B:$B,$G253,Нормативы!$D:$D,'2020'!$I253,Нормативы!$F:$F,'2020'!$K253)</f>
        <v>540</v>
      </c>
      <c r="AI253" s="618">
        <f>SUMIFS(Нормативы!U:U,Нормативы!$B:$B,$G253,Нормативы!$D:$D,'2020'!$I253,Нормативы!$F:$F,'2020'!$K253)</f>
        <v>770</v>
      </c>
      <c r="AJ253" s="618">
        <f>SUMIFS(Нормативы!V:V,Нормативы!$B:$B,$G253,Нормативы!$D:$D,'2020'!$I253,Нормативы!$F:$F,'2020'!$K253)</f>
        <v>80</v>
      </c>
      <c r="AK253" s="618">
        <f>SUMIFS(Нормативы!W:W,Нормативы!$B:$B,$G253,Нормативы!$D:$D,'2020'!$I253,Нормативы!$F:$F,'2020'!$K253)</f>
        <v>1050</v>
      </c>
      <c r="AL253" s="618">
        <f>SUMIFS(Нормативы!X:X,Нормативы!$B:$B,$G253,Нормативы!$D:$D,'2020'!$I253,Нормативы!$F:$F,'2020'!$K253)*O253</f>
        <v>32240</v>
      </c>
      <c r="AM253" s="618">
        <f t="shared" si="677"/>
        <v>24761.9</v>
      </c>
      <c r="AN253" s="618">
        <f t="shared" si="678"/>
        <v>7478.1</v>
      </c>
      <c r="AO253" s="618">
        <f>SUMIFS(Нормативы!AA:AA,Нормативы!$B:$B,$G253,Нормативы!$D:$D,'2020'!$I253,Нормативы!$F:$F,'2020'!$K253)</f>
        <v>3520</v>
      </c>
      <c r="AP253" s="619">
        <f t="shared" si="679"/>
        <v>211930</v>
      </c>
      <c r="AQ253" s="413">
        <f t="shared" si="616"/>
        <v>1027040</v>
      </c>
      <c r="AR253" s="618">
        <f t="shared" si="680"/>
        <v>788817.2</v>
      </c>
      <c r="AS253" s="618">
        <f t="shared" si="681"/>
        <v>238222.8</v>
      </c>
      <c r="AT253" s="616">
        <f t="shared" si="617"/>
        <v>70640</v>
      </c>
      <c r="AU253" s="616">
        <f t="shared" si="618"/>
        <v>14128</v>
      </c>
      <c r="AV253" s="616">
        <f t="shared" si="619"/>
        <v>64880</v>
      </c>
      <c r="AW253" s="616">
        <f t="shared" si="620"/>
        <v>159440</v>
      </c>
      <c r="AX253" s="616">
        <f t="shared" si="621"/>
        <v>8320</v>
      </c>
      <c r="AY253" s="616">
        <f t="shared" si="622"/>
        <v>138320</v>
      </c>
      <c r="AZ253" s="616">
        <f t="shared" si="623"/>
        <v>5760</v>
      </c>
      <c r="BA253" s="616">
        <f t="shared" si="624"/>
        <v>7040</v>
      </c>
      <c r="BB253" s="616">
        <f t="shared" si="625"/>
        <v>21440</v>
      </c>
      <c r="BC253" s="616">
        <f t="shared" si="626"/>
        <v>46400</v>
      </c>
      <c r="BD253" s="616">
        <f t="shared" si="627"/>
        <v>4320</v>
      </c>
      <c r="BE253" s="616">
        <f t="shared" si="628"/>
        <v>6160</v>
      </c>
      <c r="BF253" s="616">
        <f t="shared" si="629"/>
        <v>640</v>
      </c>
      <c r="BG253" s="616">
        <f t="shared" si="630"/>
        <v>8400</v>
      </c>
      <c r="BH253" s="616">
        <f t="shared" si="631"/>
        <v>257920</v>
      </c>
      <c r="BI253" s="618">
        <f t="shared" si="682"/>
        <v>198095.2</v>
      </c>
      <c r="BJ253" s="618">
        <f t="shared" si="683"/>
        <v>59824.800000000003</v>
      </c>
      <c r="BK253" s="616">
        <f t="shared" si="632"/>
        <v>28160</v>
      </c>
      <c r="BL253" s="620">
        <f t="shared" si="633"/>
        <v>1695440</v>
      </c>
      <c r="BM253" s="616">
        <f t="shared" si="634"/>
        <v>1473802</v>
      </c>
      <c r="BN253" s="618">
        <f t="shared" si="635"/>
        <v>1131952.3999999999</v>
      </c>
      <c r="BO253" s="618">
        <f t="shared" si="636"/>
        <v>341849.59999999998</v>
      </c>
      <c r="BP253" s="616">
        <f t="shared" si="684"/>
        <v>70640</v>
      </c>
      <c r="BQ253" s="616">
        <f t="shared" si="685"/>
        <v>14128</v>
      </c>
      <c r="BR253" s="616">
        <f t="shared" si="686"/>
        <v>64880</v>
      </c>
      <c r="BS253" s="616">
        <f t="shared" si="637"/>
        <v>159440</v>
      </c>
      <c r="BT253" s="616">
        <f t="shared" si="638"/>
        <v>8320</v>
      </c>
      <c r="BU253" s="616">
        <f t="shared" si="639"/>
        <v>138320</v>
      </c>
      <c r="BV253" s="616">
        <f t="shared" si="640"/>
        <v>5760</v>
      </c>
      <c r="BW253" s="616">
        <f t="shared" si="641"/>
        <v>7040</v>
      </c>
      <c r="BX253" s="616">
        <f t="shared" si="642"/>
        <v>53814</v>
      </c>
      <c r="BY253" s="616">
        <f t="shared" si="643"/>
        <v>46400</v>
      </c>
      <c r="BZ253" s="616">
        <f t="shared" si="644"/>
        <v>4320</v>
      </c>
      <c r="CA253" s="616">
        <f t="shared" si="645"/>
        <v>6160</v>
      </c>
      <c r="CB253" s="616">
        <f t="shared" si="646"/>
        <v>640</v>
      </c>
      <c r="CC253" s="616">
        <f t="shared" si="647"/>
        <v>8400</v>
      </c>
      <c r="CD253" s="616">
        <f t="shared" si="648"/>
        <v>370115</v>
      </c>
      <c r="CE253" s="618">
        <f t="shared" si="687"/>
        <v>284266.5</v>
      </c>
      <c r="CF253" s="618">
        <f t="shared" si="688"/>
        <v>85848.5</v>
      </c>
      <c r="CG253" s="616">
        <f t="shared" si="649"/>
        <v>28160</v>
      </c>
      <c r="CH253" s="621">
        <f t="shared" si="650"/>
        <v>2286771</v>
      </c>
      <c r="CI253" s="88">
        <f t="shared" si="651"/>
        <v>184225.25</v>
      </c>
      <c r="CJ253" s="90">
        <f t="shared" si="652"/>
        <v>141494.04999999999</v>
      </c>
      <c r="CK253" s="90">
        <f t="shared" si="653"/>
        <v>42731.199999999997</v>
      </c>
      <c r="CL253" s="88">
        <f t="shared" si="654"/>
        <v>8830</v>
      </c>
      <c r="CM253" s="88">
        <f t="shared" si="655"/>
        <v>1766</v>
      </c>
      <c r="CN253" s="88">
        <f t="shared" si="656"/>
        <v>8110</v>
      </c>
      <c r="CO253" s="88">
        <f t="shared" si="657"/>
        <v>19930</v>
      </c>
      <c r="CP253" s="88">
        <f t="shared" si="658"/>
        <v>1040</v>
      </c>
      <c r="CQ253" s="88">
        <f t="shared" si="659"/>
        <v>17290</v>
      </c>
      <c r="CR253" s="88">
        <f t="shared" si="660"/>
        <v>720</v>
      </c>
      <c r="CS253" s="88">
        <f t="shared" si="661"/>
        <v>880</v>
      </c>
      <c r="CT253" s="88">
        <f t="shared" si="662"/>
        <v>6726.75</v>
      </c>
      <c r="CU253" s="88">
        <f t="shared" si="663"/>
        <v>5800</v>
      </c>
      <c r="CV253" s="88">
        <f t="shared" si="664"/>
        <v>540</v>
      </c>
      <c r="CW253" s="88">
        <f t="shared" si="665"/>
        <v>770</v>
      </c>
      <c r="CX253" s="88">
        <f t="shared" si="666"/>
        <v>80</v>
      </c>
      <c r="CY253" s="88">
        <f t="shared" si="667"/>
        <v>1050</v>
      </c>
      <c r="CZ253" s="88">
        <f t="shared" si="668"/>
        <v>46264.375</v>
      </c>
      <c r="DA253" s="90">
        <f t="shared" si="669"/>
        <v>35533.3125</v>
      </c>
      <c r="DB253" s="90">
        <f t="shared" si="670"/>
        <v>10731.0625</v>
      </c>
      <c r="DC253" s="88">
        <f t="shared" si="671"/>
        <v>3520</v>
      </c>
      <c r="DD253" s="88">
        <f t="shared" si="672"/>
        <v>285846.375</v>
      </c>
      <c r="AUV253" s="699">
        <f t="shared" si="586"/>
        <v>184225.25</v>
      </c>
      <c r="AUW253" s="699">
        <f t="shared" si="587"/>
        <v>141494.04999999999</v>
      </c>
      <c r="AUX253" s="699">
        <f t="shared" si="588"/>
        <v>42731.199999999997</v>
      </c>
      <c r="AUY253" s="699">
        <f t="shared" si="741"/>
        <v>8830</v>
      </c>
      <c r="AUZ253" s="699">
        <f t="shared" si="615"/>
        <v>5628.69</v>
      </c>
      <c r="AVA253" s="699">
        <f t="shared" si="615"/>
        <v>0.51</v>
      </c>
      <c r="AVB253" s="699">
        <f t="shared" si="742"/>
        <v>19930</v>
      </c>
      <c r="AVC253" s="699">
        <f t="shared" si="743"/>
        <v>1040</v>
      </c>
      <c r="AVD253" s="699">
        <f t="shared" si="744"/>
        <v>17290</v>
      </c>
      <c r="AVE253" s="699">
        <f t="shared" si="745"/>
        <v>720</v>
      </c>
      <c r="AVF253" s="699">
        <f t="shared" si="746"/>
        <v>880</v>
      </c>
      <c r="AVG253" s="699">
        <f t="shared" si="747"/>
        <v>6726.75</v>
      </c>
      <c r="AVH253" s="699">
        <f t="shared" si="748"/>
        <v>5800</v>
      </c>
      <c r="AVI253" s="699">
        <f t="shared" si="749"/>
        <v>540</v>
      </c>
      <c r="AVJ253" s="699">
        <f t="shared" si="750"/>
        <v>770</v>
      </c>
      <c r="AVK253" s="699">
        <f t="shared" si="751"/>
        <v>80</v>
      </c>
      <c r="AVL253" s="699">
        <f t="shared" si="752"/>
        <v>1050</v>
      </c>
      <c r="AVM253" s="699">
        <f t="shared" si="753"/>
        <v>46264.38</v>
      </c>
      <c r="AVN253" s="699">
        <f t="shared" si="754"/>
        <v>35533.32</v>
      </c>
      <c r="AVO253" s="699">
        <f t="shared" si="755"/>
        <v>10731.06</v>
      </c>
      <c r="AVP253" s="699">
        <f t="shared" si="756"/>
        <v>3520</v>
      </c>
      <c r="AVQ253" s="699">
        <f t="shared" si="757"/>
        <v>285846.38</v>
      </c>
    </row>
    <row r="254" spans="1:108 1244:1265" ht="30" customHeight="1" x14ac:dyDescent="0.25">
      <c r="A254" s="643">
        <v>1</v>
      </c>
      <c r="B254" s="643">
        <v>12</v>
      </c>
      <c r="C254" s="664" t="s">
        <v>27</v>
      </c>
      <c r="D254" s="2"/>
      <c r="E254" s="101" t="s">
        <v>344</v>
      </c>
      <c r="F254" s="643" t="s">
        <v>31</v>
      </c>
      <c r="G254" s="643">
        <v>1</v>
      </c>
      <c r="H254" s="658" t="s">
        <v>8</v>
      </c>
      <c r="I254" s="643">
        <v>3</v>
      </c>
      <c r="J254" s="101" t="s">
        <v>357</v>
      </c>
      <c r="K254" s="643">
        <v>3</v>
      </c>
      <c r="L254" s="683" t="s">
        <v>349</v>
      </c>
      <c r="M254" s="11" t="s">
        <v>260</v>
      </c>
      <c r="N254" s="101" t="s">
        <v>387</v>
      </c>
      <c r="O254" s="643">
        <v>1</v>
      </c>
      <c r="P254" s="632">
        <v>79</v>
      </c>
      <c r="Q254" s="632">
        <v>79</v>
      </c>
      <c r="R254" s="632">
        <v>79</v>
      </c>
      <c r="S254" s="675">
        <f>SUMIF('Территориальный кк'!$A:$A,'2020'!$B254,'Территориальный кк'!D:D)</f>
        <v>1.4350000000000001</v>
      </c>
      <c r="T254" s="676">
        <f>SUMIF('Территориальный кк'!$A:$A,'2020'!$B254,'Территориальный кк'!E:E)</f>
        <v>2.5099999999999998</v>
      </c>
      <c r="U254" s="618">
        <f>SUMIFS(Нормативы!G:G,Нормативы!$B:$B,$G254,Нормативы!$D:$D,'2020'!$I254,Нормативы!$F:$F,'2020'!$K254)*O254</f>
        <v>6419</v>
      </c>
      <c r="V254" s="618">
        <f t="shared" si="674"/>
        <v>4930.1000000000004</v>
      </c>
      <c r="W254" s="618">
        <f t="shared" si="675"/>
        <v>1488.9</v>
      </c>
      <c r="X254" s="618">
        <f>SUMIFS(Нормативы!J:J,Нормативы!$B:$B,$G254,Нормативы!$D:$D,'2020'!$I254,Нормативы!$F:$F,'2020'!$K254)</f>
        <v>883</v>
      </c>
      <c r="Y254" s="618">
        <f>SUMIFS(Нормативы!K:K,Нормативы!$B:$B,$G254,Нормативы!$D:$D,'2020'!$I254,Нормативы!$F:$F,'2020'!$K254)</f>
        <v>177</v>
      </c>
      <c r="Z254" s="618">
        <f>SUMIFS(Нормативы!L:L,Нормативы!$B:$B,$G254,Нормативы!$D:$D,'2020'!$I254,Нормативы!$F:$F,'2020'!$K254)</f>
        <v>811</v>
      </c>
      <c r="AA254" s="618">
        <f t="shared" si="676"/>
        <v>1905</v>
      </c>
      <c r="AB254" s="618">
        <f>SUMIFS(Нормативы!N:N,Нормативы!$B:$B,$G254,Нормативы!$D:$D,'2020'!$I254,Нормативы!$F:$F,'2020'!$K254)*O254</f>
        <v>52</v>
      </c>
      <c r="AC254" s="618">
        <f>SUMIFS(Нормативы!O:O,Нормативы!$B:$B,$G254,Нормативы!$D:$D,'2020'!$I254,Нормативы!$F:$F,'2020'!$K254)</f>
        <v>1729</v>
      </c>
      <c r="AD254" s="618">
        <f>SUMIFS(Нормативы!P:P,Нормативы!$B:$B,$G254,Нормативы!$D:$D,'2020'!$I254,Нормативы!$F:$F,'2020'!$K254)*O254</f>
        <v>36</v>
      </c>
      <c r="AE254" s="618">
        <f>SUMIFS(Нормативы!Q:Q,Нормативы!$B:$B,$G254,Нормативы!$D:$D,'2020'!$I254,Нормативы!$F:$F,'2020'!$K254)</f>
        <v>88</v>
      </c>
      <c r="AF254" s="618">
        <f>SUMIFS(Нормативы!R:R,Нормативы!$B:$B,$G254,Нормативы!$D:$D,'2020'!$I254,Нормативы!$F:$F,'2020'!$K254)</f>
        <v>268</v>
      </c>
      <c r="AG254" s="618">
        <f>SUMIFS(Нормативы!S:S,Нормативы!$B:$B,$G254,Нормативы!$D:$D,'2020'!$I254,Нормативы!$F:$F,'2020'!$K254)</f>
        <v>580</v>
      </c>
      <c r="AH254" s="618">
        <f>SUMIFS(Нормативы!T:T,Нормативы!$B:$B,$G254,Нормативы!$D:$D,'2020'!$I254,Нормативы!$F:$F,'2020'!$K254)</f>
        <v>54</v>
      </c>
      <c r="AI254" s="618">
        <f>SUMIFS(Нормативы!U:U,Нормативы!$B:$B,$G254,Нормативы!$D:$D,'2020'!$I254,Нормативы!$F:$F,'2020'!$K254)</f>
        <v>77</v>
      </c>
      <c r="AJ254" s="618">
        <f>SUMIFS(Нормативы!V:V,Нормативы!$B:$B,$G254,Нормативы!$D:$D,'2020'!$I254,Нормативы!$F:$F,'2020'!$K254)</f>
        <v>8</v>
      </c>
      <c r="AK254" s="618">
        <f>SUMIFS(Нормативы!W:W,Нормативы!$B:$B,$G254,Нормативы!$D:$D,'2020'!$I254,Нормативы!$F:$F,'2020'!$K254)</f>
        <v>105</v>
      </c>
      <c r="AL254" s="618">
        <f>SUMIFS(Нормативы!X:X,Нормативы!$B:$B,$G254,Нормативы!$D:$D,'2020'!$I254,Нормативы!$F:$F,'2020'!$K254)*O254</f>
        <v>1612</v>
      </c>
      <c r="AM254" s="618">
        <f t="shared" si="677"/>
        <v>1238.0999999999999</v>
      </c>
      <c r="AN254" s="618">
        <f t="shared" si="678"/>
        <v>373.9</v>
      </c>
      <c r="AO254" s="618">
        <f>SUMIFS(Нормативы!AA:AA,Нормативы!$B:$B,$G254,Нормативы!$D:$D,'2020'!$I254,Нормативы!$F:$F,'2020'!$K254)</f>
        <v>0</v>
      </c>
      <c r="AP254" s="619">
        <f t="shared" si="679"/>
        <v>12722</v>
      </c>
      <c r="AQ254" s="413">
        <f t="shared" si="616"/>
        <v>507101</v>
      </c>
      <c r="AR254" s="618">
        <f t="shared" si="680"/>
        <v>389478.5</v>
      </c>
      <c r="AS254" s="618">
        <f t="shared" si="681"/>
        <v>117622.5</v>
      </c>
      <c r="AT254" s="616">
        <f t="shared" si="617"/>
        <v>69757</v>
      </c>
      <c r="AU254" s="616">
        <f t="shared" si="618"/>
        <v>13983</v>
      </c>
      <c r="AV254" s="616">
        <f t="shared" si="619"/>
        <v>64069</v>
      </c>
      <c r="AW254" s="616">
        <f t="shared" si="620"/>
        <v>150495</v>
      </c>
      <c r="AX254" s="616">
        <f t="shared" si="621"/>
        <v>4108</v>
      </c>
      <c r="AY254" s="616">
        <f t="shared" si="622"/>
        <v>136591</v>
      </c>
      <c r="AZ254" s="616">
        <f t="shared" si="623"/>
        <v>2844</v>
      </c>
      <c r="BA254" s="616">
        <f t="shared" si="624"/>
        <v>6952</v>
      </c>
      <c r="BB254" s="616">
        <f t="shared" si="625"/>
        <v>21172</v>
      </c>
      <c r="BC254" s="616">
        <f t="shared" si="626"/>
        <v>45820</v>
      </c>
      <c r="BD254" s="616">
        <f t="shared" si="627"/>
        <v>4266</v>
      </c>
      <c r="BE254" s="616">
        <f t="shared" si="628"/>
        <v>6083</v>
      </c>
      <c r="BF254" s="616">
        <f t="shared" si="629"/>
        <v>632</v>
      </c>
      <c r="BG254" s="616">
        <f t="shared" si="630"/>
        <v>8295</v>
      </c>
      <c r="BH254" s="616">
        <f t="shared" si="631"/>
        <v>127348</v>
      </c>
      <c r="BI254" s="618">
        <f t="shared" si="682"/>
        <v>97809.5</v>
      </c>
      <c r="BJ254" s="618">
        <f t="shared" si="683"/>
        <v>29538.5</v>
      </c>
      <c r="BK254" s="616">
        <f t="shared" si="632"/>
        <v>0</v>
      </c>
      <c r="BL254" s="620">
        <f t="shared" si="633"/>
        <v>1005038</v>
      </c>
      <c r="BM254" s="616">
        <f t="shared" si="634"/>
        <v>727690</v>
      </c>
      <c r="BN254" s="618">
        <f t="shared" si="635"/>
        <v>558901.69999999995</v>
      </c>
      <c r="BO254" s="618">
        <f t="shared" si="636"/>
        <v>168788.3</v>
      </c>
      <c r="BP254" s="616">
        <f t="shared" si="684"/>
        <v>69757</v>
      </c>
      <c r="BQ254" s="616">
        <f t="shared" si="685"/>
        <v>13983</v>
      </c>
      <c r="BR254" s="616">
        <f t="shared" si="686"/>
        <v>64069</v>
      </c>
      <c r="BS254" s="616">
        <f t="shared" si="637"/>
        <v>150495</v>
      </c>
      <c r="BT254" s="616">
        <f t="shared" si="638"/>
        <v>4108</v>
      </c>
      <c r="BU254" s="616">
        <f t="shared" si="639"/>
        <v>136591</v>
      </c>
      <c r="BV254" s="616">
        <f t="shared" si="640"/>
        <v>2844</v>
      </c>
      <c r="BW254" s="616">
        <f t="shared" si="641"/>
        <v>6952</v>
      </c>
      <c r="BX254" s="616">
        <f t="shared" si="642"/>
        <v>53142</v>
      </c>
      <c r="BY254" s="616">
        <f t="shared" si="643"/>
        <v>45820</v>
      </c>
      <c r="BZ254" s="616">
        <f t="shared" si="644"/>
        <v>4266</v>
      </c>
      <c r="CA254" s="616">
        <f t="shared" si="645"/>
        <v>6083</v>
      </c>
      <c r="CB254" s="616">
        <f t="shared" si="646"/>
        <v>632</v>
      </c>
      <c r="CC254" s="616">
        <f t="shared" si="647"/>
        <v>8295</v>
      </c>
      <c r="CD254" s="616">
        <f t="shared" si="648"/>
        <v>182744</v>
      </c>
      <c r="CE254" s="618">
        <f t="shared" si="687"/>
        <v>140356.4</v>
      </c>
      <c r="CF254" s="618">
        <f t="shared" si="688"/>
        <v>42387.6</v>
      </c>
      <c r="CG254" s="616">
        <f t="shared" si="649"/>
        <v>0</v>
      </c>
      <c r="CH254" s="621">
        <f t="shared" si="650"/>
        <v>1312993</v>
      </c>
      <c r="CI254" s="88">
        <f t="shared" si="651"/>
        <v>9211.2657999999992</v>
      </c>
      <c r="CJ254" s="90">
        <f t="shared" si="652"/>
        <v>7074.7051000000001</v>
      </c>
      <c r="CK254" s="90">
        <f t="shared" si="653"/>
        <v>2136.5608000000002</v>
      </c>
      <c r="CL254" s="88">
        <f t="shared" si="654"/>
        <v>883</v>
      </c>
      <c r="CM254" s="88">
        <f t="shared" si="655"/>
        <v>177</v>
      </c>
      <c r="CN254" s="88">
        <f t="shared" si="656"/>
        <v>811</v>
      </c>
      <c r="CO254" s="88">
        <f t="shared" si="657"/>
        <v>1905</v>
      </c>
      <c r="CP254" s="88">
        <f t="shared" si="658"/>
        <v>52</v>
      </c>
      <c r="CQ254" s="88">
        <f t="shared" si="659"/>
        <v>1729</v>
      </c>
      <c r="CR254" s="88">
        <f t="shared" si="660"/>
        <v>36</v>
      </c>
      <c r="CS254" s="88">
        <f t="shared" si="661"/>
        <v>88</v>
      </c>
      <c r="CT254" s="88">
        <f t="shared" si="662"/>
        <v>672.68349999999998</v>
      </c>
      <c r="CU254" s="88">
        <f t="shared" si="663"/>
        <v>580</v>
      </c>
      <c r="CV254" s="88">
        <f t="shared" si="664"/>
        <v>54</v>
      </c>
      <c r="CW254" s="88">
        <f t="shared" si="665"/>
        <v>77</v>
      </c>
      <c r="CX254" s="88">
        <f t="shared" si="666"/>
        <v>8</v>
      </c>
      <c r="CY254" s="88">
        <f t="shared" si="667"/>
        <v>105</v>
      </c>
      <c r="CZ254" s="88">
        <f t="shared" si="668"/>
        <v>2313.2152000000001</v>
      </c>
      <c r="DA254" s="90">
        <f t="shared" si="669"/>
        <v>1776.6632999999999</v>
      </c>
      <c r="DB254" s="90">
        <f t="shared" si="670"/>
        <v>536.55190000000005</v>
      </c>
      <c r="DC254" s="88">
        <f t="shared" si="671"/>
        <v>0</v>
      </c>
      <c r="DD254" s="88">
        <f t="shared" si="672"/>
        <v>16620.1646</v>
      </c>
      <c r="AUV254" s="699">
        <f t="shared" si="586"/>
        <v>9211.27</v>
      </c>
      <c r="AUW254" s="699">
        <f t="shared" si="587"/>
        <v>7074.71</v>
      </c>
      <c r="AUX254" s="699">
        <f t="shared" si="588"/>
        <v>2136.56</v>
      </c>
      <c r="AUY254" s="699">
        <f t="shared" si="741"/>
        <v>883</v>
      </c>
      <c r="AUZ254" s="699">
        <f t="shared" si="615"/>
        <v>5570.92</v>
      </c>
      <c r="AVA254" s="699">
        <f t="shared" si="615"/>
        <v>9.98</v>
      </c>
      <c r="AVB254" s="699">
        <f t="shared" si="742"/>
        <v>1905</v>
      </c>
      <c r="AVC254" s="699">
        <f t="shared" si="743"/>
        <v>52</v>
      </c>
      <c r="AVD254" s="699">
        <f t="shared" si="744"/>
        <v>1729</v>
      </c>
      <c r="AVE254" s="699">
        <f t="shared" si="745"/>
        <v>36</v>
      </c>
      <c r="AVF254" s="699">
        <f t="shared" si="746"/>
        <v>88</v>
      </c>
      <c r="AVG254" s="699">
        <f t="shared" si="747"/>
        <v>672.68</v>
      </c>
      <c r="AVH254" s="699">
        <f t="shared" si="748"/>
        <v>580</v>
      </c>
      <c r="AVI254" s="699">
        <f t="shared" si="749"/>
        <v>54</v>
      </c>
      <c r="AVJ254" s="699">
        <f t="shared" si="750"/>
        <v>77</v>
      </c>
      <c r="AVK254" s="699">
        <f t="shared" si="751"/>
        <v>8</v>
      </c>
      <c r="AVL254" s="699">
        <f t="shared" si="752"/>
        <v>105</v>
      </c>
      <c r="AVM254" s="699">
        <f t="shared" si="753"/>
        <v>2313.2199999999998</v>
      </c>
      <c r="AVN254" s="699">
        <f t="shared" si="754"/>
        <v>1776.67</v>
      </c>
      <c r="AVO254" s="699">
        <f t="shared" si="755"/>
        <v>536.54999999999995</v>
      </c>
      <c r="AVP254" s="699">
        <f t="shared" si="756"/>
        <v>0</v>
      </c>
      <c r="AVQ254" s="699">
        <f t="shared" si="757"/>
        <v>16620.16</v>
      </c>
    </row>
    <row r="255" spans="1:108 1244:1265" ht="30" customHeight="1" x14ac:dyDescent="0.25">
      <c r="A255" s="643">
        <v>1</v>
      </c>
      <c r="B255" s="643">
        <v>12</v>
      </c>
      <c r="C255" s="664" t="s">
        <v>27</v>
      </c>
      <c r="D255" s="2"/>
      <c r="E255" s="101" t="s">
        <v>344</v>
      </c>
      <c r="F255" s="643" t="s">
        <v>31</v>
      </c>
      <c r="G255" s="643">
        <v>1</v>
      </c>
      <c r="H255" s="658" t="s">
        <v>8</v>
      </c>
      <c r="I255" s="643">
        <v>3</v>
      </c>
      <c r="J255" s="101" t="s">
        <v>357</v>
      </c>
      <c r="K255" s="643">
        <v>3</v>
      </c>
      <c r="L255" s="683" t="s">
        <v>349</v>
      </c>
      <c r="M255" s="11" t="s">
        <v>261</v>
      </c>
      <c r="N255" s="101" t="s">
        <v>401</v>
      </c>
      <c r="O255" s="643">
        <v>2</v>
      </c>
      <c r="P255" s="632">
        <v>9</v>
      </c>
      <c r="Q255" s="632">
        <v>9</v>
      </c>
      <c r="R255" s="632">
        <v>9</v>
      </c>
      <c r="S255" s="675">
        <f>SUMIF('Территориальный кк'!$A:$A,'2020'!$B255,'Территориальный кк'!D:D)</f>
        <v>1.4350000000000001</v>
      </c>
      <c r="T255" s="676">
        <f>SUMIF('Территориальный кк'!$A:$A,'2020'!$B255,'Территориальный кк'!E:E)</f>
        <v>2.5099999999999998</v>
      </c>
      <c r="U255" s="618">
        <f>SUMIFS(Нормативы!G:G,Нормативы!$B:$B,$G255,Нормативы!$D:$D,'2020'!$I255,Нормативы!$F:$F,'2020'!$K255)*O255</f>
        <v>12838</v>
      </c>
      <c r="V255" s="618">
        <f t="shared" si="674"/>
        <v>9860.2000000000007</v>
      </c>
      <c r="W255" s="618">
        <f t="shared" si="675"/>
        <v>2977.8</v>
      </c>
      <c r="X255" s="618">
        <f>SUMIFS(Нормативы!J:J,Нормативы!$B:$B,$G255,Нормативы!$D:$D,'2020'!$I255,Нормативы!$F:$F,'2020'!$K255)</f>
        <v>883</v>
      </c>
      <c r="Y255" s="618">
        <f>SUMIFS(Нормативы!K:K,Нормативы!$B:$B,$G255,Нормативы!$D:$D,'2020'!$I255,Нормативы!$F:$F,'2020'!$K255)</f>
        <v>177</v>
      </c>
      <c r="Z255" s="618">
        <f>SUMIFS(Нормативы!L:L,Нормативы!$B:$B,$G255,Нормативы!$D:$D,'2020'!$I255,Нормативы!$F:$F,'2020'!$K255)</f>
        <v>811</v>
      </c>
      <c r="AA255" s="618">
        <f t="shared" si="676"/>
        <v>1993</v>
      </c>
      <c r="AB255" s="618">
        <f>SUMIFS(Нормативы!N:N,Нормативы!$B:$B,$G255,Нормативы!$D:$D,'2020'!$I255,Нормативы!$F:$F,'2020'!$K255)*O255</f>
        <v>104</v>
      </c>
      <c r="AC255" s="618">
        <f>SUMIFS(Нормативы!O:O,Нормативы!$B:$B,$G255,Нормативы!$D:$D,'2020'!$I255,Нормативы!$F:$F,'2020'!$K255)</f>
        <v>1729</v>
      </c>
      <c r="AD255" s="618">
        <f>SUMIFS(Нормативы!P:P,Нормативы!$B:$B,$G255,Нормативы!$D:$D,'2020'!$I255,Нормативы!$F:$F,'2020'!$K255)*O255</f>
        <v>72</v>
      </c>
      <c r="AE255" s="618">
        <f>SUMIFS(Нормативы!Q:Q,Нормативы!$B:$B,$G255,Нормативы!$D:$D,'2020'!$I255,Нормативы!$F:$F,'2020'!$K255)</f>
        <v>88</v>
      </c>
      <c r="AF255" s="618">
        <f>SUMIFS(Нормативы!R:R,Нормативы!$B:$B,$G255,Нормативы!$D:$D,'2020'!$I255,Нормативы!$F:$F,'2020'!$K255)</f>
        <v>268</v>
      </c>
      <c r="AG255" s="618">
        <f>SUMIFS(Нормативы!S:S,Нормативы!$B:$B,$G255,Нормативы!$D:$D,'2020'!$I255,Нормативы!$F:$F,'2020'!$K255)</f>
        <v>580</v>
      </c>
      <c r="AH255" s="618">
        <f>SUMIFS(Нормативы!T:T,Нормативы!$B:$B,$G255,Нормативы!$D:$D,'2020'!$I255,Нормативы!$F:$F,'2020'!$K255)</f>
        <v>54</v>
      </c>
      <c r="AI255" s="618">
        <f>SUMIFS(Нормативы!U:U,Нормативы!$B:$B,$G255,Нормативы!$D:$D,'2020'!$I255,Нормативы!$F:$F,'2020'!$K255)</f>
        <v>77</v>
      </c>
      <c r="AJ255" s="618">
        <f>SUMIFS(Нормативы!V:V,Нормативы!$B:$B,$G255,Нормативы!$D:$D,'2020'!$I255,Нормативы!$F:$F,'2020'!$K255)</f>
        <v>8</v>
      </c>
      <c r="AK255" s="618">
        <f>SUMIFS(Нормативы!W:W,Нормативы!$B:$B,$G255,Нормативы!$D:$D,'2020'!$I255,Нормативы!$F:$F,'2020'!$K255)</f>
        <v>105</v>
      </c>
      <c r="AL255" s="618">
        <f>SUMIFS(Нормативы!X:X,Нормативы!$B:$B,$G255,Нормативы!$D:$D,'2020'!$I255,Нормативы!$F:$F,'2020'!$K255)*O255</f>
        <v>3224</v>
      </c>
      <c r="AM255" s="618">
        <f t="shared" si="677"/>
        <v>2476.1999999999998</v>
      </c>
      <c r="AN255" s="618">
        <f t="shared" si="678"/>
        <v>747.8</v>
      </c>
      <c r="AO255" s="618">
        <f>SUMIFS(Нормативы!AA:AA,Нормативы!$B:$B,$G255,Нормативы!$D:$D,'2020'!$I255,Нормативы!$F:$F,'2020'!$K255)</f>
        <v>0</v>
      </c>
      <c r="AP255" s="619">
        <f t="shared" si="679"/>
        <v>20841</v>
      </c>
      <c r="AQ255" s="413">
        <f t="shared" si="616"/>
        <v>115542</v>
      </c>
      <c r="AR255" s="618">
        <f t="shared" si="680"/>
        <v>88741.9</v>
      </c>
      <c r="AS255" s="618">
        <f t="shared" si="681"/>
        <v>26800.1</v>
      </c>
      <c r="AT255" s="616">
        <f t="shared" si="617"/>
        <v>7947</v>
      </c>
      <c r="AU255" s="616">
        <f t="shared" si="618"/>
        <v>1593</v>
      </c>
      <c r="AV255" s="616">
        <f t="shared" si="619"/>
        <v>7299</v>
      </c>
      <c r="AW255" s="616">
        <f t="shared" si="620"/>
        <v>17937</v>
      </c>
      <c r="AX255" s="616">
        <f t="shared" si="621"/>
        <v>936</v>
      </c>
      <c r="AY255" s="616">
        <f t="shared" si="622"/>
        <v>15561</v>
      </c>
      <c r="AZ255" s="616">
        <f t="shared" si="623"/>
        <v>648</v>
      </c>
      <c r="BA255" s="616">
        <f t="shared" si="624"/>
        <v>792</v>
      </c>
      <c r="BB255" s="616">
        <f t="shared" si="625"/>
        <v>2412</v>
      </c>
      <c r="BC255" s="616">
        <f t="shared" si="626"/>
        <v>5220</v>
      </c>
      <c r="BD255" s="616">
        <f t="shared" si="627"/>
        <v>486</v>
      </c>
      <c r="BE255" s="616">
        <f t="shared" si="628"/>
        <v>693</v>
      </c>
      <c r="BF255" s="616">
        <f t="shared" si="629"/>
        <v>72</v>
      </c>
      <c r="BG255" s="616">
        <f t="shared" si="630"/>
        <v>945</v>
      </c>
      <c r="BH255" s="616">
        <f t="shared" si="631"/>
        <v>29016</v>
      </c>
      <c r="BI255" s="618">
        <f t="shared" si="682"/>
        <v>22285.7</v>
      </c>
      <c r="BJ255" s="618">
        <f t="shared" si="683"/>
        <v>6730.3</v>
      </c>
      <c r="BK255" s="616">
        <f t="shared" si="632"/>
        <v>0</v>
      </c>
      <c r="BL255" s="620">
        <f t="shared" si="633"/>
        <v>187569</v>
      </c>
      <c r="BM255" s="616">
        <f t="shared" si="634"/>
        <v>165803</v>
      </c>
      <c r="BN255" s="618">
        <f t="shared" si="635"/>
        <v>127344.9</v>
      </c>
      <c r="BO255" s="618">
        <f t="shared" si="636"/>
        <v>38458.1</v>
      </c>
      <c r="BP255" s="616">
        <f t="shared" si="684"/>
        <v>7947</v>
      </c>
      <c r="BQ255" s="616">
        <f t="shared" si="685"/>
        <v>1593</v>
      </c>
      <c r="BR255" s="616">
        <f t="shared" si="686"/>
        <v>7299</v>
      </c>
      <c r="BS255" s="616">
        <f t="shared" si="637"/>
        <v>17937</v>
      </c>
      <c r="BT255" s="616">
        <f t="shared" si="638"/>
        <v>936</v>
      </c>
      <c r="BU255" s="616">
        <f t="shared" si="639"/>
        <v>15561</v>
      </c>
      <c r="BV255" s="616">
        <f t="shared" si="640"/>
        <v>648</v>
      </c>
      <c r="BW255" s="616">
        <f t="shared" si="641"/>
        <v>792</v>
      </c>
      <c r="BX255" s="616">
        <f t="shared" si="642"/>
        <v>6054</v>
      </c>
      <c r="BY255" s="616">
        <f t="shared" si="643"/>
        <v>5220</v>
      </c>
      <c r="BZ255" s="616">
        <f t="shared" si="644"/>
        <v>486</v>
      </c>
      <c r="CA255" s="616">
        <f t="shared" si="645"/>
        <v>693</v>
      </c>
      <c r="CB255" s="616">
        <f t="shared" si="646"/>
        <v>72</v>
      </c>
      <c r="CC255" s="616">
        <f t="shared" si="647"/>
        <v>945</v>
      </c>
      <c r="CD255" s="616">
        <f t="shared" si="648"/>
        <v>41638</v>
      </c>
      <c r="CE255" s="618">
        <f t="shared" si="687"/>
        <v>31980</v>
      </c>
      <c r="CF255" s="618">
        <f t="shared" si="688"/>
        <v>9658</v>
      </c>
      <c r="CG255" s="616">
        <f t="shared" si="649"/>
        <v>0</v>
      </c>
      <c r="CH255" s="621">
        <f t="shared" si="650"/>
        <v>254094</v>
      </c>
      <c r="CI255" s="88">
        <f t="shared" si="651"/>
        <v>18422.5556</v>
      </c>
      <c r="CJ255" s="90">
        <f t="shared" si="652"/>
        <v>14149.433300000001</v>
      </c>
      <c r="CK255" s="90">
        <f t="shared" si="653"/>
        <v>4273.1221999999998</v>
      </c>
      <c r="CL255" s="88">
        <f t="shared" si="654"/>
        <v>883</v>
      </c>
      <c r="CM255" s="88">
        <f t="shared" si="655"/>
        <v>177</v>
      </c>
      <c r="CN255" s="88">
        <f t="shared" si="656"/>
        <v>811</v>
      </c>
      <c r="CO255" s="88">
        <f t="shared" si="657"/>
        <v>1993</v>
      </c>
      <c r="CP255" s="88">
        <f t="shared" si="658"/>
        <v>104</v>
      </c>
      <c r="CQ255" s="88">
        <f t="shared" si="659"/>
        <v>1729</v>
      </c>
      <c r="CR255" s="88">
        <f t="shared" si="660"/>
        <v>72</v>
      </c>
      <c r="CS255" s="88">
        <f t="shared" si="661"/>
        <v>88</v>
      </c>
      <c r="CT255" s="88">
        <f t="shared" si="662"/>
        <v>672.66669999999999</v>
      </c>
      <c r="CU255" s="88">
        <f t="shared" si="663"/>
        <v>580</v>
      </c>
      <c r="CV255" s="88">
        <f t="shared" si="664"/>
        <v>54</v>
      </c>
      <c r="CW255" s="88">
        <f t="shared" si="665"/>
        <v>77</v>
      </c>
      <c r="CX255" s="88">
        <f t="shared" si="666"/>
        <v>8</v>
      </c>
      <c r="CY255" s="88">
        <f t="shared" si="667"/>
        <v>105</v>
      </c>
      <c r="CZ255" s="88">
        <f t="shared" si="668"/>
        <v>4626.4444000000003</v>
      </c>
      <c r="DA255" s="90">
        <f t="shared" si="669"/>
        <v>3553.3332999999998</v>
      </c>
      <c r="DB255" s="90">
        <f t="shared" si="670"/>
        <v>1073.1111000000001</v>
      </c>
      <c r="DC255" s="88">
        <f t="shared" si="671"/>
        <v>0</v>
      </c>
      <c r="DD255" s="88">
        <f t="shared" si="672"/>
        <v>28232.666700000002</v>
      </c>
      <c r="AUV255" s="699">
        <f t="shared" si="586"/>
        <v>18422.560000000001</v>
      </c>
      <c r="AUW255" s="699">
        <f t="shared" si="587"/>
        <v>14149.43</v>
      </c>
      <c r="AUX255" s="699">
        <f t="shared" si="588"/>
        <v>4273.13</v>
      </c>
      <c r="AUY255" s="699">
        <f t="shared" si="741"/>
        <v>883</v>
      </c>
      <c r="AUZ255" s="699">
        <f t="shared" si="615"/>
        <v>634.66</v>
      </c>
      <c r="AVA255" s="699">
        <f t="shared" si="615"/>
        <v>0.56999999999999995</v>
      </c>
      <c r="AVB255" s="699">
        <f t="shared" si="742"/>
        <v>1993</v>
      </c>
      <c r="AVC255" s="699">
        <f t="shared" si="743"/>
        <v>104</v>
      </c>
      <c r="AVD255" s="699">
        <f t="shared" si="744"/>
        <v>1729</v>
      </c>
      <c r="AVE255" s="699">
        <f t="shared" si="745"/>
        <v>72</v>
      </c>
      <c r="AVF255" s="699">
        <f t="shared" si="746"/>
        <v>88</v>
      </c>
      <c r="AVG255" s="699">
        <f t="shared" si="747"/>
        <v>672.67</v>
      </c>
      <c r="AVH255" s="699">
        <f t="shared" si="748"/>
        <v>580</v>
      </c>
      <c r="AVI255" s="699">
        <f t="shared" si="749"/>
        <v>54</v>
      </c>
      <c r="AVJ255" s="699">
        <f t="shared" si="750"/>
        <v>77</v>
      </c>
      <c r="AVK255" s="699">
        <f t="shared" si="751"/>
        <v>8</v>
      </c>
      <c r="AVL255" s="699">
        <f t="shared" si="752"/>
        <v>105</v>
      </c>
      <c r="AVM255" s="699">
        <f t="shared" si="753"/>
        <v>4626.4399999999996</v>
      </c>
      <c r="AVN255" s="699">
        <f t="shared" si="754"/>
        <v>3553.33</v>
      </c>
      <c r="AVO255" s="699">
        <f t="shared" si="755"/>
        <v>1073.1099999999999</v>
      </c>
      <c r="AVP255" s="699">
        <f t="shared" si="756"/>
        <v>0</v>
      </c>
      <c r="AVQ255" s="699">
        <f t="shared" si="757"/>
        <v>28232.67</v>
      </c>
    </row>
    <row r="256" spans="1:108 1244:1265" ht="30" customHeight="1" x14ac:dyDescent="0.25">
      <c r="A256" s="643">
        <v>1</v>
      </c>
      <c r="B256" s="643">
        <v>12</v>
      </c>
      <c r="C256" s="664" t="s">
        <v>27</v>
      </c>
      <c r="D256" s="2"/>
      <c r="E256" s="101" t="s">
        <v>344</v>
      </c>
      <c r="F256" s="643" t="s">
        <v>31</v>
      </c>
      <c r="G256" s="643">
        <v>1</v>
      </c>
      <c r="H256" s="658" t="s">
        <v>10</v>
      </c>
      <c r="I256" s="643">
        <v>0</v>
      </c>
      <c r="J256" s="101" t="s">
        <v>373</v>
      </c>
      <c r="K256" s="643">
        <v>3</v>
      </c>
      <c r="L256" s="683" t="s">
        <v>349</v>
      </c>
      <c r="M256" s="11" t="s">
        <v>281</v>
      </c>
      <c r="N256" s="101" t="s">
        <v>387</v>
      </c>
      <c r="O256" s="643">
        <v>1</v>
      </c>
      <c r="P256" s="632">
        <v>27</v>
      </c>
      <c r="Q256" s="632">
        <v>27</v>
      </c>
      <c r="R256" s="632">
        <v>27</v>
      </c>
      <c r="S256" s="675">
        <f>SUMIF('Территориальный кк'!$A:$A,'2020'!$B256,'Территориальный кк'!D:D)</f>
        <v>1.4350000000000001</v>
      </c>
      <c r="T256" s="676">
        <f>SUMIF('Территориальный кк'!$A:$A,'2020'!$B256,'Территориальный кк'!E:E)</f>
        <v>2.5099999999999998</v>
      </c>
      <c r="U256" s="618">
        <f>SUMIFS(Нормативы!G:G,Нормативы!$B:$B,$G256,Нормативы!$D:$D,'2020'!$I256,Нормативы!$F:$F,'2020'!$K256)*O256</f>
        <v>64190</v>
      </c>
      <c r="V256" s="618">
        <f t="shared" si="674"/>
        <v>49301.1</v>
      </c>
      <c r="W256" s="618">
        <f t="shared" si="675"/>
        <v>14888.9</v>
      </c>
      <c r="X256" s="618">
        <f>SUMIFS(Нормативы!J:J,Нормативы!$B:$B,$G256,Нормативы!$D:$D,'2020'!$I256,Нормативы!$F:$F,'2020'!$K256)</f>
        <v>8830</v>
      </c>
      <c r="Y256" s="618">
        <f>SUMIFS(Нормативы!K:K,Нормативы!$B:$B,$G256,Нормативы!$D:$D,'2020'!$I256,Нормативы!$F:$F,'2020'!$K256)</f>
        <v>1766</v>
      </c>
      <c r="Z256" s="618">
        <f>SUMIFS(Нормативы!L:L,Нормативы!$B:$B,$G256,Нормативы!$D:$D,'2020'!$I256,Нормативы!$F:$F,'2020'!$K256)</f>
        <v>8110</v>
      </c>
      <c r="AA256" s="618">
        <f t="shared" si="676"/>
        <v>19050</v>
      </c>
      <c r="AB256" s="618">
        <f>SUMIFS(Нормативы!N:N,Нормативы!$B:$B,$G256,Нормативы!$D:$D,'2020'!$I256,Нормативы!$F:$F,'2020'!$K256)*O256</f>
        <v>520</v>
      </c>
      <c r="AC256" s="618">
        <f>SUMIFS(Нормативы!O:O,Нормативы!$B:$B,$G256,Нормативы!$D:$D,'2020'!$I256,Нормативы!$F:$F,'2020'!$K256)</f>
        <v>17290</v>
      </c>
      <c r="AD256" s="618">
        <f>SUMIFS(Нормативы!P:P,Нормативы!$B:$B,$G256,Нормативы!$D:$D,'2020'!$I256,Нормативы!$F:$F,'2020'!$K256)*O256</f>
        <v>360</v>
      </c>
      <c r="AE256" s="618">
        <f>SUMIFS(Нормативы!Q:Q,Нормативы!$B:$B,$G256,Нормативы!$D:$D,'2020'!$I256,Нормативы!$F:$F,'2020'!$K256)</f>
        <v>880</v>
      </c>
      <c r="AF256" s="618">
        <f>SUMIFS(Нормативы!R:R,Нормативы!$B:$B,$G256,Нормативы!$D:$D,'2020'!$I256,Нормативы!$F:$F,'2020'!$K256)</f>
        <v>2680</v>
      </c>
      <c r="AG256" s="618">
        <f>SUMIFS(Нормативы!S:S,Нормативы!$B:$B,$G256,Нормативы!$D:$D,'2020'!$I256,Нормативы!$F:$F,'2020'!$K256)</f>
        <v>5800</v>
      </c>
      <c r="AH256" s="618">
        <f>SUMIFS(Нормативы!T:T,Нормативы!$B:$B,$G256,Нормативы!$D:$D,'2020'!$I256,Нормативы!$F:$F,'2020'!$K256)</f>
        <v>540</v>
      </c>
      <c r="AI256" s="618">
        <f>SUMIFS(Нормативы!U:U,Нормативы!$B:$B,$G256,Нормативы!$D:$D,'2020'!$I256,Нормативы!$F:$F,'2020'!$K256)</f>
        <v>770</v>
      </c>
      <c r="AJ256" s="618">
        <f>SUMIFS(Нормативы!V:V,Нормативы!$B:$B,$G256,Нормативы!$D:$D,'2020'!$I256,Нормативы!$F:$F,'2020'!$K256)</f>
        <v>80</v>
      </c>
      <c r="AK256" s="618">
        <f>SUMIFS(Нормативы!W:W,Нормативы!$B:$B,$G256,Нормативы!$D:$D,'2020'!$I256,Нормативы!$F:$F,'2020'!$K256)</f>
        <v>1050</v>
      </c>
      <c r="AL256" s="618">
        <f>SUMIFS(Нормативы!X:X,Нормативы!$B:$B,$G256,Нормативы!$D:$D,'2020'!$I256,Нормативы!$F:$F,'2020'!$K256)*O256</f>
        <v>16120</v>
      </c>
      <c r="AM256" s="618">
        <f t="shared" si="677"/>
        <v>12381</v>
      </c>
      <c r="AN256" s="618">
        <f t="shared" si="678"/>
        <v>3739</v>
      </c>
      <c r="AO256" s="618">
        <f>SUMIFS(Нормативы!AA:AA,Нормативы!$B:$B,$G256,Нормативы!$D:$D,'2020'!$I256,Нормативы!$F:$F,'2020'!$K256)</f>
        <v>3520</v>
      </c>
      <c r="AP256" s="619">
        <f t="shared" si="679"/>
        <v>130740</v>
      </c>
      <c r="AQ256" s="413">
        <f t="shared" si="616"/>
        <v>1733130</v>
      </c>
      <c r="AR256" s="618">
        <f t="shared" si="680"/>
        <v>1331129</v>
      </c>
      <c r="AS256" s="618">
        <f t="shared" si="681"/>
        <v>402001</v>
      </c>
      <c r="AT256" s="616">
        <f t="shared" si="617"/>
        <v>238410</v>
      </c>
      <c r="AU256" s="616">
        <f t="shared" si="618"/>
        <v>47682</v>
      </c>
      <c r="AV256" s="616">
        <f t="shared" si="619"/>
        <v>218970</v>
      </c>
      <c r="AW256" s="616">
        <f t="shared" si="620"/>
        <v>514350</v>
      </c>
      <c r="AX256" s="616">
        <f t="shared" si="621"/>
        <v>14040</v>
      </c>
      <c r="AY256" s="616">
        <f t="shared" si="622"/>
        <v>466830</v>
      </c>
      <c r="AZ256" s="616">
        <f t="shared" si="623"/>
        <v>9720</v>
      </c>
      <c r="BA256" s="616">
        <f t="shared" si="624"/>
        <v>23760</v>
      </c>
      <c r="BB256" s="616">
        <f t="shared" si="625"/>
        <v>72360</v>
      </c>
      <c r="BC256" s="616">
        <f t="shared" si="626"/>
        <v>156600</v>
      </c>
      <c r="BD256" s="616">
        <f t="shared" si="627"/>
        <v>14580</v>
      </c>
      <c r="BE256" s="616">
        <f t="shared" si="628"/>
        <v>20790</v>
      </c>
      <c r="BF256" s="616">
        <f t="shared" si="629"/>
        <v>2160</v>
      </c>
      <c r="BG256" s="616">
        <f t="shared" si="630"/>
        <v>28350</v>
      </c>
      <c r="BH256" s="616">
        <f t="shared" si="631"/>
        <v>435240</v>
      </c>
      <c r="BI256" s="618">
        <f t="shared" si="682"/>
        <v>334285.7</v>
      </c>
      <c r="BJ256" s="618">
        <f t="shared" si="683"/>
        <v>100954.3</v>
      </c>
      <c r="BK256" s="616">
        <f t="shared" si="632"/>
        <v>95040</v>
      </c>
      <c r="BL256" s="620">
        <f t="shared" si="633"/>
        <v>3529980</v>
      </c>
      <c r="BM256" s="616">
        <f t="shared" si="634"/>
        <v>2487042</v>
      </c>
      <c r="BN256" s="618">
        <f t="shared" si="635"/>
        <v>1910170.5</v>
      </c>
      <c r="BO256" s="618">
        <f t="shared" si="636"/>
        <v>576871.5</v>
      </c>
      <c r="BP256" s="616">
        <f t="shared" si="684"/>
        <v>238410</v>
      </c>
      <c r="BQ256" s="616">
        <f t="shared" si="685"/>
        <v>47682</v>
      </c>
      <c r="BR256" s="616">
        <f t="shared" si="686"/>
        <v>218970</v>
      </c>
      <c r="BS256" s="616">
        <f t="shared" si="637"/>
        <v>514350</v>
      </c>
      <c r="BT256" s="616">
        <f t="shared" si="638"/>
        <v>14040</v>
      </c>
      <c r="BU256" s="616">
        <f t="shared" si="639"/>
        <v>466830</v>
      </c>
      <c r="BV256" s="616">
        <f t="shared" si="640"/>
        <v>9720</v>
      </c>
      <c r="BW256" s="616">
        <f t="shared" si="641"/>
        <v>23760</v>
      </c>
      <c r="BX256" s="616">
        <f t="shared" si="642"/>
        <v>181624</v>
      </c>
      <c r="BY256" s="616">
        <f t="shared" si="643"/>
        <v>156600</v>
      </c>
      <c r="BZ256" s="616">
        <f t="shared" si="644"/>
        <v>14580</v>
      </c>
      <c r="CA256" s="616">
        <f t="shared" si="645"/>
        <v>20790</v>
      </c>
      <c r="CB256" s="616">
        <f t="shared" si="646"/>
        <v>2160</v>
      </c>
      <c r="CC256" s="616">
        <f t="shared" si="647"/>
        <v>28350</v>
      </c>
      <c r="CD256" s="616">
        <f t="shared" si="648"/>
        <v>624569</v>
      </c>
      <c r="CE256" s="618">
        <f t="shared" si="687"/>
        <v>479699.7</v>
      </c>
      <c r="CF256" s="618">
        <f t="shared" si="688"/>
        <v>144869.29999999999</v>
      </c>
      <c r="CG256" s="616">
        <f t="shared" si="649"/>
        <v>95040</v>
      </c>
      <c r="CH256" s="621">
        <f t="shared" si="650"/>
        <v>4582485</v>
      </c>
      <c r="CI256" s="88">
        <f t="shared" si="651"/>
        <v>92112.666700000002</v>
      </c>
      <c r="CJ256" s="90">
        <f t="shared" si="652"/>
        <v>70747.055600000007</v>
      </c>
      <c r="CK256" s="90">
        <f t="shared" si="653"/>
        <v>21365.611099999998</v>
      </c>
      <c r="CL256" s="88">
        <f t="shared" si="654"/>
        <v>8830</v>
      </c>
      <c r="CM256" s="88">
        <f t="shared" si="655"/>
        <v>1766</v>
      </c>
      <c r="CN256" s="88">
        <f t="shared" si="656"/>
        <v>8110</v>
      </c>
      <c r="CO256" s="88">
        <f t="shared" si="657"/>
        <v>19050</v>
      </c>
      <c r="CP256" s="88">
        <f t="shared" si="658"/>
        <v>520</v>
      </c>
      <c r="CQ256" s="88">
        <f t="shared" si="659"/>
        <v>17290</v>
      </c>
      <c r="CR256" s="88">
        <f t="shared" si="660"/>
        <v>360</v>
      </c>
      <c r="CS256" s="88">
        <f t="shared" si="661"/>
        <v>880</v>
      </c>
      <c r="CT256" s="88">
        <f t="shared" si="662"/>
        <v>6726.8148000000001</v>
      </c>
      <c r="CU256" s="88">
        <f t="shared" si="663"/>
        <v>5800</v>
      </c>
      <c r="CV256" s="88">
        <f t="shared" si="664"/>
        <v>540</v>
      </c>
      <c r="CW256" s="88">
        <f t="shared" si="665"/>
        <v>770</v>
      </c>
      <c r="CX256" s="88">
        <f t="shared" si="666"/>
        <v>80</v>
      </c>
      <c r="CY256" s="88">
        <f t="shared" si="667"/>
        <v>1050</v>
      </c>
      <c r="CZ256" s="88">
        <f t="shared" si="668"/>
        <v>23132.1852</v>
      </c>
      <c r="DA256" s="90">
        <f t="shared" si="669"/>
        <v>17766.655599999998</v>
      </c>
      <c r="DB256" s="90">
        <f t="shared" si="670"/>
        <v>5365.5295999999998</v>
      </c>
      <c r="DC256" s="88">
        <f t="shared" si="671"/>
        <v>3520</v>
      </c>
      <c r="DD256" s="88">
        <f t="shared" si="672"/>
        <v>169721.6667</v>
      </c>
      <c r="AUV256" s="699">
        <f t="shared" si="586"/>
        <v>92112.67</v>
      </c>
      <c r="AUW256" s="699">
        <f t="shared" si="587"/>
        <v>70747.06</v>
      </c>
      <c r="AUX256" s="699">
        <f t="shared" si="588"/>
        <v>21365.61</v>
      </c>
      <c r="AUY256" s="699">
        <f t="shared" si="741"/>
        <v>8830</v>
      </c>
      <c r="AUZ256" s="699">
        <f t="shared" si="615"/>
        <v>18996.810000000001</v>
      </c>
      <c r="AVA256" s="699">
        <f t="shared" si="615"/>
        <v>3.41</v>
      </c>
      <c r="AVB256" s="699">
        <f t="shared" si="742"/>
        <v>19050</v>
      </c>
      <c r="AVC256" s="699">
        <f t="shared" si="743"/>
        <v>520</v>
      </c>
      <c r="AVD256" s="699">
        <f t="shared" si="744"/>
        <v>17290</v>
      </c>
      <c r="AVE256" s="699">
        <f t="shared" si="745"/>
        <v>360</v>
      </c>
      <c r="AVF256" s="699">
        <f t="shared" si="746"/>
        <v>880</v>
      </c>
      <c r="AVG256" s="699">
        <f t="shared" si="747"/>
        <v>6726.81</v>
      </c>
      <c r="AVH256" s="699">
        <f t="shared" si="748"/>
        <v>5800</v>
      </c>
      <c r="AVI256" s="699">
        <f t="shared" si="749"/>
        <v>540</v>
      </c>
      <c r="AVJ256" s="699">
        <f t="shared" si="750"/>
        <v>770</v>
      </c>
      <c r="AVK256" s="699">
        <f t="shared" si="751"/>
        <v>80</v>
      </c>
      <c r="AVL256" s="699">
        <f t="shared" si="752"/>
        <v>1050</v>
      </c>
      <c r="AVM256" s="699">
        <f t="shared" si="753"/>
        <v>23132.19</v>
      </c>
      <c r="AVN256" s="699">
        <f t="shared" si="754"/>
        <v>17766.66</v>
      </c>
      <c r="AVO256" s="699">
        <f t="shared" si="755"/>
        <v>5365.53</v>
      </c>
      <c r="AVP256" s="699">
        <f t="shared" si="756"/>
        <v>3520</v>
      </c>
      <c r="AVQ256" s="699">
        <f t="shared" si="757"/>
        <v>169721.67</v>
      </c>
    </row>
    <row r="257" spans="1:108 1244:1265" ht="30" customHeight="1" x14ac:dyDescent="0.25">
      <c r="A257" s="643">
        <v>1</v>
      </c>
      <c r="B257" s="643">
        <v>12</v>
      </c>
      <c r="C257" s="664" t="s">
        <v>27</v>
      </c>
      <c r="D257" s="2"/>
      <c r="E257" s="101" t="s">
        <v>344</v>
      </c>
      <c r="F257" s="643" t="s">
        <v>31</v>
      </c>
      <c r="G257" s="643">
        <v>1</v>
      </c>
      <c r="H257" s="658" t="s">
        <v>8</v>
      </c>
      <c r="I257" s="643">
        <v>3</v>
      </c>
      <c r="J257" s="101" t="s">
        <v>373</v>
      </c>
      <c r="K257" s="643">
        <v>3</v>
      </c>
      <c r="L257" s="683" t="s">
        <v>349</v>
      </c>
      <c r="M257" s="11" t="s">
        <v>282</v>
      </c>
      <c r="N257" s="101" t="s">
        <v>387</v>
      </c>
      <c r="O257" s="643">
        <v>1</v>
      </c>
      <c r="P257" s="632">
        <v>12</v>
      </c>
      <c r="Q257" s="632">
        <v>12</v>
      </c>
      <c r="R257" s="632">
        <v>12</v>
      </c>
      <c r="S257" s="675">
        <f>SUMIF('Территориальный кк'!$A:$A,'2020'!$B257,'Территориальный кк'!D:D)</f>
        <v>1.4350000000000001</v>
      </c>
      <c r="T257" s="676">
        <f>SUMIF('Территориальный кк'!$A:$A,'2020'!$B257,'Территориальный кк'!E:E)</f>
        <v>2.5099999999999998</v>
      </c>
      <c r="U257" s="618">
        <f>SUMIFS(Нормативы!G:G,Нормативы!$B:$B,$G257,Нормативы!$D:$D,'2020'!$I257,Нормативы!$F:$F,'2020'!$K257)*O257</f>
        <v>6419</v>
      </c>
      <c r="V257" s="618">
        <f t="shared" si="674"/>
        <v>4930.1000000000004</v>
      </c>
      <c r="W257" s="618">
        <f t="shared" si="675"/>
        <v>1488.9</v>
      </c>
      <c r="X257" s="618">
        <f>SUMIFS(Нормативы!J:J,Нормативы!$B:$B,$G257,Нормативы!$D:$D,'2020'!$I257,Нормативы!$F:$F,'2020'!$K257)</f>
        <v>883</v>
      </c>
      <c r="Y257" s="618">
        <f>SUMIFS(Нормативы!K:K,Нормативы!$B:$B,$G257,Нормативы!$D:$D,'2020'!$I257,Нормативы!$F:$F,'2020'!$K257)</f>
        <v>177</v>
      </c>
      <c r="Z257" s="618">
        <f>SUMIFS(Нормативы!L:L,Нормативы!$B:$B,$G257,Нормативы!$D:$D,'2020'!$I257,Нормативы!$F:$F,'2020'!$K257)</f>
        <v>811</v>
      </c>
      <c r="AA257" s="618">
        <f t="shared" si="676"/>
        <v>1905</v>
      </c>
      <c r="AB257" s="618">
        <f>SUMIFS(Нормативы!N:N,Нормативы!$B:$B,$G257,Нормативы!$D:$D,'2020'!$I257,Нормативы!$F:$F,'2020'!$K257)*O257</f>
        <v>52</v>
      </c>
      <c r="AC257" s="618">
        <f>SUMIFS(Нормативы!O:O,Нормативы!$B:$B,$G257,Нормативы!$D:$D,'2020'!$I257,Нормативы!$F:$F,'2020'!$K257)</f>
        <v>1729</v>
      </c>
      <c r="AD257" s="618">
        <f>SUMIFS(Нормативы!P:P,Нормативы!$B:$B,$G257,Нормативы!$D:$D,'2020'!$I257,Нормативы!$F:$F,'2020'!$K257)*O257</f>
        <v>36</v>
      </c>
      <c r="AE257" s="618">
        <f>SUMIFS(Нормативы!Q:Q,Нормативы!$B:$B,$G257,Нормативы!$D:$D,'2020'!$I257,Нормативы!$F:$F,'2020'!$K257)</f>
        <v>88</v>
      </c>
      <c r="AF257" s="618">
        <f>SUMIFS(Нормативы!R:R,Нормативы!$B:$B,$G257,Нормативы!$D:$D,'2020'!$I257,Нормативы!$F:$F,'2020'!$K257)</f>
        <v>268</v>
      </c>
      <c r="AG257" s="618">
        <f>SUMIFS(Нормативы!S:S,Нормативы!$B:$B,$G257,Нормативы!$D:$D,'2020'!$I257,Нормативы!$F:$F,'2020'!$K257)</f>
        <v>580</v>
      </c>
      <c r="AH257" s="618">
        <f>SUMIFS(Нормативы!T:T,Нормативы!$B:$B,$G257,Нормативы!$D:$D,'2020'!$I257,Нормативы!$F:$F,'2020'!$K257)</f>
        <v>54</v>
      </c>
      <c r="AI257" s="618">
        <f>SUMIFS(Нормативы!U:U,Нормативы!$B:$B,$G257,Нормативы!$D:$D,'2020'!$I257,Нормативы!$F:$F,'2020'!$K257)</f>
        <v>77</v>
      </c>
      <c r="AJ257" s="618">
        <f>SUMIFS(Нормативы!V:V,Нормативы!$B:$B,$G257,Нормативы!$D:$D,'2020'!$I257,Нормативы!$F:$F,'2020'!$K257)</f>
        <v>8</v>
      </c>
      <c r="AK257" s="618">
        <f>SUMIFS(Нормативы!W:W,Нормативы!$B:$B,$G257,Нормативы!$D:$D,'2020'!$I257,Нормативы!$F:$F,'2020'!$K257)</f>
        <v>105</v>
      </c>
      <c r="AL257" s="618">
        <f>SUMIFS(Нормативы!X:X,Нормативы!$B:$B,$G257,Нормативы!$D:$D,'2020'!$I257,Нормативы!$F:$F,'2020'!$K257)*O257</f>
        <v>1612</v>
      </c>
      <c r="AM257" s="618">
        <f t="shared" si="677"/>
        <v>1238.0999999999999</v>
      </c>
      <c r="AN257" s="618">
        <f t="shared" si="678"/>
        <v>373.9</v>
      </c>
      <c r="AO257" s="618">
        <f>SUMIFS(Нормативы!AA:AA,Нормативы!$B:$B,$G257,Нормативы!$D:$D,'2020'!$I257,Нормативы!$F:$F,'2020'!$K257)</f>
        <v>0</v>
      </c>
      <c r="AP257" s="619">
        <f t="shared" si="679"/>
        <v>12722</v>
      </c>
      <c r="AQ257" s="413">
        <f t="shared" si="616"/>
        <v>77028</v>
      </c>
      <c r="AR257" s="618">
        <f t="shared" si="680"/>
        <v>59161.3</v>
      </c>
      <c r="AS257" s="618">
        <f t="shared" si="681"/>
        <v>17866.7</v>
      </c>
      <c r="AT257" s="616">
        <f t="shared" si="617"/>
        <v>10596</v>
      </c>
      <c r="AU257" s="616">
        <f t="shared" si="618"/>
        <v>2124</v>
      </c>
      <c r="AV257" s="616">
        <f t="shared" si="619"/>
        <v>9732</v>
      </c>
      <c r="AW257" s="616">
        <f t="shared" si="620"/>
        <v>22860</v>
      </c>
      <c r="AX257" s="616">
        <f t="shared" si="621"/>
        <v>624</v>
      </c>
      <c r="AY257" s="616">
        <f t="shared" si="622"/>
        <v>20748</v>
      </c>
      <c r="AZ257" s="616">
        <f t="shared" si="623"/>
        <v>432</v>
      </c>
      <c r="BA257" s="616">
        <f t="shared" si="624"/>
        <v>1056</v>
      </c>
      <c r="BB257" s="616">
        <f t="shared" si="625"/>
        <v>3216</v>
      </c>
      <c r="BC257" s="616">
        <f t="shared" si="626"/>
        <v>6960</v>
      </c>
      <c r="BD257" s="616">
        <f t="shared" si="627"/>
        <v>648</v>
      </c>
      <c r="BE257" s="616">
        <f t="shared" si="628"/>
        <v>924</v>
      </c>
      <c r="BF257" s="616">
        <f t="shared" si="629"/>
        <v>96</v>
      </c>
      <c r="BG257" s="616">
        <f t="shared" si="630"/>
        <v>1260</v>
      </c>
      <c r="BH257" s="616">
        <f t="shared" si="631"/>
        <v>19344</v>
      </c>
      <c r="BI257" s="618">
        <f t="shared" si="682"/>
        <v>14857.1</v>
      </c>
      <c r="BJ257" s="618">
        <f t="shared" si="683"/>
        <v>4486.8999999999996</v>
      </c>
      <c r="BK257" s="616">
        <f t="shared" si="632"/>
        <v>0</v>
      </c>
      <c r="BL257" s="620">
        <f t="shared" si="633"/>
        <v>152664</v>
      </c>
      <c r="BM257" s="616">
        <f t="shared" si="634"/>
        <v>110535</v>
      </c>
      <c r="BN257" s="618">
        <f t="shared" si="635"/>
        <v>84896.3</v>
      </c>
      <c r="BO257" s="618">
        <f t="shared" si="636"/>
        <v>25638.7</v>
      </c>
      <c r="BP257" s="616">
        <f t="shared" si="684"/>
        <v>10596</v>
      </c>
      <c r="BQ257" s="616">
        <f t="shared" si="685"/>
        <v>2124</v>
      </c>
      <c r="BR257" s="616">
        <f t="shared" si="686"/>
        <v>9732</v>
      </c>
      <c r="BS257" s="616">
        <f t="shared" si="637"/>
        <v>22860</v>
      </c>
      <c r="BT257" s="616">
        <f t="shared" si="638"/>
        <v>624</v>
      </c>
      <c r="BU257" s="616">
        <f t="shared" si="639"/>
        <v>20748</v>
      </c>
      <c r="BV257" s="616">
        <f t="shared" si="640"/>
        <v>432</v>
      </c>
      <c r="BW257" s="616">
        <f t="shared" si="641"/>
        <v>1056</v>
      </c>
      <c r="BX257" s="616">
        <f t="shared" si="642"/>
        <v>8072</v>
      </c>
      <c r="BY257" s="616">
        <f t="shared" si="643"/>
        <v>6960</v>
      </c>
      <c r="BZ257" s="616">
        <f t="shared" si="644"/>
        <v>648</v>
      </c>
      <c r="CA257" s="616">
        <f t="shared" si="645"/>
        <v>924</v>
      </c>
      <c r="CB257" s="616">
        <f t="shared" si="646"/>
        <v>96</v>
      </c>
      <c r="CC257" s="616">
        <f t="shared" si="647"/>
        <v>1260</v>
      </c>
      <c r="CD257" s="616">
        <f t="shared" si="648"/>
        <v>27759</v>
      </c>
      <c r="CE257" s="618">
        <f t="shared" si="687"/>
        <v>21320.3</v>
      </c>
      <c r="CF257" s="618">
        <f t="shared" si="688"/>
        <v>6438.7</v>
      </c>
      <c r="CG257" s="616">
        <f t="shared" si="649"/>
        <v>0</v>
      </c>
      <c r="CH257" s="621">
        <f t="shared" si="650"/>
        <v>199442</v>
      </c>
      <c r="CI257" s="88">
        <f t="shared" si="651"/>
        <v>9211.25</v>
      </c>
      <c r="CJ257" s="90">
        <f t="shared" si="652"/>
        <v>7074.6917000000003</v>
      </c>
      <c r="CK257" s="90">
        <f t="shared" si="653"/>
        <v>2136.5583000000001</v>
      </c>
      <c r="CL257" s="88">
        <f t="shared" si="654"/>
        <v>883</v>
      </c>
      <c r="CM257" s="88">
        <f t="shared" si="655"/>
        <v>177</v>
      </c>
      <c r="CN257" s="88">
        <f t="shared" si="656"/>
        <v>811</v>
      </c>
      <c r="CO257" s="88">
        <f t="shared" si="657"/>
        <v>1905</v>
      </c>
      <c r="CP257" s="88">
        <f t="shared" si="658"/>
        <v>52</v>
      </c>
      <c r="CQ257" s="88">
        <f t="shared" si="659"/>
        <v>1729</v>
      </c>
      <c r="CR257" s="88">
        <f t="shared" si="660"/>
        <v>36</v>
      </c>
      <c r="CS257" s="88">
        <f t="shared" si="661"/>
        <v>88</v>
      </c>
      <c r="CT257" s="88">
        <f t="shared" si="662"/>
        <v>672.66669999999999</v>
      </c>
      <c r="CU257" s="88">
        <f t="shared" si="663"/>
        <v>580</v>
      </c>
      <c r="CV257" s="88">
        <f t="shared" si="664"/>
        <v>54</v>
      </c>
      <c r="CW257" s="88">
        <f t="shared" si="665"/>
        <v>77</v>
      </c>
      <c r="CX257" s="88">
        <f t="shared" si="666"/>
        <v>8</v>
      </c>
      <c r="CY257" s="88">
        <f t="shared" si="667"/>
        <v>105</v>
      </c>
      <c r="CZ257" s="88">
        <f t="shared" si="668"/>
        <v>2313.25</v>
      </c>
      <c r="DA257" s="90">
        <f t="shared" si="669"/>
        <v>1776.6917000000001</v>
      </c>
      <c r="DB257" s="90">
        <f t="shared" si="670"/>
        <v>536.55830000000003</v>
      </c>
      <c r="DC257" s="88">
        <f t="shared" si="671"/>
        <v>0</v>
      </c>
      <c r="DD257" s="88">
        <f t="shared" si="672"/>
        <v>16620.166700000002</v>
      </c>
      <c r="AUV257" s="699">
        <f t="shared" si="586"/>
        <v>9211.25</v>
      </c>
      <c r="AUW257" s="699">
        <f t="shared" si="587"/>
        <v>7074.69</v>
      </c>
      <c r="AUX257" s="699">
        <f t="shared" si="588"/>
        <v>2136.56</v>
      </c>
      <c r="AUY257" s="699">
        <f t="shared" si="741"/>
        <v>883</v>
      </c>
      <c r="AUZ257" s="699">
        <f t="shared" si="615"/>
        <v>846.22</v>
      </c>
      <c r="AVA257" s="699">
        <f t="shared" si="615"/>
        <v>1.52</v>
      </c>
      <c r="AVB257" s="699">
        <f t="shared" si="742"/>
        <v>1905</v>
      </c>
      <c r="AVC257" s="699">
        <f t="shared" si="743"/>
        <v>52</v>
      </c>
      <c r="AVD257" s="699">
        <f t="shared" si="744"/>
        <v>1729</v>
      </c>
      <c r="AVE257" s="699">
        <f t="shared" si="745"/>
        <v>36</v>
      </c>
      <c r="AVF257" s="699">
        <f t="shared" si="746"/>
        <v>88</v>
      </c>
      <c r="AVG257" s="699">
        <f t="shared" si="747"/>
        <v>672.67</v>
      </c>
      <c r="AVH257" s="699">
        <f t="shared" si="748"/>
        <v>580</v>
      </c>
      <c r="AVI257" s="699">
        <f t="shared" si="749"/>
        <v>54</v>
      </c>
      <c r="AVJ257" s="699">
        <f t="shared" si="750"/>
        <v>77</v>
      </c>
      <c r="AVK257" s="699">
        <f t="shared" si="751"/>
        <v>8</v>
      </c>
      <c r="AVL257" s="699">
        <f t="shared" si="752"/>
        <v>105</v>
      </c>
      <c r="AVM257" s="699">
        <f t="shared" si="753"/>
        <v>2313.25</v>
      </c>
      <c r="AVN257" s="699">
        <f t="shared" si="754"/>
        <v>1776.69</v>
      </c>
      <c r="AVO257" s="699">
        <f t="shared" si="755"/>
        <v>536.55999999999995</v>
      </c>
      <c r="AVP257" s="699">
        <f t="shared" si="756"/>
        <v>0</v>
      </c>
      <c r="AVQ257" s="699">
        <f t="shared" si="757"/>
        <v>16620.169999999998</v>
      </c>
    </row>
    <row r="258" spans="1:108 1244:1265" ht="30" customHeight="1" x14ac:dyDescent="0.25">
      <c r="A258" s="643">
        <v>1</v>
      </c>
      <c r="B258" s="643">
        <v>12</v>
      </c>
      <c r="C258" s="664" t="s">
        <v>27</v>
      </c>
      <c r="D258" s="2"/>
      <c r="E258" s="101" t="s">
        <v>344</v>
      </c>
      <c r="F258" s="643" t="s">
        <v>31</v>
      </c>
      <c r="G258" s="643">
        <v>1</v>
      </c>
      <c r="H258" s="658" t="s">
        <v>10</v>
      </c>
      <c r="I258" s="643">
        <v>0</v>
      </c>
      <c r="J258" s="101" t="s">
        <v>359</v>
      </c>
      <c r="K258" s="643">
        <v>1</v>
      </c>
      <c r="L258" s="683" t="s">
        <v>349</v>
      </c>
      <c r="M258" s="11" t="s">
        <v>263</v>
      </c>
      <c r="N258" s="101" t="s">
        <v>387</v>
      </c>
      <c r="O258" s="643">
        <v>1</v>
      </c>
      <c r="P258" s="632">
        <v>10</v>
      </c>
      <c r="Q258" s="632">
        <v>10</v>
      </c>
      <c r="R258" s="632">
        <v>10</v>
      </c>
      <c r="S258" s="675">
        <f>SUMIF('Территориальный кк'!$A:$A,'2020'!$B258,'Территориальный кк'!D:D)</f>
        <v>1.4350000000000001</v>
      </c>
      <c r="T258" s="676">
        <f>SUMIF('Территориальный кк'!$A:$A,'2020'!$B258,'Территориальный кк'!E:E)</f>
        <v>2.5099999999999998</v>
      </c>
      <c r="U258" s="618">
        <f>SUMIFS(Нормативы!G:G,Нормативы!$B:$B,$G258,Нормативы!$D:$D,'2020'!$I258,Нормативы!$F:$F,'2020'!$K258)*O258</f>
        <v>54020</v>
      </c>
      <c r="V258" s="618">
        <f t="shared" si="674"/>
        <v>41490</v>
      </c>
      <c r="W258" s="618">
        <f t="shared" si="675"/>
        <v>12530</v>
      </c>
      <c r="X258" s="618">
        <f>SUMIFS(Нормативы!J:J,Нормативы!$B:$B,$G258,Нормативы!$D:$D,'2020'!$I258,Нормативы!$F:$F,'2020'!$K258)</f>
        <v>220</v>
      </c>
      <c r="Y258" s="618">
        <f>SUMIFS(Нормативы!K:K,Нормативы!$B:$B,$G258,Нормативы!$D:$D,'2020'!$I258,Нормативы!$F:$F,'2020'!$K258)</f>
        <v>44</v>
      </c>
      <c r="Z258" s="618">
        <f>SUMIFS(Нормативы!L:L,Нормативы!$B:$B,$G258,Нормативы!$D:$D,'2020'!$I258,Нормативы!$F:$F,'2020'!$K258)</f>
        <v>2320</v>
      </c>
      <c r="AA258" s="618">
        <f t="shared" si="676"/>
        <v>3710</v>
      </c>
      <c r="AB258" s="618">
        <f>SUMIFS(Нормативы!N:N,Нормативы!$B:$B,$G258,Нормативы!$D:$D,'2020'!$I258,Нормативы!$F:$F,'2020'!$K258)*O258</f>
        <v>520</v>
      </c>
      <c r="AC258" s="618">
        <f>SUMIFS(Нормативы!O:O,Нормативы!$B:$B,$G258,Нормативы!$D:$D,'2020'!$I258,Нормативы!$F:$F,'2020'!$K258)</f>
        <v>2140</v>
      </c>
      <c r="AD258" s="618">
        <f>SUMIFS(Нормативы!P:P,Нормативы!$B:$B,$G258,Нормативы!$D:$D,'2020'!$I258,Нормативы!$F:$F,'2020'!$K258)*O258</f>
        <v>310</v>
      </c>
      <c r="AE258" s="618">
        <f>SUMIFS(Нормативы!Q:Q,Нормативы!$B:$B,$G258,Нормативы!$D:$D,'2020'!$I258,Нормативы!$F:$F,'2020'!$K258)</f>
        <v>740</v>
      </c>
      <c r="AF258" s="618">
        <f>SUMIFS(Нормативы!R:R,Нормативы!$B:$B,$G258,Нормативы!$D:$D,'2020'!$I258,Нормативы!$F:$F,'2020'!$K258)</f>
        <v>2460</v>
      </c>
      <c r="AG258" s="618">
        <f>SUMIFS(Нормативы!S:S,Нормативы!$B:$B,$G258,Нормативы!$D:$D,'2020'!$I258,Нормативы!$F:$F,'2020'!$K258)</f>
        <v>5080</v>
      </c>
      <c r="AH258" s="618">
        <f>SUMIFS(Нормативы!T:T,Нормативы!$B:$B,$G258,Нормативы!$D:$D,'2020'!$I258,Нормативы!$F:$F,'2020'!$K258)</f>
        <v>540</v>
      </c>
      <c r="AI258" s="618">
        <f>SUMIFS(Нормативы!U:U,Нормативы!$B:$B,$G258,Нормативы!$D:$D,'2020'!$I258,Нормативы!$F:$F,'2020'!$K258)</f>
        <v>770</v>
      </c>
      <c r="AJ258" s="618">
        <f>SUMIFS(Нормативы!V:V,Нормативы!$B:$B,$G258,Нормативы!$D:$D,'2020'!$I258,Нормативы!$F:$F,'2020'!$K258)</f>
        <v>80</v>
      </c>
      <c r="AK258" s="618">
        <f>SUMIFS(Нормативы!W:W,Нормативы!$B:$B,$G258,Нормативы!$D:$D,'2020'!$I258,Нормативы!$F:$F,'2020'!$K258)</f>
        <v>300</v>
      </c>
      <c r="AL258" s="618">
        <f>SUMIFS(Нормативы!X:X,Нормативы!$B:$B,$G258,Нормативы!$D:$D,'2020'!$I258,Нормативы!$F:$F,'2020'!$K258)*O258</f>
        <v>13440</v>
      </c>
      <c r="AM258" s="618">
        <f t="shared" si="677"/>
        <v>10322.6</v>
      </c>
      <c r="AN258" s="618">
        <f t="shared" si="678"/>
        <v>3117.4</v>
      </c>
      <c r="AO258" s="618">
        <f>SUMIFS(Нормативы!AA:AA,Нормативы!$B:$B,$G258,Нормативы!$D:$D,'2020'!$I258,Нормативы!$F:$F,'2020'!$K258)</f>
        <v>3520</v>
      </c>
      <c r="AP258" s="619">
        <f t="shared" si="679"/>
        <v>86460</v>
      </c>
      <c r="AQ258" s="413">
        <f t="shared" si="616"/>
        <v>540200</v>
      </c>
      <c r="AR258" s="618">
        <f t="shared" si="680"/>
        <v>414900.2</v>
      </c>
      <c r="AS258" s="618">
        <f t="shared" si="681"/>
        <v>125299.8</v>
      </c>
      <c r="AT258" s="616">
        <f t="shared" si="617"/>
        <v>2200</v>
      </c>
      <c r="AU258" s="616">
        <f t="shared" si="618"/>
        <v>440</v>
      </c>
      <c r="AV258" s="616">
        <f t="shared" si="619"/>
        <v>23200</v>
      </c>
      <c r="AW258" s="616">
        <f t="shared" si="620"/>
        <v>37100</v>
      </c>
      <c r="AX258" s="616">
        <f t="shared" si="621"/>
        <v>5200</v>
      </c>
      <c r="AY258" s="616">
        <f t="shared" si="622"/>
        <v>21400</v>
      </c>
      <c r="AZ258" s="616">
        <f t="shared" si="623"/>
        <v>3100</v>
      </c>
      <c r="BA258" s="616">
        <f t="shared" si="624"/>
        <v>7400</v>
      </c>
      <c r="BB258" s="616">
        <f t="shared" si="625"/>
        <v>24600</v>
      </c>
      <c r="BC258" s="616">
        <f t="shared" si="626"/>
        <v>50800</v>
      </c>
      <c r="BD258" s="616">
        <f t="shared" si="627"/>
        <v>5400</v>
      </c>
      <c r="BE258" s="616">
        <f t="shared" si="628"/>
        <v>7700</v>
      </c>
      <c r="BF258" s="616">
        <f t="shared" si="629"/>
        <v>800</v>
      </c>
      <c r="BG258" s="616">
        <f t="shared" si="630"/>
        <v>3000</v>
      </c>
      <c r="BH258" s="616">
        <f t="shared" si="631"/>
        <v>134400</v>
      </c>
      <c r="BI258" s="618">
        <f t="shared" si="682"/>
        <v>103225.8</v>
      </c>
      <c r="BJ258" s="618">
        <f t="shared" si="683"/>
        <v>31174.2</v>
      </c>
      <c r="BK258" s="616">
        <f t="shared" si="632"/>
        <v>35200</v>
      </c>
      <c r="BL258" s="620">
        <f t="shared" si="633"/>
        <v>864600</v>
      </c>
      <c r="BM258" s="616">
        <f t="shared" si="634"/>
        <v>775187</v>
      </c>
      <c r="BN258" s="618">
        <f t="shared" si="635"/>
        <v>595381.69999999995</v>
      </c>
      <c r="BO258" s="618">
        <f t="shared" si="636"/>
        <v>179805.3</v>
      </c>
      <c r="BP258" s="616">
        <f t="shared" si="684"/>
        <v>2200</v>
      </c>
      <c r="BQ258" s="616">
        <f t="shared" si="685"/>
        <v>440</v>
      </c>
      <c r="BR258" s="616">
        <f t="shared" si="686"/>
        <v>23200</v>
      </c>
      <c r="BS258" s="616">
        <f t="shared" si="637"/>
        <v>37100</v>
      </c>
      <c r="BT258" s="616">
        <f t="shared" si="638"/>
        <v>5200</v>
      </c>
      <c r="BU258" s="616">
        <f t="shared" si="639"/>
        <v>21400</v>
      </c>
      <c r="BV258" s="616">
        <f t="shared" si="640"/>
        <v>3100</v>
      </c>
      <c r="BW258" s="616">
        <f t="shared" si="641"/>
        <v>7400</v>
      </c>
      <c r="BX258" s="616">
        <f t="shared" si="642"/>
        <v>61746</v>
      </c>
      <c r="BY258" s="616">
        <f t="shared" si="643"/>
        <v>50800</v>
      </c>
      <c r="BZ258" s="616">
        <f t="shared" si="644"/>
        <v>5400</v>
      </c>
      <c r="CA258" s="616">
        <f t="shared" si="645"/>
        <v>7700</v>
      </c>
      <c r="CB258" s="616">
        <f t="shared" si="646"/>
        <v>800</v>
      </c>
      <c r="CC258" s="616">
        <f t="shared" si="647"/>
        <v>3000</v>
      </c>
      <c r="CD258" s="616">
        <f t="shared" si="648"/>
        <v>192864</v>
      </c>
      <c r="CE258" s="618">
        <f t="shared" si="687"/>
        <v>148129</v>
      </c>
      <c r="CF258" s="618">
        <f t="shared" si="688"/>
        <v>44735</v>
      </c>
      <c r="CG258" s="616">
        <f t="shared" si="649"/>
        <v>35200</v>
      </c>
      <c r="CH258" s="621">
        <f t="shared" si="650"/>
        <v>1195197</v>
      </c>
      <c r="CI258" s="88">
        <f t="shared" si="651"/>
        <v>77518.7</v>
      </c>
      <c r="CJ258" s="90">
        <f t="shared" si="652"/>
        <v>59538.17</v>
      </c>
      <c r="CK258" s="90">
        <f t="shared" si="653"/>
        <v>17980.53</v>
      </c>
      <c r="CL258" s="88">
        <f t="shared" si="654"/>
        <v>220</v>
      </c>
      <c r="CM258" s="88">
        <f t="shared" si="655"/>
        <v>44</v>
      </c>
      <c r="CN258" s="88">
        <f t="shared" si="656"/>
        <v>2320</v>
      </c>
      <c r="CO258" s="88">
        <f t="shared" si="657"/>
        <v>3710</v>
      </c>
      <c r="CP258" s="88">
        <f t="shared" si="658"/>
        <v>520</v>
      </c>
      <c r="CQ258" s="88">
        <f t="shared" si="659"/>
        <v>2140</v>
      </c>
      <c r="CR258" s="88">
        <f t="shared" si="660"/>
        <v>310</v>
      </c>
      <c r="CS258" s="88">
        <f t="shared" si="661"/>
        <v>740</v>
      </c>
      <c r="CT258" s="88">
        <f t="shared" si="662"/>
        <v>6174.6</v>
      </c>
      <c r="CU258" s="88">
        <f t="shared" si="663"/>
        <v>5080</v>
      </c>
      <c r="CV258" s="88">
        <f t="shared" si="664"/>
        <v>540</v>
      </c>
      <c r="CW258" s="88">
        <f t="shared" si="665"/>
        <v>770</v>
      </c>
      <c r="CX258" s="88">
        <f t="shared" si="666"/>
        <v>80</v>
      </c>
      <c r="CY258" s="88">
        <f t="shared" si="667"/>
        <v>300</v>
      </c>
      <c r="CZ258" s="88">
        <f t="shared" si="668"/>
        <v>19286.400000000001</v>
      </c>
      <c r="DA258" s="90">
        <f t="shared" si="669"/>
        <v>14812.9</v>
      </c>
      <c r="DB258" s="90">
        <f t="shared" si="670"/>
        <v>4473.5</v>
      </c>
      <c r="DC258" s="88">
        <f t="shared" si="671"/>
        <v>3520</v>
      </c>
      <c r="DD258" s="88">
        <f t="shared" si="672"/>
        <v>119519.7</v>
      </c>
      <c r="AUV258" s="699">
        <f t="shared" si="586"/>
        <v>77518.7</v>
      </c>
      <c r="AUW258" s="699">
        <f t="shared" si="587"/>
        <v>59538.17</v>
      </c>
      <c r="AUX258" s="699">
        <f t="shared" si="588"/>
        <v>17980.53</v>
      </c>
      <c r="AUY258" s="699">
        <f t="shared" si="741"/>
        <v>220</v>
      </c>
      <c r="AUZ258" s="699">
        <f t="shared" si="615"/>
        <v>175.3</v>
      </c>
      <c r="AVA258" s="699">
        <f t="shared" si="615"/>
        <v>0.43</v>
      </c>
      <c r="AVB258" s="699">
        <f t="shared" si="742"/>
        <v>3710</v>
      </c>
      <c r="AVC258" s="699">
        <f t="shared" si="743"/>
        <v>520</v>
      </c>
      <c r="AVD258" s="699">
        <f t="shared" si="744"/>
        <v>2140</v>
      </c>
      <c r="AVE258" s="699">
        <f t="shared" si="745"/>
        <v>310</v>
      </c>
      <c r="AVF258" s="699">
        <f t="shared" si="746"/>
        <v>740</v>
      </c>
      <c r="AVG258" s="699">
        <f t="shared" si="747"/>
        <v>6174.6</v>
      </c>
      <c r="AVH258" s="699">
        <f t="shared" si="748"/>
        <v>5080</v>
      </c>
      <c r="AVI258" s="699">
        <f t="shared" si="749"/>
        <v>540</v>
      </c>
      <c r="AVJ258" s="699">
        <f t="shared" si="750"/>
        <v>770</v>
      </c>
      <c r="AVK258" s="699">
        <f t="shared" si="751"/>
        <v>80</v>
      </c>
      <c r="AVL258" s="699">
        <f t="shared" si="752"/>
        <v>300</v>
      </c>
      <c r="AVM258" s="699">
        <f t="shared" si="753"/>
        <v>19286.400000000001</v>
      </c>
      <c r="AVN258" s="699">
        <f t="shared" si="754"/>
        <v>14812.9</v>
      </c>
      <c r="AVO258" s="699">
        <f t="shared" si="755"/>
        <v>4473.5</v>
      </c>
      <c r="AVP258" s="699">
        <f t="shared" si="756"/>
        <v>3520</v>
      </c>
      <c r="AVQ258" s="699">
        <f t="shared" si="757"/>
        <v>119519.7</v>
      </c>
    </row>
    <row r="259" spans="1:108 1244:1265" ht="30" customHeight="1" x14ac:dyDescent="0.25">
      <c r="A259" s="643">
        <v>1</v>
      </c>
      <c r="B259" s="643">
        <v>12</v>
      </c>
      <c r="C259" s="664" t="s">
        <v>27</v>
      </c>
      <c r="D259" s="2"/>
      <c r="E259" s="101" t="s">
        <v>344</v>
      </c>
      <c r="F259" s="643" t="s">
        <v>31</v>
      </c>
      <c r="G259" s="643">
        <v>1</v>
      </c>
      <c r="H259" s="658" t="s">
        <v>8</v>
      </c>
      <c r="I259" s="643">
        <v>3</v>
      </c>
      <c r="J259" s="101" t="s">
        <v>360</v>
      </c>
      <c r="K259" s="643">
        <v>3</v>
      </c>
      <c r="L259" s="683" t="s">
        <v>349</v>
      </c>
      <c r="M259" s="11" t="s">
        <v>266</v>
      </c>
      <c r="N259" s="101" t="s">
        <v>387</v>
      </c>
      <c r="O259" s="643">
        <v>1</v>
      </c>
      <c r="P259" s="632">
        <v>127</v>
      </c>
      <c r="Q259" s="632">
        <v>127</v>
      </c>
      <c r="R259" s="632">
        <v>127</v>
      </c>
      <c r="S259" s="675">
        <f>SUMIF('Территориальный кк'!$A:$A,'2020'!$B259,'Территориальный кк'!D:D)</f>
        <v>1.4350000000000001</v>
      </c>
      <c r="T259" s="676">
        <f>SUMIF('Территориальный кк'!$A:$A,'2020'!$B259,'Территориальный кк'!E:E)</f>
        <v>2.5099999999999998</v>
      </c>
      <c r="U259" s="618">
        <f>SUMIFS(Нормативы!G:G,Нормативы!$B:$B,$G259,Нормативы!$D:$D,'2020'!$I259,Нормативы!$F:$F,'2020'!$K259)*O259</f>
        <v>6419</v>
      </c>
      <c r="V259" s="618">
        <f t="shared" si="674"/>
        <v>4930.1000000000004</v>
      </c>
      <c r="W259" s="618">
        <f t="shared" si="675"/>
        <v>1488.9</v>
      </c>
      <c r="X259" s="618">
        <f>SUMIFS(Нормативы!J:J,Нормативы!$B:$B,$G259,Нормативы!$D:$D,'2020'!$I259,Нормативы!$F:$F,'2020'!$K259)</f>
        <v>883</v>
      </c>
      <c r="Y259" s="618">
        <f>SUMIFS(Нормативы!K:K,Нормативы!$B:$B,$G259,Нормативы!$D:$D,'2020'!$I259,Нормативы!$F:$F,'2020'!$K259)</f>
        <v>177</v>
      </c>
      <c r="Z259" s="618">
        <f>SUMIFS(Нормативы!L:L,Нормативы!$B:$B,$G259,Нормативы!$D:$D,'2020'!$I259,Нормативы!$F:$F,'2020'!$K259)</f>
        <v>811</v>
      </c>
      <c r="AA259" s="618">
        <f t="shared" si="676"/>
        <v>1905</v>
      </c>
      <c r="AB259" s="618">
        <f>SUMIFS(Нормативы!N:N,Нормативы!$B:$B,$G259,Нормативы!$D:$D,'2020'!$I259,Нормативы!$F:$F,'2020'!$K259)*O259</f>
        <v>52</v>
      </c>
      <c r="AC259" s="618">
        <f>SUMIFS(Нормативы!O:O,Нормативы!$B:$B,$G259,Нормативы!$D:$D,'2020'!$I259,Нормативы!$F:$F,'2020'!$K259)</f>
        <v>1729</v>
      </c>
      <c r="AD259" s="618">
        <f>SUMIFS(Нормативы!P:P,Нормативы!$B:$B,$G259,Нормативы!$D:$D,'2020'!$I259,Нормативы!$F:$F,'2020'!$K259)*O259</f>
        <v>36</v>
      </c>
      <c r="AE259" s="618">
        <f>SUMIFS(Нормативы!Q:Q,Нормативы!$B:$B,$G259,Нормативы!$D:$D,'2020'!$I259,Нормативы!$F:$F,'2020'!$K259)</f>
        <v>88</v>
      </c>
      <c r="AF259" s="618">
        <f>SUMIFS(Нормативы!R:R,Нормативы!$B:$B,$G259,Нормативы!$D:$D,'2020'!$I259,Нормативы!$F:$F,'2020'!$K259)</f>
        <v>268</v>
      </c>
      <c r="AG259" s="618">
        <f>SUMIFS(Нормативы!S:S,Нормативы!$B:$B,$G259,Нормативы!$D:$D,'2020'!$I259,Нормативы!$F:$F,'2020'!$K259)</f>
        <v>580</v>
      </c>
      <c r="AH259" s="618">
        <f>SUMIFS(Нормативы!T:T,Нормативы!$B:$B,$G259,Нормативы!$D:$D,'2020'!$I259,Нормативы!$F:$F,'2020'!$K259)</f>
        <v>54</v>
      </c>
      <c r="AI259" s="618">
        <f>SUMIFS(Нормативы!U:U,Нормативы!$B:$B,$G259,Нормативы!$D:$D,'2020'!$I259,Нормативы!$F:$F,'2020'!$K259)</f>
        <v>77</v>
      </c>
      <c r="AJ259" s="618">
        <f>SUMIFS(Нормативы!V:V,Нормативы!$B:$B,$G259,Нормативы!$D:$D,'2020'!$I259,Нормативы!$F:$F,'2020'!$K259)</f>
        <v>8</v>
      </c>
      <c r="AK259" s="618">
        <f>SUMIFS(Нормативы!W:W,Нормативы!$B:$B,$G259,Нормативы!$D:$D,'2020'!$I259,Нормативы!$F:$F,'2020'!$K259)</f>
        <v>105</v>
      </c>
      <c r="AL259" s="618">
        <f>SUMIFS(Нормативы!X:X,Нормативы!$B:$B,$G259,Нормативы!$D:$D,'2020'!$I259,Нормативы!$F:$F,'2020'!$K259)*O259</f>
        <v>1612</v>
      </c>
      <c r="AM259" s="618">
        <f t="shared" si="677"/>
        <v>1238.0999999999999</v>
      </c>
      <c r="AN259" s="618">
        <f t="shared" si="678"/>
        <v>373.9</v>
      </c>
      <c r="AO259" s="618">
        <f>SUMIFS(Нормативы!AA:AA,Нормативы!$B:$B,$G259,Нормативы!$D:$D,'2020'!$I259,Нормативы!$F:$F,'2020'!$K259)</f>
        <v>0</v>
      </c>
      <c r="AP259" s="619">
        <f t="shared" si="679"/>
        <v>12722</v>
      </c>
      <c r="AQ259" s="413">
        <f t="shared" si="616"/>
        <v>815213</v>
      </c>
      <c r="AR259" s="618">
        <f t="shared" si="680"/>
        <v>626123.69999999995</v>
      </c>
      <c r="AS259" s="618">
        <f t="shared" si="681"/>
        <v>189089.3</v>
      </c>
      <c r="AT259" s="616">
        <f t="shared" si="617"/>
        <v>112141</v>
      </c>
      <c r="AU259" s="616">
        <f t="shared" si="618"/>
        <v>22479</v>
      </c>
      <c r="AV259" s="616">
        <f t="shared" si="619"/>
        <v>102997</v>
      </c>
      <c r="AW259" s="616">
        <f t="shared" si="620"/>
        <v>241935</v>
      </c>
      <c r="AX259" s="616">
        <f t="shared" si="621"/>
        <v>6604</v>
      </c>
      <c r="AY259" s="616">
        <f t="shared" si="622"/>
        <v>219583</v>
      </c>
      <c r="AZ259" s="616">
        <f t="shared" si="623"/>
        <v>4572</v>
      </c>
      <c r="BA259" s="616">
        <f t="shared" si="624"/>
        <v>11176</v>
      </c>
      <c r="BB259" s="616">
        <f t="shared" si="625"/>
        <v>34036</v>
      </c>
      <c r="BC259" s="616">
        <f t="shared" si="626"/>
        <v>73660</v>
      </c>
      <c r="BD259" s="616">
        <f t="shared" si="627"/>
        <v>6858</v>
      </c>
      <c r="BE259" s="616">
        <f t="shared" si="628"/>
        <v>9779</v>
      </c>
      <c r="BF259" s="616">
        <f t="shared" si="629"/>
        <v>1016</v>
      </c>
      <c r="BG259" s="616">
        <f t="shared" si="630"/>
        <v>13335</v>
      </c>
      <c r="BH259" s="616">
        <f t="shared" si="631"/>
        <v>204724</v>
      </c>
      <c r="BI259" s="618">
        <f t="shared" si="682"/>
        <v>157238.1</v>
      </c>
      <c r="BJ259" s="618">
        <f t="shared" si="683"/>
        <v>47485.9</v>
      </c>
      <c r="BK259" s="616">
        <f t="shared" si="632"/>
        <v>0</v>
      </c>
      <c r="BL259" s="620">
        <f t="shared" si="633"/>
        <v>1615694</v>
      </c>
      <c r="BM259" s="616">
        <f t="shared" si="634"/>
        <v>1169831</v>
      </c>
      <c r="BN259" s="618">
        <f t="shared" si="635"/>
        <v>898487.7</v>
      </c>
      <c r="BO259" s="618">
        <f t="shared" si="636"/>
        <v>271343.3</v>
      </c>
      <c r="BP259" s="616">
        <f t="shared" si="684"/>
        <v>112141</v>
      </c>
      <c r="BQ259" s="616">
        <f t="shared" si="685"/>
        <v>22479</v>
      </c>
      <c r="BR259" s="616">
        <f t="shared" si="686"/>
        <v>102997</v>
      </c>
      <c r="BS259" s="616">
        <f t="shared" si="637"/>
        <v>241935</v>
      </c>
      <c r="BT259" s="616">
        <f t="shared" si="638"/>
        <v>6604</v>
      </c>
      <c r="BU259" s="616">
        <f t="shared" si="639"/>
        <v>219583</v>
      </c>
      <c r="BV259" s="616">
        <f t="shared" si="640"/>
        <v>4572</v>
      </c>
      <c r="BW259" s="616">
        <f t="shared" si="641"/>
        <v>11176</v>
      </c>
      <c r="BX259" s="616">
        <f t="shared" si="642"/>
        <v>85430</v>
      </c>
      <c r="BY259" s="616">
        <f t="shared" si="643"/>
        <v>73660</v>
      </c>
      <c r="BZ259" s="616">
        <f t="shared" si="644"/>
        <v>6858</v>
      </c>
      <c r="CA259" s="616">
        <f t="shared" si="645"/>
        <v>9779</v>
      </c>
      <c r="CB259" s="616">
        <f t="shared" si="646"/>
        <v>1016</v>
      </c>
      <c r="CC259" s="616">
        <f t="shared" si="647"/>
        <v>13335</v>
      </c>
      <c r="CD259" s="616">
        <f t="shared" si="648"/>
        <v>293779</v>
      </c>
      <c r="CE259" s="618">
        <f t="shared" si="687"/>
        <v>225636.7</v>
      </c>
      <c r="CF259" s="618">
        <f t="shared" si="688"/>
        <v>68142.3</v>
      </c>
      <c r="CG259" s="616">
        <f t="shared" si="649"/>
        <v>0</v>
      </c>
      <c r="CH259" s="621">
        <f t="shared" si="650"/>
        <v>2110761</v>
      </c>
      <c r="CI259" s="88">
        <f t="shared" si="651"/>
        <v>9211.2677000000003</v>
      </c>
      <c r="CJ259" s="90">
        <f t="shared" si="652"/>
        <v>7074.7062999999998</v>
      </c>
      <c r="CK259" s="90">
        <f t="shared" si="653"/>
        <v>2136.5614</v>
      </c>
      <c r="CL259" s="88">
        <f t="shared" si="654"/>
        <v>883</v>
      </c>
      <c r="CM259" s="88">
        <f t="shared" si="655"/>
        <v>177</v>
      </c>
      <c r="CN259" s="88">
        <f t="shared" si="656"/>
        <v>811</v>
      </c>
      <c r="CO259" s="88">
        <f t="shared" si="657"/>
        <v>1905</v>
      </c>
      <c r="CP259" s="88">
        <f t="shared" si="658"/>
        <v>52</v>
      </c>
      <c r="CQ259" s="88">
        <f t="shared" si="659"/>
        <v>1729</v>
      </c>
      <c r="CR259" s="88">
        <f t="shared" si="660"/>
        <v>36</v>
      </c>
      <c r="CS259" s="88">
        <f t="shared" si="661"/>
        <v>88</v>
      </c>
      <c r="CT259" s="88">
        <f t="shared" si="662"/>
        <v>672.67719999999997</v>
      </c>
      <c r="CU259" s="88">
        <f t="shared" si="663"/>
        <v>580</v>
      </c>
      <c r="CV259" s="88">
        <f t="shared" si="664"/>
        <v>54</v>
      </c>
      <c r="CW259" s="88">
        <f t="shared" si="665"/>
        <v>77</v>
      </c>
      <c r="CX259" s="88">
        <f t="shared" si="666"/>
        <v>8</v>
      </c>
      <c r="CY259" s="88">
        <f t="shared" si="667"/>
        <v>105</v>
      </c>
      <c r="CZ259" s="88">
        <f t="shared" si="668"/>
        <v>2313.2204999999999</v>
      </c>
      <c r="DA259" s="90">
        <f t="shared" si="669"/>
        <v>1776.6668999999999</v>
      </c>
      <c r="DB259" s="90">
        <f t="shared" si="670"/>
        <v>536.55349999999999</v>
      </c>
      <c r="DC259" s="88">
        <f t="shared" si="671"/>
        <v>0</v>
      </c>
      <c r="DD259" s="88">
        <f t="shared" si="672"/>
        <v>16620.165400000002</v>
      </c>
      <c r="AUV259" s="699">
        <f t="shared" si="586"/>
        <v>9211.27</v>
      </c>
      <c r="AUW259" s="699">
        <f t="shared" si="587"/>
        <v>7074.71</v>
      </c>
      <c r="AUX259" s="699">
        <f t="shared" si="588"/>
        <v>2136.56</v>
      </c>
      <c r="AUY259" s="699">
        <f t="shared" si="741"/>
        <v>883</v>
      </c>
      <c r="AUZ259" s="699">
        <f t="shared" si="615"/>
        <v>8955.7800000000007</v>
      </c>
      <c r="AVA259" s="699">
        <f t="shared" si="615"/>
        <v>16.05</v>
      </c>
      <c r="AVB259" s="699">
        <f t="shared" si="742"/>
        <v>1905</v>
      </c>
      <c r="AVC259" s="699">
        <f t="shared" si="743"/>
        <v>52</v>
      </c>
      <c r="AVD259" s="699">
        <f t="shared" si="744"/>
        <v>1729</v>
      </c>
      <c r="AVE259" s="699">
        <f t="shared" si="745"/>
        <v>36</v>
      </c>
      <c r="AVF259" s="699">
        <f t="shared" si="746"/>
        <v>88</v>
      </c>
      <c r="AVG259" s="699">
        <f t="shared" si="747"/>
        <v>672.68</v>
      </c>
      <c r="AVH259" s="699">
        <f t="shared" si="748"/>
        <v>580</v>
      </c>
      <c r="AVI259" s="699">
        <f t="shared" si="749"/>
        <v>54</v>
      </c>
      <c r="AVJ259" s="699">
        <f t="shared" si="750"/>
        <v>77</v>
      </c>
      <c r="AVK259" s="699">
        <f t="shared" si="751"/>
        <v>8</v>
      </c>
      <c r="AVL259" s="699">
        <f t="shared" si="752"/>
        <v>105</v>
      </c>
      <c r="AVM259" s="699">
        <f t="shared" si="753"/>
        <v>2313.2199999999998</v>
      </c>
      <c r="AVN259" s="699">
        <f t="shared" si="754"/>
        <v>1776.67</v>
      </c>
      <c r="AVO259" s="699">
        <f t="shared" si="755"/>
        <v>536.54999999999995</v>
      </c>
      <c r="AVP259" s="699">
        <f t="shared" si="756"/>
        <v>0</v>
      </c>
      <c r="AVQ259" s="699">
        <f t="shared" si="757"/>
        <v>16620.169999999998</v>
      </c>
    </row>
    <row r="260" spans="1:108 1244:1265" ht="30" customHeight="1" x14ac:dyDescent="0.25">
      <c r="A260" s="643">
        <v>1</v>
      </c>
      <c r="B260" s="643">
        <v>12</v>
      </c>
      <c r="C260" s="664" t="s">
        <v>27</v>
      </c>
      <c r="D260" s="2"/>
      <c r="E260" s="101" t="s">
        <v>345</v>
      </c>
      <c r="F260" s="643" t="s">
        <v>38</v>
      </c>
      <c r="G260" s="643">
        <v>2</v>
      </c>
      <c r="H260" s="658" t="s">
        <v>10</v>
      </c>
      <c r="I260" s="643">
        <v>0</v>
      </c>
      <c r="J260" s="101" t="s">
        <v>361</v>
      </c>
      <c r="K260" s="643">
        <v>3</v>
      </c>
      <c r="L260" s="683" t="s">
        <v>350</v>
      </c>
      <c r="M260" s="11" t="s">
        <v>267</v>
      </c>
      <c r="N260" s="101" t="s">
        <v>387</v>
      </c>
      <c r="O260" s="643">
        <v>1</v>
      </c>
      <c r="P260" s="632">
        <v>64</v>
      </c>
      <c r="Q260" s="632">
        <v>64</v>
      </c>
      <c r="R260" s="632">
        <v>64</v>
      </c>
      <c r="S260" s="675">
        <f>SUMIF('Территориальный кк'!$A:$A,'2020'!$B260,'Территориальный кк'!D:D)</f>
        <v>1.4350000000000001</v>
      </c>
      <c r="T260" s="676">
        <f>SUMIF('Территориальный кк'!$A:$A,'2020'!$B260,'Территориальный кк'!E:E)</f>
        <v>2.5099999999999998</v>
      </c>
      <c r="U260" s="618">
        <f>SUMIFS(Нормативы!G:G,Нормативы!$B:$B,$G260,Нормативы!$D:$D,'2020'!$I260,Нормативы!$F:$F,'2020'!$K260)*O260</f>
        <v>70600</v>
      </c>
      <c r="V260" s="618">
        <f t="shared" si="674"/>
        <v>54224.3</v>
      </c>
      <c r="W260" s="618">
        <f t="shared" si="675"/>
        <v>16375.7</v>
      </c>
      <c r="X260" s="618">
        <f>SUMIFS(Нормативы!J:J,Нормативы!$B:$B,$G260,Нормативы!$D:$D,'2020'!$I260,Нормативы!$F:$F,'2020'!$K260)</f>
        <v>8860</v>
      </c>
      <c r="Y260" s="618">
        <f>SUMIFS(Нормативы!K:K,Нормативы!$B:$B,$G260,Нормативы!$D:$D,'2020'!$I260,Нормативы!$F:$F,'2020'!$K260)</f>
        <v>0</v>
      </c>
      <c r="Z260" s="618">
        <f>SUMIFS(Нормативы!L:L,Нормативы!$B:$B,$G260,Нормативы!$D:$D,'2020'!$I260,Нормативы!$F:$F,'2020'!$K260)</f>
        <v>8110</v>
      </c>
      <c r="AA260" s="618">
        <f t="shared" si="676"/>
        <v>21610</v>
      </c>
      <c r="AB260" s="618">
        <f>SUMIFS(Нормативы!N:N,Нормативы!$B:$B,$G260,Нормативы!$D:$D,'2020'!$I260,Нормативы!$F:$F,'2020'!$K260)*O260</f>
        <v>520</v>
      </c>
      <c r="AC260" s="618">
        <f>SUMIFS(Нормативы!O:O,Нормативы!$B:$B,$G260,Нормативы!$D:$D,'2020'!$I260,Нормативы!$F:$F,'2020'!$K260)</f>
        <v>19720</v>
      </c>
      <c r="AD260" s="618">
        <f>SUMIFS(Нормативы!P:P,Нормативы!$B:$B,$G260,Нормативы!$D:$D,'2020'!$I260,Нормативы!$F:$F,'2020'!$K260)*O260</f>
        <v>400</v>
      </c>
      <c r="AE260" s="618">
        <f>SUMIFS(Нормативы!Q:Q,Нормативы!$B:$B,$G260,Нормативы!$D:$D,'2020'!$I260,Нормативы!$F:$F,'2020'!$K260)</f>
        <v>970</v>
      </c>
      <c r="AF260" s="618">
        <f>SUMIFS(Нормативы!R:R,Нормативы!$B:$B,$G260,Нормативы!$D:$D,'2020'!$I260,Нормативы!$F:$F,'2020'!$K260)</f>
        <v>2680</v>
      </c>
      <c r="AG260" s="618">
        <f>SUMIFS(Нормативы!S:S,Нормативы!$B:$B,$G260,Нормативы!$D:$D,'2020'!$I260,Нормативы!$F:$F,'2020'!$K260)</f>
        <v>5800</v>
      </c>
      <c r="AH260" s="618">
        <f>SUMIFS(Нормативы!T:T,Нормативы!$B:$B,$G260,Нормативы!$D:$D,'2020'!$I260,Нормативы!$F:$F,'2020'!$K260)</f>
        <v>540</v>
      </c>
      <c r="AI260" s="618">
        <f>SUMIFS(Нормативы!U:U,Нормативы!$B:$B,$G260,Нормативы!$D:$D,'2020'!$I260,Нормативы!$F:$F,'2020'!$K260)</f>
        <v>770</v>
      </c>
      <c r="AJ260" s="618">
        <f>SUMIFS(Нормативы!V:V,Нормативы!$B:$B,$G260,Нормативы!$D:$D,'2020'!$I260,Нормативы!$F:$F,'2020'!$K260)</f>
        <v>80</v>
      </c>
      <c r="AK260" s="618">
        <f>SUMIFS(Нормативы!W:W,Нормативы!$B:$B,$G260,Нормативы!$D:$D,'2020'!$I260,Нормативы!$F:$F,'2020'!$K260)</f>
        <v>330</v>
      </c>
      <c r="AL260" s="618">
        <f>SUMIFS(Нормативы!X:X,Нормативы!$B:$B,$G260,Нормативы!$D:$D,'2020'!$I260,Нормативы!$F:$F,'2020'!$K260)*O260</f>
        <v>16120</v>
      </c>
      <c r="AM260" s="618">
        <f t="shared" si="677"/>
        <v>12381</v>
      </c>
      <c r="AN260" s="618">
        <f t="shared" si="678"/>
        <v>3739</v>
      </c>
      <c r="AO260" s="618">
        <f>SUMIFS(Нормативы!AA:AA,Нормативы!$B:$B,$G260,Нормативы!$D:$D,'2020'!$I260,Нормативы!$F:$F,'2020'!$K260)</f>
        <v>3520</v>
      </c>
      <c r="AP260" s="619">
        <f t="shared" si="679"/>
        <v>139020</v>
      </c>
      <c r="AQ260" s="413">
        <f t="shared" si="616"/>
        <v>4518400</v>
      </c>
      <c r="AR260" s="618">
        <f t="shared" si="680"/>
        <v>3470353.3</v>
      </c>
      <c r="AS260" s="618">
        <f t="shared" si="681"/>
        <v>1048046.7</v>
      </c>
      <c r="AT260" s="616">
        <f t="shared" si="617"/>
        <v>567040</v>
      </c>
      <c r="AU260" s="616">
        <f t="shared" si="618"/>
        <v>0</v>
      </c>
      <c r="AV260" s="616">
        <f t="shared" si="619"/>
        <v>519040</v>
      </c>
      <c r="AW260" s="616">
        <f t="shared" si="620"/>
        <v>1383040</v>
      </c>
      <c r="AX260" s="616">
        <f t="shared" si="621"/>
        <v>33280</v>
      </c>
      <c r="AY260" s="616">
        <f t="shared" si="622"/>
        <v>1262080</v>
      </c>
      <c r="AZ260" s="616">
        <f t="shared" si="623"/>
        <v>25600</v>
      </c>
      <c r="BA260" s="616">
        <f t="shared" si="624"/>
        <v>62080</v>
      </c>
      <c r="BB260" s="616">
        <f t="shared" si="625"/>
        <v>171520</v>
      </c>
      <c r="BC260" s="616">
        <f t="shared" si="626"/>
        <v>371200</v>
      </c>
      <c r="BD260" s="616">
        <f t="shared" si="627"/>
        <v>34560</v>
      </c>
      <c r="BE260" s="616">
        <f t="shared" si="628"/>
        <v>49280</v>
      </c>
      <c r="BF260" s="616">
        <f t="shared" si="629"/>
        <v>5120</v>
      </c>
      <c r="BG260" s="616">
        <f t="shared" si="630"/>
        <v>21120</v>
      </c>
      <c r="BH260" s="616">
        <f t="shared" si="631"/>
        <v>1031680</v>
      </c>
      <c r="BI260" s="618">
        <f t="shared" si="682"/>
        <v>792381</v>
      </c>
      <c r="BJ260" s="618">
        <f t="shared" si="683"/>
        <v>239299</v>
      </c>
      <c r="BK260" s="616">
        <f t="shared" si="632"/>
        <v>225280</v>
      </c>
      <c r="BL260" s="620">
        <f t="shared" si="633"/>
        <v>8897280</v>
      </c>
      <c r="BM260" s="616">
        <f t="shared" si="634"/>
        <v>6483904</v>
      </c>
      <c r="BN260" s="618">
        <f t="shared" si="635"/>
        <v>4979957</v>
      </c>
      <c r="BO260" s="618">
        <f t="shared" si="636"/>
        <v>1503947</v>
      </c>
      <c r="BP260" s="616">
        <f t="shared" si="684"/>
        <v>567040</v>
      </c>
      <c r="BQ260" s="616">
        <f t="shared" si="685"/>
        <v>0</v>
      </c>
      <c r="BR260" s="616">
        <f t="shared" si="686"/>
        <v>519040</v>
      </c>
      <c r="BS260" s="616">
        <f t="shared" si="637"/>
        <v>1383040</v>
      </c>
      <c r="BT260" s="616">
        <f t="shared" si="638"/>
        <v>33280</v>
      </c>
      <c r="BU260" s="616">
        <f t="shared" si="639"/>
        <v>1262080</v>
      </c>
      <c r="BV260" s="616">
        <f t="shared" si="640"/>
        <v>25600</v>
      </c>
      <c r="BW260" s="616">
        <f t="shared" si="641"/>
        <v>62080</v>
      </c>
      <c r="BX260" s="616">
        <f t="shared" si="642"/>
        <v>430515</v>
      </c>
      <c r="BY260" s="616">
        <f t="shared" si="643"/>
        <v>371200</v>
      </c>
      <c r="BZ260" s="616">
        <f t="shared" si="644"/>
        <v>34560</v>
      </c>
      <c r="CA260" s="616">
        <f t="shared" si="645"/>
        <v>49280</v>
      </c>
      <c r="CB260" s="616">
        <f t="shared" si="646"/>
        <v>5120</v>
      </c>
      <c r="CC260" s="616">
        <f t="shared" si="647"/>
        <v>21120</v>
      </c>
      <c r="CD260" s="616">
        <f t="shared" si="648"/>
        <v>1480461</v>
      </c>
      <c r="CE260" s="618">
        <f t="shared" si="687"/>
        <v>1137066.8</v>
      </c>
      <c r="CF260" s="618">
        <f t="shared" si="688"/>
        <v>343394.2</v>
      </c>
      <c r="CG260" s="616">
        <f t="shared" si="649"/>
        <v>225280</v>
      </c>
      <c r="CH260" s="621">
        <f t="shared" si="650"/>
        <v>11570560</v>
      </c>
      <c r="CI260" s="88">
        <f t="shared" si="651"/>
        <v>101311</v>
      </c>
      <c r="CJ260" s="90">
        <f t="shared" si="652"/>
        <v>77811.828099999999</v>
      </c>
      <c r="CK260" s="90">
        <f t="shared" si="653"/>
        <v>23499.171900000001</v>
      </c>
      <c r="CL260" s="88">
        <f t="shared" si="654"/>
        <v>8860</v>
      </c>
      <c r="CM260" s="88">
        <f t="shared" si="655"/>
        <v>0</v>
      </c>
      <c r="CN260" s="88">
        <f t="shared" si="656"/>
        <v>8110</v>
      </c>
      <c r="CO260" s="88">
        <f t="shared" si="657"/>
        <v>21610</v>
      </c>
      <c r="CP260" s="88">
        <f t="shared" si="658"/>
        <v>520</v>
      </c>
      <c r="CQ260" s="88">
        <f t="shared" si="659"/>
        <v>19720</v>
      </c>
      <c r="CR260" s="88">
        <f t="shared" si="660"/>
        <v>400</v>
      </c>
      <c r="CS260" s="88">
        <f t="shared" si="661"/>
        <v>970</v>
      </c>
      <c r="CT260" s="88">
        <f t="shared" si="662"/>
        <v>6726.7969000000003</v>
      </c>
      <c r="CU260" s="88">
        <f t="shared" si="663"/>
        <v>5800</v>
      </c>
      <c r="CV260" s="88">
        <f t="shared" si="664"/>
        <v>540</v>
      </c>
      <c r="CW260" s="88">
        <f t="shared" si="665"/>
        <v>770</v>
      </c>
      <c r="CX260" s="88">
        <f t="shared" si="666"/>
        <v>80</v>
      </c>
      <c r="CY260" s="88">
        <f t="shared" si="667"/>
        <v>330</v>
      </c>
      <c r="CZ260" s="88">
        <f t="shared" si="668"/>
        <v>23132.203099999999</v>
      </c>
      <c r="DA260" s="90">
        <f t="shared" si="669"/>
        <v>17766.668799999999</v>
      </c>
      <c r="DB260" s="90">
        <f t="shared" si="670"/>
        <v>5365.5343999999996</v>
      </c>
      <c r="DC260" s="88">
        <f t="shared" si="671"/>
        <v>3520</v>
      </c>
      <c r="DD260" s="88">
        <f t="shared" si="672"/>
        <v>180790</v>
      </c>
      <c r="AUV260" s="699">
        <f t="shared" si="586"/>
        <v>101311</v>
      </c>
      <c r="AUW260" s="699">
        <f t="shared" si="587"/>
        <v>77811.83</v>
      </c>
      <c r="AUX260" s="699">
        <f t="shared" si="588"/>
        <v>23499.17</v>
      </c>
      <c r="AUY260" s="699">
        <f t="shared" si="741"/>
        <v>8860</v>
      </c>
      <c r="AUZ260" s="699">
        <f t="shared" si="615"/>
        <v>0</v>
      </c>
      <c r="AVA260" s="699">
        <f t="shared" si="615"/>
        <v>7.35</v>
      </c>
      <c r="AVB260" s="699">
        <f t="shared" si="742"/>
        <v>21610</v>
      </c>
      <c r="AVC260" s="699">
        <f t="shared" si="743"/>
        <v>520</v>
      </c>
      <c r="AVD260" s="699">
        <f t="shared" si="744"/>
        <v>19720</v>
      </c>
      <c r="AVE260" s="699">
        <f t="shared" si="745"/>
        <v>400</v>
      </c>
      <c r="AVF260" s="699">
        <f t="shared" si="746"/>
        <v>970</v>
      </c>
      <c r="AVG260" s="699">
        <f t="shared" si="747"/>
        <v>6726.8</v>
      </c>
      <c r="AVH260" s="699">
        <f t="shared" si="748"/>
        <v>5800</v>
      </c>
      <c r="AVI260" s="699">
        <f t="shared" si="749"/>
        <v>540</v>
      </c>
      <c r="AVJ260" s="699">
        <f t="shared" si="750"/>
        <v>770</v>
      </c>
      <c r="AVK260" s="699">
        <f t="shared" si="751"/>
        <v>80</v>
      </c>
      <c r="AVL260" s="699">
        <f t="shared" si="752"/>
        <v>330</v>
      </c>
      <c r="AVM260" s="699">
        <f t="shared" si="753"/>
        <v>23132.2</v>
      </c>
      <c r="AVN260" s="699">
        <f t="shared" si="754"/>
        <v>17766.669999999998</v>
      </c>
      <c r="AVO260" s="699">
        <f t="shared" si="755"/>
        <v>5365.53</v>
      </c>
      <c r="AVP260" s="699">
        <f t="shared" si="756"/>
        <v>3520</v>
      </c>
      <c r="AVQ260" s="699">
        <f t="shared" si="757"/>
        <v>180790</v>
      </c>
    </row>
    <row r="261" spans="1:108 1244:1265" ht="30" customHeight="1" x14ac:dyDescent="0.25">
      <c r="A261" s="643">
        <v>1</v>
      </c>
      <c r="B261" s="643">
        <v>12</v>
      </c>
      <c r="C261" s="664" t="s">
        <v>27</v>
      </c>
      <c r="D261" s="2"/>
      <c r="E261" s="101" t="s">
        <v>345</v>
      </c>
      <c r="F261" s="643" t="s">
        <v>38</v>
      </c>
      <c r="G261" s="643">
        <v>2</v>
      </c>
      <c r="H261" s="658" t="s">
        <v>8</v>
      </c>
      <c r="I261" s="643">
        <v>3</v>
      </c>
      <c r="J261" s="101" t="s">
        <v>361</v>
      </c>
      <c r="K261" s="643">
        <v>3</v>
      </c>
      <c r="L261" s="683" t="s">
        <v>350</v>
      </c>
      <c r="M261" s="11" t="s">
        <v>294</v>
      </c>
      <c r="N261" s="101" t="s">
        <v>387</v>
      </c>
      <c r="O261" s="643">
        <v>1</v>
      </c>
      <c r="P261" s="632">
        <v>10</v>
      </c>
      <c r="Q261" s="632">
        <v>10</v>
      </c>
      <c r="R261" s="632">
        <v>10</v>
      </c>
      <c r="S261" s="675">
        <f>SUMIF('Территориальный кк'!$A:$A,'2020'!$B261,'Территориальный кк'!D:D)</f>
        <v>1.4350000000000001</v>
      </c>
      <c r="T261" s="676">
        <f>SUMIF('Территориальный кк'!$A:$A,'2020'!$B261,'Территориальный кк'!E:E)</f>
        <v>2.5099999999999998</v>
      </c>
      <c r="U261" s="618">
        <f>SUMIFS(Нормативы!G:G,Нормативы!$B:$B,$G261,Нормативы!$D:$D,'2020'!$I261,Нормативы!$F:$F,'2020'!$K261)*O261</f>
        <v>12944</v>
      </c>
      <c r="V261" s="618">
        <f t="shared" si="674"/>
        <v>9941.6</v>
      </c>
      <c r="W261" s="618">
        <f t="shared" si="675"/>
        <v>3002.4</v>
      </c>
      <c r="X261" s="618">
        <f>SUMIFS(Нормативы!J:J,Нормативы!$B:$B,$G261,Нормативы!$D:$D,'2020'!$I261,Нормативы!$F:$F,'2020'!$K261)</f>
        <v>486</v>
      </c>
      <c r="Y261" s="618">
        <f>SUMIFS(Нормативы!K:K,Нормативы!$B:$B,$G261,Нормативы!$D:$D,'2020'!$I261,Нормативы!$F:$F,'2020'!$K261)</f>
        <v>97</v>
      </c>
      <c r="Z261" s="618">
        <f>SUMIFS(Нормативы!L:L,Нормативы!$B:$B,$G261,Нормативы!$D:$D,'2020'!$I261,Нормативы!$F:$F,'2020'!$K261)</f>
        <v>348</v>
      </c>
      <c r="AA261" s="618">
        <f t="shared" si="676"/>
        <v>2031</v>
      </c>
      <c r="AB261" s="618">
        <f>SUMIFS(Нормативы!N:N,Нормативы!$B:$B,$G261,Нормативы!$D:$D,'2020'!$I261,Нормативы!$F:$F,'2020'!$K261)*O261</f>
        <v>52</v>
      </c>
      <c r="AC261" s="618">
        <f>SUMIFS(Нормативы!O:O,Нормативы!$B:$B,$G261,Нормативы!$D:$D,'2020'!$I261,Нормативы!$F:$F,'2020'!$K261)</f>
        <v>1728</v>
      </c>
      <c r="AD261" s="618">
        <f>SUMIFS(Нормативы!P:P,Нормативы!$B:$B,$G261,Нормативы!$D:$D,'2020'!$I261,Нормативы!$F:$F,'2020'!$K261)*O261</f>
        <v>73</v>
      </c>
      <c r="AE261" s="618">
        <f>SUMIFS(Нормативы!Q:Q,Нормативы!$B:$B,$G261,Нормативы!$D:$D,'2020'!$I261,Нормативы!$F:$F,'2020'!$K261)</f>
        <v>178</v>
      </c>
      <c r="AF261" s="618">
        <f>SUMIFS(Нормативы!R:R,Нормативы!$B:$B,$G261,Нормативы!$D:$D,'2020'!$I261,Нормативы!$F:$F,'2020'!$K261)</f>
        <v>275</v>
      </c>
      <c r="AG261" s="618">
        <f>SUMIFS(Нормативы!S:S,Нормативы!$B:$B,$G261,Нормативы!$D:$D,'2020'!$I261,Нормативы!$F:$F,'2020'!$K261)</f>
        <v>580</v>
      </c>
      <c r="AH261" s="618">
        <f>SUMIFS(Нормативы!T:T,Нормативы!$B:$B,$G261,Нормативы!$D:$D,'2020'!$I261,Нормативы!$F:$F,'2020'!$K261)</f>
        <v>54</v>
      </c>
      <c r="AI261" s="618">
        <f>SUMIFS(Нормативы!U:U,Нормативы!$B:$B,$G261,Нормативы!$D:$D,'2020'!$I261,Нормативы!$F:$F,'2020'!$K261)</f>
        <v>77</v>
      </c>
      <c r="AJ261" s="618">
        <f>SUMIFS(Нормативы!V:V,Нормативы!$B:$B,$G261,Нормативы!$D:$D,'2020'!$I261,Нормативы!$F:$F,'2020'!$K261)</f>
        <v>8</v>
      </c>
      <c r="AK261" s="618">
        <f>SUMIFS(Нормативы!W:W,Нормативы!$B:$B,$G261,Нормативы!$D:$D,'2020'!$I261,Нормативы!$F:$F,'2020'!$K261)</f>
        <v>39</v>
      </c>
      <c r="AL261" s="618">
        <f>SUMIFS(Нормативы!X:X,Нормативы!$B:$B,$G261,Нормативы!$D:$D,'2020'!$I261,Нормативы!$F:$F,'2020'!$K261)*O261</f>
        <v>1612</v>
      </c>
      <c r="AM261" s="618">
        <f t="shared" si="677"/>
        <v>1238.0999999999999</v>
      </c>
      <c r="AN261" s="618">
        <f t="shared" si="678"/>
        <v>373.9</v>
      </c>
      <c r="AO261" s="618">
        <f>SUMIFS(Нормативы!AA:AA,Нормативы!$B:$B,$G261,Нормативы!$D:$D,'2020'!$I261,Нормативы!$F:$F,'2020'!$K261)</f>
        <v>0</v>
      </c>
      <c r="AP261" s="619">
        <f t="shared" si="679"/>
        <v>18454</v>
      </c>
      <c r="AQ261" s="413">
        <f t="shared" si="616"/>
        <v>129440</v>
      </c>
      <c r="AR261" s="618">
        <f t="shared" si="680"/>
        <v>99416.3</v>
      </c>
      <c r="AS261" s="618">
        <f t="shared" si="681"/>
        <v>30023.7</v>
      </c>
      <c r="AT261" s="616">
        <f t="shared" si="617"/>
        <v>4860</v>
      </c>
      <c r="AU261" s="616">
        <f t="shared" si="618"/>
        <v>970</v>
      </c>
      <c r="AV261" s="616">
        <f t="shared" si="619"/>
        <v>3480</v>
      </c>
      <c r="AW261" s="616">
        <f t="shared" si="620"/>
        <v>20310</v>
      </c>
      <c r="AX261" s="616">
        <f t="shared" si="621"/>
        <v>520</v>
      </c>
      <c r="AY261" s="616">
        <f t="shared" si="622"/>
        <v>17280</v>
      </c>
      <c r="AZ261" s="616">
        <f t="shared" si="623"/>
        <v>730</v>
      </c>
      <c r="BA261" s="616">
        <f t="shared" si="624"/>
        <v>1780</v>
      </c>
      <c r="BB261" s="616">
        <f t="shared" si="625"/>
        <v>2750</v>
      </c>
      <c r="BC261" s="616">
        <f t="shared" si="626"/>
        <v>5800</v>
      </c>
      <c r="BD261" s="616">
        <f t="shared" si="627"/>
        <v>540</v>
      </c>
      <c r="BE261" s="616">
        <f t="shared" si="628"/>
        <v>770</v>
      </c>
      <c r="BF261" s="616">
        <f t="shared" si="629"/>
        <v>80</v>
      </c>
      <c r="BG261" s="616">
        <f t="shared" si="630"/>
        <v>390</v>
      </c>
      <c r="BH261" s="616">
        <f t="shared" si="631"/>
        <v>16120</v>
      </c>
      <c r="BI261" s="618">
        <f t="shared" si="682"/>
        <v>12381</v>
      </c>
      <c r="BJ261" s="618">
        <f t="shared" si="683"/>
        <v>3739</v>
      </c>
      <c r="BK261" s="616">
        <f t="shared" si="632"/>
        <v>0</v>
      </c>
      <c r="BL261" s="620">
        <f t="shared" si="633"/>
        <v>184540</v>
      </c>
      <c r="BM261" s="616">
        <f t="shared" si="634"/>
        <v>185746</v>
      </c>
      <c r="BN261" s="618">
        <f t="shared" si="635"/>
        <v>142662.1</v>
      </c>
      <c r="BO261" s="618">
        <f t="shared" si="636"/>
        <v>43083.9</v>
      </c>
      <c r="BP261" s="616">
        <f t="shared" si="684"/>
        <v>4860</v>
      </c>
      <c r="BQ261" s="616">
        <f t="shared" si="685"/>
        <v>970</v>
      </c>
      <c r="BR261" s="616">
        <f t="shared" si="686"/>
        <v>3480</v>
      </c>
      <c r="BS261" s="616">
        <f t="shared" si="637"/>
        <v>20310</v>
      </c>
      <c r="BT261" s="616">
        <f t="shared" si="638"/>
        <v>520</v>
      </c>
      <c r="BU261" s="616">
        <f t="shared" si="639"/>
        <v>17280</v>
      </c>
      <c r="BV261" s="616">
        <f t="shared" si="640"/>
        <v>730</v>
      </c>
      <c r="BW261" s="616">
        <f t="shared" si="641"/>
        <v>1780</v>
      </c>
      <c r="BX261" s="616">
        <f t="shared" si="642"/>
        <v>6903</v>
      </c>
      <c r="BY261" s="616">
        <f t="shared" si="643"/>
        <v>5800</v>
      </c>
      <c r="BZ261" s="616">
        <f t="shared" si="644"/>
        <v>540</v>
      </c>
      <c r="CA261" s="616">
        <f t="shared" si="645"/>
        <v>770</v>
      </c>
      <c r="CB261" s="616">
        <f t="shared" si="646"/>
        <v>80</v>
      </c>
      <c r="CC261" s="616">
        <f t="shared" si="647"/>
        <v>390</v>
      </c>
      <c r="CD261" s="616">
        <f t="shared" si="648"/>
        <v>23132</v>
      </c>
      <c r="CE261" s="618">
        <f t="shared" si="687"/>
        <v>17766.5</v>
      </c>
      <c r="CF261" s="618">
        <f t="shared" si="688"/>
        <v>5365.5</v>
      </c>
      <c r="CG261" s="616">
        <f t="shared" si="649"/>
        <v>0</v>
      </c>
      <c r="CH261" s="621">
        <f t="shared" si="650"/>
        <v>252011</v>
      </c>
      <c r="CI261" s="88">
        <f t="shared" si="651"/>
        <v>18574.599999999999</v>
      </c>
      <c r="CJ261" s="90">
        <f t="shared" si="652"/>
        <v>14266.21</v>
      </c>
      <c r="CK261" s="90">
        <f t="shared" si="653"/>
        <v>4308.3900000000003</v>
      </c>
      <c r="CL261" s="88">
        <f t="shared" si="654"/>
        <v>486</v>
      </c>
      <c r="CM261" s="88">
        <f t="shared" si="655"/>
        <v>97</v>
      </c>
      <c r="CN261" s="88">
        <f t="shared" si="656"/>
        <v>348</v>
      </c>
      <c r="CO261" s="88">
        <f t="shared" si="657"/>
        <v>2031</v>
      </c>
      <c r="CP261" s="88">
        <f t="shared" si="658"/>
        <v>52</v>
      </c>
      <c r="CQ261" s="88">
        <f t="shared" si="659"/>
        <v>1728</v>
      </c>
      <c r="CR261" s="88">
        <f t="shared" si="660"/>
        <v>73</v>
      </c>
      <c r="CS261" s="88">
        <f t="shared" si="661"/>
        <v>178</v>
      </c>
      <c r="CT261" s="88">
        <f t="shared" si="662"/>
        <v>690.3</v>
      </c>
      <c r="CU261" s="88">
        <f t="shared" si="663"/>
        <v>580</v>
      </c>
      <c r="CV261" s="88">
        <f t="shared" si="664"/>
        <v>54</v>
      </c>
      <c r="CW261" s="88">
        <f t="shared" si="665"/>
        <v>77</v>
      </c>
      <c r="CX261" s="88">
        <f t="shared" si="666"/>
        <v>8</v>
      </c>
      <c r="CY261" s="88">
        <f t="shared" si="667"/>
        <v>39</v>
      </c>
      <c r="CZ261" s="88">
        <f t="shared" si="668"/>
        <v>2313.1999999999998</v>
      </c>
      <c r="DA261" s="90">
        <f t="shared" si="669"/>
        <v>1776.65</v>
      </c>
      <c r="DB261" s="90">
        <f t="shared" si="670"/>
        <v>536.54999999999995</v>
      </c>
      <c r="DC261" s="88">
        <f t="shared" si="671"/>
        <v>0</v>
      </c>
      <c r="DD261" s="88">
        <f t="shared" si="672"/>
        <v>25201.1</v>
      </c>
      <c r="AUV261" s="699">
        <f t="shared" si="586"/>
        <v>18574.599999999999</v>
      </c>
      <c r="AUW261" s="699">
        <f t="shared" si="587"/>
        <v>14266.21</v>
      </c>
      <c r="AUX261" s="699">
        <f t="shared" si="588"/>
        <v>4308.3900000000003</v>
      </c>
      <c r="AUY261" s="699">
        <f t="shared" si="741"/>
        <v>486</v>
      </c>
      <c r="AUZ261" s="699">
        <f t="shared" si="615"/>
        <v>386.45</v>
      </c>
      <c r="AVA261" s="699">
        <f t="shared" si="615"/>
        <v>0.27</v>
      </c>
      <c r="AVB261" s="699">
        <f t="shared" si="742"/>
        <v>2031</v>
      </c>
      <c r="AVC261" s="699">
        <f t="shared" si="743"/>
        <v>52</v>
      </c>
      <c r="AVD261" s="699">
        <f t="shared" si="744"/>
        <v>1728</v>
      </c>
      <c r="AVE261" s="699">
        <f t="shared" si="745"/>
        <v>73</v>
      </c>
      <c r="AVF261" s="699">
        <f t="shared" si="746"/>
        <v>178</v>
      </c>
      <c r="AVG261" s="699">
        <f t="shared" si="747"/>
        <v>690.3</v>
      </c>
      <c r="AVH261" s="699">
        <f t="shared" si="748"/>
        <v>580</v>
      </c>
      <c r="AVI261" s="699">
        <f t="shared" si="749"/>
        <v>54</v>
      </c>
      <c r="AVJ261" s="699">
        <f t="shared" si="750"/>
        <v>77</v>
      </c>
      <c r="AVK261" s="699">
        <f t="shared" si="751"/>
        <v>8</v>
      </c>
      <c r="AVL261" s="699">
        <f t="shared" si="752"/>
        <v>39</v>
      </c>
      <c r="AVM261" s="699">
        <f t="shared" si="753"/>
        <v>2313.1999999999998</v>
      </c>
      <c r="AVN261" s="699">
        <f t="shared" si="754"/>
        <v>1776.65</v>
      </c>
      <c r="AVO261" s="699">
        <f t="shared" si="755"/>
        <v>536.54999999999995</v>
      </c>
      <c r="AVP261" s="699">
        <f t="shared" si="756"/>
        <v>0</v>
      </c>
      <c r="AVQ261" s="699">
        <f t="shared" si="757"/>
        <v>25201.1</v>
      </c>
    </row>
    <row r="262" spans="1:108 1244:1265" ht="30" customHeight="1" x14ac:dyDescent="0.25">
      <c r="A262" s="643">
        <v>1</v>
      </c>
      <c r="B262" s="643">
        <v>12</v>
      </c>
      <c r="C262" s="664" t="s">
        <v>27</v>
      </c>
      <c r="D262" s="2"/>
      <c r="E262" s="101" t="s">
        <v>345</v>
      </c>
      <c r="F262" s="643" t="s">
        <v>38</v>
      </c>
      <c r="G262" s="643">
        <v>2</v>
      </c>
      <c r="H262" s="658" t="s">
        <v>10</v>
      </c>
      <c r="I262" s="643">
        <v>0</v>
      </c>
      <c r="J262" s="101" t="s">
        <v>362</v>
      </c>
      <c r="K262" s="643">
        <v>3</v>
      </c>
      <c r="L262" s="683" t="s">
        <v>350</v>
      </c>
      <c r="M262" s="11" t="s">
        <v>268</v>
      </c>
      <c r="N262" s="101" t="s">
        <v>387</v>
      </c>
      <c r="O262" s="643">
        <v>1</v>
      </c>
      <c r="P262" s="632">
        <v>7</v>
      </c>
      <c r="Q262" s="632">
        <v>7</v>
      </c>
      <c r="R262" s="632">
        <v>7</v>
      </c>
      <c r="S262" s="675">
        <f>SUMIF('Территориальный кк'!$A:$A,'2020'!$B262,'Территориальный кк'!D:D)</f>
        <v>1.4350000000000001</v>
      </c>
      <c r="T262" s="676">
        <f>SUMIF('Территориальный кк'!$A:$A,'2020'!$B262,'Территориальный кк'!E:E)</f>
        <v>2.5099999999999998</v>
      </c>
      <c r="U262" s="618">
        <f>SUMIFS(Нормативы!G:G,Нормативы!$B:$B,$G262,Нормативы!$D:$D,'2020'!$I262,Нормативы!$F:$F,'2020'!$K262)*O262</f>
        <v>70600</v>
      </c>
      <c r="V262" s="618">
        <f t="shared" si="674"/>
        <v>54224.3</v>
      </c>
      <c r="W262" s="618">
        <f t="shared" si="675"/>
        <v>16375.7</v>
      </c>
      <c r="X262" s="618">
        <f>SUMIFS(Нормативы!J:J,Нормативы!$B:$B,$G262,Нормативы!$D:$D,'2020'!$I262,Нормативы!$F:$F,'2020'!$K262)</f>
        <v>8860</v>
      </c>
      <c r="Y262" s="618">
        <f>SUMIFS(Нормативы!K:K,Нормативы!$B:$B,$G262,Нормативы!$D:$D,'2020'!$I262,Нормативы!$F:$F,'2020'!$K262)</f>
        <v>0</v>
      </c>
      <c r="Z262" s="618">
        <f>SUMIFS(Нормативы!L:L,Нормативы!$B:$B,$G262,Нормативы!$D:$D,'2020'!$I262,Нормативы!$F:$F,'2020'!$K262)</f>
        <v>8110</v>
      </c>
      <c r="AA262" s="618">
        <f t="shared" si="676"/>
        <v>21610</v>
      </c>
      <c r="AB262" s="618">
        <f>SUMIFS(Нормативы!N:N,Нормативы!$B:$B,$G262,Нормативы!$D:$D,'2020'!$I262,Нормативы!$F:$F,'2020'!$K262)*O262</f>
        <v>520</v>
      </c>
      <c r="AC262" s="618">
        <f>SUMIFS(Нормативы!O:O,Нормативы!$B:$B,$G262,Нормативы!$D:$D,'2020'!$I262,Нормативы!$F:$F,'2020'!$K262)</f>
        <v>19720</v>
      </c>
      <c r="AD262" s="618">
        <f>SUMIFS(Нормативы!P:P,Нормативы!$B:$B,$G262,Нормативы!$D:$D,'2020'!$I262,Нормативы!$F:$F,'2020'!$K262)*O262</f>
        <v>400</v>
      </c>
      <c r="AE262" s="618">
        <f>SUMIFS(Нормативы!Q:Q,Нормативы!$B:$B,$G262,Нормативы!$D:$D,'2020'!$I262,Нормативы!$F:$F,'2020'!$K262)</f>
        <v>970</v>
      </c>
      <c r="AF262" s="618">
        <f>SUMIFS(Нормативы!R:R,Нормативы!$B:$B,$G262,Нормативы!$D:$D,'2020'!$I262,Нормативы!$F:$F,'2020'!$K262)</f>
        <v>2680</v>
      </c>
      <c r="AG262" s="618">
        <f>SUMIFS(Нормативы!S:S,Нормативы!$B:$B,$G262,Нормативы!$D:$D,'2020'!$I262,Нормативы!$F:$F,'2020'!$K262)</f>
        <v>5800</v>
      </c>
      <c r="AH262" s="618">
        <f>SUMIFS(Нормативы!T:T,Нормативы!$B:$B,$G262,Нормативы!$D:$D,'2020'!$I262,Нормативы!$F:$F,'2020'!$K262)</f>
        <v>540</v>
      </c>
      <c r="AI262" s="618">
        <f>SUMIFS(Нормативы!U:U,Нормативы!$B:$B,$G262,Нормативы!$D:$D,'2020'!$I262,Нормативы!$F:$F,'2020'!$K262)</f>
        <v>770</v>
      </c>
      <c r="AJ262" s="618">
        <f>SUMIFS(Нормативы!V:V,Нормативы!$B:$B,$G262,Нормативы!$D:$D,'2020'!$I262,Нормативы!$F:$F,'2020'!$K262)</f>
        <v>80</v>
      </c>
      <c r="AK262" s="618">
        <f>SUMIFS(Нормативы!W:W,Нормативы!$B:$B,$G262,Нормативы!$D:$D,'2020'!$I262,Нормативы!$F:$F,'2020'!$K262)</f>
        <v>330</v>
      </c>
      <c r="AL262" s="618">
        <f>SUMIFS(Нормативы!X:X,Нормативы!$B:$B,$G262,Нормативы!$D:$D,'2020'!$I262,Нормативы!$F:$F,'2020'!$K262)*O262</f>
        <v>16120</v>
      </c>
      <c r="AM262" s="618">
        <f t="shared" si="677"/>
        <v>12381</v>
      </c>
      <c r="AN262" s="618">
        <f t="shared" si="678"/>
        <v>3739</v>
      </c>
      <c r="AO262" s="618">
        <f>SUMIFS(Нормативы!AA:AA,Нормативы!$B:$B,$G262,Нормативы!$D:$D,'2020'!$I262,Нормативы!$F:$F,'2020'!$K262)</f>
        <v>3520</v>
      </c>
      <c r="AP262" s="619">
        <f t="shared" si="679"/>
        <v>139020</v>
      </c>
      <c r="AQ262" s="413">
        <f t="shared" si="616"/>
        <v>494200</v>
      </c>
      <c r="AR262" s="618">
        <f t="shared" si="680"/>
        <v>379569.9</v>
      </c>
      <c r="AS262" s="618">
        <f t="shared" si="681"/>
        <v>114630.1</v>
      </c>
      <c r="AT262" s="616">
        <f t="shared" si="617"/>
        <v>62020</v>
      </c>
      <c r="AU262" s="616">
        <f t="shared" si="618"/>
        <v>0</v>
      </c>
      <c r="AV262" s="616">
        <f t="shared" si="619"/>
        <v>56770</v>
      </c>
      <c r="AW262" s="616">
        <f t="shared" si="620"/>
        <v>151270</v>
      </c>
      <c r="AX262" s="616">
        <f t="shared" si="621"/>
        <v>3640</v>
      </c>
      <c r="AY262" s="616">
        <f t="shared" si="622"/>
        <v>138040</v>
      </c>
      <c r="AZ262" s="616">
        <f t="shared" si="623"/>
        <v>2800</v>
      </c>
      <c r="BA262" s="616">
        <f t="shared" si="624"/>
        <v>6790</v>
      </c>
      <c r="BB262" s="616">
        <f t="shared" si="625"/>
        <v>18760</v>
      </c>
      <c r="BC262" s="616">
        <f t="shared" si="626"/>
        <v>40600</v>
      </c>
      <c r="BD262" s="616">
        <f t="shared" si="627"/>
        <v>3780</v>
      </c>
      <c r="BE262" s="616">
        <f t="shared" si="628"/>
        <v>5390</v>
      </c>
      <c r="BF262" s="616">
        <f t="shared" si="629"/>
        <v>560</v>
      </c>
      <c r="BG262" s="616">
        <f t="shared" si="630"/>
        <v>2310</v>
      </c>
      <c r="BH262" s="616">
        <f t="shared" si="631"/>
        <v>112840</v>
      </c>
      <c r="BI262" s="618">
        <f t="shared" si="682"/>
        <v>86666.7</v>
      </c>
      <c r="BJ262" s="618">
        <f t="shared" si="683"/>
        <v>26173.3</v>
      </c>
      <c r="BK262" s="616">
        <f t="shared" si="632"/>
        <v>24640</v>
      </c>
      <c r="BL262" s="620">
        <f t="shared" si="633"/>
        <v>973140</v>
      </c>
      <c r="BM262" s="616">
        <f t="shared" si="634"/>
        <v>709177</v>
      </c>
      <c r="BN262" s="618">
        <f t="shared" si="635"/>
        <v>544682.80000000005</v>
      </c>
      <c r="BO262" s="618">
        <f t="shared" si="636"/>
        <v>164494.20000000001</v>
      </c>
      <c r="BP262" s="616">
        <f t="shared" si="684"/>
        <v>62020</v>
      </c>
      <c r="BQ262" s="616">
        <f t="shared" si="685"/>
        <v>0</v>
      </c>
      <c r="BR262" s="616">
        <f t="shared" si="686"/>
        <v>56770</v>
      </c>
      <c r="BS262" s="616">
        <f t="shared" si="637"/>
        <v>151270</v>
      </c>
      <c r="BT262" s="616">
        <f t="shared" si="638"/>
        <v>3640</v>
      </c>
      <c r="BU262" s="616">
        <f t="shared" si="639"/>
        <v>138040</v>
      </c>
      <c r="BV262" s="616">
        <f t="shared" si="640"/>
        <v>2800</v>
      </c>
      <c r="BW262" s="616">
        <f t="shared" si="641"/>
        <v>6790</v>
      </c>
      <c r="BX262" s="616">
        <f t="shared" si="642"/>
        <v>47088</v>
      </c>
      <c r="BY262" s="616">
        <f t="shared" si="643"/>
        <v>40600</v>
      </c>
      <c r="BZ262" s="616">
        <f t="shared" si="644"/>
        <v>3780</v>
      </c>
      <c r="CA262" s="616">
        <f t="shared" si="645"/>
        <v>5390</v>
      </c>
      <c r="CB262" s="616">
        <f t="shared" si="646"/>
        <v>560</v>
      </c>
      <c r="CC262" s="616">
        <f t="shared" si="647"/>
        <v>2310</v>
      </c>
      <c r="CD262" s="616">
        <f t="shared" si="648"/>
        <v>161925</v>
      </c>
      <c r="CE262" s="618">
        <f t="shared" si="687"/>
        <v>124366.39999999999</v>
      </c>
      <c r="CF262" s="618">
        <f t="shared" si="688"/>
        <v>37558.6</v>
      </c>
      <c r="CG262" s="616">
        <f t="shared" si="649"/>
        <v>24640</v>
      </c>
      <c r="CH262" s="621">
        <f t="shared" si="650"/>
        <v>1265530</v>
      </c>
      <c r="CI262" s="88">
        <f t="shared" si="651"/>
        <v>101311</v>
      </c>
      <c r="CJ262" s="90">
        <f t="shared" si="652"/>
        <v>77811.828599999993</v>
      </c>
      <c r="CK262" s="90">
        <f t="shared" si="653"/>
        <v>23499.171399999999</v>
      </c>
      <c r="CL262" s="88">
        <f t="shared" si="654"/>
        <v>8860</v>
      </c>
      <c r="CM262" s="88">
        <f t="shared" si="655"/>
        <v>0</v>
      </c>
      <c r="CN262" s="88">
        <f t="shared" si="656"/>
        <v>8110</v>
      </c>
      <c r="CO262" s="88">
        <f t="shared" si="657"/>
        <v>21610</v>
      </c>
      <c r="CP262" s="88">
        <f t="shared" si="658"/>
        <v>520</v>
      </c>
      <c r="CQ262" s="88">
        <f t="shared" si="659"/>
        <v>19720</v>
      </c>
      <c r="CR262" s="88">
        <f t="shared" si="660"/>
        <v>400</v>
      </c>
      <c r="CS262" s="88">
        <f t="shared" si="661"/>
        <v>970</v>
      </c>
      <c r="CT262" s="88">
        <f t="shared" si="662"/>
        <v>6726.8571000000002</v>
      </c>
      <c r="CU262" s="88">
        <f t="shared" si="663"/>
        <v>5800</v>
      </c>
      <c r="CV262" s="88">
        <f t="shared" si="664"/>
        <v>540</v>
      </c>
      <c r="CW262" s="88">
        <f t="shared" si="665"/>
        <v>770</v>
      </c>
      <c r="CX262" s="88">
        <f t="shared" si="666"/>
        <v>80</v>
      </c>
      <c r="CY262" s="88">
        <f t="shared" si="667"/>
        <v>330</v>
      </c>
      <c r="CZ262" s="88">
        <f t="shared" si="668"/>
        <v>23132.142899999999</v>
      </c>
      <c r="DA262" s="90">
        <f t="shared" si="669"/>
        <v>17766.6286</v>
      </c>
      <c r="DB262" s="90">
        <f t="shared" si="670"/>
        <v>5365.5142999999998</v>
      </c>
      <c r="DC262" s="88">
        <f t="shared" si="671"/>
        <v>3520</v>
      </c>
      <c r="DD262" s="88">
        <f t="shared" si="672"/>
        <v>180790</v>
      </c>
      <c r="AUV262" s="699">
        <f t="shared" ref="AUV262:AUV325" si="758">BM262/P262</f>
        <v>101311</v>
      </c>
      <c r="AUW262" s="699">
        <f t="shared" ref="AUW262:AUW325" si="759">AUV262/1.302</f>
        <v>77811.83</v>
      </c>
      <c r="AUX262" s="699">
        <f t="shared" ref="AUX262:AUX325" si="760">AUV262-AUW262</f>
        <v>23499.17</v>
      </c>
      <c r="AUY262" s="699">
        <f t="shared" si="741"/>
        <v>8860</v>
      </c>
      <c r="AUZ262" s="699">
        <f t="shared" si="615"/>
        <v>0</v>
      </c>
      <c r="AVA262" s="699">
        <f t="shared" si="615"/>
        <v>0.8</v>
      </c>
      <c r="AVB262" s="699">
        <f t="shared" si="742"/>
        <v>21610</v>
      </c>
      <c r="AVC262" s="699">
        <f t="shared" si="743"/>
        <v>520</v>
      </c>
      <c r="AVD262" s="699">
        <f t="shared" si="744"/>
        <v>19720</v>
      </c>
      <c r="AVE262" s="699">
        <f t="shared" si="745"/>
        <v>400</v>
      </c>
      <c r="AVF262" s="699">
        <f t="shared" si="746"/>
        <v>970</v>
      </c>
      <c r="AVG262" s="699">
        <f t="shared" si="747"/>
        <v>6726.86</v>
      </c>
      <c r="AVH262" s="699">
        <f t="shared" si="748"/>
        <v>5800</v>
      </c>
      <c r="AVI262" s="699">
        <f t="shared" si="749"/>
        <v>540</v>
      </c>
      <c r="AVJ262" s="699">
        <f t="shared" si="750"/>
        <v>770</v>
      </c>
      <c r="AVK262" s="699">
        <f t="shared" si="751"/>
        <v>80</v>
      </c>
      <c r="AVL262" s="699">
        <f t="shared" si="752"/>
        <v>330</v>
      </c>
      <c r="AVM262" s="699">
        <f t="shared" si="753"/>
        <v>23132.14</v>
      </c>
      <c r="AVN262" s="699">
        <f t="shared" si="754"/>
        <v>17766.62</v>
      </c>
      <c r="AVO262" s="699">
        <f t="shared" si="755"/>
        <v>5365.52</v>
      </c>
      <c r="AVP262" s="699">
        <f t="shared" si="756"/>
        <v>3520</v>
      </c>
      <c r="AVQ262" s="699">
        <f t="shared" si="757"/>
        <v>180790</v>
      </c>
    </row>
    <row r="263" spans="1:108 1244:1265" ht="30" customHeight="1" x14ac:dyDescent="0.25">
      <c r="A263" s="643">
        <v>1</v>
      </c>
      <c r="B263" s="643">
        <v>12</v>
      </c>
      <c r="C263" s="664" t="s">
        <v>27</v>
      </c>
      <c r="D263" s="2"/>
      <c r="E263" s="101" t="s">
        <v>345</v>
      </c>
      <c r="F263" s="643" t="s">
        <v>38</v>
      </c>
      <c r="G263" s="643">
        <v>2</v>
      </c>
      <c r="H263" s="658" t="s">
        <v>8</v>
      </c>
      <c r="I263" s="643">
        <v>3</v>
      </c>
      <c r="J263" s="101" t="s">
        <v>362</v>
      </c>
      <c r="K263" s="643">
        <v>3</v>
      </c>
      <c r="L263" s="683" t="s">
        <v>350</v>
      </c>
      <c r="M263" s="11" t="s">
        <v>297</v>
      </c>
      <c r="N263" s="101" t="s">
        <v>387</v>
      </c>
      <c r="O263" s="643">
        <v>1</v>
      </c>
      <c r="P263" s="632">
        <v>3</v>
      </c>
      <c r="Q263" s="632">
        <v>3</v>
      </c>
      <c r="R263" s="632">
        <v>3</v>
      </c>
      <c r="S263" s="675">
        <f>SUMIF('Территориальный кк'!$A:$A,'2020'!$B263,'Территориальный кк'!D:D)</f>
        <v>1.4350000000000001</v>
      </c>
      <c r="T263" s="676">
        <f>SUMIF('Территориальный кк'!$A:$A,'2020'!$B263,'Территориальный кк'!E:E)</f>
        <v>2.5099999999999998</v>
      </c>
      <c r="U263" s="618">
        <f>SUMIFS(Нормативы!G:G,Нормативы!$B:$B,$G263,Нормативы!$D:$D,'2020'!$I263,Нормативы!$F:$F,'2020'!$K263)*O263</f>
        <v>12944</v>
      </c>
      <c r="V263" s="618">
        <f t="shared" si="674"/>
        <v>9941.6</v>
      </c>
      <c r="W263" s="618">
        <f t="shared" si="675"/>
        <v>3002.4</v>
      </c>
      <c r="X263" s="618">
        <f>SUMIFS(Нормативы!J:J,Нормативы!$B:$B,$G263,Нормативы!$D:$D,'2020'!$I263,Нормативы!$F:$F,'2020'!$K263)</f>
        <v>486</v>
      </c>
      <c r="Y263" s="618">
        <f>SUMIFS(Нормативы!K:K,Нормативы!$B:$B,$G263,Нормативы!$D:$D,'2020'!$I263,Нормативы!$F:$F,'2020'!$K263)</f>
        <v>97</v>
      </c>
      <c r="Z263" s="618">
        <f>SUMIFS(Нормативы!L:L,Нормативы!$B:$B,$G263,Нормативы!$D:$D,'2020'!$I263,Нормативы!$F:$F,'2020'!$K263)</f>
        <v>348</v>
      </c>
      <c r="AA263" s="618">
        <f t="shared" si="676"/>
        <v>2031</v>
      </c>
      <c r="AB263" s="618">
        <f>SUMIFS(Нормативы!N:N,Нормативы!$B:$B,$G263,Нормативы!$D:$D,'2020'!$I263,Нормативы!$F:$F,'2020'!$K263)*O263</f>
        <v>52</v>
      </c>
      <c r="AC263" s="618">
        <f>SUMIFS(Нормативы!O:O,Нормативы!$B:$B,$G263,Нормативы!$D:$D,'2020'!$I263,Нормативы!$F:$F,'2020'!$K263)</f>
        <v>1728</v>
      </c>
      <c r="AD263" s="618">
        <f>SUMIFS(Нормативы!P:P,Нормативы!$B:$B,$G263,Нормативы!$D:$D,'2020'!$I263,Нормативы!$F:$F,'2020'!$K263)*O263</f>
        <v>73</v>
      </c>
      <c r="AE263" s="618">
        <f>SUMIFS(Нормативы!Q:Q,Нормативы!$B:$B,$G263,Нормативы!$D:$D,'2020'!$I263,Нормативы!$F:$F,'2020'!$K263)</f>
        <v>178</v>
      </c>
      <c r="AF263" s="618">
        <f>SUMIFS(Нормативы!R:R,Нормативы!$B:$B,$G263,Нормативы!$D:$D,'2020'!$I263,Нормативы!$F:$F,'2020'!$K263)</f>
        <v>275</v>
      </c>
      <c r="AG263" s="618">
        <f>SUMIFS(Нормативы!S:S,Нормативы!$B:$B,$G263,Нормативы!$D:$D,'2020'!$I263,Нормативы!$F:$F,'2020'!$K263)</f>
        <v>580</v>
      </c>
      <c r="AH263" s="618">
        <f>SUMIFS(Нормативы!T:T,Нормативы!$B:$B,$G263,Нормативы!$D:$D,'2020'!$I263,Нормативы!$F:$F,'2020'!$K263)</f>
        <v>54</v>
      </c>
      <c r="AI263" s="618">
        <f>SUMIFS(Нормативы!U:U,Нормативы!$B:$B,$G263,Нормативы!$D:$D,'2020'!$I263,Нормативы!$F:$F,'2020'!$K263)</f>
        <v>77</v>
      </c>
      <c r="AJ263" s="618">
        <f>SUMIFS(Нормативы!V:V,Нормативы!$B:$B,$G263,Нормативы!$D:$D,'2020'!$I263,Нормативы!$F:$F,'2020'!$K263)</f>
        <v>8</v>
      </c>
      <c r="AK263" s="618">
        <f>SUMIFS(Нормативы!W:W,Нормативы!$B:$B,$G263,Нормативы!$D:$D,'2020'!$I263,Нормативы!$F:$F,'2020'!$K263)</f>
        <v>39</v>
      </c>
      <c r="AL263" s="618">
        <f>SUMIFS(Нормативы!X:X,Нормативы!$B:$B,$G263,Нормативы!$D:$D,'2020'!$I263,Нормативы!$F:$F,'2020'!$K263)*O263</f>
        <v>1612</v>
      </c>
      <c r="AM263" s="618">
        <f t="shared" si="677"/>
        <v>1238.0999999999999</v>
      </c>
      <c r="AN263" s="618">
        <f t="shared" si="678"/>
        <v>373.9</v>
      </c>
      <c r="AO263" s="618">
        <f>SUMIFS(Нормативы!AA:AA,Нормативы!$B:$B,$G263,Нормативы!$D:$D,'2020'!$I263,Нормативы!$F:$F,'2020'!$K263)</f>
        <v>0</v>
      </c>
      <c r="AP263" s="619">
        <f t="shared" si="679"/>
        <v>18454</v>
      </c>
      <c r="AQ263" s="413">
        <f t="shared" si="616"/>
        <v>38832</v>
      </c>
      <c r="AR263" s="618">
        <f t="shared" si="680"/>
        <v>29824.9</v>
      </c>
      <c r="AS263" s="618">
        <f t="shared" si="681"/>
        <v>9007.1</v>
      </c>
      <c r="AT263" s="616">
        <f t="shared" si="617"/>
        <v>1458</v>
      </c>
      <c r="AU263" s="616">
        <f t="shared" si="618"/>
        <v>291</v>
      </c>
      <c r="AV263" s="616">
        <f t="shared" si="619"/>
        <v>1044</v>
      </c>
      <c r="AW263" s="616">
        <f t="shared" si="620"/>
        <v>6093</v>
      </c>
      <c r="AX263" s="616">
        <f t="shared" si="621"/>
        <v>156</v>
      </c>
      <c r="AY263" s="616">
        <f t="shared" si="622"/>
        <v>5184</v>
      </c>
      <c r="AZ263" s="616">
        <f t="shared" si="623"/>
        <v>219</v>
      </c>
      <c r="BA263" s="616">
        <f t="shared" si="624"/>
        <v>534</v>
      </c>
      <c r="BB263" s="616">
        <f t="shared" si="625"/>
        <v>825</v>
      </c>
      <c r="BC263" s="616">
        <f t="shared" si="626"/>
        <v>1740</v>
      </c>
      <c r="BD263" s="616">
        <f t="shared" si="627"/>
        <v>162</v>
      </c>
      <c r="BE263" s="616">
        <f t="shared" si="628"/>
        <v>231</v>
      </c>
      <c r="BF263" s="616">
        <f t="shared" si="629"/>
        <v>24</v>
      </c>
      <c r="BG263" s="616">
        <f t="shared" si="630"/>
        <v>117</v>
      </c>
      <c r="BH263" s="616">
        <f t="shared" si="631"/>
        <v>4836</v>
      </c>
      <c r="BI263" s="618">
        <f t="shared" si="682"/>
        <v>3714.3</v>
      </c>
      <c r="BJ263" s="618">
        <f t="shared" si="683"/>
        <v>1121.7</v>
      </c>
      <c r="BK263" s="616">
        <f t="shared" si="632"/>
        <v>0</v>
      </c>
      <c r="BL263" s="620">
        <f t="shared" si="633"/>
        <v>55362</v>
      </c>
      <c r="BM263" s="616">
        <f t="shared" si="634"/>
        <v>55724</v>
      </c>
      <c r="BN263" s="618">
        <f t="shared" si="635"/>
        <v>42798.8</v>
      </c>
      <c r="BO263" s="618">
        <f t="shared" si="636"/>
        <v>12925.2</v>
      </c>
      <c r="BP263" s="616">
        <f t="shared" si="684"/>
        <v>1458</v>
      </c>
      <c r="BQ263" s="616">
        <f t="shared" si="685"/>
        <v>291</v>
      </c>
      <c r="BR263" s="616">
        <f t="shared" si="686"/>
        <v>1044</v>
      </c>
      <c r="BS263" s="616">
        <f t="shared" si="637"/>
        <v>6093</v>
      </c>
      <c r="BT263" s="616">
        <f t="shared" si="638"/>
        <v>156</v>
      </c>
      <c r="BU263" s="616">
        <f t="shared" si="639"/>
        <v>5184</v>
      </c>
      <c r="BV263" s="616">
        <f t="shared" si="640"/>
        <v>219</v>
      </c>
      <c r="BW263" s="616">
        <f t="shared" si="641"/>
        <v>534</v>
      </c>
      <c r="BX263" s="616">
        <f t="shared" si="642"/>
        <v>2071</v>
      </c>
      <c r="BY263" s="616">
        <f t="shared" si="643"/>
        <v>1740</v>
      </c>
      <c r="BZ263" s="616">
        <f t="shared" si="644"/>
        <v>162</v>
      </c>
      <c r="CA263" s="616">
        <f t="shared" si="645"/>
        <v>231</v>
      </c>
      <c r="CB263" s="616">
        <f t="shared" si="646"/>
        <v>24</v>
      </c>
      <c r="CC263" s="616">
        <f t="shared" si="647"/>
        <v>117</v>
      </c>
      <c r="CD263" s="616">
        <f t="shared" si="648"/>
        <v>6940</v>
      </c>
      <c r="CE263" s="618">
        <f t="shared" si="687"/>
        <v>5330.3</v>
      </c>
      <c r="CF263" s="618">
        <f t="shared" si="688"/>
        <v>1609.7</v>
      </c>
      <c r="CG263" s="616">
        <f t="shared" si="649"/>
        <v>0</v>
      </c>
      <c r="CH263" s="621">
        <f t="shared" si="650"/>
        <v>75604</v>
      </c>
      <c r="CI263" s="88">
        <f t="shared" si="651"/>
        <v>18574.666700000002</v>
      </c>
      <c r="CJ263" s="90">
        <f t="shared" si="652"/>
        <v>14266.2667</v>
      </c>
      <c r="CK263" s="90">
        <f t="shared" si="653"/>
        <v>4308.3999999999996</v>
      </c>
      <c r="CL263" s="88">
        <f t="shared" si="654"/>
        <v>486</v>
      </c>
      <c r="CM263" s="88">
        <f t="shared" si="655"/>
        <v>97</v>
      </c>
      <c r="CN263" s="88">
        <f t="shared" si="656"/>
        <v>348</v>
      </c>
      <c r="CO263" s="88">
        <f t="shared" si="657"/>
        <v>2031</v>
      </c>
      <c r="CP263" s="88">
        <f t="shared" si="658"/>
        <v>52</v>
      </c>
      <c r="CQ263" s="88">
        <f t="shared" si="659"/>
        <v>1728</v>
      </c>
      <c r="CR263" s="88">
        <f t="shared" si="660"/>
        <v>73</v>
      </c>
      <c r="CS263" s="88">
        <f t="shared" si="661"/>
        <v>178</v>
      </c>
      <c r="CT263" s="88">
        <f t="shared" si="662"/>
        <v>690.33330000000001</v>
      </c>
      <c r="CU263" s="88">
        <f t="shared" si="663"/>
        <v>580</v>
      </c>
      <c r="CV263" s="88">
        <f t="shared" si="664"/>
        <v>54</v>
      </c>
      <c r="CW263" s="88">
        <f t="shared" si="665"/>
        <v>77</v>
      </c>
      <c r="CX263" s="88">
        <f t="shared" si="666"/>
        <v>8</v>
      </c>
      <c r="CY263" s="88">
        <f t="shared" si="667"/>
        <v>39</v>
      </c>
      <c r="CZ263" s="88">
        <f t="shared" si="668"/>
        <v>2313.3332999999998</v>
      </c>
      <c r="DA263" s="90">
        <f t="shared" si="669"/>
        <v>1776.7666999999999</v>
      </c>
      <c r="DB263" s="90">
        <f t="shared" si="670"/>
        <v>536.56669999999997</v>
      </c>
      <c r="DC263" s="88">
        <f t="shared" si="671"/>
        <v>0</v>
      </c>
      <c r="DD263" s="88">
        <f t="shared" si="672"/>
        <v>25201.333299999998</v>
      </c>
      <c r="AUV263" s="699">
        <f t="shared" si="758"/>
        <v>18574.669999999998</v>
      </c>
      <c r="AUW263" s="699">
        <f t="shared" si="759"/>
        <v>14266.26</v>
      </c>
      <c r="AUX263" s="699">
        <f t="shared" si="760"/>
        <v>4308.41</v>
      </c>
      <c r="AUY263" s="699">
        <f t="shared" si="741"/>
        <v>486</v>
      </c>
      <c r="AUZ263" s="699">
        <f t="shared" si="615"/>
        <v>115.94</v>
      </c>
      <c r="AVA263" s="699">
        <f t="shared" si="615"/>
        <v>0.08</v>
      </c>
      <c r="AVB263" s="699">
        <f t="shared" si="742"/>
        <v>2031</v>
      </c>
      <c r="AVC263" s="699">
        <f t="shared" si="743"/>
        <v>52</v>
      </c>
      <c r="AVD263" s="699">
        <f t="shared" si="744"/>
        <v>1728</v>
      </c>
      <c r="AVE263" s="699">
        <f t="shared" si="745"/>
        <v>73</v>
      </c>
      <c r="AVF263" s="699">
        <f t="shared" si="746"/>
        <v>178</v>
      </c>
      <c r="AVG263" s="699">
        <f t="shared" si="747"/>
        <v>690.33</v>
      </c>
      <c r="AVH263" s="699">
        <f t="shared" si="748"/>
        <v>580</v>
      </c>
      <c r="AVI263" s="699">
        <f t="shared" si="749"/>
        <v>54</v>
      </c>
      <c r="AVJ263" s="699">
        <f t="shared" si="750"/>
        <v>77</v>
      </c>
      <c r="AVK263" s="699">
        <f t="shared" si="751"/>
        <v>8</v>
      </c>
      <c r="AVL263" s="699">
        <f t="shared" si="752"/>
        <v>39</v>
      </c>
      <c r="AVM263" s="699">
        <f t="shared" si="753"/>
        <v>2313.33</v>
      </c>
      <c r="AVN263" s="699">
        <f t="shared" si="754"/>
        <v>1776.75</v>
      </c>
      <c r="AVO263" s="699">
        <f t="shared" si="755"/>
        <v>536.58000000000004</v>
      </c>
      <c r="AVP263" s="699">
        <f t="shared" si="756"/>
        <v>0</v>
      </c>
      <c r="AVQ263" s="699">
        <f t="shared" si="757"/>
        <v>25201.33</v>
      </c>
    </row>
    <row r="264" spans="1:108 1244:1265" ht="30" customHeight="1" x14ac:dyDescent="0.25">
      <c r="A264" s="643">
        <v>1</v>
      </c>
      <c r="B264" s="643">
        <v>12</v>
      </c>
      <c r="C264" s="664" t="s">
        <v>27</v>
      </c>
      <c r="D264" s="2"/>
      <c r="E264" s="101" t="s">
        <v>345</v>
      </c>
      <c r="F264" s="643" t="s">
        <v>38</v>
      </c>
      <c r="G264" s="643">
        <v>2</v>
      </c>
      <c r="H264" s="658" t="s">
        <v>10</v>
      </c>
      <c r="I264" s="643">
        <v>0</v>
      </c>
      <c r="J264" s="101" t="s">
        <v>363</v>
      </c>
      <c r="K264" s="643">
        <v>3</v>
      </c>
      <c r="L264" s="683" t="s">
        <v>350</v>
      </c>
      <c r="M264" s="11" t="s">
        <v>269</v>
      </c>
      <c r="N264" s="101" t="s">
        <v>387</v>
      </c>
      <c r="O264" s="643">
        <v>1</v>
      </c>
      <c r="P264" s="632">
        <v>7</v>
      </c>
      <c r="Q264" s="632">
        <v>7</v>
      </c>
      <c r="R264" s="632">
        <v>7</v>
      </c>
      <c r="S264" s="675">
        <f>SUMIF('Территориальный кк'!$A:$A,'2020'!$B264,'Территориальный кк'!D:D)</f>
        <v>1.4350000000000001</v>
      </c>
      <c r="T264" s="676">
        <f>SUMIF('Территориальный кк'!$A:$A,'2020'!$B264,'Территориальный кк'!E:E)</f>
        <v>2.5099999999999998</v>
      </c>
      <c r="U264" s="618">
        <f>SUMIFS(Нормативы!G:G,Нормативы!$B:$B,$G264,Нормативы!$D:$D,'2020'!$I264,Нормативы!$F:$F,'2020'!$K264)*O264</f>
        <v>70600</v>
      </c>
      <c r="V264" s="618">
        <f t="shared" si="674"/>
        <v>54224.3</v>
      </c>
      <c r="W264" s="618">
        <f t="shared" si="675"/>
        <v>16375.7</v>
      </c>
      <c r="X264" s="618">
        <f>SUMIFS(Нормативы!J:J,Нормативы!$B:$B,$G264,Нормативы!$D:$D,'2020'!$I264,Нормативы!$F:$F,'2020'!$K264)</f>
        <v>8860</v>
      </c>
      <c r="Y264" s="618">
        <f>SUMIFS(Нормативы!K:K,Нормативы!$B:$B,$G264,Нормативы!$D:$D,'2020'!$I264,Нормативы!$F:$F,'2020'!$K264)</f>
        <v>0</v>
      </c>
      <c r="Z264" s="618">
        <f>SUMIFS(Нормативы!L:L,Нормативы!$B:$B,$G264,Нормативы!$D:$D,'2020'!$I264,Нормативы!$F:$F,'2020'!$K264)</f>
        <v>8110</v>
      </c>
      <c r="AA264" s="618">
        <f t="shared" si="676"/>
        <v>21610</v>
      </c>
      <c r="AB264" s="618">
        <f>SUMIFS(Нормативы!N:N,Нормативы!$B:$B,$G264,Нормативы!$D:$D,'2020'!$I264,Нормативы!$F:$F,'2020'!$K264)*O264</f>
        <v>520</v>
      </c>
      <c r="AC264" s="618">
        <f>SUMIFS(Нормативы!O:O,Нормативы!$B:$B,$G264,Нормативы!$D:$D,'2020'!$I264,Нормативы!$F:$F,'2020'!$K264)</f>
        <v>19720</v>
      </c>
      <c r="AD264" s="618">
        <f>SUMIFS(Нормативы!P:P,Нормативы!$B:$B,$G264,Нормативы!$D:$D,'2020'!$I264,Нормативы!$F:$F,'2020'!$K264)*O264</f>
        <v>400</v>
      </c>
      <c r="AE264" s="618">
        <f>SUMIFS(Нормативы!Q:Q,Нормативы!$B:$B,$G264,Нормативы!$D:$D,'2020'!$I264,Нормативы!$F:$F,'2020'!$K264)</f>
        <v>970</v>
      </c>
      <c r="AF264" s="618">
        <f>SUMIFS(Нормативы!R:R,Нормативы!$B:$B,$G264,Нормативы!$D:$D,'2020'!$I264,Нормативы!$F:$F,'2020'!$K264)</f>
        <v>2680</v>
      </c>
      <c r="AG264" s="618">
        <f>SUMIFS(Нормативы!S:S,Нормативы!$B:$B,$G264,Нормативы!$D:$D,'2020'!$I264,Нормативы!$F:$F,'2020'!$K264)</f>
        <v>5800</v>
      </c>
      <c r="AH264" s="618">
        <f>SUMIFS(Нормативы!T:T,Нормативы!$B:$B,$G264,Нормативы!$D:$D,'2020'!$I264,Нормативы!$F:$F,'2020'!$K264)</f>
        <v>540</v>
      </c>
      <c r="AI264" s="618">
        <f>SUMIFS(Нормативы!U:U,Нормативы!$B:$B,$G264,Нормативы!$D:$D,'2020'!$I264,Нормативы!$F:$F,'2020'!$K264)</f>
        <v>770</v>
      </c>
      <c r="AJ264" s="618">
        <f>SUMIFS(Нормативы!V:V,Нормативы!$B:$B,$G264,Нормативы!$D:$D,'2020'!$I264,Нормативы!$F:$F,'2020'!$K264)</f>
        <v>80</v>
      </c>
      <c r="AK264" s="618">
        <f>SUMIFS(Нормативы!W:W,Нормативы!$B:$B,$G264,Нормативы!$D:$D,'2020'!$I264,Нормативы!$F:$F,'2020'!$K264)</f>
        <v>330</v>
      </c>
      <c r="AL264" s="618">
        <f>SUMIFS(Нормативы!X:X,Нормативы!$B:$B,$G264,Нормативы!$D:$D,'2020'!$I264,Нормативы!$F:$F,'2020'!$K264)*O264</f>
        <v>16120</v>
      </c>
      <c r="AM264" s="618">
        <f t="shared" si="677"/>
        <v>12381</v>
      </c>
      <c r="AN264" s="618">
        <f t="shared" si="678"/>
        <v>3739</v>
      </c>
      <c r="AO264" s="618">
        <f>SUMIFS(Нормативы!AA:AA,Нормативы!$B:$B,$G264,Нормативы!$D:$D,'2020'!$I264,Нормативы!$F:$F,'2020'!$K264)</f>
        <v>3520</v>
      </c>
      <c r="AP264" s="619">
        <f t="shared" si="679"/>
        <v>139020</v>
      </c>
      <c r="AQ264" s="413">
        <f t="shared" si="616"/>
        <v>494200</v>
      </c>
      <c r="AR264" s="618">
        <f t="shared" si="680"/>
        <v>379569.9</v>
      </c>
      <c r="AS264" s="618">
        <f t="shared" si="681"/>
        <v>114630.1</v>
      </c>
      <c r="AT264" s="616">
        <f t="shared" si="617"/>
        <v>62020</v>
      </c>
      <c r="AU264" s="616">
        <f t="shared" si="618"/>
        <v>0</v>
      </c>
      <c r="AV264" s="616">
        <f t="shared" si="619"/>
        <v>56770</v>
      </c>
      <c r="AW264" s="616">
        <f t="shared" si="620"/>
        <v>151270</v>
      </c>
      <c r="AX264" s="616">
        <f t="shared" si="621"/>
        <v>3640</v>
      </c>
      <c r="AY264" s="616">
        <f t="shared" si="622"/>
        <v>138040</v>
      </c>
      <c r="AZ264" s="616">
        <f t="shared" si="623"/>
        <v>2800</v>
      </c>
      <c r="BA264" s="616">
        <f t="shared" si="624"/>
        <v>6790</v>
      </c>
      <c r="BB264" s="616">
        <f t="shared" si="625"/>
        <v>18760</v>
      </c>
      <c r="BC264" s="616">
        <f t="shared" si="626"/>
        <v>40600</v>
      </c>
      <c r="BD264" s="616">
        <f t="shared" si="627"/>
        <v>3780</v>
      </c>
      <c r="BE264" s="616">
        <f t="shared" si="628"/>
        <v>5390</v>
      </c>
      <c r="BF264" s="616">
        <f t="shared" si="629"/>
        <v>560</v>
      </c>
      <c r="BG264" s="616">
        <f t="shared" si="630"/>
        <v>2310</v>
      </c>
      <c r="BH264" s="616">
        <f t="shared" si="631"/>
        <v>112840</v>
      </c>
      <c r="BI264" s="618">
        <f t="shared" si="682"/>
        <v>86666.7</v>
      </c>
      <c r="BJ264" s="618">
        <f t="shared" si="683"/>
        <v>26173.3</v>
      </c>
      <c r="BK264" s="616">
        <f t="shared" si="632"/>
        <v>24640</v>
      </c>
      <c r="BL264" s="620">
        <f t="shared" si="633"/>
        <v>973140</v>
      </c>
      <c r="BM264" s="616">
        <f t="shared" si="634"/>
        <v>709177</v>
      </c>
      <c r="BN264" s="618">
        <f t="shared" si="635"/>
        <v>544682.80000000005</v>
      </c>
      <c r="BO264" s="618">
        <f t="shared" si="636"/>
        <v>164494.20000000001</v>
      </c>
      <c r="BP264" s="616">
        <f t="shared" si="684"/>
        <v>62020</v>
      </c>
      <c r="BQ264" s="616">
        <f t="shared" si="685"/>
        <v>0</v>
      </c>
      <c r="BR264" s="616">
        <f t="shared" si="686"/>
        <v>56770</v>
      </c>
      <c r="BS264" s="616">
        <f t="shared" si="637"/>
        <v>151270</v>
      </c>
      <c r="BT264" s="616">
        <f t="shared" si="638"/>
        <v>3640</v>
      </c>
      <c r="BU264" s="616">
        <f t="shared" si="639"/>
        <v>138040</v>
      </c>
      <c r="BV264" s="616">
        <f t="shared" si="640"/>
        <v>2800</v>
      </c>
      <c r="BW264" s="616">
        <f t="shared" si="641"/>
        <v>6790</v>
      </c>
      <c r="BX264" s="616">
        <f t="shared" si="642"/>
        <v>47088</v>
      </c>
      <c r="BY264" s="616">
        <f t="shared" si="643"/>
        <v>40600</v>
      </c>
      <c r="BZ264" s="616">
        <f t="shared" si="644"/>
        <v>3780</v>
      </c>
      <c r="CA264" s="616">
        <f t="shared" si="645"/>
        <v>5390</v>
      </c>
      <c r="CB264" s="616">
        <f t="shared" si="646"/>
        <v>560</v>
      </c>
      <c r="CC264" s="616">
        <f t="shared" si="647"/>
        <v>2310</v>
      </c>
      <c r="CD264" s="616">
        <f t="shared" si="648"/>
        <v>161925</v>
      </c>
      <c r="CE264" s="618">
        <f t="shared" si="687"/>
        <v>124366.39999999999</v>
      </c>
      <c r="CF264" s="618">
        <f t="shared" si="688"/>
        <v>37558.6</v>
      </c>
      <c r="CG264" s="616">
        <f t="shared" si="649"/>
        <v>24640</v>
      </c>
      <c r="CH264" s="621">
        <f t="shared" si="650"/>
        <v>1265530</v>
      </c>
      <c r="CI264" s="88">
        <f t="shared" si="651"/>
        <v>101311</v>
      </c>
      <c r="CJ264" s="90">
        <f t="shared" si="652"/>
        <v>77811.828599999993</v>
      </c>
      <c r="CK264" s="90">
        <f t="shared" si="653"/>
        <v>23499.171399999999</v>
      </c>
      <c r="CL264" s="88">
        <f t="shared" si="654"/>
        <v>8860</v>
      </c>
      <c r="CM264" s="88">
        <f t="shared" si="655"/>
        <v>0</v>
      </c>
      <c r="CN264" s="88">
        <f t="shared" si="656"/>
        <v>8110</v>
      </c>
      <c r="CO264" s="88">
        <f t="shared" si="657"/>
        <v>21610</v>
      </c>
      <c r="CP264" s="88">
        <f t="shared" si="658"/>
        <v>520</v>
      </c>
      <c r="CQ264" s="88">
        <f t="shared" si="659"/>
        <v>19720</v>
      </c>
      <c r="CR264" s="88">
        <f t="shared" si="660"/>
        <v>400</v>
      </c>
      <c r="CS264" s="88">
        <f t="shared" si="661"/>
        <v>970</v>
      </c>
      <c r="CT264" s="88">
        <f t="shared" si="662"/>
        <v>6726.8571000000002</v>
      </c>
      <c r="CU264" s="88">
        <f t="shared" si="663"/>
        <v>5800</v>
      </c>
      <c r="CV264" s="88">
        <f t="shared" si="664"/>
        <v>540</v>
      </c>
      <c r="CW264" s="88">
        <f t="shared" si="665"/>
        <v>770</v>
      </c>
      <c r="CX264" s="88">
        <f t="shared" si="666"/>
        <v>80</v>
      </c>
      <c r="CY264" s="88">
        <f t="shared" si="667"/>
        <v>330</v>
      </c>
      <c r="CZ264" s="88">
        <f t="shared" si="668"/>
        <v>23132.142899999999</v>
      </c>
      <c r="DA264" s="90">
        <f t="shared" si="669"/>
        <v>17766.6286</v>
      </c>
      <c r="DB264" s="90">
        <f t="shared" si="670"/>
        <v>5365.5142999999998</v>
      </c>
      <c r="DC264" s="88">
        <f t="shared" si="671"/>
        <v>3520</v>
      </c>
      <c r="DD264" s="88">
        <f t="shared" si="672"/>
        <v>180790</v>
      </c>
      <c r="AUV264" s="699">
        <f t="shared" si="758"/>
        <v>101311</v>
      </c>
      <c r="AUW264" s="699">
        <f t="shared" si="759"/>
        <v>77811.83</v>
      </c>
      <c r="AUX264" s="699">
        <f t="shared" si="760"/>
        <v>23499.17</v>
      </c>
      <c r="AUY264" s="699">
        <f t="shared" si="741"/>
        <v>8860</v>
      </c>
      <c r="AUZ264" s="699">
        <f t="shared" si="615"/>
        <v>0</v>
      </c>
      <c r="AVA264" s="699">
        <f t="shared" si="615"/>
        <v>0.8</v>
      </c>
      <c r="AVB264" s="699">
        <f t="shared" si="742"/>
        <v>21610</v>
      </c>
      <c r="AVC264" s="699">
        <f t="shared" si="743"/>
        <v>520</v>
      </c>
      <c r="AVD264" s="699">
        <f t="shared" si="744"/>
        <v>19720</v>
      </c>
      <c r="AVE264" s="699">
        <f t="shared" si="745"/>
        <v>400</v>
      </c>
      <c r="AVF264" s="699">
        <f t="shared" si="746"/>
        <v>970</v>
      </c>
      <c r="AVG264" s="699">
        <f t="shared" si="747"/>
        <v>6726.86</v>
      </c>
      <c r="AVH264" s="699">
        <f t="shared" si="748"/>
        <v>5800</v>
      </c>
      <c r="AVI264" s="699">
        <f t="shared" si="749"/>
        <v>540</v>
      </c>
      <c r="AVJ264" s="699">
        <f t="shared" si="750"/>
        <v>770</v>
      </c>
      <c r="AVK264" s="699">
        <f t="shared" si="751"/>
        <v>80</v>
      </c>
      <c r="AVL264" s="699">
        <f t="shared" si="752"/>
        <v>330</v>
      </c>
      <c r="AVM264" s="699">
        <f t="shared" si="753"/>
        <v>23132.14</v>
      </c>
      <c r="AVN264" s="699">
        <f t="shared" si="754"/>
        <v>17766.62</v>
      </c>
      <c r="AVO264" s="699">
        <f t="shared" si="755"/>
        <v>5365.52</v>
      </c>
      <c r="AVP264" s="699">
        <f t="shared" si="756"/>
        <v>3520</v>
      </c>
      <c r="AVQ264" s="699">
        <f t="shared" si="757"/>
        <v>180790</v>
      </c>
    </row>
    <row r="265" spans="1:108 1244:1265" ht="30" customHeight="1" x14ac:dyDescent="0.25">
      <c r="A265" s="643">
        <v>1</v>
      </c>
      <c r="B265" s="643">
        <v>12</v>
      </c>
      <c r="C265" s="664" t="s">
        <v>27</v>
      </c>
      <c r="D265" s="2"/>
      <c r="E265" s="101" t="s">
        <v>345</v>
      </c>
      <c r="F265" s="643" t="s">
        <v>38</v>
      </c>
      <c r="G265" s="643">
        <v>2</v>
      </c>
      <c r="H265" s="658" t="s">
        <v>10</v>
      </c>
      <c r="I265" s="643">
        <v>0</v>
      </c>
      <c r="J265" s="101" t="s">
        <v>364</v>
      </c>
      <c r="K265" s="643">
        <v>3</v>
      </c>
      <c r="L265" s="683" t="s">
        <v>350</v>
      </c>
      <c r="M265" s="11" t="s">
        <v>270</v>
      </c>
      <c r="N265" s="101" t="s">
        <v>387</v>
      </c>
      <c r="O265" s="643">
        <v>1</v>
      </c>
      <c r="P265" s="632">
        <v>146</v>
      </c>
      <c r="Q265" s="632">
        <v>146</v>
      </c>
      <c r="R265" s="632">
        <v>146</v>
      </c>
      <c r="S265" s="675">
        <f>SUMIF('Территориальный кк'!$A:$A,'2020'!$B265,'Территориальный кк'!D:D)</f>
        <v>1.4350000000000001</v>
      </c>
      <c r="T265" s="676">
        <f>SUMIF('Территориальный кк'!$A:$A,'2020'!$B265,'Территориальный кк'!E:E)</f>
        <v>2.5099999999999998</v>
      </c>
      <c r="U265" s="618">
        <f>SUMIFS(Нормативы!G:G,Нормативы!$B:$B,$G265,Нормативы!$D:$D,'2020'!$I265,Нормативы!$F:$F,'2020'!$K265)*O265</f>
        <v>70600</v>
      </c>
      <c r="V265" s="618">
        <f t="shared" si="674"/>
        <v>54224.3</v>
      </c>
      <c r="W265" s="618">
        <f t="shared" si="675"/>
        <v>16375.7</v>
      </c>
      <c r="X265" s="618">
        <f>SUMIFS(Нормативы!J:J,Нормативы!$B:$B,$G265,Нормативы!$D:$D,'2020'!$I265,Нормативы!$F:$F,'2020'!$K265)</f>
        <v>8860</v>
      </c>
      <c r="Y265" s="618">
        <f>SUMIFS(Нормативы!K:K,Нормативы!$B:$B,$G265,Нормативы!$D:$D,'2020'!$I265,Нормативы!$F:$F,'2020'!$K265)</f>
        <v>0</v>
      </c>
      <c r="Z265" s="618">
        <f>SUMIFS(Нормативы!L:L,Нормативы!$B:$B,$G265,Нормативы!$D:$D,'2020'!$I265,Нормативы!$F:$F,'2020'!$K265)</f>
        <v>8110</v>
      </c>
      <c r="AA265" s="618">
        <f t="shared" si="676"/>
        <v>21610</v>
      </c>
      <c r="AB265" s="618">
        <f>SUMIFS(Нормативы!N:N,Нормативы!$B:$B,$G265,Нормативы!$D:$D,'2020'!$I265,Нормативы!$F:$F,'2020'!$K265)*O265</f>
        <v>520</v>
      </c>
      <c r="AC265" s="618">
        <f>SUMIFS(Нормативы!O:O,Нормативы!$B:$B,$G265,Нормативы!$D:$D,'2020'!$I265,Нормативы!$F:$F,'2020'!$K265)</f>
        <v>19720</v>
      </c>
      <c r="AD265" s="618">
        <f>SUMIFS(Нормативы!P:P,Нормативы!$B:$B,$G265,Нормативы!$D:$D,'2020'!$I265,Нормативы!$F:$F,'2020'!$K265)*O265</f>
        <v>400</v>
      </c>
      <c r="AE265" s="618">
        <f>SUMIFS(Нормативы!Q:Q,Нормативы!$B:$B,$G265,Нормативы!$D:$D,'2020'!$I265,Нормативы!$F:$F,'2020'!$K265)</f>
        <v>970</v>
      </c>
      <c r="AF265" s="618">
        <f>SUMIFS(Нормативы!R:R,Нормативы!$B:$B,$G265,Нормативы!$D:$D,'2020'!$I265,Нормативы!$F:$F,'2020'!$K265)</f>
        <v>2680</v>
      </c>
      <c r="AG265" s="618">
        <f>SUMIFS(Нормативы!S:S,Нормативы!$B:$B,$G265,Нормативы!$D:$D,'2020'!$I265,Нормативы!$F:$F,'2020'!$K265)</f>
        <v>5800</v>
      </c>
      <c r="AH265" s="618">
        <f>SUMIFS(Нормативы!T:T,Нормативы!$B:$B,$G265,Нормативы!$D:$D,'2020'!$I265,Нормативы!$F:$F,'2020'!$K265)</f>
        <v>540</v>
      </c>
      <c r="AI265" s="618">
        <f>SUMIFS(Нормативы!U:U,Нормативы!$B:$B,$G265,Нормативы!$D:$D,'2020'!$I265,Нормативы!$F:$F,'2020'!$K265)</f>
        <v>770</v>
      </c>
      <c r="AJ265" s="618">
        <f>SUMIFS(Нормативы!V:V,Нормативы!$B:$B,$G265,Нормативы!$D:$D,'2020'!$I265,Нормативы!$F:$F,'2020'!$K265)</f>
        <v>80</v>
      </c>
      <c r="AK265" s="618">
        <f>SUMIFS(Нормативы!W:W,Нормативы!$B:$B,$G265,Нормативы!$D:$D,'2020'!$I265,Нормативы!$F:$F,'2020'!$K265)</f>
        <v>330</v>
      </c>
      <c r="AL265" s="618">
        <f>SUMIFS(Нормативы!X:X,Нормативы!$B:$B,$G265,Нормативы!$D:$D,'2020'!$I265,Нормативы!$F:$F,'2020'!$K265)*O265</f>
        <v>16120</v>
      </c>
      <c r="AM265" s="618">
        <f t="shared" si="677"/>
        <v>12381</v>
      </c>
      <c r="AN265" s="618">
        <f t="shared" si="678"/>
        <v>3739</v>
      </c>
      <c r="AO265" s="618">
        <f>SUMIFS(Нормативы!AA:AA,Нормативы!$B:$B,$G265,Нормативы!$D:$D,'2020'!$I265,Нормативы!$F:$F,'2020'!$K265)</f>
        <v>3520</v>
      </c>
      <c r="AP265" s="619">
        <f t="shared" si="679"/>
        <v>139020</v>
      </c>
      <c r="AQ265" s="413">
        <f t="shared" si="616"/>
        <v>10307600</v>
      </c>
      <c r="AR265" s="618">
        <f t="shared" si="680"/>
        <v>7916743.5</v>
      </c>
      <c r="AS265" s="618">
        <f t="shared" si="681"/>
        <v>2390856.5</v>
      </c>
      <c r="AT265" s="616">
        <f t="shared" si="617"/>
        <v>1293560</v>
      </c>
      <c r="AU265" s="616">
        <f t="shared" si="618"/>
        <v>0</v>
      </c>
      <c r="AV265" s="616">
        <f t="shared" si="619"/>
        <v>1184060</v>
      </c>
      <c r="AW265" s="616">
        <f t="shared" si="620"/>
        <v>3155060</v>
      </c>
      <c r="AX265" s="616">
        <f t="shared" si="621"/>
        <v>75920</v>
      </c>
      <c r="AY265" s="616">
        <f t="shared" si="622"/>
        <v>2879120</v>
      </c>
      <c r="AZ265" s="616">
        <f t="shared" si="623"/>
        <v>58400</v>
      </c>
      <c r="BA265" s="616">
        <f t="shared" si="624"/>
        <v>141620</v>
      </c>
      <c r="BB265" s="616">
        <f t="shared" si="625"/>
        <v>391280</v>
      </c>
      <c r="BC265" s="616">
        <f t="shared" si="626"/>
        <v>846800</v>
      </c>
      <c r="BD265" s="616">
        <f t="shared" si="627"/>
        <v>78840</v>
      </c>
      <c r="BE265" s="616">
        <f t="shared" si="628"/>
        <v>112420</v>
      </c>
      <c r="BF265" s="616">
        <f t="shared" si="629"/>
        <v>11680</v>
      </c>
      <c r="BG265" s="616">
        <f t="shared" si="630"/>
        <v>48180</v>
      </c>
      <c r="BH265" s="616">
        <f t="shared" si="631"/>
        <v>2353520</v>
      </c>
      <c r="BI265" s="618">
        <f t="shared" si="682"/>
        <v>1807619</v>
      </c>
      <c r="BJ265" s="618">
        <f t="shared" si="683"/>
        <v>545901</v>
      </c>
      <c r="BK265" s="616">
        <f t="shared" si="632"/>
        <v>513920</v>
      </c>
      <c r="BL265" s="620">
        <f t="shared" si="633"/>
        <v>20296920</v>
      </c>
      <c r="BM265" s="616">
        <f t="shared" si="634"/>
        <v>14791406</v>
      </c>
      <c r="BN265" s="618">
        <f t="shared" si="635"/>
        <v>11360526.9</v>
      </c>
      <c r="BO265" s="618">
        <f t="shared" si="636"/>
        <v>3430879.1</v>
      </c>
      <c r="BP265" s="616">
        <f t="shared" si="684"/>
        <v>1293560</v>
      </c>
      <c r="BQ265" s="616">
        <f t="shared" si="685"/>
        <v>0</v>
      </c>
      <c r="BR265" s="616">
        <f t="shared" si="686"/>
        <v>1184060</v>
      </c>
      <c r="BS265" s="616">
        <f t="shared" si="637"/>
        <v>3155060</v>
      </c>
      <c r="BT265" s="616">
        <f t="shared" si="638"/>
        <v>75920</v>
      </c>
      <c r="BU265" s="616">
        <f t="shared" si="639"/>
        <v>2879120</v>
      </c>
      <c r="BV265" s="616">
        <f t="shared" si="640"/>
        <v>58400</v>
      </c>
      <c r="BW265" s="616">
        <f t="shared" si="641"/>
        <v>141620</v>
      </c>
      <c r="BX265" s="616">
        <f t="shared" si="642"/>
        <v>982113</v>
      </c>
      <c r="BY265" s="616">
        <f t="shared" si="643"/>
        <v>846800</v>
      </c>
      <c r="BZ265" s="616">
        <f t="shared" si="644"/>
        <v>78840</v>
      </c>
      <c r="CA265" s="616">
        <f t="shared" si="645"/>
        <v>112420</v>
      </c>
      <c r="CB265" s="616">
        <f t="shared" si="646"/>
        <v>11680</v>
      </c>
      <c r="CC265" s="616">
        <f t="shared" si="647"/>
        <v>48180</v>
      </c>
      <c r="CD265" s="616">
        <f t="shared" si="648"/>
        <v>3377301</v>
      </c>
      <c r="CE265" s="618">
        <f t="shared" si="687"/>
        <v>2593933.2000000002</v>
      </c>
      <c r="CF265" s="618">
        <f t="shared" si="688"/>
        <v>783367.8</v>
      </c>
      <c r="CG265" s="616">
        <f t="shared" si="649"/>
        <v>513920</v>
      </c>
      <c r="CH265" s="621">
        <f t="shared" si="650"/>
        <v>26395340</v>
      </c>
      <c r="CI265" s="88">
        <f t="shared" si="651"/>
        <v>101311</v>
      </c>
      <c r="CJ265" s="90">
        <f t="shared" si="652"/>
        <v>77811.828099999999</v>
      </c>
      <c r="CK265" s="90">
        <f t="shared" si="653"/>
        <v>23499.171900000001</v>
      </c>
      <c r="CL265" s="88">
        <f t="shared" si="654"/>
        <v>8860</v>
      </c>
      <c r="CM265" s="88">
        <f t="shared" si="655"/>
        <v>0</v>
      </c>
      <c r="CN265" s="88">
        <f t="shared" si="656"/>
        <v>8110</v>
      </c>
      <c r="CO265" s="88">
        <f t="shared" si="657"/>
        <v>21610</v>
      </c>
      <c r="CP265" s="88">
        <f t="shared" si="658"/>
        <v>520</v>
      </c>
      <c r="CQ265" s="88">
        <f t="shared" si="659"/>
        <v>19720</v>
      </c>
      <c r="CR265" s="88">
        <f t="shared" si="660"/>
        <v>400</v>
      </c>
      <c r="CS265" s="88">
        <f t="shared" si="661"/>
        <v>970</v>
      </c>
      <c r="CT265" s="88">
        <f t="shared" si="662"/>
        <v>6726.8014000000003</v>
      </c>
      <c r="CU265" s="88">
        <f t="shared" si="663"/>
        <v>5800</v>
      </c>
      <c r="CV265" s="88">
        <f t="shared" si="664"/>
        <v>540</v>
      </c>
      <c r="CW265" s="88">
        <f t="shared" si="665"/>
        <v>770</v>
      </c>
      <c r="CX265" s="88">
        <f t="shared" si="666"/>
        <v>80</v>
      </c>
      <c r="CY265" s="88">
        <f t="shared" si="667"/>
        <v>330</v>
      </c>
      <c r="CZ265" s="88">
        <f t="shared" si="668"/>
        <v>23132.1986</v>
      </c>
      <c r="DA265" s="90">
        <f t="shared" si="669"/>
        <v>17766.665799999999</v>
      </c>
      <c r="DB265" s="90">
        <f t="shared" si="670"/>
        <v>5365.5329000000002</v>
      </c>
      <c r="DC265" s="88">
        <f t="shared" si="671"/>
        <v>3520</v>
      </c>
      <c r="DD265" s="88">
        <f t="shared" si="672"/>
        <v>180790</v>
      </c>
      <c r="AUV265" s="699">
        <f t="shared" si="758"/>
        <v>101311</v>
      </c>
      <c r="AUW265" s="699">
        <f t="shared" si="759"/>
        <v>77811.83</v>
      </c>
      <c r="AUX265" s="699">
        <f t="shared" si="760"/>
        <v>23499.17</v>
      </c>
      <c r="AUY265" s="699">
        <f t="shared" si="741"/>
        <v>8860</v>
      </c>
      <c r="AUZ265" s="699">
        <f t="shared" si="615"/>
        <v>0</v>
      </c>
      <c r="AVA265" s="699">
        <f t="shared" si="615"/>
        <v>16.77</v>
      </c>
      <c r="AVB265" s="699">
        <f t="shared" si="742"/>
        <v>21610</v>
      </c>
      <c r="AVC265" s="699">
        <f t="shared" si="743"/>
        <v>520</v>
      </c>
      <c r="AVD265" s="699">
        <f t="shared" si="744"/>
        <v>19720</v>
      </c>
      <c r="AVE265" s="699">
        <f t="shared" si="745"/>
        <v>400</v>
      </c>
      <c r="AVF265" s="699">
        <f t="shared" si="746"/>
        <v>970</v>
      </c>
      <c r="AVG265" s="699">
        <f t="shared" si="747"/>
        <v>6726.8</v>
      </c>
      <c r="AVH265" s="699">
        <f t="shared" si="748"/>
        <v>5800</v>
      </c>
      <c r="AVI265" s="699">
        <f t="shared" si="749"/>
        <v>540</v>
      </c>
      <c r="AVJ265" s="699">
        <f t="shared" si="750"/>
        <v>770</v>
      </c>
      <c r="AVK265" s="699">
        <f t="shared" si="751"/>
        <v>80</v>
      </c>
      <c r="AVL265" s="699">
        <f t="shared" si="752"/>
        <v>330</v>
      </c>
      <c r="AVM265" s="699">
        <f t="shared" si="753"/>
        <v>23132.2</v>
      </c>
      <c r="AVN265" s="699">
        <f t="shared" si="754"/>
        <v>17766.669999999998</v>
      </c>
      <c r="AVO265" s="699">
        <f t="shared" si="755"/>
        <v>5365.53</v>
      </c>
      <c r="AVP265" s="699">
        <f t="shared" si="756"/>
        <v>3520</v>
      </c>
      <c r="AVQ265" s="699">
        <f t="shared" si="757"/>
        <v>180790</v>
      </c>
    </row>
    <row r="266" spans="1:108 1244:1265" ht="30" customHeight="1" x14ac:dyDescent="0.25">
      <c r="A266" s="643">
        <v>1</v>
      </c>
      <c r="B266" s="643">
        <v>12</v>
      </c>
      <c r="C266" s="664" t="s">
        <v>27</v>
      </c>
      <c r="D266" s="2"/>
      <c r="E266" s="101" t="s">
        <v>345</v>
      </c>
      <c r="F266" s="643" t="s">
        <v>38</v>
      </c>
      <c r="G266" s="643">
        <v>2</v>
      </c>
      <c r="H266" s="658" t="s">
        <v>8</v>
      </c>
      <c r="I266" s="643">
        <v>3</v>
      </c>
      <c r="J266" s="101" t="s">
        <v>364</v>
      </c>
      <c r="K266" s="643">
        <v>3</v>
      </c>
      <c r="L266" s="683" t="s">
        <v>350</v>
      </c>
      <c r="M266" s="11" t="s">
        <v>307</v>
      </c>
      <c r="N266" s="101" t="s">
        <v>387</v>
      </c>
      <c r="O266" s="643">
        <v>1</v>
      </c>
      <c r="P266" s="632">
        <v>27</v>
      </c>
      <c r="Q266" s="632">
        <v>27</v>
      </c>
      <c r="R266" s="632">
        <v>27</v>
      </c>
      <c r="S266" s="675">
        <f>SUMIF('Территориальный кк'!$A:$A,'2020'!$B266,'Территориальный кк'!D:D)</f>
        <v>1.4350000000000001</v>
      </c>
      <c r="T266" s="676">
        <f>SUMIF('Территориальный кк'!$A:$A,'2020'!$B266,'Территориальный кк'!E:E)</f>
        <v>2.5099999999999998</v>
      </c>
      <c r="U266" s="618">
        <f>SUMIFS(Нормативы!G:G,Нормативы!$B:$B,$G266,Нормативы!$D:$D,'2020'!$I266,Нормативы!$F:$F,'2020'!$K266)*O266</f>
        <v>12944</v>
      </c>
      <c r="V266" s="618">
        <f t="shared" si="674"/>
        <v>9941.6</v>
      </c>
      <c r="W266" s="618">
        <f t="shared" si="675"/>
        <v>3002.4</v>
      </c>
      <c r="X266" s="618">
        <f>SUMIFS(Нормативы!J:J,Нормативы!$B:$B,$G266,Нормативы!$D:$D,'2020'!$I266,Нормативы!$F:$F,'2020'!$K266)</f>
        <v>486</v>
      </c>
      <c r="Y266" s="618">
        <f>SUMIFS(Нормативы!K:K,Нормативы!$B:$B,$G266,Нормативы!$D:$D,'2020'!$I266,Нормативы!$F:$F,'2020'!$K266)</f>
        <v>97</v>
      </c>
      <c r="Z266" s="618">
        <f>SUMIFS(Нормативы!L:L,Нормативы!$B:$B,$G266,Нормативы!$D:$D,'2020'!$I266,Нормативы!$F:$F,'2020'!$K266)</f>
        <v>348</v>
      </c>
      <c r="AA266" s="618">
        <f t="shared" si="676"/>
        <v>2031</v>
      </c>
      <c r="AB266" s="618">
        <f>SUMIFS(Нормативы!N:N,Нормативы!$B:$B,$G266,Нормативы!$D:$D,'2020'!$I266,Нормативы!$F:$F,'2020'!$K266)*O266</f>
        <v>52</v>
      </c>
      <c r="AC266" s="618">
        <f>SUMIFS(Нормативы!O:O,Нормативы!$B:$B,$G266,Нормативы!$D:$D,'2020'!$I266,Нормативы!$F:$F,'2020'!$K266)</f>
        <v>1728</v>
      </c>
      <c r="AD266" s="618">
        <f>SUMIFS(Нормативы!P:P,Нормативы!$B:$B,$G266,Нормативы!$D:$D,'2020'!$I266,Нормативы!$F:$F,'2020'!$K266)*O266</f>
        <v>73</v>
      </c>
      <c r="AE266" s="618">
        <f>SUMIFS(Нормативы!Q:Q,Нормативы!$B:$B,$G266,Нормативы!$D:$D,'2020'!$I266,Нормативы!$F:$F,'2020'!$K266)</f>
        <v>178</v>
      </c>
      <c r="AF266" s="618">
        <f>SUMIFS(Нормативы!R:R,Нормативы!$B:$B,$G266,Нормативы!$D:$D,'2020'!$I266,Нормативы!$F:$F,'2020'!$K266)</f>
        <v>275</v>
      </c>
      <c r="AG266" s="618">
        <f>SUMIFS(Нормативы!S:S,Нормативы!$B:$B,$G266,Нормативы!$D:$D,'2020'!$I266,Нормативы!$F:$F,'2020'!$K266)</f>
        <v>580</v>
      </c>
      <c r="AH266" s="618">
        <f>SUMIFS(Нормативы!T:T,Нормативы!$B:$B,$G266,Нормативы!$D:$D,'2020'!$I266,Нормативы!$F:$F,'2020'!$K266)</f>
        <v>54</v>
      </c>
      <c r="AI266" s="618">
        <f>SUMIFS(Нормативы!U:U,Нормативы!$B:$B,$G266,Нормативы!$D:$D,'2020'!$I266,Нормативы!$F:$F,'2020'!$K266)</f>
        <v>77</v>
      </c>
      <c r="AJ266" s="618">
        <f>SUMIFS(Нормативы!V:V,Нормативы!$B:$B,$G266,Нормативы!$D:$D,'2020'!$I266,Нормативы!$F:$F,'2020'!$K266)</f>
        <v>8</v>
      </c>
      <c r="AK266" s="618">
        <f>SUMIFS(Нормативы!W:W,Нормативы!$B:$B,$G266,Нормативы!$D:$D,'2020'!$I266,Нормативы!$F:$F,'2020'!$K266)</f>
        <v>39</v>
      </c>
      <c r="AL266" s="618">
        <f>SUMIFS(Нормативы!X:X,Нормативы!$B:$B,$G266,Нормативы!$D:$D,'2020'!$I266,Нормативы!$F:$F,'2020'!$K266)*O266</f>
        <v>1612</v>
      </c>
      <c r="AM266" s="618">
        <f t="shared" si="677"/>
        <v>1238.0999999999999</v>
      </c>
      <c r="AN266" s="618">
        <f t="shared" si="678"/>
        <v>373.9</v>
      </c>
      <c r="AO266" s="618">
        <f>SUMIFS(Нормативы!AA:AA,Нормативы!$B:$B,$G266,Нормативы!$D:$D,'2020'!$I266,Нормативы!$F:$F,'2020'!$K266)</f>
        <v>0</v>
      </c>
      <c r="AP266" s="619">
        <f t="shared" si="679"/>
        <v>18454</v>
      </c>
      <c r="AQ266" s="413">
        <f t="shared" si="616"/>
        <v>349488</v>
      </c>
      <c r="AR266" s="618">
        <f t="shared" si="680"/>
        <v>268424</v>
      </c>
      <c r="AS266" s="618">
        <f t="shared" si="681"/>
        <v>81064</v>
      </c>
      <c r="AT266" s="616">
        <f t="shared" si="617"/>
        <v>13122</v>
      </c>
      <c r="AU266" s="616">
        <f t="shared" si="618"/>
        <v>2619</v>
      </c>
      <c r="AV266" s="616">
        <f t="shared" si="619"/>
        <v>9396</v>
      </c>
      <c r="AW266" s="616">
        <f t="shared" si="620"/>
        <v>54837</v>
      </c>
      <c r="AX266" s="616">
        <f t="shared" si="621"/>
        <v>1404</v>
      </c>
      <c r="AY266" s="616">
        <f t="shared" si="622"/>
        <v>46656</v>
      </c>
      <c r="AZ266" s="616">
        <f t="shared" si="623"/>
        <v>1971</v>
      </c>
      <c r="BA266" s="616">
        <f t="shared" si="624"/>
        <v>4806</v>
      </c>
      <c r="BB266" s="616">
        <f t="shared" si="625"/>
        <v>7425</v>
      </c>
      <c r="BC266" s="616">
        <f t="shared" si="626"/>
        <v>15660</v>
      </c>
      <c r="BD266" s="616">
        <f t="shared" si="627"/>
        <v>1458</v>
      </c>
      <c r="BE266" s="616">
        <f t="shared" si="628"/>
        <v>2079</v>
      </c>
      <c r="BF266" s="616">
        <f t="shared" si="629"/>
        <v>216</v>
      </c>
      <c r="BG266" s="616">
        <f t="shared" si="630"/>
        <v>1053</v>
      </c>
      <c r="BH266" s="616">
        <f t="shared" si="631"/>
        <v>43524</v>
      </c>
      <c r="BI266" s="618">
        <f t="shared" si="682"/>
        <v>33428.6</v>
      </c>
      <c r="BJ266" s="618">
        <f t="shared" si="683"/>
        <v>10095.4</v>
      </c>
      <c r="BK266" s="616">
        <f t="shared" si="632"/>
        <v>0</v>
      </c>
      <c r="BL266" s="620">
        <f t="shared" si="633"/>
        <v>498258</v>
      </c>
      <c r="BM266" s="616">
        <f t="shared" si="634"/>
        <v>501515</v>
      </c>
      <c r="BN266" s="618">
        <f t="shared" si="635"/>
        <v>385188.2</v>
      </c>
      <c r="BO266" s="618">
        <f t="shared" si="636"/>
        <v>116326.8</v>
      </c>
      <c r="BP266" s="616">
        <f t="shared" si="684"/>
        <v>13122</v>
      </c>
      <c r="BQ266" s="616">
        <f t="shared" si="685"/>
        <v>2619</v>
      </c>
      <c r="BR266" s="616">
        <f t="shared" si="686"/>
        <v>9396</v>
      </c>
      <c r="BS266" s="616">
        <f t="shared" si="637"/>
        <v>54837</v>
      </c>
      <c r="BT266" s="616">
        <f t="shared" si="638"/>
        <v>1404</v>
      </c>
      <c r="BU266" s="616">
        <f t="shared" si="639"/>
        <v>46656</v>
      </c>
      <c r="BV266" s="616">
        <f t="shared" si="640"/>
        <v>1971</v>
      </c>
      <c r="BW266" s="616">
        <f t="shared" si="641"/>
        <v>4806</v>
      </c>
      <c r="BX266" s="616">
        <f t="shared" si="642"/>
        <v>18637</v>
      </c>
      <c r="BY266" s="616">
        <f t="shared" si="643"/>
        <v>15660</v>
      </c>
      <c r="BZ266" s="616">
        <f t="shared" si="644"/>
        <v>1458</v>
      </c>
      <c r="CA266" s="616">
        <f t="shared" si="645"/>
        <v>2079</v>
      </c>
      <c r="CB266" s="616">
        <f t="shared" si="646"/>
        <v>216</v>
      </c>
      <c r="CC266" s="616">
        <f t="shared" si="647"/>
        <v>1053</v>
      </c>
      <c r="CD266" s="616">
        <f t="shared" si="648"/>
        <v>62457</v>
      </c>
      <c r="CE266" s="618">
        <f t="shared" si="687"/>
        <v>47970</v>
      </c>
      <c r="CF266" s="618">
        <f t="shared" si="688"/>
        <v>14487</v>
      </c>
      <c r="CG266" s="616">
        <f t="shared" si="649"/>
        <v>0</v>
      </c>
      <c r="CH266" s="621">
        <f t="shared" si="650"/>
        <v>680430</v>
      </c>
      <c r="CI266" s="88">
        <f t="shared" si="651"/>
        <v>18574.6296</v>
      </c>
      <c r="CJ266" s="90">
        <f t="shared" si="652"/>
        <v>14266.229600000001</v>
      </c>
      <c r="CK266" s="90">
        <f t="shared" si="653"/>
        <v>4308.3999999999996</v>
      </c>
      <c r="CL266" s="88">
        <f t="shared" si="654"/>
        <v>486</v>
      </c>
      <c r="CM266" s="88">
        <f t="shared" si="655"/>
        <v>97</v>
      </c>
      <c r="CN266" s="88">
        <f t="shared" si="656"/>
        <v>348</v>
      </c>
      <c r="CO266" s="88">
        <f t="shared" si="657"/>
        <v>2031</v>
      </c>
      <c r="CP266" s="88">
        <f t="shared" si="658"/>
        <v>52</v>
      </c>
      <c r="CQ266" s="88">
        <f t="shared" si="659"/>
        <v>1728</v>
      </c>
      <c r="CR266" s="88">
        <f t="shared" si="660"/>
        <v>73</v>
      </c>
      <c r="CS266" s="88">
        <f t="shared" si="661"/>
        <v>178</v>
      </c>
      <c r="CT266" s="88">
        <f t="shared" si="662"/>
        <v>690.25930000000005</v>
      </c>
      <c r="CU266" s="88">
        <f t="shared" si="663"/>
        <v>580</v>
      </c>
      <c r="CV266" s="88">
        <f t="shared" si="664"/>
        <v>54</v>
      </c>
      <c r="CW266" s="88">
        <f t="shared" si="665"/>
        <v>77</v>
      </c>
      <c r="CX266" s="88">
        <f t="shared" si="666"/>
        <v>8</v>
      </c>
      <c r="CY266" s="88">
        <f t="shared" si="667"/>
        <v>39</v>
      </c>
      <c r="CZ266" s="88">
        <f t="shared" si="668"/>
        <v>2313.2222000000002</v>
      </c>
      <c r="DA266" s="90">
        <f t="shared" si="669"/>
        <v>1776.6667</v>
      </c>
      <c r="DB266" s="90">
        <f t="shared" si="670"/>
        <v>536.55560000000003</v>
      </c>
      <c r="DC266" s="88">
        <f t="shared" si="671"/>
        <v>0</v>
      </c>
      <c r="DD266" s="88">
        <f t="shared" si="672"/>
        <v>25201.111099999998</v>
      </c>
      <c r="AUV266" s="699">
        <f t="shared" si="758"/>
        <v>18574.63</v>
      </c>
      <c r="AUW266" s="699">
        <f t="shared" si="759"/>
        <v>14266.23</v>
      </c>
      <c r="AUX266" s="699">
        <f t="shared" si="760"/>
        <v>4308.3999999999996</v>
      </c>
      <c r="AUY266" s="699">
        <f t="shared" si="741"/>
        <v>486</v>
      </c>
      <c r="AUZ266" s="699">
        <f t="shared" si="615"/>
        <v>1043.43</v>
      </c>
      <c r="AVA266" s="699">
        <f t="shared" si="615"/>
        <v>0.73</v>
      </c>
      <c r="AVB266" s="699">
        <f t="shared" si="742"/>
        <v>2031</v>
      </c>
      <c r="AVC266" s="699">
        <f t="shared" si="743"/>
        <v>52</v>
      </c>
      <c r="AVD266" s="699">
        <f t="shared" si="744"/>
        <v>1728</v>
      </c>
      <c r="AVE266" s="699">
        <f t="shared" si="745"/>
        <v>73</v>
      </c>
      <c r="AVF266" s="699">
        <f t="shared" si="746"/>
        <v>178</v>
      </c>
      <c r="AVG266" s="699">
        <f t="shared" si="747"/>
        <v>690.26</v>
      </c>
      <c r="AVH266" s="699">
        <f t="shared" si="748"/>
        <v>580</v>
      </c>
      <c r="AVI266" s="699">
        <f t="shared" si="749"/>
        <v>54</v>
      </c>
      <c r="AVJ266" s="699">
        <f t="shared" si="750"/>
        <v>77</v>
      </c>
      <c r="AVK266" s="699">
        <f t="shared" si="751"/>
        <v>8</v>
      </c>
      <c r="AVL266" s="699">
        <f t="shared" si="752"/>
        <v>39</v>
      </c>
      <c r="AVM266" s="699">
        <f t="shared" si="753"/>
        <v>2313.2199999999998</v>
      </c>
      <c r="AVN266" s="699">
        <f t="shared" si="754"/>
        <v>1776.67</v>
      </c>
      <c r="AVO266" s="699">
        <f t="shared" si="755"/>
        <v>536.54999999999995</v>
      </c>
      <c r="AVP266" s="699">
        <f t="shared" si="756"/>
        <v>0</v>
      </c>
      <c r="AVQ266" s="699">
        <f t="shared" si="757"/>
        <v>25201.11</v>
      </c>
    </row>
    <row r="267" spans="1:108 1244:1265" ht="30" customHeight="1" x14ac:dyDescent="0.25">
      <c r="A267" s="643">
        <v>1</v>
      </c>
      <c r="B267" s="643">
        <v>12</v>
      </c>
      <c r="C267" s="664" t="s">
        <v>27</v>
      </c>
      <c r="D267" s="2"/>
      <c r="E267" s="101" t="s">
        <v>345</v>
      </c>
      <c r="F267" s="643" t="s">
        <v>38</v>
      </c>
      <c r="G267" s="643">
        <v>2</v>
      </c>
      <c r="H267" s="658" t="s">
        <v>10</v>
      </c>
      <c r="I267" s="643">
        <v>0</v>
      </c>
      <c r="J267" s="101" t="s">
        <v>362</v>
      </c>
      <c r="K267" s="643">
        <v>3</v>
      </c>
      <c r="L267" s="683" t="s">
        <v>350</v>
      </c>
      <c r="M267" s="11" t="s">
        <v>296</v>
      </c>
      <c r="N267" s="101" t="s">
        <v>401</v>
      </c>
      <c r="O267" s="643">
        <v>2</v>
      </c>
      <c r="P267" s="632"/>
      <c r="Q267" s="632"/>
      <c r="R267" s="632"/>
      <c r="S267" s="675">
        <f>SUMIF('Территориальный кк'!$A:$A,'2020'!$B267,'Территориальный кк'!D:D)</f>
        <v>1.4350000000000001</v>
      </c>
      <c r="T267" s="676">
        <f>SUMIF('Территориальный кк'!$A:$A,'2020'!$B267,'Территориальный кк'!E:E)</f>
        <v>2.5099999999999998</v>
      </c>
      <c r="U267" s="618">
        <f>SUMIFS(Нормативы!G:G,Нормативы!$B:$B,$G267,Нормативы!$D:$D,'2020'!$I267,Нормативы!$F:$F,'2020'!$K267)*O267</f>
        <v>141200</v>
      </c>
      <c r="V267" s="618">
        <f t="shared" si="674"/>
        <v>108448.5</v>
      </c>
      <c r="W267" s="618">
        <f t="shared" si="675"/>
        <v>32751.5</v>
      </c>
      <c r="X267" s="618">
        <f>SUMIFS(Нормативы!J:J,Нормативы!$B:$B,$G267,Нормативы!$D:$D,'2020'!$I267,Нормативы!$F:$F,'2020'!$K267)</f>
        <v>8860</v>
      </c>
      <c r="Y267" s="618">
        <f>SUMIFS(Нормативы!K:K,Нормативы!$B:$B,$G267,Нормативы!$D:$D,'2020'!$I267,Нормативы!$F:$F,'2020'!$K267)</f>
        <v>0</v>
      </c>
      <c r="Z267" s="618">
        <f>SUMIFS(Нормативы!L:L,Нормативы!$B:$B,$G267,Нормативы!$D:$D,'2020'!$I267,Нормативы!$F:$F,'2020'!$K267)</f>
        <v>8110</v>
      </c>
      <c r="AA267" s="618">
        <f t="shared" si="676"/>
        <v>22530</v>
      </c>
      <c r="AB267" s="618">
        <f>SUMIFS(Нормативы!N:N,Нормативы!$B:$B,$G267,Нормативы!$D:$D,'2020'!$I267,Нормативы!$F:$F,'2020'!$K267)*O267</f>
        <v>1040</v>
      </c>
      <c r="AC267" s="618">
        <f>SUMIFS(Нормативы!O:O,Нормативы!$B:$B,$G267,Нормативы!$D:$D,'2020'!$I267,Нормативы!$F:$F,'2020'!$K267)</f>
        <v>19720</v>
      </c>
      <c r="AD267" s="618">
        <f>SUMIFS(Нормативы!P:P,Нормативы!$B:$B,$G267,Нормативы!$D:$D,'2020'!$I267,Нормативы!$F:$F,'2020'!$K267)*O267</f>
        <v>800</v>
      </c>
      <c r="AE267" s="618">
        <f>SUMIFS(Нормативы!Q:Q,Нормативы!$B:$B,$G267,Нормативы!$D:$D,'2020'!$I267,Нормативы!$F:$F,'2020'!$K267)</f>
        <v>970</v>
      </c>
      <c r="AF267" s="618">
        <f>SUMIFS(Нормативы!R:R,Нормативы!$B:$B,$G267,Нормативы!$D:$D,'2020'!$I267,Нормативы!$F:$F,'2020'!$K267)</f>
        <v>2680</v>
      </c>
      <c r="AG267" s="618">
        <f>SUMIFS(Нормативы!S:S,Нормативы!$B:$B,$G267,Нормативы!$D:$D,'2020'!$I267,Нормативы!$F:$F,'2020'!$K267)</f>
        <v>5800</v>
      </c>
      <c r="AH267" s="618">
        <f>SUMIFS(Нормативы!T:T,Нормативы!$B:$B,$G267,Нормативы!$D:$D,'2020'!$I267,Нормативы!$F:$F,'2020'!$K267)</f>
        <v>540</v>
      </c>
      <c r="AI267" s="618">
        <f>SUMIFS(Нормативы!U:U,Нормативы!$B:$B,$G267,Нормативы!$D:$D,'2020'!$I267,Нормативы!$F:$F,'2020'!$K267)</f>
        <v>770</v>
      </c>
      <c r="AJ267" s="618">
        <f>SUMIFS(Нормативы!V:V,Нормативы!$B:$B,$G267,Нормативы!$D:$D,'2020'!$I267,Нормативы!$F:$F,'2020'!$K267)</f>
        <v>80</v>
      </c>
      <c r="AK267" s="618">
        <f>SUMIFS(Нормативы!W:W,Нормативы!$B:$B,$G267,Нормативы!$D:$D,'2020'!$I267,Нормативы!$F:$F,'2020'!$K267)</f>
        <v>330</v>
      </c>
      <c r="AL267" s="618">
        <f>SUMIFS(Нормативы!X:X,Нормативы!$B:$B,$G267,Нормативы!$D:$D,'2020'!$I267,Нормативы!$F:$F,'2020'!$K267)*O267</f>
        <v>32240</v>
      </c>
      <c r="AM267" s="618">
        <f t="shared" si="677"/>
        <v>24761.9</v>
      </c>
      <c r="AN267" s="618">
        <f t="shared" si="678"/>
        <v>7478.1</v>
      </c>
      <c r="AO267" s="618">
        <f>SUMIFS(Нормативы!AA:AA,Нормативы!$B:$B,$G267,Нормативы!$D:$D,'2020'!$I267,Нормативы!$F:$F,'2020'!$K267)</f>
        <v>3520</v>
      </c>
      <c r="AP267" s="619">
        <f t="shared" si="679"/>
        <v>226660</v>
      </c>
      <c r="AQ267" s="413">
        <f t="shared" si="616"/>
        <v>0</v>
      </c>
      <c r="AR267" s="618">
        <f t="shared" si="680"/>
        <v>0</v>
      </c>
      <c r="AS267" s="618">
        <f t="shared" si="681"/>
        <v>0</v>
      </c>
      <c r="AT267" s="616">
        <f t="shared" si="617"/>
        <v>0</v>
      </c>
      <c r="AU267" s="616">
        <f t="shared" si="618"/>
        <v>0</v>
      </c>
      <c r="AV267" s="616">
        <f t="shared" si="619"/>
        <v>0</v>
      </c>
      <c r="AW267" s="616">
        <f t="shared" si="620"/>
        <v>0</v>
      </c>
      <c r="AX267" s="616">
        <f t="shared" si="621"/>
        <v>0</v>
      </c>
      <c r="AY267" s="616">
        <f t="shared" si="622"/>
        <v>0</v>
      </c>
      <c r="AZ267" s="616">
        <f t="shared" si="623"/>
        <v>0</v>
      </c>
      <c r="BA267" s="616">
        <f t="shared" si="624"/>
        <v>0</v>
      </c>
      <c r="BB267" s="616">
        <f t="shared" si="625"/>
        <v>0</v>
      </c>
      <c r="BC267" s="616">
        <f t="shared" si="626"/>
        <v>0</v>
      </c>
      <c r="BD267" s="616">
        <f t="shared" si="627"/>
        <v>0</v>
      </c>
      <c r="BE267" s="616">
        <f t="shared" si="628"/>
        <v>0</v>
      </c>
      <c r="BF267" s="616">
        <f t="shared" si="629"/>
        <v>0</v>
      </c>
      <c r="BG267" s="616">
        <f t="shared" si="630"/>
        <v>0</v>
      </c>
      <c r="BH267" s="616">
        <f t="shared" si="631"/>
        <v>0</v>
      </c>
      <c r="BI267" s="618">
        <f t="shared" si="682"/>
        <v>0</v>
      </c>
      <c r="BJ267" s="618">
        <f t="shared" si="683"/>
        <v>0</v>
      </c>
      <c r="BK267" s="616">
        <f t="shared" si="632"/>
        <v>0</v>
      </c>
      <c r="BL267" s="620">
        <f t="shared" si="633"/>
        <v>0</v>
      </c>
      <c r="BM267" s="616">
        <f t="shared" si="634"/>
        <v>0</v>
      </c>
      <c r="BN267" s="618">
        <f t="shared" si="635"/>
        <v>0</v>
      </c>
      <c r="BO267" s="618">
        <f t="shared" si="636"/>
        <v>0</v>
      </c>
      <c r="BP267" s="616">
        <f t="shared" si="684"/>
        <v>0</v>
      </c>
      <c r="BQ267" s="616">
        <f t="shared" si="685"/>
        <v>0</v>
      </c>
      <c r="BR267" s="616">
        <f t="shared" si="686"/>
        <v>0</v>
      </c>
      <c r="BS267" s="616">
        <f t="shared" si="637"/>
        <v>0</v>
      </c>
      <c r="BT267" s="616">
        <f t="shared" si="638"/>
        <v>0</v>
      </c>
      <c r="BU267" s="616">
        <f t="shared" si="639"/>
        <v>0</v>
      </c>
      <c r="BV267" s="616">
        <f t="shared" si="640"/>
        <v>0</v>
      </c>
      <c r="BW267" s="616">
        <f t="shared" si="641"/>
        <v>0</v>
      </c>
      <c r="BX267" s="616">
        <f t="shared" si="642"/>
        <v>0</v>
      </c>
      <c r="BY267" s="616">
        <f t="shared" si="643"/>
        <v>0</v>
      </c>
      <c r="BZ267" s="616">
        <f t="shared" si="644"/>
        <v>0</v>
      </c>
      <c r="CA267" s="616">
        <f t="shared" si="645"/>
        <v>0</v>
      </c>
      <c r="CB267" s="616">
        <f t="shared" si="646"/>
        <v>0</v>
      </c>
      <c r="CC267" s="616">
        <f t="shared" si="647"/>
        <v>0</v>
      </c>
      <c r="CD267" s="616">
        <f t="shared" si="648"/>
        <v>0</v>
      </c>
      <c r="CE267" s="618">
        <f t="shared" si="687"/>
        <v>0</v>
      </c>
      <c r="CF267" s="618">
        <f t="shared" si="688"/>
        <v>0</v>
      </c>
      <c r="CG267" s="616">
        <f t="shared" si="649"/>
        <v>0</v>
      </c>
      <c r="CH267" s="621">
        <f t="shared" si="650"/>
        <v>0</v>
      </c>
      <c r="CI267" s="88" t="e">
        <f t="shared" si="651"/>
        <v>#DIV/0!</v>
      </c>
      <c r="CJ267" s="90" t="e">
        <f t="shared" si="652"/>
        <v>#DIV/0!</v>
      </c>
      <c r="CK267" s="90" t="e">
        <f t="shared" si="653"/>
        <v>#DIV/0!</v>
      </c>
      <c r="CL267" s="88" t="e">
        <f t="shared" si="654"/>
        <v>#DIV/0!</v>
      </c>
      <c r="CM267" s="88" t="e">
        <f t="shared" si="655"/>
        <v>#DIV/0!</v>
      </c>
      <c r="CN267" s="88" t="e">
        <f t="shared" si="656"/>
        <v>#DIV/0!</v>
      </c>
      <c r="CO267" s="88" t="e">
        <f t="shared" si="657"/>
        <v>#DIV/0!</v>
      </c>
      <c r="CP267" s="88" t="e">
        <f t="shared" si="658"/>
        <v>#DIV/0!</v>
      </c>
      <c r="CQ267" s="88" t="e">
        <f t="shared" si="659"/>
        <v>#DIV/0!</v>
      </c>
      <c r="CR267" s="88" t="e">
        <f t="shared" si="660"/>
        <v>#DIV/0!</v>
      </c>
      <c r="CS267" s="88" t="e">
        <f t="shared" si="661"/>
        <v>#DIV/0!</v>
      </c>
      <c r="CT267" s="88" t="e">
        <f t="shared" si="662"/>
        <v>#DIV/0!</v>
      </c>
      <c r="CU267" s="88" t="e">
        <f t="shared" si="663"/>
        <v>#DIV/0!</v>
      </c>
      <c r="CV267" s="88" t="e">
        <f t="shared" si="664"/>
        <v>#DIV/0!</v>
      </c>
      <c r="CW267" s="88" t="e">
        <f t="shared" si="665"/>
        <v>#DIV/0!</v>
      </c>
      <c r="CX267" s="88" t="e">
        <f t="shared" si="666"/>
        <v>#DIV/0!</v>
      </c>
      <c r="CY267" s="88" t="e">
        <f t="shared" si="667"/>
        <v>#DIV/0!</v>
      </c>
      <c r="CZ267" s="88" t="e">
        <f t="shared" si="668"/>
        <v>#DIV/0!</v>
      </c>
      <c r="DA267" s="90" t="e">
        <f t="shared" si="669"/>
        <v>#DIV/0!</v>
      </c>
      <c r="DB267" s="90" t="e">
        <f t="shared" si="670"/>
        <v>#DIV/0!</v>
      </c>
      <c r="DC267" s="88" t="e">
        <f t="shared" si="671"/>
        <v>#DIV/0!</v>
      </c>
      <c r="DD267" s="88" t="e">
        <f t="shared" si="672"/>
        <v>#DIV/0!</v>
      </c>
      <c r="AUV267" s="699">
        <v>0</v>
      </c>
      <c r="AUW267" s="699">
        <f t="shared" si="759"/>
        <v>0</v>
      </c>
      <c r="AUX267" s="699">
        <f t="shared" si="760"/>
        <v>0</v>
      </c>
      <c r="AUY267" s="699">
        <f t="shared" si="615"/>
        <v>0</v>
      </c>
      <c r="AUZ267" s="699">
        <f t="shared" si="615"/>
        <v>0</v>
      </c>
      <c r="AVA267" s="699">
        <f t="shared" si="615"/>
        <v>0</v>
      </c>
      <c r="AVB267" s="699">
        <f t="shared" si="673"/>
        <v>0</v>
      </c>
      <c r="AVC267" s="697"/>
      <c r="AVD267" s="697"/>
      <c r="AVE267" s="697"/>
      <c r="AVF267" s="697"/>
      <c r="AVG267" s="697"/>
      <c r="AVH267" s="697"/>
      <c r="AVI267" s="697"/>
      <c r="AVJ267" s="697"/>
      <c r="AVK267" s="697"/>
      <c r="AVL267" s="697"/>
      <c r="AVM267" s="697"/>
      <c r="AVN267" s="697"/>
      <c r="AVO267" s="697"/>
      <c r="AVP267" s="697"/>
      <c r="AVQ267" s="697"/>
    </row>
    <row r="268" spans="1:108 1244:1265" ht="30" customHeight="1" x14ac:dyDescent="0.25">
      <c r="A268" s="642">
        <v>1</v>
      </c>
      <c r="B268" s="642">
        <v>12</v>
      </c>
      <c r="C268" s="663" t="s">
        <v>27</v>
      </c>
      <c r="D268" s="2"/>
      <c r="E268" s="277" t="s">
        <v>348</v>
      </c>
      <c r="F268" s="642" t="s">
        <v>40</v>
      </c>
      <c r="G268" s="642">
        <v>4</v>
      </c>
      <c r="H268" s="657" t="s">
        <v>10</v>
      </c>
      <c r="I268" s="642">
        <v>0</v>
      </c>
      <c r="J268" s="277" t="s">
        <v>390</v>
      </c>
      <c r="K268" s="642">
        <v>1</v>
      </c>
      <c r="L268" s="682" t="s">
        <v>353</v>
      </c>
      <c r="M268" s="419" t="s">
        <v>316</v>
      </c>
      <c r="N268" s="277" t="s">
        <v>387</v>
      </c>
      <c r="O268" s="642">
        <v>1</v>
      </c>
      <c r="P268" s="632">
        <v>25</v>
      </c>
      <c r="Q268" s="632">
        <v>25</v>
      </c>
      <c r="R268" s="632">
        <v>25</v>
      </c>
      <c r="S268" s="673">
        <f>SUMIF('Территориальный кк'!$A:$A,'2020'!$B268,'Территориальный кк'!F:F)</f>
        <v>1.4350000000000001</v>
      </c>
      <c r="T268" s="673">
        <f>SUMIF('Территориальный кк'!$A:$A,'2020'!$B268,'Территориальный кк'!G:G)</f>
        <v>2.2879999999999998</v>
      </c>
      <c r="U268" s="624">
        <f>SUMIFS(Нормативы!G:G,Нормативы!$B:$B,$G268,Нормативы!$D:$D,'2020'!$I268,Нормативы!$F:$F,'2020'!$K268)*O268</f>
        <v>22310</v>
      </c>
      <c r="V268" s="624">
        <f t="shared" si="674"/>
        <v>17135.2</v>
      </c>
      <c r="W268" s="624">
        <f t="shared" si="675"/>
        <v>5174.8</v>
      </c>
      <c r="X268" s="624">
        <f>SUMIFS(Нормативы!J:J,Нормативы!$B:$B,$G268,Нормативы!$D:$D,'2020'!$I268,Нормативы!$F:$F,'2020'!$K268)</f>
        <v>910</v>
      </c>
      <c r="Y268" s="624">
        <f>SUMIFS(Нормативы!K:K,Нормативы!$B:$B,$G268,Нормативы!$D:$D,'2020'!$I268,Нормативы!$F:$F,'2020'!$K268)</f>
        <v>182</v>
      </c>
      <c r="Z268" s="624">
        <f>SUMIFS(Нормативы!L:L,Нормативы!$B:$B,$G268,Нормативы!$D:$D,'2020'!$I268,Нормативы!$F:$F,'2020'!$K268)</f>
        <v>2640</v>
      </c>
      <c r="AA268" s="624">
        <f t="shared" si="676"/>
        <v>2630</v>
      </c>
      <c r="AB268" s="624">
        <f>SUMIFS(Нормативы!N:N,Нормативы!$B:$B,$G268,Нормативы!$D:$D,'2020'!$I268,Нормативы!$F:$F,'2020'!$K268)*O268</f>
        <v>460</v>
      </c>
      <c r="AC268" s="624">
        <f>SUMIFS(Нормативы!O:O,Нормативы!$B:$B,$G268,Нормативы!$D:$D,'2020'!$I268,Нормативы!$F:$F,'2020'!$K268)</f>
        <v>600</v>
      </c>
      <c r="AD268" s="624">
        <f>SUMIFS(Нормативы!P:P,Нормативы!$B:$B,$G268,Нормативы!$D:$D,'2020'!$I268,Нормативы!$F:$F,'2020'!$K268)*O268</f>
        <v>830</v>
      </c>
      <c r="AE268" s="624">
        <f>SUMIFS(Нормативы!Q:Q,Нормативы!$B:$B,$G268,Нормативы!$D:$D,'2020'!$I268,Нормативы!$F:$F,'2020'!$K268)</f>
        <v>740</v>
      </c>
      <c r="AF268" s="624">
        <f>SUMIFS(Нормативы!R:R,Нормативы!$B:$B,$G268,Нормативы!$D:$D,'2020'!$I268,Нормативы!$F:$F,'2020'!$K268)</f>
        <v>2120</v>
      </c>
      <c r="AG268" s="624">
        <f>SUMIFS(Нормативы!S:S,Нормативы!$B:$B,$G268,Нормативы!$D:$D,'2020'!$I268,Нормативы!$F:$F,'2020'!$K268)</f>
        <v>8620</v>
      </c>
      <c r="AH268" s="624">
        <f>SUMIFS(Нормативы!T:T,Нормативы!$B:$B,$G268,Нормативы!$D:$D,'2020'!$I268,Нормативы!$F:$F,'2020'!$K268)</f>
        <v>310</v>
      </c>
      <c r="AI268" s="624">
        <f>SUMIFS(Нормативы!U:U,Нормативы!$B:$B,$G268,Нормативы!$D:$D,'2020'!$I268,Нормативы!$F:$F,'2020'!$K268)</f>
        <v>1240</v>
      </c>
      <c r="AJ268" s="624">
        <f>SUMIFS(Нормативы!V:V,Нормативы!$B:$B,$G268,Нормативы!$D:$D,'2020'!$I268,Нормативы!$F:$F,'2020'!$K268)</f>
        <v>50</v>
      </c>
      <c r="AK268" s="624">
        <f>SUMIFS(Нормативы!W:W,Нормативы!$B:$B,$G268,Нормативы!$D:$D,'2020'!$I268,Нормативы!$F:$F,'2020'!$K268)</f>
        <v>190</v>
      </c>
      <c r="AL268" s="624">
        <f>SUMIFS(Нормативы!X:X,Нормативы!$B:$B,$G268,Нормативы!$D:$D,'2020'!$I268,Нормативы!$F:$F,'2020'!$K268)*O268</f>
        <v>14870</v>
      </c>
      <c r="AM268" s="624">
        <f t="shared" si="677"/>
        <v>11420.9</v>
      </c>
      <c r="AN268" s="624">
        <f t="shared" si="678"/>
        <v>3449.1</v>
      </c>
      <c r="AO268" s="624">
        <f>SUMIFS(Нормативы!AA:AA,Нормативы!$B:$B,$G268,Нормативы!$D:$D,'2020'!$I268,Нормативы!$F:$F,'2020'!$K268)</f>
        <v>650</v>
      </c>
      <c r="AP268" s="621">
        <f t="shared" si="679"/>
        <v>56540</v>
      </c>
      <c r="AQ268" s="610">
        <f t="shared" si="616"/>
        <v>557750</v>
      </c>
      <c r="AR268" s="624">
        <f t="shared" si="680"/>
        <v>428379.4</v>
      </c>
      <c r="AS268" s="624">
        <f t="shared" si="681"/>
        <v>129370.6</v>
      </c>
      <c r="AT268" s="615">
        <f t="shared" si="617"/>
        <v>22750</v>
      </c>
      <c r="AU268" s="615">
        <f t="shared" si="618"/>
        <v>4550</v>
      </c>
      <c r="AV268" s="615">
        <f t="shared" si="619"/>
        <v>66000</v>
      </c>
      <c r="AW268" s="615">
        <f t="shared" si="620"/>
        <v>65750</v>
      </c>
      <c r="AX268" s="615">
        <f t="shared" si="621"/>
        <v>11500</v>
      </c>
      <c r="AY268" s="615">
        <f t="shared" si="622"/>
        <v>15000</v>
      </c>
      <c r="AZ268" s="615">
        <f t="shared" si="623"/>
        <v>20750</v>
      </c>
      <c r="BA268" s="615">
        <f t="shared" si="624"/>
        <v>18500</v>
      </c>
      <c r="BB268" s="615">
        <f t="shared" si="625"/>
        <v>53000</v>
      </c>
      <c r="BC268" s="615">
        <f t="shared" si="626"/>
        <v>215500</v>
      </c>
      <c r="BD268" s="615">
        <f t="shared" si="627"/>
        <v>7750</v>
      </c>
      <c r="BE268" s="615">
        <f t="shared" si="628"/>
        <v>31000</v>
      </c>
      <c r="BF268" s="615">
        <f t="shared" si="629"/>
        <v>1250</v>
      </c>
      <c r="BG268" s="615">
        <f t="shared" si="630"/>
        <v>4750</v>
      </c>
      <c r="BH268" s="615">
        <f t="shared" si="631"/>
        <v>371750</v>
      </c>
      <c r="BI268" s="624">
        <f t="shared" si="682"/>
        <v>285522.3</v>
      </c>
      <c r="BJ268" s="624">
        <f t="shared" si="683"/>
        <v>86227.7</v>
      </c>
      <c r="BK268" s="615">
        <f t="shared" si="632"/>
        <v>16250</v>
      </c>
      <c r="BL268" s="620">
        <f t="shared" si="633"/>
        <v>1413500</v>
      </c>
      <c r="BM268" s="615">
        <f t="shared" si="634"/>
        <v>800371</v>
      </c>
      <c r="BN268" s="624">
        <f t="shared" si="635"/>
        <v>614724.30000000005</v>
      </c>
      <c r="BO268" s="624">
        <f t="shared" si="636"/>
        <v>185646.7</v>
      </c>
      <c r="BP268" s="615">
        <f t="shared" si="684"/>
        <v>22750</v>
      </c>
      <c r="BQ268" s="615">
        <f t="shared" si="685"/>
        <v>4550</v>
      </c>
      <c r="BR268" s="615">
        <f t="shared" si="686"/>
        <v>66000</v>
      </c>
      <c r="BS268" s="615">
        <f t="shared" si="637"/>
        <v>65750</v>
      </c>
      <c r="BT268" s="616">
        <f t="shared" si="638"/>
        <v>11500</v>
      </c>
      <c r="BU268" s="616">
        <f t="shared" si="639"/>
        <v>15000</v>
      </c>
      <c r="BV268" s="616">
        <f t="shared" si="640"/>
        <v>20750</v>
      </c>
      <c r="BW268" s="616">
        <f t="shared" si="641"/>
        <v>18500</v>
      </c>
      <c r="BX268" s="615">
        <f t="shared" si="642"/>
        <v>121264</v>
      </c>
      <c r="BY268" s="615">
        <f t="shared" si="643"/>
        <v>215500</v>
      </c>
      <c r="BZ268" s="615">
        <f t="shared" si="644"/>
        <v>7750</v>
      </c>
      <c r="CA268" s="615">
        <f t="shared" si="645"/>
        <v>31000</v>
      </c>
      <c r="CB268" s="615">
        <f t="shared" si="646"/>
        <v>1250</v>
      </c>
      <c r="CC268" s="615">
        <f t="shared" si="647"/>
        <v>4750</v>
      </c>
      <c r="CD268" s="615">
        <f t="shared" si="648"/>
        <v>533461</v>
      </c>
      <c r="CE268" s="624">
        <f t="shared" si="687"/>
        <v>409724.3</v>
      </c>
      <c r="CF268" s="624">
        <f t="shared" si="688"/>
        <v>123736.7</v>
      </c>
      <c r="CG268" s="615">
        <f t="shared" si="649"/>
        <v>16250</v>
      </c>
      <c r="CH268" s="621">
        <f t="shared" si="650"/>
        <v>1886096</v>
      </c>
      <c r="CI268" s="88">
        <f t="shared" si="651"/>
        <v>32014.84</v>
      </c>
      <c r="CJ268" s="90">
        <f t="shared" si="652"/>
        <v>24588.972000000002</v>
      </c>
      <c r="CK268" s="90">
        <f t="shared" si="653"/>
        <v>7425.8680000000004</v>
      </c>
      <c r="CL268" s="88">
        <f t="shared" si="654"/>
        <v>910</v>
      </c>
      <c r="CM268" s="88">
        <f t="shared" si="655"/>
        <v>182</v>
      </c>
      <c r="CN268" s="88">
        <f t="shared" si="656"/>
        <v>2640</v>
      </c>
      <c r="CO268" s="88">
        <f t="shared" si="657"/>
        <v>2630</v>
      </c>
      <c r="CP268" s="88">
        <f t="shared" si="658"/>
        <v>460</v>
      </c>
      <c r="CQ268" s="88">
        <f t="shared" si="659"/>
        <v>600</v>
      </c>
      <c r="CR268" s="88">
        <f t="shared" si="660"/>
        <v>830</v>
      </c>
      <c r="CS268" s="88">
        <f t="shared" si="661"/>
        <v>740</v>
      </c>
      <c r="CT268" s="88">
        <f t="shared" si="662"/>
        <v>4850.5600000000004</v>
      </c>
      <c r="CU268" s="88">
        <f t="shared" si="663"/>
        <v>8620</v>
      </c>
      <c r="CV268" s="88">
        <f t="shared" si="664"/>
        <v>310</v>
      </c>
      <c r="CW268" s="88">
        <f t="shared" si="665"/>
        <v>1240</v>
      </c>
      <c r="CX268" s="88">
        <f t="shared" si="666"/>
        <v>50</v>
      </c>
      <c r="CY268" s="88">
        <f t="shared" si="667"/>
        <v>190</v>
      </c>
      <c r="CZ268" s="88">
        <f t="shared" si="668"/>
        <v>21338.44</v>
      </c>
      <c r="DA268" s="90">
        <f t="shared" si="669"/>
        <v>16388.972000000002</v>
      </c>
      <c r="DB268" s="90">
        <f t="shared" si="670"/>
        <v>4949.4679999999998</v>
      </c>
      <c r="DC268" s="88">
        <f t="shared" si="671"/>
        <v>650</v>
      </c>
      <c r="DD268" s="88">
        <f t="shared" si="672"/>
        <v>75443.839999999997</v>
      </c>
      <c r="AUV268" s="699">
        <f t="shared" si="758"/>
        <v>32014.84</v>
      </c>
      <c r="AUW268" s="699">
        <f t="shared" si="759"/>
        <v>24588.97</v>
      </c>
      <c r="AUX268" s="699">
        <f t="shared" si="760"/>
        <v>7425.87</v>
      </c>
      <c r="AUY268" s="699">
        <f t="shared" ref="AUY268:AUY302" si="761">BP268/P268</f>
        <v>910</v>
      </c>
      <c r="AUZ268" s="699">
        <f t="shared" si="615"/>
        <v>1988.64</v>
      </c>
      <c r="AVA268" s="699">
        <f t="shared" si="615"/>
        <v>2.96</v>
      </c>
      <c r="AVB268" s="699">
        <f t="shared" ref="AVB268:AVB302" si="762">AVC268+AVD268+AVE268+AVF268</f>
        <v>2630</v>
      </c>
      <c r="AVC268" s="699">
        <f t="shared" ref="AVC268:AVC302" si="763">BT268/P268</f>
        <v>460</v>
      </c>
      <c r="AVD268" s="699">
        <f t="shared" ref="AVD268:AVD302" si="764">BU268/P268</f>
        <v>600</v>
      </c>
      <c r="AVE268" s="699">
        <f t="shared" ref="AVE268:AVE302" si="765">BV268/P268</f>
        <v>830</v>
      </c>
      <c r="AVF268" s="699">
        <f t="shared" ref="AVF268:AVF302" si="766">BW268/P268</f>
        <v>740</v>
      </c>
      <c r="AVG268" s="699">
        <f t="shared" ref="AVG268:AVG302" si="767">BX268/P268</f>
        <v>4850.5600000000004</v>
      </c>
      <c r="AVH268" s="699">
        <f t="shared" ref="AVH268:AVH302" si="768">BY268/P268</f>
        <v>8620</v>
      </c>
      <c r="AVI268" s="699">
        <f t="shared" ref="AVI268:AVI302" si="769">BZ268/P268</f>
        <v>310</v>
      </c>
      <c r="AVJ268" s="699">
        <f t="shared" ref="AVJ268:AVJ302" si="770">CA268/P268</f>
        <v>1240</v>
      </c>
      <c r="AVK268" s="699">
        <f t="shared" ref="AVK268:AVK302" si="771">CB268/P268</f>
        <v>50</v>
      </c>
      <c r="AVL268" s="699">
        <f t="shared" ref="AVL268:AVL302" si="772">CC268/P268</f>
        <v>190</v>
      </c>
      <c r="AVM268" s="699">
        <f t="shared" ref="AVM268:AVM302" si="773">CD268/P268</f>
        <v>21338.44</v>
      </c>
      <c r="AVN268" s="699">
        <f t="shared" ref="AVN268:AVN302" si="774">AVM268/1.302</f>
        <v>16388.97</v>
      </c>
      <c r="AVO268" s="699">
        <f t="shared" ref="AVO268:AVO302" si="775">AVM268-AVN268</f>
        <v>4949.47</v>
      </c>
      <c r="AVP268" s="699">
        <f t="shared" ref="AVP268:AVP302" si="776">CG268/P268</f>
        <v>650</v>
      </c>
      <c r="AVQ268" s="699">
        <f t="shared" ref="AVQ268:AVQ302" si="777">CH268/P268</f>
        <v>75443.839999999997</v>
      </c>
    </row>
    <row r="269" spans="1:108 1244:1265" ht="30" customHeight="1" x14ac:dyDescent="0.25">
      <c r="A269" s="642">
        <v>1</v>
      </c>
      <c r="B269" s="642">
        <v>12</v>
      </c>
      <c r="C269" s="663" t="s">
        <v>27</v>
      </c>
      <c r="D269" s="2"/>
      <c r="E269" s="277" t="s">
        <v>348</v>
      </c>
      <c r="F269" s="642" t="s">
        <v>40</v>
      </c>
      <c r="G269" s="642">
        <v>4</v>
      </c>
      <c r="H269" s="657" t="s">
        <v>10</v>
      </c>
      <c r="I269" s="642">
        <v>0</v>
      </c>
      <c r="J269" s="277" t="s">
        <v>390</v>
      </c>
      <c r="K269" s="642">
        <v>1</v>
      </c>
      <c r="L269" s="682" t="s">
        <v>353</v>
      </c>
      <c r="M269" s="419" t="s">
        <v>326</v>
      </c>
      <c r="N269" s="277" t="s">
        <v>401</v>
      </c>
      <c r="O269" s="642">
        <v>2</v>
      </c>
      <c r="P269" s="632">
        <v>2</v>
      </c>
      <c r="Q269" s="632">
        <v>2</v>
      </c>
      <c r="R269" s="632">
        <v>2</v>
      </c>
      <c r="S269" s="673">
        <f>SUMIF('Территориальный кк'!$A:$A,'2020'!$B269,'Территориальный кк'!F:F)</f>
        <v>1.4350000000000001</v>
      </c>
      <c r="T269" s="673">
        <f>SUMIF('Территориальный кк'!$A:$A,'2020'!$B269,'Территориальный кк'!G:G)</f>
        <v>2.2879999999999998</v>
      </c>
      <c r="U269" s="624">
        <f>SUMIFS(Нормативы!G:G,Нормативы!$B:$B,$G269,Нормативы!$D:$D,'2020'!$I269,Нормативы!$F:$F,'2020'!$K269)*O269</f>
        <v>44620</v>
      </c>
      <c r="V269" s="624">
        <f t="shared" si="674"/>
        <v>34270.400000000001</v>
      </c>
      <c r="W269" s="624">
        <f t="shared" si="675"/>
        <v>10349.6</v>
      </c>
      <c r="X269" s="624">
        <f>SUMIFS(Нормативы!J:J,Нормативы!$B:$B,$G269,Нормативы!$D:$D,'2020'!$I269,Нормативы!$F:$F,'2020'!$K269)</f>
        <v>910</v>
      </c>
      <c r="Y269" s="624">
        <f>SUMIFS(Нормативы!K:K,Нормативы!$B:$B,$G269,Нормативы!$D:$D,'2020'!$I269,Нормативы!$F:$F,'2020'!$K269)</f>
        <v>182</v>
      </c>
      <c r="Z269" s="624">
        <f>SUMIFS(Нормативы!L:L,Нормативы!$B:$B,$G269,Нормативы!$D:$D,'2020'!$I269,Нормативы!$F:$F,'2020'!$K269)</f>
        <v>2640</v>
      </c>
      <c r="AA269" s="624">
        <f t="shared" si="676"/>
        <v>3920</v>
      </c>
      <c r="AB269" s="624">
        <f>SUMIFS(Нормативы!N:N,Нормативы!$B:$B,$G269,Нормативы!$D:$D,'2020'!$I269,Нормативы!$F:$F,'2020'!$K269)*O269</f>
        <v>920</v>
      </c>
      <c r="AC269" s="624">
        <f>SUMIFS(Нормативы!O:O,Нормативы!$B:$B,$G269,Нормативы!$D:$D,'2020'!$I269,Нормативы!$F:$F,'2020'!$K269)</f>
        <v>600</v>
      </c>
      <c r="AD269" s="624">
        <f>SUMIFS(Нормативы!P:P,Нормативы!$B:$B,$G269,Нормативы!$D:$D,'2020'!$I269,Нормативы!$F:$F,'2020'!$K269)*O269</f>
        <v>1660</v>
      </c>
      <c r="AE269" s="624">
        <f>SUMIFS(Нормативы!Q:Q,Нормативы!$B:$B,$G269,Нормативы!$D:$D,'2020'!$I269,Нормативы!$F:$F,'2020'!$K269)</f>
        <v>740</v>
      </c>
      <c r="AF269" s="624">
        <f>SUMIFS(Нормативы!R:R,Нормативы!$B:$B,$G269,Нормативы!$D:$D,'2020'!$I269,Нормативы!$F:$F,'2020'!$K269)</f>
        <v>2120</v>
      </c>
      <c r="AG269" s="624">
        <f>SUMIFS(Нормативы!S:S,Нормативы!$B:$B,$G269,Нормативы!$D:$D,'2020'!$I269,Нормативы!$F:$F,'2020'!$K269)</f>
        <v>8620</v>
      </c>
      <c r="AH269" s="624">
        <f>SUMIFS(Нормативы!T:T,Нормативы!$B:$B,$G269,Нормативы!$D:$D,'2020'!$I269,Нормативы!$F:$F,'2020'!$K269)</f>
        <v>310</v>
      </c>
      <c r="AI269" s="624">
        <f>SUMIFS(Нормативы!U:U,Нормативы!$B:$B,$G269,Нормативы!$D:$D,'2020'!$I269,Нормативы!$F:$F,'2020'!$K269)</f>
        <v>1240</v>
      </c>
      <c r="AJ269" s="624">
        <f>SUMIFS(Нормативы!V:V,Нормативы!$B:$B,$G269,Нормативы!$D:$D,'2020'!$I269,Нормативы!$F:$F,'2020'!$K269)</f>
        <v>50</v>
      </c>
      <c r="AK269" s="624">
        <f>SUMIFS(Нормативы!W:W,Нормативы!$B:$B,$G269,Нормативы!$D:$D,'2020'!$I269,Нормативы!$F:$F,'2020'!$K269)</f>
        <v>190</v>
      </c>
      <c r="AL269" s="624">
        <f>SUMIFS(Нормативы!X:X,Нормативы!$B:$B,$G269,Нормативы!$D:$D,'2020'!$I269,Нормативы!$F:$F,'2020'!$K269)*O269</f>
        <v>29740</v>
      </c>
      <c r="AM269" s="624">
        <f t="shared" si="677"/>
        <v>22841.8</v>
      </c>
      <c r="AN269" s="624">
        <f t="shared" si="678"/>
        <v>6898.2</v>
      </c>
      <c r="AO269" s="624">
        <f>SUMIFS(Нормативы!AA:AA,Нормативы!$B:$B,$G269,Нормативы!$D:$D,'2020'!$I269,Нормативы!$F:$F,'2020'!$K269)</f>
        <v>650</v>
      </c>
      <c r="AP269" s="621">
        <f t="shared" si="679"/>
        <v>95010</v>
      </c>
      <c r="AQ269" s="610">
        <f t="shared" si="616"/>
        <v>89240</v>
      </c>
      <c r="AR269" s="624">
        <f t="shared" si="680"/>
        <v>68540.7</v>
      </c>
      <c r="AS269" s="624">
        <f t="shared" si="681"/>
        <v>20699.3</v>
      </c>
      <c r="AT269" s="615">
        <f t="shared" si="617"/>
        <v>1820</v>
      </c>
      <c r="AU269" s="615">
        <f t="shared" si="618"/>
        <v>364</v>
      </c>
      <c r="AV269" s="615">
        <f t="shared" si="619"/>
        <v>5280</v>
      </c>
      <c r="AW269" s="615">
        <f t="shared" si="620"/>
        <v>7840</v>
      </c>
      <c r="AX269" s="615">
        <f t="shared" si="621"/>
        <v>1840</v>
      </c>
      <c r="AY269" s="615">
        <f t="shared" si="622"/>
        <v>1200</v>
      </c>
      <c r="AZ269" s="615">
        <f t="shared" si="623"/>
        <v>3320</v>
      </c>
      <c r="BA269" s="615">
        <f t="shared" si="624"/>
        <v>1480</v>
      </c>
      <c r="BB269" s="615">
        <f t="shared" si="625"/>
        <v>4240</v>
      </c>
      <c r="BC269" s="615">
        <f t="shared" si="626"/>
        <v>17240</v>
      </c>
      <c r="BD269" s="615">
        <f t="shared" si="627"/>
        <v>620</v>
      </c>
      <c r="BE269" s="615">
        <f t="shared" si="628"/>
        <v>2480</v>
      </c>
      <c r="BF269" s="615">
        <f t="shared" si="629"/>
        <v>100</v>
      </c>
      <c r="BG269" s="615">
        <f t="shared" si="630"/>
        <v>380</v>
      </c>
      <c r="BH269" s="615">
        <f t="shared" si="631"/>
        <v>59480</v>
      </c>
      <c r="BI269" s="624">
        <f t="shared" si="682"/>
        <v>45683.6</v>
      </c>
      <c r="BJ269" s="624">
        <f t="shared" si="683"/>
        <v>13796.4</v>
      </c>
      <c r="BK269" s="615">
        <f t="shared" si="632"/>
        <v>1300</v>
      </c>
      <c r="BL269" s="620">
        <f t="shared" si="633"/>
        <v>190020</v>
      </c>
      <c r="BM269" s="615">
        <f t="shared" si="634"/>
        <v>128059</v>
      </c>
      <c r="BN269" s="624">
        <f t="shared" si="635"/>
        <v>98355.6</v>
      </c>
      <c r="BO269" s="624">
        <f t="shared" si="636"/>
        <v>29703.4</v>
      </c>
      <c r="BP269" s="615">
        <f t="shared" si="684"/>
        <v>1820</v>
      </c>
      <c r="BQ269" s="615">
        <f t="shared" si="685"/>
        <v>364</v>
      </c>
      <c r="BR269" s="615">
        <f t="shared" si="686"/>
        <v>5280</v>
      </c>
      <c r="BS269" s="615">
        <f t="shared" si="637"/>
        <v>7840</v>
      </c>
      <c r="BT269" s="616">
        <f t="shared" si="638"/>
        <v>1840</v>
      </c>
      <c r="BU269" s="616">
        <f t="shared" si="639"/>
        <v>1200</v>
      </c>
      <c r="BV269" s="616">
        <f t="shared" si="640"/>
        <v>3320</v>
      </c>
      <c r="BW269" s="616">
        <f t="shared" si="641"/>
        <v>1480</v>
      </c>
      <c r="BX269" s="615">
        <f t="shared" si="642"/>
        <v>9701</v>
      </c>
      <c r="BY269" s="615">
        <f t="shared" si="643"/>
        <v>17240</v>
      </c>
      <c r="BZ269" s="615">
        <f t="shared" si="644"/>
        <v>620</v>
      </c>
      <c r="CA269" s="615">
        <f t="shared" si="645"/>
        <v>2480</v>
      </c>
      <c r="CB269" s="615">
        <f t="shared" si="646"/>
        <v>100</v>
      </c>
      <c r="CC269" s="615">
        <f t="shared" si="647"/>
        <v>380</v>
      </c>
      <c r="CD269" s="615">
        <f t="shared" si="648"/>
        <v>85354</v>
      </c>
      <c r="CE269" s="624">
        <f t="shared" si="687"/>
        <v>65556.100000000006</v>
      </c>
      <c r="CF269" s="624">
        <f t="shared" si="688"/>
        <v>19797.900000000001</v>
      </c>
      <c r="CG269" s="615">
        <f t="shared" si="649"/>
        <v>1300</v>
      </c>
      <c r="CH269" s="621">
        <f t="shared" si="650"/>
        <v>260174</v>
      </c>
      <c r="CI269" s="88">
        <f t="shared" si="651"/>
        <v>64029.5</v>
      </c>
      <c r="CJ269" s="90">
        <f t="shared" si="652"/>
        <v>49177.8</v>
      </c>
      <c r="CK269" s="90">
        <f t="shared" si="653"/>
        <v>14851.7</v>
      </c>
      <c r="CL269" s="88">
        <f t="shared" si="654"/>
        <v>910</v>
      </c>
      <c r="CM269" s="88">
        <f t="shared" si="655"/>
        <v>182</v>
      </c>
      <c r="CN269" s="88">
        <f t="shared" si="656"/>
        <v>2640</v>
      </c>
      <c r="CO269" s="88">
        <f t="shared" si="657"/>
        <v>3920</v>
      </c>
      <c r="CP269" s="88">
        <f t="shared" si="658"/>
        <v>920</v>
      </c>
      <c r="CQ269" s="88">
        <f t="shared" si="659"/>
        <v>600</v>
      </c>
      <c r="CR269" s="88">
        <f t="shared" si="660"/>
        <v>1660</v>
      </c>
      <c r="CS269" s="88">
        <f t="shared" si="661"/>
        <v>740</v>
      </c>
      <c r="CT269" s="88">
        <f t="shared" si="662"/>
        <v>4850.5</v>
      </c>
      <c r="CU269" s="88">
        <f t="shared" si="663"/>
        <v>8620</v>
      </c>
      <c r="CV269" s="88">
        <f t="shared" si="664"/>
        <v>310</v>
      </c>
      <c r="CW269" s="88">
        <f t="shared" si="665"/>
        <v>1240</v>
      </c>
      <c r="CX269" s="88">
        <f t="shared" si="666"/>
        <v>50</v>
      </c>
      <c r="CY269" s="88">
        <f t="shared" si="667"/>
        <v>190</v>
      </c>
      <c r="CZ269" s="88">
        <f t="shared" si="668"/>
        <v>42677</v>
      </c>
      <c r="DA269" s="90">
        <f t="shared" si="669"/>
        <v>32778.050000000003</v>
      </c>
      <c r="DB269" s="90">
        <f t="shared" si="670"/>
        <v>9898.9500000000007</v>
      </c>
      <c r="DC269" s="88">
        <f t="shared" si="671"/>
        <v>650</v>
      </c>
      <c r="DD269" s="88">
        <f t="shared" si="672"/>
        <v>130087</v>
      </c>
      <c r="AUV269" s="699">
        <f t="shared" si="758"/>
        <v>64029.5</v>
      </c>
      <c r="AUW269" s="699">
        <f t="shared" si="759"/>
        <v>49177.8</v>
      </c>
      <c r="AUX269" s="699">
        <f t="shared" si="760"/>
        <v>14851.7</v>
      </c>
      <c r="AUY269" s="699">
        <f t="shared" si="761"/>
        <v>910</v>
      </c>
      <c r="AUZ269" s="699">
        <f t="shared" si="615"/>
        <v>159.09</v>
      </c>
      <c r="AVA269" s="699">
        <f t="shared" si="615"/>
        <v>0.12</v>
      </c>
      <c r="AVB269" s="699">
        <f t="shared" si="762"/>
        <v>3920</v>
      </c>
      <c r="AVC269" s="699">
        <f t="shared" si="763"/>
        <v>920</v>
      </c>
      <c r="AVD269" s="699">
        <f t="shared" si="764"/>
        <v>600</v>
      </c>
      <c r="AVE269" s="699">
        <f t="shared" si="765"/>
        <v>1660</v>
      </c>
      <c r="AVF269" s="699">
        <f t="shared" si="766"/>
        <v>740</v>
      </c>
      <c r="AVG269" s="699">
        <f t="shared" si="767"/>
        <v>4850.5</v>
      </c>
      <c r="AVH269" s="699">
        <f t="shared" si="768"/>
        <v>8620</v>
      </c>
      <c r="AVI269" s="699">
        <f t="shared" si="769"/>
        <v>310</v>
      </c>
      <c r="AVJ269" s="699">
        <f t="shared" si="770"/>
        <v>1240</v>
      </c>
      <c r="AVK269" s="699">
        <f t="shared" si="771"/>
        <v>50</v>
      </c>
      <c r="AVL269" s="699">
        <f t="shared" si="772"/>
        <v>190</v>
      </c>
      <c r="AVM269" s="699">
        <f t="shared" si="773"/>
        <v>42677</v>
      </c>
      <c r="AVN269" s="699">
        <f t="shared" si="774"/>
        <v>32778.03</v>
      </c>
      <c r="AVO269" s="699">
        <f t="shared" si="775"/>
        <v>9898.9699999999993</v>
      </c>
      <c r="AVP269" s="699">
        <f t="shared" si="776"/>
        <v>650</v>
      </c>
      <c r="AVQ269" s="699">
        <f t="shared" si="777"/>
        <v>130087</v>
      </c>
    </row>
    <row r="270" spans="1:108 1244:1265" ht="30" customHeight="1" x14ac:dyDescent="0.25">
      <c r="A270" s="642">
        <v>1</v>
      </c>
      <c r="B270" s="642">
        <v>12</v>
      </c>
      <c r="C270" s="663" t="s">
        <v>27</v>
      </c>
      <c r="D270" s="2"/>
      <c r="E270" s="277" t="s">
        <v>348</v>
      </c>
      <c r="F270" s="642" t="s">
        <v>40</v>
      </c>
      <c r="G270" s="642">
        <v>4</v>
      </c>
      <c r="H270" s="657" t="s">
        <v>10</v>
      </c>
      <c r="I270" s="642">
        <v>0</v>
      </c>
      <c r="J270" s="277" t="s">
        <v>391</v>
      </c>
      <c r="K270" s="642">
        <v>3</v>
      </c>
      <c r="L270" s="682" t="s">
        <v>353</v>
      </c>
      <c r="M270" s="419" t="s">
        <v>317</v>
      </c>
      <c r="N270" s="277" t="s">
        <v>387</v>
      </c>
      <c r="O270" s="642">
        <v>1</v>
      </c>
      <c r="P270" s="632">
        <v>526</v>
      </c>
      <c r="Q270" s="632">
        <v>526</v>
      </c>
      <c r="R270" s="632">
        <v>526</v>
      </c>
      <c r="S270" s="673">
        <f>SUMIF('Территориальный кк'!$A:$A,'2020'!$B270,'Территориальный кк'!F:F)</f>
        <v>1.4350000000000001</v>
      </c>
      <c r="T270" s="673">
        <f>SUMIF('Территориальный кк'!$A:$A,'2020'!$B270,'Территориальный кк'!G:G)</f>
        <v>2.2879999999999998</v>
      </c>
      <c r="U270" s="624">
        <f>SUMIFS(Нормативы!G:G,Нормативы!$B:$B,$G270,Нормативы!$D:$D,'2020'!$I270,Нормативы!$F:$F,'2020'!$K270)*O270</f>
        <v>22310</v>
      </c>
      <c r="V270" s="624">
        <f t="shared" si="674"/>
        <v>17135.2</v>
      </c>
      <c r="W270" s="624">
        <f t="shared" si="675"/>
        <v>5174.8</v>
      </c>
      <c r="X270" s="624">
        <f>SUMIFS(Нормативы!J:J,Нормативы!$B:$B,$G270,Нормативы!$D:$D,'2020'!$I270,Нормативы!$F:$F,'2020'!$K270)</f>
        <v>1910</v>
      </c>
      <c r="Y270" s="624">
        <f>SUMIFS(Нормативы!K:K,Нормативы!$B:$B,$G270,Нормативы!$D:$D,'2020'!$I270,Нормативы!$F:$F,'2020'!$K270)</f>
        <v>382</v>
      </c>
      <c r="Z270" s="624">
        <f>SUMIFS(Нормативы!L:L,Нормативы!$B:$B,$G270,Нормативы!$D:$D,'2020'!$I270,Нормативы!$F:$F,'2020'!$K270)</f>
        <v>3970</v>
      </c>
      <c r="AA270" s="624">
        <f t="shared" si="676"/>
        <v>13670</v>
      </c>
      <c r="AB270" s="624">
        <f>SUMIFS(Нормативы!N:N,Нормативы!$B:$B,$G270,Нормативы!$D:$D,'2020'!$I270,Нормативы!$F:$F,'2020'!$K270)*O270</f>
        <v>460</v>
      </c>
      <c r="AC270" s="624">
        <f>SUMIFS(Нормативы!O:O,Нормативы!$B:$B,$G270,Нормативы!$D:$D,'2020'!$I270,Нормативы!$F:$F,'2020'!$K270)</f>
        <v>9200</v>
      </c>
      <c r="AD270" s="624">
        <f>SUMIFS(Нормативы!P:P,Нормативы!$B:$B,$G270,Нормативы!$D:$D,'2020'!$I270,Нормативы!$F:$F,'2020'!$K270)*O270</f>
        <v>3270</v>
      </c>
      <c r="AE270" s="624">
        <f>SUMIFS(Нормативы!Q:Q,Нормативы!$B:$B,$G270,Нормативы!$D:$D,'2020'!$I270,Нормативы!$F:$F,'2020'!$K270)</f>
        <v>740</v>
      </c>
      <c r="AF270" s="624">
        <f>SUMIFS(Нормативы!R:R,Нормативы!$B:$B,$G270,Нормативы!$D:$D,'2020'!$I270,Нормативы!$F:$F,'2020'!$K270)</f>
        <v>2120</v>
      </c>
      <c r="AG270" s="624">
        <f>SUMIFS(Нормативы!S:S,Нормативы!$B:$B,$G270,Нормативы!$D:$D,'2020'!$I270,Нормативы!$F:$F,'2020'!$K270)</f>
        <v>8620</v>
      </c>
      <c r="AH270" s="624">
        <f>SUMIFS(Нормативы!T:T,Нормативы!$B:$B,$G270,Нормативы!$D:$D,'2020'!$I270,Нормативы!$F:$F,'2020'!$K270)</f>
        <v>310</v>
      </c>
      <c r="AI270" s="624">
        <f>SUMIFS(Нормативы!U:U,Нормативы!$B:$B,$G270,Нормативы!$D:$D,'2020'!$I270,Нормативы!$F:$F,'2020'!$K270)</f>
        <v>1240</v>
      </c>
      <c r="AJ270" s="624">
        <f>SUMIFS(Нормативы!V:V,Нормативы!$B:$B,$G270,Нормативы!$D:$D,'2020'!$I270,Нормативы!$F:$F,'2020'!$K270)</f>
        <v>50</v>
      </c>
      <c r="AK270" s="624">
        <f>SUMIFS(Нормативы!W:W,Нормативы!$B:$B,$G270,Нормативы!$D:$D,'2020'!$I270,Нормативы!$F:$F,'2020'!$K270)</f>
        <v>2570</v>
      </c>
      <c r="AL270" s="624">
        <f>SUMIFS(Нормативы!X:X,Нормативы!$B:$B,$G270,Нормативы!$D:$D,'2020'!$I270,Нормативы!$F:$F,'2020'!$K270)*O270</f>
        <v>17850</v>
      </c>
      <c r="AM270" s="624">
        <f t="shared" si="677"/>
        <v>13709.7</v>
      </c>
      <c r="AN270" s="624">
        <f t="shared" si="678"/>
        <v>4140.3</v>
      </c>
      <c r="AO270" s="624">
        <f>SUMIFS(Нормативы!AA:AA,Нормативы!$B:$B,$G270,Нормативы!$D:$D,'2020'!$I270,Нормативы!$F:$F,'2020'!$K270)</f>
        <v>650</v>
      </c>
      <c r="AP270" s="621">
        <f t="shared" si="679"/>
        <v>75270</v>
      </c>
      <c r="AQ270" s="610">
        <f t="shared" si="616"/>
        <v>11735060</v>
      </c>
      <c r="AR270" s="624">
        <f t="shared" si="680"/>
        <v>9013102.9000000004</v>
      </c>
      <c r="AS270" s="624">
        <f t="shared" si="681"/>
        <v>2721957.1</v>
      </c>
      <c r="AT270" s="615">
        <f t="shared" si="617"/>
        <v>1004660</v>
      </c>
      <c r="AU270" s="615">
        <f t="shared" si="618"/>
        <v>200932</v>
      </c>
      <c r="AV270" s="615">
        <f t="shared" si="619"/>
        <v>2088220</v>
      </c>
      <c r="AW270" s="615">
        <f t="shared" si="620"/>
        <v>7190420</v>
      </c>
      <c r="AX270" s="615">
        <f t="shared" si="621"/>
        <v>241960</v>
      </c>
      <c r="AY270" s="615">
        <f t="shared" si="622"/>
        <v>4839200</v>
      </c>
      <c r="AZ270" s="615">
        <f t="shared" si="623"/>
        <v>1720020</v>
      </c>
      <c r="BA270" s="615">
        <f t="shared" si="624"/>
        <v>389240</v>
      </c>
      <c r="BB270" s="615">
        <f t="shared" si="625"/>
        <v>1115120</v>
      </c>
      <c r="BC270" s="615">
        <f t="shared" si="626"/>
        <v>4534120</v>
      </c>
      <c r="BD270" s="615">
        <f t="shared" si="627"/>
        <v>163060</v>
      </c>
      <c r="BE270" s="615">
        <f t="shared" si="628"/>
        <v>652240</v>
      </c>
      <c r="BF270" s="615">
        <f t="shared" si="629"/>
        <v>26300</v>
      </c>
      <c r="BG270" s="615">
        <f t="shared" si="630"/>
        <v>1351820</v>
      </c>
      <c r="BH270" s="615">
        <f t="shared" si="631"/>
        <v>9389100</v>
      </c>
      <c r="BI270" s="624">
        <f t="shared" si="682"/>
        <v>7211290.2999999998</v>
      </c>
      <c r="BJ270" s="624">
        <f t="shared" si="683"/>
        <v>2177809.7000000002</v>
      </c>
      <c r="BK270" s="615">
        <f t="shared" si="632"/>
        <v>341900</v>
      </c>
      <c r="BL270" s="620">
        <f t="shared" si="633"/>
        <v>39592020</v>
      </c>
      <c r="BM270" s="615">
        <f t="shared" si="634"/>
        <v>16839811</v>
      </c>
      <c r="BN270" s="624">
        <f t="shared" si="635"/>
        <v>12933802.6</v>
      </c>
      <c r="BO270" s="624">
        <f t="shared" si="636"/>
        <v>3906008.4</v>
      </c>
      <c r="BP270" s="615">
        <f t="shared" si="684"/>
        <v>1004660</v>
      </c>
      <c r="BQ270" s="615">
        <f t="shared" si="685"/>
        <v>200932</v>
      </c>
      <c r="BR270" s="615">
        <f t="shared" si="686"/>
        <v>2088220</v>
      </c>
      <c r="BS270" s="615">
        <f t="shared" si="637"/>
        <v>7190420</v>
      </c>
      <c r="BT270" s="616">
        <f t="shared" si="638"/>
        <v>241960</v>
      </c>
      <c r="BU270" s="616">
        <f t="shared" si="639"/>
        <v>4839200</v>
      </c>
      <c r="BV270" s="616">
        <f t="shared" si="640"/>
        <v>1720020</v>
      </c>
      <c r="BW270" s="616">
        <f t="shared" si="641"/>
        <v>389240</v>
      </c>
      <c r="BX270" s="615">
        <f t="shared" si="642"/>
        <v>2551395</v>
      </c>
      <c r="BY270" s="615">
        <f t="shared" si="643"/>
        <v>4534120</v>
      </c>
      <c r="BZ270" s="615">
        <f t="shared" si="644"/>
        <v>163060</v>
      </c>
      <c r="CA270" s="615">
        <f t="shared" si="645"/>
        <v>652240</v>
      </c>
      <c r="CB270" s="615">
        <f t="shared" si="646"/>
        <v>26300</v>
      </c>
      <c r="CC270" s="615">
        <f t="shared" si="647"/>
        <v>1351820</v>
      </c>
      <c r="CD270" s="615">
        <f t="shared" si="648"/>
        <v>13473359</v>
      </c>
      <c r="CE270" s="624">
        <f t="shared" si="687"/>
        <v>10348202</v>
      </c>
      <c r="CF270" s="624">
        <f t="shared" si="688"/>
        <v>3125157</v>
      </c>
      <c r="CG270" s="615">
        <f t="shared" si="649"/>
        <v>341900</v>
      </c>
      <c r="CH270" s="621">
        <f t="shared" si="650"/>
        <v>50217305</v>
      </c>
      <c r="CI270" s="88">
        <f t="shared" si="651"/>
        <v>32014.8498</v>
      </c>
      <c r="CJ270" s="90">
        <f t="shared" si="652"/>
        <v>24588.978299999999</v>
      </c>
      <c r="CK270" s="90">
        <f t="shared" si="653"/>
        <v>7425.8715000000002</v>
      </c>
      <c r="CL270" s="88">
        <f t="shared" si="654"/>
        <v>1910</v>
      </c>
      <c r="CM270" s="88">
        <f t="shared" si="655"/>
        <v>382</v>
      </c>
      <c r="CN270" s="88">
        <f t="shared" si="656"/>
        <v>3970</v>
      </c>
      <c r="CO270" s="88">
        <f t="shared" si="657"/>
        <v>13670</v>
      </c>
      <c r="CP270" s="88">
        <f t="shared" si="658"/>
        <v>460</v>
      </c>
      <c r="CQ270" s="88">
        <f t="shared" si="659"/>
        <v>9200</v>
      </c>
      <c r="CR270" s="88">
        <f t="shared" si="660"/>
        <v>3270</v>
      </c>
      <c r="CS270" s="88">
        <f t="shared" si="661"/>
        <v>740</v>
      </c>
      <c r="CT270" s="88">
        <f t="shared" si="662"/>
        <v>4850.5608000000002</v>
      </c>
      <c r="CU270" s="88">
        <f t="shared" si="663"/>
        <v>8620</v>
      </c>
      <c r="CV270" s="88">
        <f t="shared" si="664"/>
        <v>310</v>
      </c>
      <c r="CW270" s="88">
        <f t="shared" si="665"/>
        <v>1240</v>
      </c>
      <c r="CX270" s="88">
        <f t="shared" si="666"/>
        <v>50</v>
      </c>
      <c r="CY270" s="88">
        <f t="shared" si="667"/>
        <v>2570</v>
      </c>
      <c r="CZ270" s="88">
        <f t="shared" si="668"/>
        <v>25614.751</v>
      </c>
      <c r="DA270" s="90">
        <f t="shared" si="669"/>
        <v>19673.3878</v>
      </c>
      <c r="DB270" s="90">
        <f t="shared" si="670"/>
        <v>5941.3630999999996</v>
      </c>
      <c r="DC270" s="88">
        <f t="shared" si="671"/>
        <v>650</v>
      </c>
      <c r="DD270" s="88">
        <f t="shared" si="672"/>
        <v>95470.161600000007</v>
      </c>
      <c r="AUV270" s="699">
        <f t="shared" si="758"/>
        <v>32014.85</v>
      </c>
      <c r="AUW270" s="699">
        <f t="shared" si="759"/>
        <v>24588.98</v>
      </c>
      <c r="AUX270" s="699">
        <f t="shared" si="760"/>
        <v>7425.87</v>
      </c>
      <c r="AUY270" s="699">
        <f t="shared" si="761"/>
        <v>1910</v>
      </c>
      <c r="AUZ270" s="699">
        <f t="shared" si="615"/>
        <v>87819.93</v>
      </c>
      <c r="AVA270" s="699">
        <f t="shared" si="615"/>
        <v>93.6</v>
      </c>
      <c r="AVB270" s="699">
        <f t="shared" si="762"/>
        <v>13670</v>
      </c>
      <c r="AVC270" s="699">
        <f t="shared" si="763"/>
        <v>460</v>
      </c>
      <c r="AVD270" s="699">
        <f t="shared" si="764"/>
        <v>9200</v>
      </c>
      <c r="AVE270" s="699">
        <f t="shared" si="765"/>
        <v>3270</v>
      </c>
      <c r="AVF270" s="699">
        <f t="shared" si="766"/>
        <v>740</v>
      </c>
      <c r="AVG270" s="699">
        <f t="shared" si="767"/>
        <v>4850.5600000000004</v>
      </c>
      <c r="AVH270" s="699">
        <f t="shared" si="768"/>
        <v>8620</v>
      </c>
      <c r="AVI270" s="699">
        <f t="shared" si="769"/>
        <v>310</v>
      </c>
      <c r="AVJ270" s="699">
        <f t="shared" si="770"/>
        <v>1240</v>
      </c>
      <c r="AVK270" s="699">
        <f t="shared" si="771"/>
        <v>50</v>
      </c>
      <c r="AVL270" s="699">
        <f t="shared" si="772"/>
        <v>2570</v>
      </c>
      <c r="AVM270" s="699">
        <f t="shared" si="773"/>
        <v>25614.75</v>
      </c>
      <c r="AVN270" s="699">
        <f t="shared" si="774"/>
        <v>19673.39</v>
      </c>
      <c r="AVO270" s="699">
        <f t="shared" si="775"/>
        <v>5941.36</v>
      </c>
      <c r="AVP270" s="699">
        <f t="shared" si="776"/>
        <v>650</v>
      </c>
      <c r="AVQ270" s="699">
        <f t="shared" si="777"/>
        <v>95470.16</v>
      </c>
    </row>
    <row r="271" spans="1:108 1244:1265" ht="30" customHeight="1" x14ac:dyDescent="0.25">
      <c r="A271" s="642">
        <v>1</v>
      </c>
      <c r="B271" s="642">
        <v>12</v>
      </c>
      <c r="C271" s="663" t="s">
        <v>27</v>
      </c>
      <c r="D271" s="2"/>
      <c r="E271" s="277" t="s">
        <v>348</v>
      </c>
      <c r="F271" s="642" t="s">
        <v>40</v>
      </c>
      <c r="G271" s="642">
        <v>4</v>
      </c>
      <c r="H271" s="657" t="s">
        <v>10</v>
      </c>
      <c r="I271" s="642">
        <v>0</v>
      </c>
      <c r="J271" s="277" t="s">
        <v>391</v>
      </c>
      <c r="K271" s="642">
        <v>3</v>
      </c>
      <c r="L271" s="682" t="s">
        <v>353</v>
      </c>
      <c r="M271" s="419" t="s">
        <v>318</v>
      </c>
      <c r="N271" s="277" t="s">
        <v>401</v>
      </c>
      <c r="O271" s="642">
        <v>2</v>
      </c>
      <c r="P271" s="632">
        <v>6</v>
      </c>
      <c r="Q271" s="632">
        <v>6</v>
      </c>
      <c r="R271" s="632">
        <v>6</v>
      </c>
      <c r="S271" s="673">
        <f>SUMIF('Территориальный кк'!$A:$A,'2020'!$B271,'Территориальный кк'!F:F)</f>
        <v>1.4350000000000001</v>
      </c>
      <c r="T271" s="673">
        <f>SUMIF('Территориальный кк'!$A:$A,'2020'!$B271,'Территориальный кк'!G:G)</f>
        <v>2.2879999999999998</v>
      </c>
      <c r="U271" s="624">
        <f>SUMIFS(Нормативы!G:G,Нормативы!$B:$B,$G271,Нормативы!$D:$D,'2020'!$I271,Нормативы!$F:$F,'2020'!$K271)*O271</f>
        <v>44620</v>
      </c>
      <c r="V271" s="624">
        <f t="shared" si="674"/>
        <v>34270.400000000001</v>
      </c>
      <c r="W271" s="624">
        <f t="shared" si="675"/>
        <v>10349.6</v>
      </c>
      <c r="X271" s="624">
        <f>SUMIFS(Нормативы!J:J,Нормативы!$B:$B,$G271,Нормативы!$D:$D,'2020'!$I271,Нормативы!$F:$F,'2020'!$K271)</f>
        <v>1910</v>
      </c>
      <c r="Y271" s="624">
        <f>SUMIFS(Нормативы!K:K,Нормативы!$B:$B,$G271,Нормативы!$D:$D,'2020'!$I271,Нормативы!$F:$F,'2020'!$K271)</f>
        <v>382</v>
      </c>
      <c r="Z271" s="624">
        <f>SUMIFS(Нормативы!L:L,Нормативы!$B:$B,$G271,Нормативы!$D:$D,'2020'!$I271,Нормативы!$F:$F,'2020'!$K271)</f>
        <v>3970</v>
      </c>
      <c r="AA271" s="624">
        <f t="shared" si="676"/>
        <v>17400</v>
      </c>
      <c r="AB271" s="624">
        <f>SUMIFS(Нормативы!N:N,Нормативы!$B:$B,$G271,Нормативы!$D:$D,'2020'!$I271,Нормативы!$F:$F,'2020'!$K271)*O271</f>
        <v>920</v>
      </c>
      <c r="AC271" s="624">
        <f>SUMIFS(Нормативы!O:O,Нормативы!$B:$B,$G271,Нормативы!$D:$D,'2020'!$I271,Нормативы!$F:$F,'2020'!$K271)</f>
        <v>9200</v>
      </c>
      <c r="AD271" s="624">
        <f>SUMIFS(Нормативы!P:P,Нормативы!$B:$B,$G271,Нормативы!$D:$D,'2020'!$I271,Нормативы!$F:$F,'2020'!$K271)*O271</f>
        <v>6540</v>
      </c>
      <c r="AE271" s="624">
        <f>SUMIFS(Нормативы!Q:Q,Нормативы!$B:$B,$G271,Нормативы!$D:$D,'2020'!$I271,Нормативы!$F:$F,'2020'!$K271)</f>
        <v>740</v>
      </c>
      <c r="AF271" s="624">
        <f>SUMIFS(Нормативы!R:R,Нормативы!$B:$B,$G271,Нормативы!$D:$D,'2020'!$I271,Нормативы!$F:$F,'2020'!$K271)</f>
        <v>2120</v>
      </c>
      <c r="AG271" s="624">
        <f>SUMIFS(Нормативы!S:S,Нормативы!$B:$B,$G271,Нормативы!$D:$D,'2020'!$I271,Нормативы!$F:$F,'2020'!$K271)</f>
        <v>8620</v>
      </c>
      <c r="AH271" s="624">
        <f>SUMIFS(Нормативы!T:T,Нормативы!$B:$B,$G271,Нормативы!$D:$D,'2020'!$I271,Нормативы!$F:$F,'2020'!$K271)</f>
        <v>310</v>
      </c>
      <c r="AI271" s="624">
        <f>SUMIFS(Нормативы!U:U,Нормативы!$B:$B,$G271,Нормативы!$D:$D,'2020'!$I271,Нормативы!$F:$F,'2020'!$K271)</f>
        <v>1240</v>
      </c>
      <c r="AJ271" s="624">
        <f>SUMIFS(Нормативы!V:V,Нормативы!$B:$B,$G271,Нормативы!$D:$D,'2020'!$I271,Нормативы!$F:$F,'2020'!$K271)</f>
        <v>50</v>
      </c>
      <c r="AK271" s="624">
        <f>SUMIFS(Нормативы!W:W,Нормативы!$B:$B,$G271,Нормативы!$D:$D,'2020'!$I271,Нормативы!$F:$F,'2020'!$K271)</f>
        <v>2570</v>
      </c>
      <c r="AL271" s="624">
        <f>SUMIFS(Нормативы!X:X,Нормативы!$B:$B,$G271,Нормативы!$D:$D,'2020'!$I271,Нормативы!$F:$F,'2020'!$K271)*O271</f>
        <v>35700</v>
      </c>
      <c r="AM271" s="624">
        <f t="shared" si="677"/>
        <v>27419.4</v>
      </c>
      <c r="AN271" s="624">
        <f t="shared" si="678"/>
        <v>8280.6</v>
      </c>
      <c r="AO271" s="624">
        <f>SUMIFS(Нормативы!AA:AA,Нормативы!$B:$B,$G271,Нормативы!$D:$D,'2020'!$I271,Нормативы!$F:$F,'2020'!$K271)</f>
        <v>650</v>
      </c>
      <c r="AP271" s="621">
        <f t="shared" si="679"/>
        <v>119160</v>
      </c>
      <c r="AQ271" s="610">
        <f t="shared" si="616"/>
        <v>267720</v>
      </c>
      <c r="AR271" s="624">
        <f t="shared" si="680"/>
        <v>205622.1</v>
      </c>
      <c r="AS271" s="624">
        <f t="shared" si="681"/>
        <v>62097.9</v>
      </c>
      <c r="AT271" s="615">
        <f t="shared" si="617"/>
        <v>11460</v>
      </c>
      <c r="AU271" s="615">
        <f t="shared" si="618"/>
        <v>2292</v>
      </c>
      <c r="AV271" s="615">
        <f t="shared" si="619"/>
        <v>23820</v>
      </c>
      <c r="AW271" s="615">
        <f t="shared" si="620"/>
        <v>104400</v>
      </c>
      <c r="AX271" s="615">
        <f t="shared" si="621"/>
        <v>5520</v>
      </c>
      <c r="AY271" s="615">
        <f t="shared" si="622"/>
        <v>55200</v>
      </c>
      <c r="AZ271" s="615">
        <f t="shared" si="623"/>
        <v>39240</v>
      </c>
      <c r="BA271" s="615">
        <f t="shared" si="624"/>
        <v>4440</v>
      </c>
      <c r="BB271" s="615">
        <f t="shared" si="625"/>
        <v>12720</v>
      </c>
      <c r="BC271" s="615">
        <f t="shared" si="626"/>
        <v>51720</v>
      </c>
      <c r="BD271" s="615">
        <f t="shared" si="627"/>
        <v>1860</v>
      </c>
      <c r="BE271" s="615">
        <f t="shared" si="628"/>
        <v>7440</v>
      </c>
      <c r="BF271" s="615">
        <f t="shared" si="629"/>
        <v>300</v>
      </c>
      <c r="BG271" s="615">
        <f t="shared" si="630"/>
        <v>15420</v>
      </c>
      <c r="BH271" s="615">
        <f t="shared" si="631"/>
        <v>214200</v>
      </c>
      <c r="BI271" s="624">
        <f t="shared" si="682"/>
        <v>164516.1</v>
      </c>
      <c r="BJ271" s="624">
        <f t="shared" si="683"/>
        <v>49683.9</v>
      </c>
      <c r="BK271" s="615">
        <f t="shared" si="632"/>
        <v>3900</v>
      </c>
      <c r="BL271" s="620">
        <f t="shared" si="633"/>
        <v>714960</v>
      </c>
      <c r="BM271" s="615">
        <f t="shared" si="634"/>
        <v>384178</v>
      </c>
      <c r="BN271" s="624">
        <f t="shared" si="635"/>
        <v>295067.59999999998</v>
      </c>
      <c r="BO271" s="624">
        <f t="shared" si="636"/>
        <v>89110.399999999994</v>
      </c>
      <c r="BP271" s="615">
        <f t="shared" si="684"/>
        <v>11460</v>
      </c>
      <c r="BQ271" s="615">
        <f t="shared" si="685"/>
        <v>2292</v>
      </c>
      <c r="BR271" s="615">
        <f t="shared" si="686"/>
        <v>23820</v>
      </c>
      <c r="BS271" s="615">
        <f t="shared" si="637"/>
        <v>104400</v>
      </c>
      <c r="BT271" s="616">
        <f t="shared" si="638"/>
        <v>5520</v>
      </c>
      <c r="BU271" s="616">
        <f t="shared" si="639"/>
        <v>55200</v>
      </c>
      <c r="BV271" s="616">
        <f t="shared" si="640"/>
        <v>39240</v>
      </c>
      <c r="BW271" s="616">
        <f t="shared" si="641"/>
        <v>4440</v>
      </c>
      <c r="BX271" s="615">
        <f t="shared" si="642"/>
        <v>29103</v>
      </c>
      <c r="BY271" s="615">
        <f t="shared" si="643"/>
        <v>51720</v>
      </c>
      <c r="BZ271" s="615">
        <f t="shared" si="644"/>
        <v>1860</v>
      </c>
      <c r="CA271" s="615">
        <f t="shared" si="645"/>
        <v>7440</v>
      </c>
      <c r="CB271" s="615">
        <f t="shared" si="646"/>
        <v>300</v>
      </c>
      <c r="CC271" s="615">
        <f t="shared" si="647"/>
        <v>15420</v>
      </c>
      <c r="CD271" s="615">
        <f t="shared" si="648"/>
        <v>307377</v>
      </c>
      <c r="CE271" s="624">
        <f t="shared" si="687"/>
        <v>236080.6</v>
      </c>
      <c r="CF271" s="624">
        <f t="shared" si="688"/>
        <v>71296.399999999994</v>
      </c>
      <c r="CG271" s="615">
        <f t="shared" si="649"/>
        <v>3900</v>
      </c>
      <c r="CH271" s="621">
        <f t="shared" si="650"/>
        <v>940978</v>
      </c>
      <c r="CI271" s="88">
        <f t="shared" si="651"/>
        <v>64029.666700000002</v>
      </c>
      <c r="CJ271" s="90">
        <f t="shared" si="652"/>
        <v>49177.933299999997</v>
      </c>
      <c r="CK271" s="90">
        <f t="shared" si="653"/>
        <v>14851.7333</v>
      </c>
      <c r="CL271" s="88">
        <f t="shared" si="654"/>
        <v>1910</v>
      </c>
      <c r="CM271" s="88">
        <f t="shared" si="655"/>
        <v>382</v>
      </c>
      <c r="CN271" s="88">
        <f t="shared" si="656"/>
        <v>3970</v>
      </c>
      <c r="CO271" s="88">
        <f t="shared" si="657"/>
        <v>17400</v>
      </c>
      <c r="CP271" s="88">
        <f t="shared" si="658"/>
        <v>920</v>
      </c>
      <c r="CQ271" s="88">
        <f t="shared" si="659"/>
        <v>9200</v>
      </c>
      <c r="CR271" s="88">
        <f t="shared" si="660"/>
        <v>6540</v>
      </c>
      <c r="CS271" s="88">
        <f t="shared" si="661"/>
        <v>740</v>
      </c>
      <c r="CT271" s="88">
        <f t="shared" si="662"/>
        <v>4850.5</v>
      </c>
      <c r="CU271" s="88">
        <f t="shared" si="663"/>
        <v>8620</v>
      </c>
      <c r="CV271" s="88">
        <f t="shared" si="664"/>
        <v>310</v>
      </c>
      <c r="CW271" s="88">
        <f t="shared" si="665"/>
        <v>1240</v>
      </c>
      <c r="CX271" s="88">
        <f t="shared" si="666"/>
        <v>50</v>
      </c>
      <c r="CY271" s="88">
        <f t="shared" si="667"/>
        <v>2570</v>
      </c>
      <c r="CZ271" s="88">
        <f t="shared" si="668"/>
        <v>51229.5</v>
      </c>
      <c r="DA271" s="90">
        <f t="shared" si="669"/>
        <v>39346.7667</v>
      </c>
      <c r="DB271" s="90">
        <f t="shared" si="670"/>
        <v>11882.7333</v>
      </c>
      <c r="DC271" s="88">
        <f t="shared" si="671"/>
        <v>650</v>
      </c>
      <c r="DD271" s="88">
        <f t="shared" si="672"/>
        <v>156829.6667</v>
      </c>
      <c r="AUV271" s="699">
        <f t="shared" si="758"/>
        <v>64029.67</v>
      </c>
      <c r="AUW271" s="699">
        <f t="shared" si="759"/>
        <v>49177.93</v>
      </c>
      <c r="AUX271" s="699">
        <f t="shared" si="760"/>
        <v>14851.74</v>
      </c>
      <c r="AUY271" s="699">
        <f t="shared" si="761"/>
        <v>1910</v>
      </c>
      <c r="AUZ271" s="699">
        <f t="shared" si="615"/>
        <v>1001.75</v>
      </c>
      <c r="AVA271" s="699">
        <f t="shared" si="615"/>
        <v>0.53</v>
      </c>
      <c r="AVB271" s="699">
        <f t="shared" si="762"/>
        <v>17400</v>
      </c>
      <c r="AVC271" s="699">
        <f t="shared" si="763"/>
        <v>920</v>
      </c>
      <c r="AVD271" s="699">
        <f t="shared" si="764"/>
        <v>9200</v>
      </c>
      <c r="AVE271" s="699">
        <f t="shared" si="765"/>
        <v>6540</v>
      </c>
      <c r="AVF271" s="699">
        <f t="shared" si="766"/>
        <v>740</v>
      </c>
      <c r="AVG271" s="699">
        <f t="shared" si="767"/>
        <v>4850.5</v>
      </c>
      <c r="AVH271" s="699">
        <f t="shared" si="768"/>
        <v>8620</v>
      </c>
      <c r="AVI271" s="699">
        <f t="shared" si="769"/>
        <v>310</v>
      </c>
      <c r="AVJ271" s="699">
        <f t="shared" si="770"/>
        <v>1240</v>
      </c>
      <c r="AVK271" s="699">
        <f t="shared" si="771"/>
        <v>50</v>
      </c>
      <c r="AVL271" s="699">
        <f t="shared" si="772"/>
        <v>2570</v>
      </c>
      <c r="AVM271" s="699">
        <f t="shared" si="773"/>
        <v>51229.5</v>
      </c>
      <c r="AVN271" s="699">
        <f t="shared" si="774"/>
        <v>39346.769999999997</v>
      </c>
      <c r="AVO271" s="699">
        <f t="shared" si="775"/>
        <v>11882.73</v>
      </c>
      <c r="AVP271" s="699">
        <f t="shared" si="776"/>
        <v>650</v>
      </c>
      <c r="AVQ271" s="699">
        <f t="shared" si="777"/>
        <v>156829.67000000001</v>
      </c>
    </row>
    <row r="272" spans="1:108 1244:1265" ht="30" customHeight="1" x14ac:dyDescent="0.25">
      <c r="A272" s="642">
        <v>1</v>
      </c>
      <c r="B272" s="642">
        <v>12</v>
      </c>
      <c r="C272" s="663" t="s">
        <v>27</v>
      </c>
      <c r="D272" s="2"/>
      <c r="E272" s="277" t="s">
        <v>348</v>
      </c>
      <c r="F272" s="642" t="s">
        <v>40</v>
      </c>
      <c r="G272" s="642">
        <v>4</v>
      </c>
      <c r="H272" s="657" t="s">
        <v>10</v>
      </c>
      <c r="I272" s="642">
        <v>0</v>
      </c>
      <c r="J272" s="277" t="s">
        <v>392</v>
      </c>
      <c r="K272" s="642">
        <v>3</v>
      </c>
      <c r="L272" s="682" t="s">
        <v>353</v>
      </c>
      <c r="M272" s="419" t="s">
        <v>319</v>
      </c>
      <c r="N272" s="277" t="s">
        <v>387</v>
      </c>
      <c r="O272" s="642">
        <v>1</v>
      </c>
      <c r="P272" s="632">
        <v>47</v>
      </c>
      <c r="Q272" s="632">
        <v>47</v>
      </c>
      <c r="R272" s="632">
        <v>47</v>
      </c>
      <c r="S272" s="673">
        <f>SUMIF('Территориальный кк'!$A:$A,'2020'!$B272,'Территориальный кк'!F:F)</f>
        <v>1.4350000000000001</v>
      </c>
      <c r="T272" s="673">
        <f>SUMIF('Территориальный кк'!$A:$A,'2020'!$B272,'Территориальный кк'!G:G)</f>
        <v>2.2879999999999998</v>
      </c>
      <c r="U272" s="624">
        <f>SUMIFS(Нормативы!G:G,Нормативы!$B:$B,$G272,Нормативы!$D:$D,'2020'!$I272,Нормативы!$F:$F,'2020'!$K272)*O272</f>
        <v>22310</v>
      </c>
      <c r="V272" s="624">
        <f t="shared" si="674"/>
        <v>17135.2</v>
      </c>
      <c r="W272" s="624">
        <f t="shared" si="675"/>
        <v>5174.8</v>
      </c>
      <c r="X272" s="624">
        <f>SUMIFS(Нормативы!J:J,Нормативы!$B:$B,$G272,Нормативы!$D:$D,'2020'!$I272,Нормативы!$F:$F,'2020'!$K272)</f>
        <v>1910</v>
      </c>
      <c r="Y272" s="624">
        <f>SUMIFS(Нормативы!K:K,Нормативы!$B:$B,$G272,Нормативы!$D:$D,'2020'!$I272,Нормативы!$F:$F,'2020'!$K272)</f>
        <v>382</v>
      </c>
      <c r="Z272" s="624">
        <f>SUMIFS(Нормативы!L:L,Нормативы!$B:$B,$G272,Нормативы!$D:$D,'2020'!$I272,Нормативы!$F:$F,'2020'!$K272)</f>
        <v>3970</v>
      </c>
      <c r="AA272" s="624">
        <f t="shared" si="676"/>
        <v>13670</v>
      </c>
      <c r="AB272" s="624">
        <f>SUMIFS(Нормативы!N:N,Нормативы!$B:$B,$G272,Нормативы!$D:$D,'2020'!$I272,Нормативы!$F:$F,'2020'!$K272)*O272</f>
        <v>460</v>
      </c>
      <c r="AC272" s="624">
        <f>SUMIFS(Нормативы!O:O,Нормативы!$B:$B,$G272,Нормативы!$D:$D,'2020'!$I272,Нормативы!$F:$F,'2020'!$K272)</f>
        <v>9200</v>
      </c>
      <c r="AD272" s="624">
        <f>SUMIFS(Нормативы!P:P,Нормативы!$B:$B,$G272,Нормативы!$D:$D,'2020'!$I272,Нормативы!$F:$F,'2020'!$K272)*O272</f>
        <v>3270</v>
      </c>
      <c r="AE272" s="624">
        <f>SUMIFS(Нормативы!Q:Q,Нормативы!$B:$B,$G272,Нормативы!$D:$D,'2020'!$I272,Нормативы!$F:$F,'2020'!$K272)</f>
        <v>740</v>
      </c>
      <c r="AF272" s="624">
        <f>SUMIFS(Нормативы!R:R,Нормативы!$B:$B,$G272,Нормативы!$D:$D,'2020'!$I272,Нормативы!$F:$F,'2020'!$K272)</f>
        <v>2120</v>
      </c>
      <c r="AG272" s="624">
        <f>SUMIFS(Нормативы!S:S,Нормативы!$B:$B,$G272,Нормативы!$D:$D,'2020'!$I272,Нормативы!$F:$F,'2020'!$K272)</f>
        <v>8620</v>
      </c>
      <c r="AH272" s="624">
        <f>SUMIFS(Нормативы!T:T,Нормативы!$B:$B,$G272,Нормативы!$D:$D,'2020'!$I272,Нормативы!$F:$F,'2020'!$K272)</f>
        <v>310</v>
      </c>
      <c r="AI272" s="624">
        <f>SUMIFS(Нормативы!U:U,Нормативы!$B:$B,$G272,Нормативы!$D:$D,'2020'!$I272,Нормативы!$F:$F,'2020'!$K272)</f>
        <v>1240</v>
      </c>
      <c r="AJ272" s="624">
        <f>SUMIFS(Нормативы!V:V,Нормативы!$B:$B,$G272,Нормативы!$D:$D,'2020'!$I272,Нормативы!$F:$F,'2020'!$K272)</f>
        <v>50</v>
      </c>
      <c r="AK272" s="624">
        <f>SUMIFS(Нормативы!W:W,Нормативы!$B:$B,$G272,Нормативы!$D:$D,'2020'!$I272,Нормативы!$F:$F,'2020'!$K272)</f>
        <v>2570</v>
      </c>
      <c r="AL272" s="624">
        <f>SUMIFS(Нормативы!X:X,Нормативы!$B:$B,$G272,Нормативы!$D:$D,'2020'!$I272,Нормативы!$F:$F,'2020'!$K272)*O272</f>
        <v>17850</v>
      </c>
      <c r="AM272" s="624">
        <f t="shared" si="677"/>
        <v>13709.7</v>
      </c>
      <c r="AN272" s="624">
        <f t="shared" si="678"/>
        <v>4140.3</v>
      </c>
      <c r="AO272" s="624">
        <f>SUMIFS(Нормативы!AA:AA,Нормативы!$B:$B,$G272,Нормативы!$D:$D,'2020'!$I272,Нормативы!$F:$F,'2020'!$K272)</f>
        <v>650</v>
      </c>
      <c r="AP272" s="621">
        <f t="shared" si="679"/>
        <v>75270</v>
      </c>
      <c r="AQ272" s="610">
        <f t="shared" si="616"/>
        <v>1048570</v>
      </c>
      <c r="AR272" s="624">
        <f t="shared" si="680"/>
        <v>805353.3</v>
      </c>
      <c r="AS272" s="624">
        <f t="shared" si="681"/>
        <v>243216.7</v>
      </c>
      <c r="AT272" s="615">
        <f t="shared" si="617"/>
        <v>89770</v>
      </c>
      <c r="AU272" s="615">
        <f t="shared" si="618"/>
        <v>17954</v>
      </c>
      <c r="AV272" s="615">
        <f t="shared" si="619"/>
        <v>186590</v>
      </c>
      <c r="AW272" s="615">
        <f t="shared" si="620"/>
        <v>642490</v>
      </c>
      <c r="AX272" s="615">
        <f t="shared" si="621"/>
        <v>21620</v>
      </c>
      <c r="AY272" s="615">
        <f t="shared" si="622"/>
        <v>432400</v>
      </c>
      <c r="AZ272" s="615">
        <f t="shared" si="623"/>
        <v>153690</v>
      </c>
      <c r="BA272" s="615">
        <f t="shared" si="624"/>
        <v>34780</v>
      </c>
      <c r="BB272" s="615">
        <f t="shared" si="625"/>
        <v>99640</v>
      </c>
      <c r="BC272" s="615">
        <f t="shared" si="626"/>
        <v>405140</v>
      </c>
      <c r="BD272" s="615">
        <f t="shared" si="627"/>
        <v>14570</v>
      </c>
      <c r="BE272" s="615">
        <f t="shared" si="628"/>
        <v>58280</v>
      </c>
      <c r="BF272" s="615">
        <f t="shared" si="629"/>
        <v>2350</v>
      </c>
      <c r="BG272" s="615">
        <f t="shared" si="630"/>
        <v>120790</v>
      </c>
      <c r="BH272" s="615">
        <f t="shared" si="631"/>
        <v>838950</v>
      </c>
      <c r="BI272" s="624">
        <f t="shared" si="682"/>
        <v>644354.80000000005</v>
      </c>
      <c r="BJ272" s="624">
        <f t="shared" si="683"/>
        <v>194595.20000000001</v>
      </c>
      <c r="BK272" s="615">
        <f t="shared" si="632"/>
        <v>30550</v>
      </c>
      <c r="BL272" s="620">
        <f t="shared" si="633"/>
        <v>3537690</v>
      </c>
      <c r="BM272" s="615">
        <f t="shared" si="634"/>
        <v>1504698</v>
      </c>
      <c r="BN272" s="624">
        <f t="shared" si="635"/>
        <v>1155682</v>
      </c>
      <c r="BO272" s="624">
        <f t="shared" si="636"/>
        <v>349016</v>
      </c>
      <c r="BP272" s="615">
        <f t="shared" si="684"/>
        <v>89770</v>
      </c>
      <c r="BQ272" s="615">
        <f t="shared" si="685"/>
        <v>17954</v>
      </c>
      <c r="BR272" s="615">
        <f t="shared" si="686"/>
        <v>186590</v>
      </c>
      <c r="BS272" s="615">
        <f t="shared" si="637"/>
        <v>642490</v>
      </c>
      <c r="BT272" s="616">
        <f t="shared" si="638"/>
        <v>21620</v>
      </c>
      <c r="BU272" s="616">
        <f t="shared" si="639"/>
        <v>432400</v>
      </c>
      <c r="BV272" s="616">
        <f t="shared" si="640"/>
        <v>153690</v>
      </c>
      <c r="BW272" s="616">
        <f t="shared" si="641"/>
        <v>34780</v>
      </c>
      <c r="BX272" s="615">
        <f t="shared" si="642"/>
        <v>227976</v>
      </c>
      <c r="BY272" s="615">
        <f t="shared" si="643"/>
        <v>405140</v>
      </c>
      <c r="BZ272" s="615">
        <f t="shared" si="644"/>
        <v>14570</v>
      </c>
      <c r="CA272" s="615">
        <f t="shared" si="645"/>
        <v>58280</v>
      </c>
      <c r="CB272" s="615">
        <f t="shared" si="646"/>
        <v>2350</v>
      </c>
      <c r="CC272" s="615">
        <f t="shared" si="647"/>
        <v>120790</v>
      </c>
      <c r="CD272" s="615">
        <f t="shared" si="648"/>
        <v>1203893</v>
      </c>
      <c r="CE272" s="624">
        <f t="shared" si="687"/>
        <v>924649</v>
      </c>
      <c r="CF272" s="624">
        <f t="shared" si="688"/>
        <v>279244</v>
      </c>
      <c r="CG272" s="615">
        <f t="shared" si="649"/>
        <v>30550</v>
      </c>
      <c r="CH272" s="621">
        <f t="shared" si="650"/>
        <v>4487097</v>
      </c>
      <c r="CI272" s="88">
        <f t="shared" si="651"/>
        <v>32014.8511</v>
      </c>
      <c r="CJ272" s="90">
        <f t="shared" si="652"/>
        <v>24588.9787</v>
      </c>
      <c r="CK272" s="90">
        <f t="shared" si="653"/>
        <v>7425.8723</v>
      </c>
      <c r="CL272" s="88">
        <f t="shared" si="654"/>
        <v>1910</v>
      </c>
      <c r="CM272" s="88">
        <f t="shared" si="655"/>
        <v>382</v>
      </c>
      <c r="CN272" s="88">
        <f t="shared" si="656"/>
        <v>3970</v>
      </c>
      <c r="CO272" s="88">
        <f t="shared" si="657"/>
        <v>13670</v>
      </c>
      <c r="CP272" s="88">
        <f t="shared" si="658"/>
        <v>460</v>
      </c>
      <c r="CQ272" s="88">
        <f t="shared" si="659"/>
        <v>9200</v>
      </c>
      <c r="CR272" s="88">
        <f t="shared" si="660"/>
        <v>3270</v>
      </c>
      <c r="CS272" s="88">
        <f t="shared" si="661"/>
        <v>740</v>
      </c>
      <c r="CT272" s="88">
        <f t="shared" si="662"/>
        <v>4850.5532000000003</v>
      </c>
      <c r="CU272" s="88">
        <f t="shared" si="663"/>
        <v>8620</v>
      </c>
      <c r="CV272" s="88">
        <f t="shared" si="664"/>
        <v>310</v>
      </c>
      <c r="CW272" s="88">
        <f t="shared" si="665"/>
        <v>1240</v>
      </c>
      <c r="CX272" s="88">
        <f t="shared" si="666"/>
        <v>50</v>
      </c>
      <c r="CY272" s="88">
        <f t="shared" si="667"/>
        <v>2570</v>
      </c>
      <c r="CZ272" s="88">
        <f t="shared" si="668"/>
        <v>25614.744699999999</v>
      </c>
      <c r="DA272" s="90">
        <f t="shared" si="669"/>
        <v>19673.383000000002</v>
      </c>
      <c r="DB272" s="90">
        <f t="shared" si="670"/>
        <v>5941.3617000000004</v>
      </c>
      <c r="DC272" s="88">
        <f t="shared" si="671"/>
        <v>650</v>
      </c>
      <c r="DD272" s="88">
        <f t="shared" si="672"/>
        <v>95470.1489</v>
      </c>
      <c r="AUV272" s="699">
        <f t="shared" si="758"/>
        <v>32014.85</v>
      </c>
      <c r="AUW272" s="699">
        <f t="shared" si="759"/>
        <v>24588.98</v>
      </c>
      <c r="AUX272" s="699">
        <f t="shared" si="760"/>
        <v>7425.87</v>
      </c>
      <c r="AUY272" s="699">
        <f t="shared" si="761"/>
        <v>1910</v>
      </c>
      <c r="AUZ272" s="699">
        <f t="shared" si="615"/>
        <v>7847.03</v>
      </c>
      <c r="AVA272" s="699">
        <f t="shared" si="615"/>
        <v>8.36</v>
      </c>
      <c r="AVB272" s="699">
        <f t="shared" si="762"/>
        <v>13670</v>
      </c>
      <c r="AVC272" s="699">
        <f t="shared" si="763"/>
        <v>460</v>
      </c>
      <c r="AVD272" s="699">
        <f t="shared" si="764"/>
        <v>9200</v>
      </c>
      <c r="AVE272" s="699">
        <f t="shared" si="765"/>
        <v>3270</v>
      </c>
      <c r="AVF272" s="699">
        <f t="shared" si="766"/>
        <v>740</v>
      </c>
      <c r="AVG272" s="699">
        <f t="shared" si="767"/>
        <v>4850.55</v>
      </c>
      <c r="AVH272" s="699">
        <f t="shared" si="768"/>
        <v>8620</v>
      </c>
      <c r="AVI272" s="699">
        <f t="shared" si="769"/>
        <v>310</v>
      </c>
      <c r="AVJ272" s="699">
        <f t="shared" si="770"/>
        <v>1240</v>
      </c>
      <c r="AVK272" s="699">
        <f t="shared" si="771"/>
        <v>50</v>
      </c>
      <c r="AVL272" s="699">
        <f t="shared" si="772"/>
        <v>2570</v>
      </c>
      <c r="AVM272" s="699">
        <f t="shared" si="773"/>
        <v>25614.74</v>
      </c>
      <c r="AVN272" s="699">
        <f t="shared" si="774"/>
        <v>19673.38</v>
      </c>
      <c r="AVO272" s="699">
        <f t="shared" si="775"/>
        <v>5941.36</v>
      </c>
      <c r="AVP272" s="699">
        <f t="shared" si="776"/>
        <v>650</v>
      </c>
      <c r="AVQ272" s="699">
        <f t="shared" si="777"/>
        <v>95470.15</v>
      </c>
    </row>
    <row r="273" spans="1:108 1244:1265" ht="30" customHeight="1" x14ac:dyDescent="0.25">
      <c r="A273" s="642">
        <v>1</v>
      </c>
      <c r="B273" s="642">
        <v>12</v>
      </c>
      <c r="C273" s="663" t="s">
        <v>27</v>
      </c>
      <c r="D273" s="2"/>
      <c r="E273" s="277" t="s">
        <v>348</v>
      </c>
      <c r="F273" s="642" t="s">
        <v>40</v>
      </c>
      <c r="G273" s="642">
        <v>4</v>
      </c>
      <c r="H273" s="657" t="s">
        <v>10</v>
      </c>
      <c r="I273" s="642">
        <v>0</v>
      </c>
      <c r="J273" s="277" t="s">
        <v>392</v>
      </c>
      <c r="K273" s="642">
        <v>3</v>
      </c>
      <c r="L273" s="682" t="s">
        <v>353</v>
      </c>
      <c r="M273" s="419" t="s">
        <v>320</v>
      </c>
      <c r="N273" s="277" t="s">
        <v>401</v>
      </c>
      <c r="O273" s="642">
        <v>2</v>
      </c>
      <c r="P273" s="632">
        <v>10</v>
      </c>
      <c r="Q273" s="632">
        <v>10</v>
      </c>
      <c r="R273" s="632">
        <v>10</v>
      </c>
      <c r="S273" s="673">
        <f>SUMIF('Территориальный кк'!$A:$A,'2020'!$B273,'Территориальный кк'!F:F)</f>
        <v>1.4350000000000001</v>
      </c>
      <c r="T273" s="673">
        <f>SUMIF('Территориальный кк'!$A:$A,'2020'!$B273,'Территориальный кк'!G:G)</f>
        <v>2.2879999999999998</v>
      </c>
      <c r="U273" s="624">
        <f>SUMIFS(Нормативы!G:G,Нормативы!$B:$B,$G273,Нормативы!$D:$D,'2020'!$I273,Нормативы!$F:$F,'2020'!$K273)*O273</f>
        <v>44620</v>
      </c>
      <c r="V273" s="624">
        <f t="shared" si="674"/>
        <v>34270.400000000001</v>
      </c>
      <c r="W273" s="624">
        <f t="shared" si="675"/>
        <v>10349.6</v>
      </c>
      <c r="X273" s="624">
        <f>SUMIFS(Нормативы!J:J,Нормативы!$B:$B,$G273,Нормативы!$D:$D,'2020'!$I273,Нормативы!$F:$F,'2020'!$K273)</f>
        <v>1910</v>
      </c>
      <c r="Y273" s="624">
        <f>SUMIFS(Нормативы!K:K,Нормативы!$B:$B,$G273,Нормативы!$D:$D,'2020'!$I273,Нормативы!$F:$F,'2020'!$K273)</f>
        <v>382</v>
      </c>
      <c r="Z273" s="624">
        <f>SUMIFS(Нормативы!L:L,Нормативы!$B:$B,$G273,Нормативы!$D:$D,'2020'!$I273,Нормативы!$F:$F,'2020'!$K273)</f>
        <v>3970</v>
      </c>
      <c r="AA273" s="624">
        <f t="shared" si="676"/>
        <v>17400</v>
      </c>
      <c r="AB273" s="624">
        <f>SUMIFS(Нормативы!N:N,Нормативы!$B:$B,$G273,Нормативы!$D:$D,'2020'!$I273,Нормативы!$F:$F,'2020'!$K273)*O273</f>
        <v>920</v>
      </c>
      <c r="AC273" s="624">
        <f>SUMIFS(Нормативы!O:O,Нормативы!$B:$B,$G273,Нормативы!$D:$D,'2020'!$I273,Нормативы!$F:$F,'2020'!$K273)</f>
        <v>9200</v>
      </c>
      <c r="AD273" s="624">
        <f>SUMIFS(Нормативы!P:P,Нормативы!$B:$B,$G273,Нормативы!$D:$D,'2020'!$I273,Нормативы!$F:$F,'2020'!$K273)*O273</f>
        <v>6540</v>
      </c>
      <c r="AE273" s="624">
        <f>SUMIFS(Нормативы!Q:Q,Нормативы!$B:$B,$G273,Нормативы!$D:$D,'2020'!$I273,Нормативы!$F:$F,'2020'!$K273)</f>
        <v>740</v>
      </c>
      <c r="AF273" s="624">
        <f>SUMIFS(Нормативы!R:R,Нормативы!$B:$B,$G273,Нормативы!$D:$D,'2020'!$I273,Нормативы!$F:$F,'2020'!$K273)</f>
        <v>2120</v>
      </c>
      <c r="AG273" s="624">
        <f>SUMIFS(Нормативы!S:S,Нормативы!$B:$B,$G273,Нормативы!$D:$D,'2020'!$I273,Нормативы!$F:$F,'2020'!$K273)</f>
        <v>8620</v>
      </c>
      <c r="AH273" s="624">
        <f>SUMIFS(Нормативы!T:T,Нормативы!$B:$B,$G273,Нормативы!$D:$D,'2020'!$I273,Нормативы!$F:$F,'2020'!$K273)</f>
        <v>310</v>
      </c>
      <c r="AI273" s="624">
        <f>SUMIFS(Нормативы!U:U,Нормативы!$B:$B,$G273,Нормативы!$D:$D,'2020'!$I273,Нормативы!$F:$F,'2020'!$K273)</f>
        <v>1240</v>
      </c>
      <c r="AJ273" s="624">
        <f>SUMIFS(Нормативы!V:V,Нормативы!$B:$B,$G273,Нормативы!$D:$D,'2020'!$I273,Нормативы!$F:$F,'2020'!$K273)</f>
        <v>50</v>
      </c>
      <c r="AK273" s="624">
        <f>SUMIFS(Нормативы!W:W,Нормативы!$B:$B,$G273,Нормативы!$D:$D,'2020'!$I273,Нормативы!$F:$F,'2020'!$K273)</f>
        <v>2570</v>
      </c>
      <c r="AL273" s="624">
        <f>SUMIFS(Нормативы!X:X,Нормативы!$B:$B,$G273,Нормативы!$D:$D,'2020'!$I273,Нормативы!$F:$F,'2020'!$K273)*O273</f>
        <v>35700</v>
      </c>
      <c r="AM273" s="624">
        <f t="shared" si="677"/>
        <v>27419.4</v>
      </c>
      <c r="AN273" s="624">
        <f t="shared" si="678"/>
        <v>8280.6</v>
      </c>
      <c r="AO273" s="624">
        <f>SUMIFS(Нормативы!AA:AA,Нормативы!$B:$B,$G273,Нормативы!$D:$D,'2020'!$I273,Нормативы!$F:$F,'2020'!$K273)</f>
        <v>650</v>
      </c>
      <c r="AP273" s="621">
        <f t="shared" si="679"/>
        <v>119160</v>
      </c>
      <c r="AQ273" s="610">
        <f t="shared" si="616"/>
        <v>446200</v>
      </c>
      <c r="AR273" s="624">
        <f t="shared" si="680"/>
        <v>342703.5</v>
      </c>
      <c r="AS273" s="624">
        <f t="shared" si="681"/>
        <v>103496.5</v>
      </c>
      <c r="AT273" s="615">
        <f t="shared" si="617"/>
        <v>19100</v>
      </c>
      <c r="AU273" s="615">
        <f t="shared" si="618"/>
        <v>3820</v>
      </c>
      <c r="AV273" s="615">
        <f t="shared" si="619"/>
        <v>39700</v>
      </c>
      <c r="AW273" s="615">
        <f t="shared" si="620"/>
        <v>174000</v>
      </c>
      <c r="AX273" s="615">
        <f t="shared" si="621"/>
        <v>9200</v>
      </c>
      <c r="AY273" s="615">
        <f t="shared" si="622"/>
        <v>92000</v>
      </c>
      <c r="AZ273" s="615">
        <f t="shared" si="623"/>
        <v>65400</v>
      </c>
      <c r="BA273" s="615">
        <f t="shared" si="624"/>
        <v>7400</v>
      </c>
      <c r="BB273" s="615">
        <f t="shared" si="625"/>
        <v>21200</v>
      </c>
      <c r="BC273" s="615">
        <f t="shared" si="626"/>
        <v>86200</v>
      </c>
      <c r="BD273" s="615">
        <f t="shared" si="627"/>
        <v>3100</v>
      </c>
      <c r="BE273" s="615">
        <f t="shared" si="628"/>
        <v>12400</v>
      </c>
      <c r="BF273" s="615">
        <f t="shared" si="629"/>
        <v>500</v>
      </c>
      <c r="BG273" s="615">
        <f t="shared" si="630"/>
        <v>25700</v>
      </c>
      <c r="BH273" s="615">
        <f t="shared" si="631"/>
        <v>357000</v>
      </c>
      <c r="BI273" s="624">
        <f t="shared" si="682"/>
        <v>274193.5</v>
      </c>
      <c r="BJ273" s="624">
        <f t="shared" si="683"/>
        <v>82806.5</v>
      </c>
      <c r="BK273" s="615">
        <f t="shared" si="632"/>
        <v>6500</v>
      </c>
      <c r="BL273" s="620">
        <f t="shared" si="633"/>
        <v>1191600</v>
      </c>
      <c r="BM273" s="615">
        <f t="shared" si="634"/>
        <v>640297</v>
      </c>
      <c r="BN273" s="624">
        <f t="shared" si="635"/>
        <v>491779.6</v>
      </c>
      <c r="BO273" s="624">
        <f t="shared" si="636"/>
        <v>148517.4</v>
      </c>
      <c r="BP273" s="615">
        <f t="shared" si="684"/>
        <v>19100</v>
      </c>
      <c r="BQ273" s="615">
        <f t="shared" si="685"/>
        <v>3820</v>
      </c>
      <c r="BR273" s="615">
        <f t="shared" si="686"/>
        <v>39700</v>
      </c>
      <c r="BS273" s="615">
        <f t="shared" si="637"/>
        <v>174000</v>
      </c>
      <c r="BT273" s="616">
        <f t="shared" si="638"/>
        <v>9200</v>
      </c>
      <c r="BU273" s="616">
        <f t="shared" si="639"/>
        <v>92000</v>
      </c>
      <c r="BV273" s="616">
        <f t="shared" si="640"/>
        <v>65400</v>
      </c>
      <c r="BW273" s="616">
        <f t="shared" si="641"/>
        <v>7400</v>
      </c>
      <c r="BX273" s="615">
        <f t="shared" si="642"/>
        <v>48506</v>
      </c>
      <c r="BY273" s="615">
        <f t="shared" si="643"/>
        <v>86200</v>
      </c>
      <c r="BZ273" s="615">
        <f t="shared" si="644"/>
        <v>3100</v>
      </c>
      <c r="CA273" s="615">
        <f t="shared" si="645"/>
        <v>12400</v>
      </c>
      <c r="CB273" s="615">
        <f t="shared" si="646"/>
        <v>500</v>
      </c>
      <c r="CC273" s="615">
        <f t="shared" si="647"/>
        <v>25700</v>
      </c>
      <c r="CD273" s="615">
        <f t="shared" si="648"/>
        <v>512295</v>
      </c>
      <c r="CE273" s="624">
        <f t="shared" si="687"/>
        <v>393467.7</v>
      </c>
      <c r="CF273" s="624">
        <f t="shared" si="688"/>
        <v>118827.3</v>
      </c>
      <c r="CG273" s="615">
        <f t="shared" si="649"/>
        <v>6500</v>
      </c>
      <c r="CH273" s="621">
        <f t="shared" si="650"/>
        <v>1568298</v>
      </c>
      <c r="CI273" s="88">
        <f t="shared" si="651"/>
        <v>64029.7</v>
      </c>
      <c r="CJ273" s="90">
        <f t="shared" si="652"/>
        <v>49177.96</v>
      </c>
      <c r="CK273" s="90">
        <f t="shared" si="653"/>
        <v>14851.74</v>
      </c>
      <c r="CL273" s="88">
        <f t="shared" si="654"/>
        <v>1910</v>
      </c>
      <c r="CM273" s="88">
        <f t="shared" si="655"/>
        <v>382</v>
      </c>
      <c r="CN273" s="88">
        <f t="shared" si="656"/>
        <v>3970</v>
      </c>
      <c r="CO273" s="88">
        <f t="shared" si="657"/>
        <v>17400</v>
      </c>
      <c r="CP273" s="88">
        <f t="shared" si="658"/>
        <v>920</v>
      </c>
      <c r="CQ273" s="88">
        <f t="shared" si="659"/>
        <v>9200</v>
      </c>
      <c r="CR273" s="88">
        <f t="shared" si="660"/>
        <v>6540</v>
      </c>
      <c r="CS273" s="88">
        <f t="shared" si="661"/>
        <v>740</v>
      </c>
      <c r="CT273" s="88">
        <f t="shared" si="662"/>
        <v>4850.6000000000004</v>
      </c>
      <c r="CU273" s="88">
        <f t="shared" si="663"/>
        <v>8620</v>
      </c>
      <c r="CV273" s="88">
        <f t="shared" si="664"/>
        <v>310</v>
      </c>
      <c r="CW273" s="88">
        <f t="shared" si="665"/>
        <v>1240</v>
      </c>
      <c r="CX273" s="88">
        <f t="shared" si="666"/>
        <v>50</v>
      </c>
      <c r="CY273" s="88">
        <f t="shared" si="667"/>
        <v>2570</v>
      </c>
      <c r="CZ273" s="88">
        <f t="shared" si="668"/>
        <v>51229.5</v>
      </c>
      <c r="DA273" s="90">
        <f t="shared" si="669"/>
        <v>39346.769999999997</v>
      </c>
      <c r="DB273" s="90">
        <f t="shared" si="670"/>
        <v>11882.73</v>
      </c>
      <c r="DC273" s="88">
        <f t="shared" si="671"/>
        <v>650</v>
      </c>
      <c r="DD273" s="88">
        <f t="shared" si="672"/>
        <v>156829.79999999999</v>
      </c>
      <c r="AUV273" s="699">
        <f t="shared" si="758"/>
        <v>64029.7</v>
      </c>
      <c r="AUW273" s="699">
        <f t="shared" si="759"/>
        <v>49177.96</v>
      </c>
      <c r="AUX273" s="699">
        <f t="shared" si="760"/>
        <v>14851.74</v>
      </c>
      <c r="AUY273" s="699">
        <f t="shared" si="761"/>
        <v>1910</v>
      </c>
      <c r="AUZ273" s="699">
        <f t="shared" si="615"/>
        <v>1669.58</v>
      </c>
      <c r="AVA273" s="699">
        <f t="shared" si="615"/>
        <v>0.89</v>
      </c>
      <c r="AVB273" s="699">
        <f t="shared" si="762"/>
        <v>17400</v>
      </c>
      <c r="AVC273" s="699">
        <f t="shared" si="763"/>
        <v>920</v>
      </c>
      <c r="AVD273" s="699">
        <f t="shared" si="764"/>
        <v>9200</v>
      </c>
      <c r="AVE273" s="699">
        <f t="shared" si="765"/>
        <v>6540</v>
      </c>
      <c r="AVF273" s="699">
        <f t="shared" si="766"/>
        <v>740</v>
      </c>
      <c r="AVG273" s="699">
        <f t="shared" si="767"/>
        <v>4850.6000000000004</v>
      </c>
      <c r="AVH273" s="699">
        <f t="shared" si="768"/>
        <v>8620</v>
      </c>
      <c r="AVI273" s="699">
        <f t="shared" si="769"/>
        <v>310</v>
      </c>
      <c r="AVJ273" s="699">
        <f t="shared" si="770"/>
        <v>1240</v>
      </c>
      <c r="AVK273" s="699">
        <f t="shared" si="771"/>
        <v>50</v>
      </c>
      <c r="AVL273" s="699">
        <f t="shared" si="772"/>
        <v>2570</v>
      </c>
      <c r="AVM273" s="699">
        <f t="shared" si="773"/>
        <v>51229.5</v>
      </c>
      <c r="AVN273" s="699">
        <f t="shared" si="774"/>
        <v>39346.769999999997</v>
      </c>
      <c r="AVO273" s="699">
        <f t="shared" si="775"/>
        <v>11882.73</v>
      </c>
      <c r="AVP273" s="699">
        <f t="shared" si="776"/>
        <v>650</v>
      </c>
      <c r="AVQ273" s="699">
        <f t="shared" si="777"/>
        <v>156829.79999999999</v>
      </c>
    </row>
    <row r="274" spans="1:108 1244:1265" ht="30" customHeight="1" x14ac:dyDescent="0.25">
      <c r="A274" s="642">
        <v>1</v>
      </c>
      <c r="B274" s="642">
        <v>12</v>
      </c>
      <c r="C274" s="663" t="s">
        <v>27</v>
      </c>
      <c r="D274" s="2"/>
      <c r="E274" s="277" t="s">
        <v>348</v>
      </c>
      <c r="F274" s="642" t="s">
        <v>40</v>
      </c>
      <c r="G274" s="642">
        <v>4</v>
      </c>
      <c r="H274" s="657" t="s">
        <v>8</v>
      </c>
      <c r="I274" s="642">
        <v>3</v>
      </c>
      <c r="J274" s="277" t="s">
        <v>391</v>
      </c>
      <c r="K274" s="642">
        <v>3</v>
      </c>
      <c r="L274" s="682" t="s">
        <v>353</v>
      </c>
      <c r="M274" s="419" t="s">
        <v>327</v>
      </c>
      <c r="N274" s="277" t="s">
        <v>387</v>
      </c>
      <c r="O274" s="642">
        <v>1</v>
      </c>
      <c r="P274" s="632">
        <v>100</v>
      </c>
      <c r="Q274" s="632">
        <v>100</v>
      </c>
      <c r="R274" s="632">
        <v>100</v>
      </c>
      <c r="S274" s="673">
        <f>SUMIF('Территориальный кк'!$A:$A,'2020'!$B274,'Территориальный кк'!F:F)</f>
        <v>1.4350000000000001</v>
      </c>
      <c r="T274" s="673">
        <f>SUMIF('Территориальный кк'!$A:$A,'2020'!$B274,'Территориальный кк'!G:G)</f>
        <v>2.2879999999999998</v>
      </c>
      <c r="U274" s="624">
        <f>SUMIFS(Нормативы!G:G,Нормативы!$B:$B,$G274,Нормативы!$D:$D,'2020'!$I274,Нормативы!$F:$F,'2020'!$K274)*O274</f>
        <v>2231</v>
      </c>
      <c r="V274" s="624">
        <f t="shared" si="674"/>
        <v>1713.5</v>
      </c>
      <c r="W274" s="624">
        <f t="shared" si="675"/>
        <v>517.5</v>
      </c>
      <c r="X274" s="624">
        <f>SUMIFS(Нормативы!J:J,Нормативы!$B:$B,$G274,Нормативы!$D:$D,'2020'!$I274,Нормативы!$F:$F,'2020'!$K274)</f>
        <v>191</v>
      </c>
      <c r="Y274" s="624">
        <f>SUMIFS(Нормативы!K:K,Нормативы!$B:$B,$G274,Нормативы!$D:$D,'2020'!$I274,Нормативы!$F:$F,'2020'!$K274)</f>
        <v>38.200000000000003</v>
      </c>
      <c r="Z274" s="624">
        <f>SUMIFS(Нормативы!L:L,Нормативы!$B:$B,$G274,Нормативы!$D:$D,'2020'!$I274,Нормативы!$F:$F,'2020'!$K274)</f>
        <v>397</v>
      </c>
      <c r="AA274" s="624">
        <f t="shared" si="676"/>
        <v>1367</v>
      </c>
      <c r="AB274" s="624">
        <f>SUMIFS(Нормативы!N:N,Нормативы!$B:$B,$G274,Нормативы!$D:$D,'2020'!$I274,Нормативы!$F:$F,'2020'!$K274)*O274</f>
        <v>46</v>
      </c>
      <c r="AC274" s="624">
        <f>SUMIFS(Нормативы!O:O,Нормативы!$B:$B,$G274,Нормативы!$D:$D,'2020'!$I274,Нормативы!$F:$F,'2020'!$K274)</f>
        <v>920</v>
      </c>
      <c r="AD274" s="624">
        <f>SUMIFS(Нормативы!P:P,Нормативы!$B:$B,$G274,Нормативы!$D:$D,'2020'!$I274,Нормативы!$F:$F,'2020'!$K274)*O274</f>
        <v>327</v>
      </c>
      <c r="AE274" s="624">
        <f>SUMIFS(Нормативы!Q:Q,Нормативы!$B:$B,$G274,Нормативы!$D:$D,'2020'!$I274,Нормативы!$F:$F,'2020'!$K274)</f>
        <v>74</v>
      </c>
      <c r="AF274" s="624">
        <f>SUMIFS(Нормативы!R:R,Нормативы!$B:$B,$G274,Нормативы!$D:$D,'2020'!$I274,Нормативы!$F:$F,'2020'!$K274)</f>
        <v>212</v>
      </c>
      <c r="AG274" s="624">
        <f>SUMIFS(Нормативы!S:S,Нормативы!$B:$B,$G274,Нормативы!$D:$D,'2020'!$I274,Нормативы!$F:$F,'2020'!$K274)</f>
        <v>862</v>
      </c>
      <c r="AH274" s="624">
        <f>SUMIFS(Нормативы!T:T,Нормативы!$B:$B,$G274,Нормативы!$D:$D,'2020'!$I274,Нормативы!$F:$F,'2020'!$K274)</f>
        <v>31</v>
      </c>
      <c r="AI274" s="624">
        <f>SUMIFS(Нормативы!U:U,Нормативы!$B:$B,$G274,Нормативы!$D:$D,'2020'!$I274,Нормативы!$F:$F,'2020'!$K274)</f>
        <v>124</v>
      </c>
      <c r="AJ274" s="624">
        <f>SUMIFS(Нормативы!V:V,Нормативы!$B:$B,$G274,Нормативы!$D:$D,'2020'!$I274,Нормативы!$F:$F,'2020'!$K274)</f>
        <v>5</v>
      </c>
      <c r="AK274" s="624">
        <f>SUMIFS(Нормативы!W:W,Нормативы!$B:$B,$G274,Нормативы!$D:$D,'2020'!$I274,Нормативы!$F:$F,'2020'!$K274)</f>
        <v>257</v>
      </c>
      <c r="AL274" s="624">
        <f>SUMIFS(Нормативы!X:X,Нормативы!$B:$B,$G274,Нормативы!$D:$D,'2020'!$I274,Нормативы!$F:$F,'2020'!$K274)*O274</f>
        <v>1785</v>
      </c>
      <c r="AM274" s="624">
        <f t="shared" si="677"/>
        <v>1371</v>
      </c>
      <c r="AN274" s="624">
        <f t="shared" si="678"/>
        <v>414</v>
      </c>
      <c r="AO274" s="624">
        <f>SUMIFS(Нормативы!AA:AA,Нормативы!$B:$B,$G274,Нормативы!$D:$D,'2020'!$I274,Нормативы!$F:$F,'2020'!$K274)</f>
        <v>0</v>
      </c>
      <c r="AP274" s="621">
        <f t="shared" si="679"/>
        <v>7462</v>
      </c>
      <c r="AQ274" s="610">
        <f t="shared" si="616"/>
        <v>223100</v>
      </c>
      <c r="AR274" s="624">
        <f t="shared" si="680"/>
        <v>171351.8</v>
      </c>
      <c r="AS274" s="624">
        <f t="shared" si="681"/>
        <v>51748.2</v>
      </c>
      <c r="AT274" s="615">
        <f t="shared" si="617"/>
        <v>19100</v>
      </c>
      <c r="AU274" s="615">
        <f t="shared" si="618"/>
        <v>3820</v>
      </c>
      <c r="AV274" s="615">
        <f t="shared" si="619"/>
        <v>39700</v>
      </c>
      <c r="AW274" s="615">
        <f t="shared" si="620"/>
        <v>136700</v>
      </c>
      <c r="AX274" s="615">
        <f t="shared" si="621"/>
        <v>4600</v>
      </c>
      <c r="AY274" s="615">
        <f t="shared" si="622"/>
        <v>92000</v>
      </c>
      <c r="AZ274" s="615">
        <f t="shared" si="623"/>
        <v>32700</v>
      </c>
      <c r="BA274" s="615">
        <f t="shared" si="624"/>
        <v>7400</v>
      </c>
      <c r="BB274" s="615">
        <f t="shared" si="625"/>
        <v>21200</v>
      </c>
      <c r="BC274" s="615">
        <f t="shared" si="626"/>
        <v>86200</v>
      </c>
      <c r="BD274" s="615">
        <f t="shared" si="627"/>
        <v>3100</v>
      </c>
      <c r="BE274" s="615">
        <f t="shared" si="628"/>
        <v>12400</v>
      </c>
      <c r="BF274" s="615">
        <f t="shared" si="629"/>
        <v>500</v>
      </c>
      <c r="BG274" s="615">
        <f t="shared" si="630"/>
        <v>25700</v>
      </c>
      <c r="BH274" s="615">
        <f t="shared" si="631"/>
        <v>178500</v>
      </c>
      <c r="BI274" s="624">
        <f t="shared" si="682"/>
        <v>137096.79999999999</v>
      </c>
      <c r="BJ274" s="624">
        <f t="shared" si="683"/>
        <v>41403.199999999997</v>
      </c>
      <c r="BK274" s="615">
        <f t="shared" si="632"/>
        <v>0</v>
      </c>
      <c r="BL274" s="620">
        <f t="shared" si="633"/>
        <v>746200</v>
      </c>
      <c r="BM274" s="615">
        <f t="shared" si="634"/>
        <v>320149</v>
      </c>
      <c r="BN274" s="624">
        <f t="shared" si="635"/>
        <v>245890.2</v>
      </c>
      <c r="BO274" s="624">
        <f t="shared" si="636"/>
        <v>74258.8</v>
      </c>
      <c r="BP274" s="615">
        <f t="shared" si="684"/>
        <v>19100</v>
      </c>
      <c r="BQ274" s="615">
        <f t="shared" si="685"/>
        <v>3820</v>
      </c>
      <c r="BR274" s="615">
        <f t="shared" si="686"/>
        <v>39700</v>
      </c>
      <c r="BS274" s="615">
        <f t="shared" si="637"/>
        <v>136700</v>
      </c>
      <c r="BT274" s="616">
        <f t="shared" si="638"/>
        <v>4600</v>
      </c>
      <c r="BU274" s="616">
        <f t="shared" si="639"/>
        <v>92000</v>
      </c>
      <c r="BV274" s="616">
        <f t="shared" si="640"/>
        <v>32700</v>
      </c>
      <c r="BW274" s="616">
        <f t="shared" si="641"/>
        <v>7400</v>
      </c>
      <c r="BX274" s="615">
        <f t="shared" si="642"/>
        <v>48506</v>
      </c>
      <c r="BY274" s="615">
        <f t="shared" si="643"/>
        <v>86200</v>
      </c>
      <c r="BZ274" s="615">
        <f t="shared" si="644"/>
        <v>3100</v>
      </c>
      <c r="CA274" s="615">
        <f t="shared" si="645"/>
        <v>12400</v>
      </c>
      <c r="CB274" s="615">
        <f t="shared" si="646"/>
        <v>500</v>
      </c>
      <c r="CC274" s="615">
        <f t="shared" si="647"/>
        <v>25700</v>
      </c>
      <c r="CD274" s="615">
        <f t="shared" si="648"/>
        <v>256148</v>
      </c>
      <c r="CE274" s="624">
        <f t="shared" si="687"/>
        <v>196734.3</v>
      </c>
      <c r="CF274" s="624">
        <f t="shared" si="688"/>
        <v>59413.7</v>
      </c>
      <c r="CG274" s="615">
        <f t="shared" si="649"/>
        <v>0</v>
      </c>
      <c r="CH274" s="621">
        <f t="shared" si="650"/>
        <v>948203</v>
      </c>
      <c r="CI274" s="88">
        <f t="shared" si="651"/>
        <v>3201.49</v>
      </c>
      <c r="CJ274" s="90">
        <f t="shared" si="652"/>
        <v>2458.902</v>
      </c>
      <c r="CK274" s="90">
        <f t="shared" si="653"/>
        <v>742.58799999999997</v>
      </c>
      <c r="CL274" s="88">
        <f t="shared" si="654"/>
        <v>191</v>
      </c>
      <c r="CM274" s="88">
        <f t="shared" si="655"/>
        <v>38.200000000000003</v>
      </c>
      <c r="CN274" s="88">
        <f t="shared" si="656"/>
        <v>397</v>
      </c>
      <c r="CO274" s="88">
        <f t="shared" si="657"/>
        <v>1367</v>
      </c>
      <c r="CP274" s="88">
        <f t="shared" si="658"/>
        <v>46</v>
      </c>
      <c r="CQ274" s="88">
        <f t="shared" si="659"/>
        <v>920</v>
      </c>
      <c r="CR274" s="88">
        <f t="shared" si="660"/>
        <v>327</v>
      </c>
      <c r="CS274" s="88">
        <f t="shared" si="661"/>
        <v>74</v>
      </c>
      <c r="CT274" s="88">
        <f t="shared" si="662"/>
        <v>485.06</v>
      </c>
      <c r="CU274" s="88">
        <f t="shared" si="663"/>
        <v>862</v>
      </c>
      <c r="CV274" s="88">
        <f t="shared" si="664"/>
        <v>31</v>
      </c>
      <c r="CW274" s="88">
        <f t="shared" si="665"/>
        <v>124</v>
      </c>
      <c r="CX274" s="88">
        <f t="shared" si="666"/>
        <v>5</v>
      </c>
      <c r="CY274" s="88">
        <f t="shared" si="667"/>
        <v>257</v>
      </c>
      <c r="CZ274" s="88">
        <f t="shared" si="668"/>
        <v>2561.48</v>
      </c>
      <c r="DA274" s="90">
        <f t="shared" si="669"/>
        <v>1967.3430000000001</v>
      </c>
      <c r="DB274" s="90">
        <f t="shared" si="670"/>
        <v>594.13699999999994</v>
      </c>
      <c r="DC274" s="88">
        <f t="shared" si="671"/>
        <v>0</v>
      </c>
      <c r="DD274" s="88">
        <f t="shared" si="672"/>
        <v>9482.0300000000007</v>
      </c>
      <c r="AUV274" s="699">
        <f t="shared" si="758"/>
        <v>3201.49</v>
      </c>
      <c r="AUW274" s="699">
        <f t="shared" si="759"/>
        <v>2458.9</v>
      </c>
      <c r="AUX274" s="699">
        <f t="shared" si="760"/>
        <v>742.59</v>
      </c>
      <c r="AUY274" s="699">
        <f t="shared" si="761"/>
        <v>191</v>
      </c>
      <c r="AUZ274" s="699">
        <f t="shared" si="615"/>
        <v>1669.58</v>
      </c>
      <c r="AVA274" s="699">
        <f t="shared" si="615"/>
        <v>17.79</v>
      </c>
      <c r="AVB274" s="699">
        <f t="shared" si="762"/>
        <v>1367</v>
      </c>
      <c r="AVC274" s="699">
        <f t="shared" si="763"/>
        <v>46</v>
      </c>
      <c r="AVD274" s="699">
        <f t="shared" si="764"/>
        <v>920</v>
      </c>
      <c r="AVE274" s="699">
        <f t="shared" si="765"/>
        <v>327</v>
      </c>
      <c r="AVF274" s="699">
        <f t="shared" si="766"/>
        <v>74</v>
      </c>
      <c r="AVG274" s="699">
        <f t="shared" si="767"/>
        <v>485.06</v>
      </c>
      <c r="AVH274" s="699">
        <f t="shared" si="768"/>
        <v>862</v>
      </c>
      <c r="AVI274" s="699">
        <f t="shared" si="769"/>
        <v>31</v>
      </c>
      <c r="AVJ274" s="699">
        <f t="shared" si="770"/>
        <v>124</v>
      </c>
      <c r="AVK274" s="699">
        <f t="shared" si="771"/>
        <v>5</v>
      </c>
      <c r="AVL274" s="699">
        <f t="shared" si="772"/>
        <v>257</v>
      </c>
      <c r="AVM274" s="699">
        <f t="shared" si="773"/>
        <v>2561.48</v>
      </c>
      <c r="AVN274" s="699">
        <f t="shared" si="774"/>
        <v>1967.34</v>
      </c>
      <c r="AVO274" s="699">
        <f t="shared" si="775"/>
        <v>594.14</v>
      </c>
      <c r="AVP274" s="699">
        <f t="shared" si="776"/>
        <v>0</v>
      </c>
      <c r="AVQ274" s="699">
        <f t="shared" si="777"/>
        <v>9482.0300000000007</v>
      </c>
    </row>
    <row r="275" spans="1:108 1244:1265" ht="30" customHeight="1" x14ac:dyDescent="0.25">
      <c r="A275" s="642">
        <v>1</v>
      </c>
      <c r="B275" s="642">
        <v>12</v>
      </c>
      <c r="C275" s="663" t="s">
        <v>27</v>
      </c>
      <c r="D275" s="2"/>
      <c r="E275" s="277" t="s">
        <v>348</v>
      </c>
      <c r="F275" s="642" t="s">
        <v>40</v>
      </c>
      <c r="G275" s="642">
        <v>4</v>
      </c>
      <c r="H275" s="657" t="s">
        <v>10</v>
      </c>
      <c r="I275" s="642">
        <v>0</v>
      </c>
      <c r="J275" s="277" t="s">
        <v>392</v>
      </c>
      <c r="K275" s="642">
        <v>3</v>
      </c>
      <c r="L275" s="682" t="s">
        <v>353</v>
      </c>
      <c r="M275" s="419" t="s">
        <v>319</v>
      </c>
      <c r="N275" s="277" t="s">
        <v>387</v>
      </c>
      <c r="O275" s="642">
        <v>1</v>
      </c>
      <c r="P275" s="632">
        <v>106</v>
      </c>
      <c r="Q275" s="632">
        <v>106</v>
      </c>
      <c r="R275" s="632">
        <v>106</v>
      </c>
      <c r="S275" s="673">
        <f>SUMIF('Территориальный кк'!$A:$A,'2020'!$B275,'Территориальный кк'!F:F)</f>
        <v>1.4350000000000001</v>
      </c>
      <c r="T275" s="673">
        <f>SUMIF('Территориальный кк'!$A:$A,'2020'!$B275,'Территориальный кк'!G:G)</f>
        <v>2.2879999999999998</v>
      </c>
      <c r="U275" s="624">
        <f>SUMIFS(Нормативы!G:G,Нормативы!$B:$B,$G275,Нормативы!$D:$D,'2020'!$I275,Нормативы!$F:$F,'2020'!$K275)*O275</f>
        <v>22310</v>
      </c>
      <c r="V275" s="624">
        <f t="shared" si="674"/>
        <v>17135.2</v>
      </c>
      <c r="W275" s="624">
        <f t="shared" si="675"/>
        <v>5174.8</v>
      </c>
      <c r="X275" s="624">
        <f>SUMIFS(Нормативы!J:J,Нормативы!$B:$B,$G275,Нормативы!$D:$D,'2020'!$I275,Нормативы!$F:$F,'2020'!$K275)</f>
        <v>1910</v>
      </c>
      <c r="Y275" s="624">
        <f>SUMIFS(Нормативы!K:K,Нормативы!$B:$B,$G275,Нормативы!$D:$D,'2020'!$I275,Нормативы!$F:$F,'2020'!$K275)</f>
        <v>382</v>
      </c>
      <c r="Z275" s="624">
        <f>SUMIFS(Нормативы!L:L,Нормативы!$B:$B,$G275,Нормативы!$D:$D,'2020'!$I275,Нормативы!$F:$F,'2020'!$K275)</f>
        <v>3970</v>
      </c>
      <c r="AA275" s="624">
        <f t="shared" si="676"/>
        <v>13670</v>
      </c>
      <c r="AB275" s="624">
        <f>SUMIFS(Нормативы!N:N,Нормативы!$B:$B,$G275,Нормативы!$D:$D,'2020'!$I275,Нормативы!$F:$F,'2020'!$K275)*O275</f>
        <v>460</v>
      </c>
      <c r="AC275" s="624">
        <f>SUMIFS(Нормативы!O:O,Нормативы!$B:$B,$G275,Нормативы!$D:$D,'2020'!$I275,Нормативы!$F:$F,'2020'!$K275)</f>
        <v>9200</v>
      </c>
      <c r="AD275" s="624">
        <f>SUMIFS(Нормативы!P:P,Нормативы!$B:$B,$G275,Нормативы!$D:$D,'2020'!$I275,Нормативы!$F:$F,'2020'!$K275)*O275</f>
        <v>3270</v>
      </c>
      <c r="AE275" s="624">
        <f>SUMIFS(Нормативы!Q:Q,Нормативы!$B:$B,$G275,Нормативы!$D:$D,'2020'!$I275,Нормативы!$F:$F,'2020'!$K275)</f>
        <v>740</v>
      </c>
      <c r="AF275" s="624">
        <f>SUMIFS(Нормативы!R:R,Нормативы!$B:$B,$G275,Нормативы!$D:$D,'2020'!$I275,Нормативы!$F:$F,'2020'!$K275)</f>
        <v>2120</v>
      </c>
      <c r="AG275" s="624">
        <f>SUMIFS(Нормативы!S:S,Нормативы!$B:$B,$G275,Нормативы!$D:$D,'2020'!$I275,Нормативы!$F:$F,'2020'!$K275)</f>
        <v>8620</v>
      </c>
      <c r="AH275" s="624">
        <f>SUMIFS(Нормативы!T:T,Нормативы!$B:$B,$G275,Нормативы!$D:$D,'2020'!$I275,Нормативы!$F:$F,'2020'!$K275)</f>
        <v>310</v>
      </c>
      <c r="AI275" s="624">
        <f>SUMIFS(Нормативы!U:U,Нормативы!$B:$B,$G275,Нормативы!$D:$D,'2020'!$I275,Нормативы!$F:$F,'2020'!$K275)</f>
        <v>1240</v>
      </c>
      <c r="AJ275" s="624">
        <f>SUMIFS(Нормативы!V:V,Нормативы!$B:$B,$G275,Нормативы!$D:$D,'2020'!$I275,Нормативы!$F:$F,'2020'!$K275)</f>
        <v>50</v>
      </c>
      <c r="AK275" s="624">
        <f>SUMIFS(Нормативы!W:W,Нормативы!$B:$B,$G275,Нормативы!$D:$D,'2020'!$I275,Нормативы!$F:$F,'2020'!$K275)</f>
        <v>2570</v>
      </c>
      <c r="AL275" s="624">
        <f>SUMIFS(Нормативы!X:X,Нормативы!$B:$B,$G275,Нормативы!$D:$D,'2020'!$I275,Нормативы!$F:$F,'2020'!$K275)*O275</f>
        <v>17850</v>
      </c>
      <c r="AM275" s="624">
        <f t="shared" si="677"/>
        <v>13709.7</v>
      </c>
      <c r="AN275" s="624">
        <f t="shared" si="678"/>
        <v>4140.3</v>
      </c>
      <c r="AO275" s="624">
        <f>SUMIFS(Нормативы!AA:AA,Нормативы!$B:$B,$G275,Нормативы!$D:$D,'2020'!$I275,Нормативы!$F:$F,'2020'!$K275)</f>
        <v>650</v>
      </c>
      <c r="AP275" s="621">
        <f t="shared" si="679"/>
        <v>75270</v>
      </c>
      <c r="AQ275" s="610">
        <f t="shared" si="616"/>
        <v>2364860</v>
      </c>
      <c r="AR275" s="624">
        <f t="shared" si="680"/>
        <v>1816328.7</v>
      </c>
      <c r="AS275" s="624">
        <f t="shared" si="681"/>
        <v>548531.30000000005</v>
      </c>
      <c r="AT275" s="615">
        <f t="shared" si="617"/>
        <v>202460</v>
      </c>
      <c r="AU275" s="615">
        <f t="shared" si="618"/>
        <v>40492</v>
      </c>
      <c r="AV275" s="615">
        <f t="shared" si="619"/>
        <v>420820</v>
      </c>
      <c r="AW275" s="615">
        <f t="shared" si="620"/>
        <v>1449020</v>
      </c>
      <c r="AX275" s="615">
        <f t="shared" si="621"/>
        <v>48760</v>
      </c>
      <c r="AY275" s="615">
        <f t="shared" si="622"/>
        <v>975200</v>
      </c>
      <c r="AZ275" s="615">
        <f t="shared" si="623"/>
        <v>346620</v>
      </c>
      <c r="BA275" s="615">
        <f t="shared" si="624"/>
        <v>78440</v>
      </c>
      <c r="BB275" s="615">
        <f t="shared" si="625"/>
        <v>224720</v>
      </c>
      <c r="BC275" s="615">
        <f t="shared" si="626"/>
        <v>913720</v>
      </c>
      <c r="BD275" s="615">
        <f t="shared" si="627"/>
        <v>32860</v>
      </c>
      <c r="BE275" s="615">
        <f t="shared" si="628"/>
        <v>131440</v>
      </c>
      <c r="BF275" s="615">
        <f t="shared" si="629"/>
        <v>5300</v>
      </c>
      <c r="BG275" s="615">
        <f t="shared" si="630"/>
        <v>272420</v>
      </c>
      <c r="BH275" s="615">
        <f t="shared" si="631"/>
        <v>1892100</v>
      </c>
      <c r="BI275" s="624">
        <f t="shared" si="682"/>
        <v>1453225.8</v>
      </c>
      <c r="BJ275" s="624">
        <f t="shared" si="683"/>
        <v>438874.2</v>
      </c>
      <c r="BK275" s="615">
        <f t="shared" si="632"/>
        <v>68900</v>
      </c>
      <c r="BL275" s="620">
        <f t="shared" si="633"/>
        <v>7978620</v>
      </c>
      <c r="BM275" s="615">
        <f t="shared" si="634"/>
        <v>3393574</v>
      </c>
      <c r="BN275" s="624">
        <f t="shared" si="635"/>
        <v>2606431.6</v>
      </c>
      <c r="BO275" s="624">
        <f t="shared" si="636"/>
        <v>787142.4</v>
      </c>
      <c r="BP275" s="615">
        <f t="shared" si="684"/>
        <v>202460</v>
      </c>
      <c r="BQ275" s="615">
        <f t="shared" si="685"/>
        <v>40492</v>
      </c>
      <c r="BR275" s="615">
        <f t="shared" si="686"/>
        <v>420820</v>
      </c>
      <c r="BS275" s="615">
        <f t="shared" si="637"/>
        <v>1449020</v>
      </c>
      <c r="BT275" s="616">
        <f t="shared" si="638"/>
        <v>48760</v>
      </c>
      <c r="BU275" s="616">
        <f t="shared" si="639"/>
        <v>975200</v>
      </c>
      <c r="BV275" s="616">
        <f t="shared" si="640"/>
        <v>346620</v>
      </c>
      <c r="BW275" s="616">
        <f t="shared" si="641"/>
        <v>78440</v>
      </c>
      <c r="BX275" s="615">
        <f t="shared" si="642"/>
        <v>514159</v>
      </c>
      <c r="BY275" s="615">
        <f t="shared" si="643"/>
        <v>913720</v>
      </c>
      <c r="BZ275" s="615">
        <f t="shared" si="644"/>
        <v>32860</v>
      </c>
      <c r="CA275" s="615">
        <f t="shared" si="645"/>
        <v>131440</v>
      </c>
      <c r="CB275" s="615">
        <f t="shared" si="646"/>
        <v>5300</v>
      </c>
      <c r="CC275" s="615">
        <f t="shared" si="647"/>
        <v>272420</v>
      </c>
      <c r="CD275" s="615">
        <f t="shared" si="648"/>
        <v>2715164</v>
      </c>
      <c r="CE275" s="624">
        <f t="shared" si="687"/>
        <v>2085379.4</v>
      </c>
      <c r="CF275" s="624">
        <f t="shared" si="688"/>
        <v>629784.6</v>
      </c>
      <c r="CG275" s="615">
        <f t="shared" si="649"/>
        <v>68900</v>
      </c>
      <c r="CH275" s="621">
        <f t="shared" si="650"/>
        <v>10119837</v>
      </c>
      <c r="CI275" s="88">
        <f t="shared" si="651"/>
        <v>32014.849099999999</v>
      </c>
      <c r="CJ275" s="90">
        <f t="shared" si="652"/>
        <v>24588.9774</v>
      </c>
      <c r="CK275" s="90">
        <f t="shared" si="653"/>
        <v>7425.8716999999997</v>
      </c>
      <c r="CL275" s="88">
        <f t="shared" si="654"/>
        <v>1910</v>
      </c>
      <c r="CM275" s="88">
        <f t="shared" si="655"/>
        <v>382</v>
      </c>
      <c r="CN275" s="88">
        <f t="shared" si="656"/>
        <v>3970</v>
      </c>
      <c r="CO275" s="88">
        <f t="shared" si="657"/>
        <v>13670</v>
      </c>
      <c r="CP275" s="88">
        <f t="shared" si="658"/>
        <v>460</v>
      </c>
      <c r="CQ275" s="88">
        <f t="shared" si="659"/>
        <v>9200</v>
      </c>
      <c r="CR275" s="88">
        <f t="shared" si="660"/>
        <v>3270</v>
      </c>
      <c r="CS275" s="88">
        <f t="shared" si="661"/>
        <v>740</v>
      </c>
      <c r="CT275" s="88">
        <f t="shared" si="662"/>
        <v>4850.5565999999999</v>
      </c>
      <c r="CU275" s="88">
        <f t="shared" si="663"/>
        <v>8620</v>
      </c>
      <c r="CV275" s="88">
        <f t="shared" si="664"/>
        <v>310</v>
      </c>
      <c r="CW275" s="88">
        <f t="shared" si="665"/>
        <v>1240</v>
      </c>
      <c r="CX275" s="88">
        <f t="shared" si="666"/>
        <v>50</v>
      </c>
      <c r="CY275" s="88">
        <f t="shared" si="667"/>
        <v>2570</v>
      </c>
      <c r="CZ275" s="88">
        <f t="shared" si="668"/>
        <v>25614.754700000001</v>
      </c>
      <c r="DA275" s="90">
        <f t="shared" si="669"/>
        <v>19673.390599999999</v>
      </c>
      <c r="DB275" s="90">
        <f t="shared" si="670"/>
        <v>5941.3642</v>
      </c>
      <c r="DC275" s="88">
        <f t="shared" si="671"/>
        <v>650</v>
      </c>
      <c r="DD275" s="88">
        <f t="shared" si="672"/>
        <v>95470.160399999993</v>
      </c>
      <c r="AUV275" s="699">
        <f t="shared" si="758"/>
        <v>32014.85</v>
      </c>
      <c r="AUW275" s="699">
        <f t="shared" si="759"/>
        <v>24588.98</v>
      </c>
      <c r="AUX275" s="699">
        <f t="shared" si="760"/>
        <v>7425.87</v>
      </c>
      <c r="AUY275" s="699">
        <f t="shared" si="761"/>
        <v>1910</v>
      </c>
      <c r="AUZ275" s="699">
        <f t="shared" si="615"/>
        <v>17697.55</v>
      </c>
      <c r="AVA275" s="699">
        <f t="shared" si="615"/>
        <v>18.86</v>
      </c>
      <c r="AVB275" s="699">
        <f t="shared" si="762"/>
        <v>13670</v>
      </c>
      <c r="AVC275" s="699">
        <f t="shared" si="763"/>
        <v>460</v>
      </c>
      <c r="AVD275" s="699">
        <f t="shared" si="764"/>
        <v>9200</v>
      </c>
      <c r="AVE275" s="699">
        <f t="shared" si="765"/>
        <v>3270</v>
      </c>
      <c r="AVF275" s="699">
        <f t="shared" si="766"/>
        <v>740</v>
      </c>
      <c r="AVG275" s="699">
        <f t="shared" si="767"/>
        <v>4850.5600000000004</v>
      </c>
      <c r="AVH275" s="699">
        <f t="shared" si="768"/>
        <v>8620</v>
      </c>
      <c r="AVI275" s="699">
        <f t="shared" si="769"/>
        <v>310</v>
      </c>
      <c r="AVJ275" s="699">
        <f t="shared" si="770"/>
        <v>1240</v>
      </c>
      <c r="AVK275" s="699">
        <f t="shared" si="771"/>
        <v>50</v>
      </c>
      <c r="AVL275" s="699">
        <f t="shared" si="772"/>
        <v>2570</v>
      </c>
      <c r="AVM275" s="699">
        <f t="shared" si="773"/>
        <v>25614.75</v>
      </c>
      <c r="AVN275" s="699">
        <f t="shared" si="774"/>
        <v>19673.39</v>
      </c>
      <c r="AVO275" s="699">
        <f t="shared" si="775"/>
        <v>5941.36</v>
      </c>
      <c r="AVP275" s="699">
        <f t="shared" si="776"/>
        <v>650</v>
      </c>
      <c r="AVQ275" s="699">
        <f t="shared" si="777"/>
        <v>95470.16</v>
      </c>
    </row>
    <row r="276" spans="1:108 1244:1265" ht="30" customHeight="1" x14ac:dyDescent="0.25">
      <c r="A276" s="643">
        <v>1</v>
      </c>
      <c r="B276" s="643">
        <v>12</v>
      </c>
      <c r="C276" s="664" t="s">
        <v>27</v>
      </c>
      <c r="D276" s="2"/>
      <c r="E276" s="101" t="s">
        <v>346</v>
      </c>
      <c r="F276" s="643" t="s">
        <v>39</v>
      </c>
      <c r="G276" s="643">
        <v>3</v>
      </c>
      <c r="H276" s="658" t="s">
        <v>10</v>
      </c>
      <c r="I276" s="643">
        <v>0</v>
      </c>
      <c r="J276" s="101" t="s">
        <v>366</v>
      </c>
      <c r="K276" s="643">
        <v>3</v>
      </c>
      <c r="L276" s="683" t="s">
        <v>351</v>
      </c>
      <c r="M276" s="11" t="s">
        <v>272</v>
      </c>
      <c r="N276" s="101" t="s">
        <v>387</v>
      </c>
      <c r="O276" s="643">
        <v>1</v>
      </c>
      <c r="P276" s="632">
        <v>8</v>
      </c>
      <c r="Q276" s="632">
        <v>8</v>
      </c>
      <c r="R276" s="632">
        <v>8</v>
      </c>
      <c r="S276" s="675">
        <f>SUMIF('Территориальный кк'!$A:$A,'2020'!$B276,'Территориальный кк'!D:D)</f>
        <v>1.4350000000000001</v>
      </c>
      <c r="T276" s="676">
        <f>SUMIF('Территориальный кк'!$A:$A,'2020'!$B276,'Территориальный кк'!E:E)</f>
        <v>2.5099999999999998</v>
      </c>
      <c r="U276" s="618">
        <f>SUMIFS(Нормативы!G:G,Нормативы!$B:$B,$G276,Нормативы!$D:$D,'2020'!$I276,Нормативы!$F:$F,'2020'!$K276)*O276</f>
        <v>78450</v>
      </c>
      <c r="V276" s="618">
        <f t="shared" si="674"/>
        <v>60253.5</v>
      </c>
      <c r="W276" s="618">
        <f t="shared" si="675"/>
        <v>18196.5</v>
      </c>
      <c r="X276" s="618">
        <f>SUMIFS(Нормативы!J:J,Нормативы!$B:$B,$G276,Нормативы!$D:$D,'2020'!$I276,Нормативы!$F:$F,'2020'!$K276)</f>
        <v>6840</v>
      </c>
      <c r="Y276" s="618">
        <f>SUMIFS(Нормативы!K:K,Нормативы!$B:$B,$G276,Нормативы!$D:$D,'2020'!$I276,Нормативы!$F:$F,'2020'!$K276)</f>
        <v>1368</v>
      </c>
      <c r="Z276" s="618">
        <f>SUMIFS(Нормативы!L:L,Нормативы!$B:$B,$G276,Нормативы!$D:$D,'2020'!$I276,Нормативы!$F:$F,'2020'!$K276)</f>
        <v>8110</v>
      </c>
      <c r="AA276" s="618">
        <f t="shared" si="676"/>
        <v>23360</v>
      </c>
      <c r="AB276" s="618">
        <f>SUMIFS(Нормативы!N:N,Нормативы!$B:$B,$G276,Нормативы!$D:$D,'2020'!$I276,Нормативы!$F:$F,'2020'!$K276)*O276</f>
        <v>880</v>
      </c>
      <c r="AC276" s="618">
        <f>SUMIFS(Нормативы!O:O,Нормативы!$B:$B,$G276,Нормативы!$D:$D,'2020'!$I276,Нормативы!$F:$F,'2020'!$K276)</f>
        <v>20960</v>
      </c>
      <c r="AD276" s="618">
        <f>SUMIFS(Нормативы!P:P,Нормативы!$B:$B,$G276,Нормативы!$D:$D,'2020'!$I276,Нормативы!$F:$F,'2020'!$K276)*O276</f>
        <v>440</v>
      </c>
      <c r="AE276" s="618">
        <f>SUMIFS(Нормативы!Q:Q,Нормативы!$B:$B,$G276,Нормативы!$D:$D,'2020'!$I276,Нормативы!$F:$F,'2020'!$K276)</f>
        <v>1080</v>
      </c>
      <c r="AF276" s="618">
        <f>SUMIFS(Нормативы!R:R,Нормативы!$B:$B,$G276,Нормативы!$D:$D,'2020'!$I276,Нормативы!$F:$F,'2020'!$K276)</f>
        <v>2700</v>
      </c>
      <c r="AG276" s="618">
        <f>SUMIFS(Нормативы!S:S,Нормативы!$B:$B,$G276,Нормативы!$D:$D,'2020'!$I276,Нормативы!$F:$F,'2020'!$K276)</f>
        <v>5800</v>
      </c>
      <c r="AH276" s="618">
        <f>SUMIFS(Нормативы!T:T,Нормативы!$B:$B,$G276,Нормативы!$D:$D,'2020'!$I276,Нормативы!$F:$F,'2020'!$K276)</f>
        <v>540</v>
      </c>
      <c r="AI276" s="618">
        <f>SUMIFS(Нормативы!U:U,Нормативы!$B:$B,$G276,Нормативы!$D:$D,'2020'!$I276,Нормативы!$F:$F,'2020'!$K276)</f>
        <v>770</v>
      </c>
      <c r="AJ276" s="618">
        <f>SUMIFS(Нормативы!V:V,Нормативы!$B:$B,$G276,Нормативы!$D:$D,'2020'!$I276,Нормативы!$F:$F,'2020'!$K276)</f>
        <v>170</v>
      </c>
      <c r="AK276" s="618">
        <f>SUMIFS(Нормативы!W:W,Нормативы!$B:$B,$G276,Нормативы!$D:$D,'2020'!$I276,Нормативы!$F:$F,'2020'!$K276)</f>
        <v>200</v>
      </c>
      <c r="AL276" s="618">
        <f>SUMIFS(Нормативы!X:X,Нормативы!$B:$B,$G276,Нормативы!$D:$D,'2020'!$I276,Нормативы!$F:$F,'2020'!$K276)*O276</f>
        <v>13440</v>
      </c>
      <c r="AM276" s="618">
        <f t="shared" si="677"/>
        <v>10322.6</v>
      </c>
      <c r="AN276" s="618">
        <f t="shared" si="678"/>
        <v>3117.4</v>
      </c>
      <c r="AO276" s="618">
        <f>SUMIFS(Нормативы!AA:AA,Нормативы!$B:$B,$G276,Нормативы!$D:$D,'2020'!$I276,Нормативы!$F:$F,'2020'!$K276)</f>
        <v>0</v>
      </c>
      <c r="AP276" s="619">
        <f t="shared" si="679"/>
        <v>140380</v>
      </c>
      <c r="AQ276" s="413">
        <f t="shared" si="616"/>
        <v>627600</v>
      </c>
      <c r="AR276" s="618">
        <f t="shared" si="680"/>
        <v>482027.6</v>
      </c>
      <c r="AS276" s="618">
        <f t="shared" si="681"/>
        <v>145572.4</v>
      </c>
      <c r="AT276" s="616">
        <f t="shared" si="617"/>
        <v>54720</v>
      </c>
      <c r="AU276" s="616">
        <f t="shared" si="618"/>
        <v>10944</v>
      </c>
      <c r="AV276" s="616">
        <f t="shared" si="619"/>
        <v>64880</v>
      </c>
      <c r="AW276" s="616">
        <f t="shared" si="620"/>
        <v>186880</v>
      </c>
      <c r="AX276" s="616">
        <f t="shared" si="621"/>
        <v>7040</v>
      </c>
      <c r="AY276" s="616">
        <f t="shared" si="622"/>
        <v>167680</v>
      </c>
      <c r="AZ276" s="616">
        <f t="shared" si="623"/>
        <v>3520</v>
      </c>
      <c r="BA276" s="616">
        <f t="shared" si="624"/>
        <v>8640</v>
      </c>
      <c r="BB276" s="616">
        <f t="shared" si="625"/>
        <v>21600</v>
      </c>
      <c r="BC276" s="616">
        <f t="shared" si="626"/>
        <v>46400</v>
      </c>
      <c r="BD276" s="616">
        <f t="shared" si="627"/>
        <v>4320</v>
      </c>
      <c r="BE276" s="616">
        <f t="shared" si="628"/>
        <v>6160</v>
      </c>
      <c r="BF276" s="616">
        <f t="shared" si="629"/>
        <v>1360</v>
      </c>
      <c r="BG276" s="616">
        <f t="shared" si="630"/>
        <v>1600</v>
      </c>
      <c r="BH276" s="616">
        <f t="shared" si="631"/>
        <v>107520</v>
      </c>
      <c r="BI276" s="618">
        <f t="shared" si="682"/>
        <v>82580.600000000006</v>
      </c>
      <c r="BJ276" s="618">
        <f t="shared" si="683"/>
        <v>24939.4</v>
      </c>
      <c r="BK276" s="616">
        <f t="shared" si="632"/>
        <v>0</v>
      </c>
      <c r="BL276" s="620">
        <f t="shared" si="633"/>
        <v>1123040</v>
      </c>
      <c r="BM276" s="616">
        <f t="shared" si="634"/>
        <v>900606</v>
      </c>
      <c r="BN276" s="618">
        <f t="shared" si="635"/>
        <v>691709.7</v>
      </c>
      <c r="BO276" s="618">
        <f t="shared" si="636"/>
        <v>208896.3</v>
      </c>
      <c r="BP276" s="616">
        <f t="shared" si="684"/>
        <v>54720</v>
      </c>
      <c r="BQ276" s="616">
        <f t="shared" si="685"/>
        <v>10944</v>
      </c>
      <c r="BR276" s="616">
        <f t="shared" si="686"/>
        <v>64880</v>
      </c>
      <c r="BS276" s="616">
        <f t="shared" si="637"/>
        <v>186880</v>
      </c>
      <c r="BT276" s="616">
        <f t="shared" si="638"/>
        <v>7040</v>
      </c>
      <c r="BU276" s="616">
        <f t="shared" si="639"/>
        <v>167680</v>
      </c>
      <c r="BV276" s="616">
        <f t="shared" si="640"/>
        <v>3520</v>
      </c>
      <c r="BW276" s="616">
        <f t="shared" si="641"/>
        <v>8640</v>
      </c>
      <c r="BX276" s="616">
        <f t="shared" si="642"/>
        <v>54216</v>
      </c>
      <c r="BY276" s="616">
        <f t="shared" si="643"/>
        <v>46400</v>
      </c>
      <c r="BZ276" s="616">
        <f t="shared" si="644"/>
        <v>4320</v>
      </c>
      <c r="CA276" s="616">
        <f t="shared" si="645"/>
        <v>6160</v>
      </c>
      <c r="CB276" s="616">
        <f t="shared" si="646"/>
        <v>1360</v>
      </c>
      <c r="CC276" s="616">
        <f t="shared" si="647"/>
        <v>1600</v>
      </c>
      <c r="CD276" s="616">
        <f t="shared" si="648"/>
        <v>154291</v>
      </c>
      <c r="CE276" s="618">
        <f t="shared" si="687"/>
        <v>118503.1</v>
      </c>
      <c r="CF276" s="618">
        <f t="shared" si="688"/>
        <v>35787.9</v>
      </c>
      <c r="CG276" s="616">
        <f t="shared" si="649"/>
        <v>0</v>
      </c>
      <c r="CH276" s="621">
        <f t="shared" si="650"/>
        <v>1475433</v>
      </c>
      <c r="CI276" s="88">
        <f t="shared" si="651"/>
        <v>112575.75</v>
      </c>
      <c r="CJ276" s="90">
        <f t="shared" si="652"/>
        <v>86463.712499999994</v>
      </c>
      <c r="CK276" s="90">
        <f t="shared" si="653"/>
        <v>26112.037499999999</v>
      </c>
      <c r="CL276" s="88">
        <f t="shared" si="654"/>
        <v>6840</v>
      </c>
      <c r="CM276" s="88">
        <f t="shared" si="655"/>
        <v>1368</v>
      </c>
      <c r="CN276" s="88">
        <f t="shared" si="656"/>
        <v>8110</v>
      </c>
      <c r="CO276" s="88">
        <f t="shared" si="657"/>
        <v>23360</v>
      </c>
      <c r="CP276" s="88">
        <f t="shared" si="658"/>
        <v>880</v>
      </c>
      <c r="CQ276" s="88">
        <f t="shared" si="659"/>
        <v>20960</v>
      </c>
      <c r="CR276" s="88">
        <f t="shared" si="660"/>
        <v>440</v>
      </c>
      <c r="CS276" s="88">
        <f t="shared" si="661"/>
        <v>1080</v>
      </c>
      <c r="CT276" s="88">
        <f t="shared" si="662"/>
        <v>6777</v>
      </c>
      <c r="CU276" s="88">
        <f t="shared" si="663"/>
        <v>5800</v>
      </c>
      <c r="CV276" s="88">
        <f t="shared" si="664"/>
        <v>540</v>
      </c>
      <c r="CW276" s="88">
        <f t="shared" si="665"/>
        <v>770</v>
      </c>
      <c r="CX276" s="88">
        <f t="shared" si="666"/>
        <v>170</v>
      </c>
      <c r="CY276" s="88">
        <f t="shared" si="667"/>
        <v>200</v>
      </c>
      <c r="CZ276" s="88">
        <f t="shared" si="668"/>
        <v>19286.375</v>
      </c>
      <c r="DA276" s="90">
        <f t="shared" si="669"/>
        <v>14812.887500000001</v>
      </c>
      <c r="DB276" s="90">
        <f t="shared" si="670"/>
        <v>4473.4875000000002</v>
      </c>
      <c r="DC276" s="88">
        <f t="shared" si="671"/>
        <v>0</v>
      </c>
      <c r="DD276" s="88">
        <f t="shared" si="672"/>
        <v>184429.125</v>
      </c>
      <c r="AUV276" s="699">
        <f t="shared" si="758"/>
        <v>112575.75</v>
      </c>
      <c r="AUW276" s="699">
        <f t="shared" si="759"/>
        <v>86463.71</v>
      </c>
      <c r="AUX276" s="699">
        <f t="shared" si="760"/>
        <v>26112.04</v>
      </c>
      <c r="AUY276" s="699">
        <f t="shared" si="761"/>
        <v>6840</v>
      </c>
      <c r="AUZ276" s="699">
        <f t="shared" si="615"/>
        <v>4360.16</v>
      </c>
      <c r="AVA276" s="699">
        <f t="shared" si="615"/>
        <v>0.83</v>
      </c>
      <c r="AVB276" s="699">
        <f t="shared" si="762"/>
        <v>23360</v>
      </c>
      <c r="AVC276" s="699">
        <f t="shared" si="763"/>
        <v>880</v>
      </c>
      <c r="AVD276" s="699">
        <f t="shared" si="764"/>
        <v>20960</v>
      </c>
      <c r="AVE276" s="699">
        <f t="shared" si="765"/>
        <v>440</v>
      </c>
      <c r="AVF276" s="699">
        <f t="shared" si="766"/>
        <v>1080</v>
      </c>
      <c r="AVG276" s="699">
        <f t="shared" si="767"/>
        <v>6777</v>
      </c>
      <c r="AVH276" s="699">
        <f t="shared" si="768"/>
        <v>5800</v>
      </c>
      <c r="AVI276" s="699">
        <f t="shared" si="769"/>
        <v>540</v>
      </c>
      <c r="AVJ276" s="699">
        <f t="shared" si="770"/>
        <v>770</v>
      </c>
      <c r="AVK276" s="699">
        <f t="shared" si="771"/>
        <v>170</v>
      </c>
      <c r="AVL276" s="699">
        <f t="shared" si="772"/>
        <v>200</v>
      </c>
      <c r="AVM276" s="699">
        <f t="shared" si="773"/>
        <v>19286.38</v>
      </c>
      <c r="AVN276" s="699">
        <f t="shared" si="774"/>
        <v>14812.89</v>
      </c>
      <c r="AVO276" s="699">
        <f t="shared" si="775"/>
        <v>4473.49</v>
      </c>
      <c r="AVP276" s="699">
        <f t="shared" si="776"/>
        <v>0</v>
      </c>
      <c r="AVQ276" s="699">
        <f t="shared" si="777"/>
        <v>184429.13</v>
      </c>
    </row>
    <row r="277" spans="1:108 1244:1265" ht="30" customHeight="1" x14ac:dyDescent="0.25">
      <c r="A277" s="643">
        <v>1</v>
      </c>
      <c r="B277" s="643">
        <v>12</v>
      </c>
      <c r="C277" s="664" t="s">
        <v>27</v>
      </c>
      <c r="D277" s="2"/>
      <c r="E277" s="101" t="s">
        <v>346</v>
      </c>
      <c r="F277" s="643" t="s">
        <v>39</v>
      </c>
      <c r="G277" s="643">
        <v>3</v>
      </c>
      <c r="H277" s="658" t="s">
        <v>10</v>
      </c>
      <c r="I277" s="643">
        <v>0</v>
      </c>
      <c r="J277" s="101" t="s">
        <v>367</v>
      </c>
      <c r="K277" s="643">
        <v>3</v>
      </c>
      <c r="L277" s="683" t="s">
        <v>351</v>
      </c>
      <c r="M277" s="11" t="s">
        <v>273</v>
      </c>
      <c r="N277" s="101" t="s">
        <v>387</v>
      </c>
      <c r="O277" s="643">
        <v>1</v>
      </c>
      <c r="P277" s="632">
        <v>11</v>
      </c>
      <c r="Q277" s="632">
        <v>11</v>
      </c>
      <c r="R277" s="632">
        <v>11</v>
      </c>
      <c r="S277" s="675">
        <f>SUMIF('Территориальный кк'!$A:$A,'2020'!$B277,'Территориальный кк'!D:D)</f>
        <v>1.4350000000000001</v>
      </c>
      <c r="T277" s="676">
        <f>SUMIF('Территориальный кк'!$A:$A,'2020'!$B277,'Территориальный кк'!E:E)</f>
        <v>2.5099999999999998</v>
      </c>
      <c r="U277" s="618">
        <f>SUMIFS(Нормативы!G:G,Нормативы!$B:$B,$G277,Нормативы!$D:$D,'2020'!$I277,Нормативы!$F:$F,'2020'!$K277)*O277</f>
        <v>78450</v>
      </c>
      <c r="V277" s="618">
        <f t="shared" si="674"/>
        <v>60253.5</v>
      </c>
      <c r="W277" s="618">
        <f t="shared" si="675"/>
        <v>18196.5</v>
      </c>
      <c r="X277" s="618">
        <f>SUMIFS(Нормативы!J:J,Нормативы!$B:$B,$G277,Нормативы!$D:$D,'2020'!$I277,Нормативы!$F:$F,'2020'!$K277)</f>
        <v>6840</v>
      </c>
      <c r="Y277" s="618">
        <f>SUMIFS(Нормативы!K:K,Нормативы!$B:$B,$G277,Нормативы!$D:$D,'2020'!$I277,Нормативы!$F:$F,'2020'!$K277)</f>
        <v>1368</v>
      </c>
      <c r="Z277" s="618">
        <f>SUMIFS(Нормативы!L:L,Нормативы!$B:$B,$G277,Нормативы!$D:$D,'2020'!$I277,Нормативы!$F:$F,'2020'!$K277)</f>
        <v>8110</v>
      </c>
      <c r="AA277" s="618">
        <f t="shared" si="676"/>
        <v>23360</v>
      </c>
      <c r="AB277" s="618">
        <f>SUMIFS(Нормативы!N:N,Нормативы!$B:$B,$G277,Нормативы!$D:$D,'2020'!$I277,Нормативы!$F:$F,'2020'!$K277)*O277</f>
        <v>880</v>
      </c>
      <c r="AC277" s="618">
        <f>SUMIFS(Нормативы!O:O,Нормативы!$B:$B,$G277,Нормативы!$D:$D,'2020'!$I277,Нормативы!$F:$F,'2020'!$K277)</f>
        <v>20960</v>
      </c>
      <c r="AD277" s="618">
        <f>SUMIFS(Нормативы!P:P,Нормативы!$B:$B,$G277,Нормативы!$D:$D,'2020'!$I277,Нормативы!$F:$F,'2020'!$K277)*O277</f>
        <v>440</v>
      </c>
      <c r="AE277" s="618">
        <f>SUMIFS(Нормативы!Q:Q,Нормативы!$B:$B,$G277,Нормативы!$D:$D,'2020'!$I277,Нормативы!$F:$F,'2020'!$K277)</f>
        <v>1080</v>
      </c>
      <c r="AF277" s="618">
        <f>SUMIFS(Нормативы!R:R,Нормативы!$B:$B,$G277,Нормативы!$D:$D,'2020'!$I277,Нормативы!$F:$F,'2020'!$K277)</f>
        <v>2700</v>
      </c>
      <c r="AG277" s="618">
        <f>SUMIFS(Нормативы!S:S,Нормативы!$B:$B,$G277,Нормативы!$D:$D,'2020'!$I277,Нормативы!$F:$F,'2020'!$K277)</f>
        <v>5800</v>
      </c>
      <c r="AH277" s="618">
        <f>SUMIFS(Нормативы!T:T,Нормативы!$B:$B,$G277,Нормативы!$D:$D,'2020'!$I277,Нормативы!$F:$F,'2020'!$K277)</f>
        <v>540</v>
      </c>
      <c r="AI277" s="618">
        <f>SUMIFS(Нормативы!U:U,Нормативы!$B:$B,$G277,Нормативы!$D:$D,'2020'!$I277,Нормативы!$F:$F,'2020'!$K277)</f>
        <v>770</v>
      </c>
      <c r="AJ277" s="618">
        <f>SUMIFS(Нормативы!V:V,Нормативы!$B:$B,$G277,Нормативы!$D:$D,'2020'!$I277,Нормативы!$F:$F,'2020'!$K277)</f>
        <v>170</v>
      </c>
      <c r="AK277" s="618">
        <f>SUMIFS(Нормативы!W:W,Нормативы!$B:$B,$G277,Нормативы!$D:$D,'2020'!$I277,Нормативы!$F:$F,'2020'!$K277)</f>
        <v>200</v>
      </c>
      <c r="AL277" s="618">
        <f>SUMIFS(Нормативы!X:X,Нормативы!$B:$B,$G277,Нормативы!$D:$D,'2020'!$I277,Нормативы!$F:$F,'2020'!$K277)*O277</f>
        <v>13440</v>
      </c>
      <c r="AM277" s="618">
        <f t="shared" si="677"/>
        <v>10322.6</v>
      </c>
      <c r="AN277" s="618">
        <f t="shared" si="678"/>
        <v>3117.4</v>
      </c>
      <c r="AO277" s="618">
        <f>SUMIFS(Нормативы!AA:AA,Нормативы!$B:$B,$G277,Нормативы!$D:$D,'2020'!$I277,Нормативы!$F:$F,'2020'!$K277)</f>
        <v>0</v>
      </c>
      <c r="AP277" s="619">
        <f t="shared" si="679"/>
        <v>140380</v>
      </c>
      <c r="AQ277" s="413">
        <f t="shared" si="616"/>
        <v>862950</v>
      </c>
      <c r="AR277" s="618">
        <f t="shared" si="680"/>
        <v>662788</v>
      </c>
      <c r="AS277" s="618">
        <f t="shared" si="681"/>
        <v>200162</v>
      </c>
      <c r="AT277" s="616">
        <f t="shared" si="617"/>
        <v>75240</v>
      </c>
      <c r="AU277" s="616">
        <f t="shared" si="618"/>
        <v>15048</v>
      </c>
      <c r="AV277" s="616">
        <f t="shared" si="619"/>
        <v>89210</v>
      </c>
      <c r="AW277" s="616">
        <f t="shared" si="620"/>
        <v>256960</v>
      </c>
      <c r="AX277" s="616">
        <f t="shared" si="621"/>
        <v>9680</v>
      </c>
      <c r="AY277" s="616">
        <f t="shared" si="622"/>
        <v>230560</v>
      </c>
      <c r="AZ277" s="616">
        <f t="shared" si="623"/>
        <v>4840</v>
      </c>
      <c r="BA277" s="616">
        <f t="shared" si="624"/>
        <v>11880</v>
      </c>
      <c r="BB277" s="616">
        <f t="shared" si="625"/>
        <v>29700</v>
      </c>
      <c r="BC277" s="616">
        <f t="shared" si="626"/>
        <v>63800</v>
      </c>
      <c r="BD277" s="616">
        <f t="shared" si="627"/>
        <v>5940</v>
      </c>
      <c r="BE277" s="616">
        <f t="shared" si="628"/>
        <v>8470</v>
      </c>
      <c r="BF277" s="616">
        <f t="shared" si="629"/>
        <v>1870</v>
      </c>
      <c r="BG277" s="616">
        <f t="shared" si="630"/>
        <v>2200</v>
      </c>
      <c r="BH277" s="616">
        <f t="shared" si="631"/>
        <v>147840</v>
      </c>
      <c r="BI277" s="618">
        <f t="shared" si="682"/>
        <v>113548.4</v>
      </c>
      <c r="BJ277" s="618">
        <f t="shared" si="683"/>
        <v>34291.599999999999</v>
      </c>
      <c r="BK277" s="616">
        <f t="shared" si="632"/>
        <v>0</v>
      </c>
      <c r="BL277" s="620">
        <f t="shared" si="633"/>
        <v>1544180</v>
      </c>
      <c r="BM277" s="616">
        <f t="shared" si="634"/>
        <v>1238333</v>
      </c>
      <c r="BN277" s="618">
        <f t="shared" si="635"/>
        <v>951100.6</v>
      </c>
      <c r="BO277" s="618">
        <f t="shared" si="636"/>
        <v>287232.40000000002</v>
      </c>
      <c r="BP277" s="616">
        <f t="shared" si="684"/>
        <v>75240</v>
      </c>
      <c r="BQ277" s="616">
        <f t="shared" si="685"/>
        <v>15048</v>
      </c>
      <c r="BR277" s="616">
        <f t="shared" si="686"/>
        <v>89210</v>
      </c>
      <c r="BS277" s="616">
        <f t="shared" si="637"/>
        <v>256960</v>
      </c>
      <c r="BT277" s="616">
        <f t="shared" si="638"/>
        <v>9680</v>
      </c>
      <c r="BU277" s="616">
        <f t="shared" si="639"/>
        <v>230560</v>
      </c>
      <c r="BV277" s="616">
        <f t="shared" si="640"/>
        <v>4840</v>
      </c>
      <c r="BW277" s="616">
        <f t="shared" si="641"/>
        <v>11880</v>
      </c>
      <c r="BX277" s="616">
        <f t="shared" si="642"/>
        <v>74547</v>
      </c>
      <c r="BY277" s="616">
        <f t="shared" si="643"/>
        <v>63800</v>
      </c>
      <c r="BZ277" s="616">
        <f t="shared" si="644"/>
        <v>5940</v>
      </c>
      <c r="CA277" s="616">
        <f t="shared" si="645"/>
        <v>8470</v>
      </c>
      <c r="CB277" s="616">
        <f t="shared" si="646"/>
        <v>1870</v>
      </c>
      <c r="CC277" s="616">
        <f t="shared" si="647"/>
        <v>2200</v>
      </c>
      <c r="CD277" s="616">
        <f t="shared" si="648"/>
        <v>212150</v>
      </c>
      <c r="CE277" s="618">
        <f t="shared" si="687"/>
        <v>162941.6</v>
      </c>
      <c r="CF277" s="618">
        <f t="shared" si="688"/>
        <v>49208.4</v>
      </c>
      <c r="CG277" s="616">
        <f t="shared" si="649"/>
        <v>0</v>
      </c>
      <c r="CH277" s="621">
        <f t="shared" si="650"/>
        <v>2028720</v>
      </c>
      <c r="CI277" s="88">
        <f t="shared" si="651"/>
        <v>112575.7273</v>
      </c>
      <c r="CJ277" s="90">
        <f t="shared" si="652"/>
        <v>86463.690900000001</v>
      </c>
      <c r="CK277" s="90">
        <f t="shared" si="653"/>
        <v>26112.036400000001</v>
      </c>
      <c r="CL277" s="88">
        <f t="shared" si="654"/>
        <v>6840</v>
      </c>
      <c r="CM277" s="88">
        <f t="shared" si="655"/>
        <v>1368</v>
      </c>
      <c r="CN277" s="88">
        <f t="shared" si="656"/>
        <v>8110</v>
      </c>
      <c r="CO277" s="88">
        <f t="shared" si="657"/>
        <v>23360</v>
      </c>
      <c r="CP277" s="88">
        <f t="shared" si="658"/>
        <v>880</v>
      </c>
      <c r="CQ277" s="88">
        <f t="shared" si="659"/>
        <v>20960</v>
      </c>
      <c r="CR277" s="88">
        <f t="shared" si="660"/>
        <v>440</v>
      </c>
      <c r="CS277" s="88">
        <f t="shared" si="661"/>
        <v>1080</v>
      </c>
      <c r="CT277" s="88">
        <f t="shared" si="662"/>
        <v>6777</v>
      </c>
      <c r="CU277" s="88">
        <f t="shared" si="663"/>
        <v>5800</v>
      </c>
      <c r="CV277" s="88">
        <f t="shared" si="664"/>
        <v>540</v>
      </c>
      <c r="CW277" s="88">
        <f t="shared" si="665"/>
        <v>770</v>
      </c>
      <c r="CX277" s="88">
        <f t="shared" si="666"/>
        <v>170</v>
      </c>
      <c r="CY277" s="88">
        <f t="shared" si="667"/>
        <v>200</v>
      </c>
      <c r="CZ277" s="88">
        <f t="shared" si="668"/>
        <v>19286.363600000001</v>
      </c>
      <c r="DA277" s="90">
        <f t="shared" si="669"/>
        <v>14812.8727</v>
      </c>
      <c r="DB277" s="90">
        <f t="shared" si="670"/>
        <v>4473.4908999999998</v>
      </c>
      <c r="DC277" s="88">
        <f t="shared" si="671"/>
        <v>0</v>
      </c>
      <c r="DD277" s="88">
        <f t="shared" si="672"/>
        <v>184429.09090000001</v>
      </c>
      <c r="AUV277" s="699">
        <f t="shared" si="758"/>
        <v>112575.73</v>
      </c>
      <c r="AUW277" s="699">
        <f t="shared" si="759"/>
        <v>86463.69</v>
      </c>
      <c r="AUX277" s="699">
        <f t="shared" si="760"/>
        <v>26112.04</v>
      </c>
      <c r="AUY277" s="699">
        <f t="shared" si="761"/>
        <v>6840</v>
      </c>
      <c r="AUZ277" s="699">
        <f t="shared" ref="AUY277:AVB340" si="778">BQ277/T277</f>
        <v>5995.22</v>
      </c>
      <c r="AVA277" s="699">
        <f t="shared" si="778"/>
        <v>1.1399999999999999</v>
      </c>
      <c r="AVB277" s="699">
        <f t="shared" si="762"/>
        <v>23360</v>
      </c>
      <c r="AVC277" s="699">
        <f t="shared" si="763"/>
        <v>880</v>
      </c>
      <c r="AVD277" s="699">
        <f t="shared" si="764"/>
        <v>20960</v>
      </c>
      <c r="AVE277" s="699">
        <f t="shared" si="765"/>
        <v>440</v>
      </c>
      <c r="AVF277" s="699">
        <f t="shared" si="766"/>
        <v>1080</v>
      </c>
      <c r="AVG277" s="699">
        <f t="shared" si="767"/>
        <v>6777</v>
      </c>
      <c r="AVH277" s="699">
        <f t="shared" si="768"/>
        <v>5800</v>
      </c>
      <c r="AVI277" s="699">
        <f t="shared" si="769"/>
        <v>540</v>
      </c>
      <c r="AVJ277" s="699">
        <f t="shared" si="770"/>
        <v>770</v>
      </c>
      <c r="AVK277" s="699">
        <f t="shared" si="771"/>
        <v>170</v>
      </c>
      <c r="AVL277" s="699">
        <f t="shared" si="772"/>
        <v>200</v>
      </c>
      <c r="AVM277" s="699">
        <f t="shared" si="773"/>
        <v>19286.36</v>
      </c>
      <c r="AVN277" s="699">
        <f t="shared" si="774"/>
        <v>14812.87</v>
      </c>
      <c r="AVO277" s="699">
        <f t="shared" si="775"/>
        <v>4473.49</v>
      </c>
      <c r="AVP277" s="699">
        <f t="shared" si="776"/>
        <v>0</v>
      </c>
      <c r="AVQ277" s="699">
        <f t="shared" si="777"/>
        <v>184429.09</v>
      </c>
    </row>
    <row r="278" spans="1:108 1244:1265" s="608" customFormat="1" ht="30" customHeight="1" x14ac:dyDescent="0.25">
      <c r="A278" s="634">
        <v>1</v>
      </c>
      <c r="B278" s="634">
        <v>12</v>
      </c>
      <c r="C278" s="633" t="s">
        <v>27</v>
      </c>
      <c r="D278" s="2"/>
      <c r="E278" s="602" t="s">
        <v>346</v>
      </c>
      <c r="F278" s="634" t="s">
        <v>39</v>
      </c>
      <c r="G278" s="634">
        <v>3</v>
      </c>
      <c r="H278" s="656" t="s">
        <v>10</v>
      </c>
      <c r="I278" s="634">
        <v>0</v>
      </c>
      <c r="J278" s="602" t="s">
        <v>463</v>
      </c>
      <c r="K278" s="634">
        <v>1</v>
      </c>
      <c r="L278" s="681" t="s">
        <v>351</v>
      </c>
      <c r="M278" s="601"/>
      <c r="N278" s="602" t="s">
        <v>387</v>
      </c>
      <c r="O278" s="634">
        <v>1</v>
      </c>
      <c r="P278" s="633">
        <v>1</v>
      </c>
      <c r="Q278" s="633">
        <v>1</v>
      </c>
      <c r="R278" s="633">
        <v>1</v>
      </c>
      <c r="S278" s="671">
        <f>'Территориальный кк'!D15</f>
        <v>1.4350000000000001</v>
      </c>
      <c r="T278" s="672">
        <f>'Территориальный кк'!E15</f>
        <v>2.5099999999999998</v>
      </c>
      <c r="U278" s="618">
        <f>SUMIFS(Нормативы!G:G,Нормативы!$B:$B,$G278,Нормативы!$D:$D,'2020'!$I278,Нормативы!$F:$F,'2020'!$K278)*O278</f>
        <v>78450</v>
      </c>
      <c r="V278" s="618">
        <f t="shared" ref="V278:V279" si="779">ROUND(U278/1.302,1)</f>
        <v>60253.5</v>
      </c>
      <c r="W278" s="618">
        <f t="shared" ref="W278:W279" si="780">U278-V278</f>
        <v>18196.5</v>
      </c>
      <c r="X278" s="618">
        <f>SUMIFS(Нормативы!J:J,Нормативы!$B:$B,$G278,Нормативы!$D:$D,'2020'!$I278,Нормативы!$F:$F,'2020'!$K278)</f>
        <v>220</v>
      </c>
      <c r="Y278" s="618">
        <f>SUMIFS(Нормативы!K:K,Нормативы!$B:$B,$G278,Нормативы!$D:$D,'2020'!$I278,Нормативы!$F:$F,'2020'!$K278)</f>
        <v>44</v>
      </c>
      <c r="Z278" s="618">
        <f>SUMIFS(Нормативы!L:L,Нормативы!$B:$B,$G278,Нормативы!$D:$D,'2020'!$I278,Нормативы!$F:$F,'2020'!$K278)</f>
        <v>2320</v>
      </c>
      <c r="AA278" s="618">
        <f t="shared" ref="AA278:AA279" si="781">AB278+AC278+AD278+AE278</f>
        <v>4510</v>
      </c>
      <c r="AB278" s="618">
        <f>SUMIFS(Нормативы!N:N,Нормативы!$B:$B,$G278,Нормативы!$D:$D,'2020'!$I278,Нормативы!$F:$F,'2020'!$K278)*O278</f>
        <v>880</v>
      </c>
      <c r="AC278" s="618">
        <f>SUMIFS(Нормативы!O:O,Нормативы!$B:$B,$G278,Нормативы!$D:$D,'2020'!$I278,Нормативы!$F:$F,'2020'!$K278)</f>
        <v>2110</v>
      </c>
      <c r="AD278" s="618">
        <f>SUMIFS(Нормативы!P:P,Нормативы!$B:$B,$G278,Нормативы!$D:$D,'2020'!$I278,Нормативы!$F:$F,'2020'!$K278)*O278</f>
        <v>440</v>
      </c>
      <c r="AE278" s="618">
        <f>SUMIFS(Нормативы!Q:Q,Нормативы!$B:$B,$G278,Нормативы!$D:$D,'2020'!$I278,Нормативы!$F:$F,'2020'!$K278)</f>
        <v>1080</v>
      </c>
      <c r="AF278" s="618">
        <f>SUMIFS(Нормативы!R:R,Нормативы!$B:$B,$G278,Нормативы!$D:$D,'2020'!$I278,Нормативы!$F:$F,'2020'!$K278)</f>
        <v>2490</v>
      </c>
      <c r="AG278" s="618">
        <f>SUMIFS(Нормативы!S:S,Нормативы!$B:$B,$G278,Нормативы!$D:$D,'2020'!$I278,Нормативы!$F:$F,'2020'!$K278)</f>
        <v>5080</v>
      </c>
      <c r="AH278" s="618">
        <f>SUMIFS(Нормативы!T:T,Нормативы!$B:$B,$G278,Нормативы!$D:$D,'2020'!$I278,Нормативы!$F:$F,'2020'!$K278)</f>
        <v>540</v>
      </c>
      <c r="AI278" s="618">
        <f>SUMIFS(Нормативы!U:U,Нормативы!$B:$B,$G278,Нормативы!$D:$D,'2020'!$I278,Нормативы!$F:$F,'2020'!$K278)</f>
        <v>770</v>
      </c>
      <c r="AJ278" s="618">
        <f>SUMIFS(Нормативы!V:V,Нормативы!$B:$B,$G278,Нормативы!$D:$D,'2020'!$I278,Нормативы!$F:$F,'2020'!$K278)</f>
        <v>170</v>
      </c>
      <c r="AK278" s="618">
        <f>SUMIFS(Нормативы!W:W,Нормативы!$B:$B,$G278,Нормативы!$D:$D,'2020'!$I278,Нормативы!$F:$F,'2020'!$K278)</f>
        <v>130</v>
      </c>
      <c r="AL278" s="618">
        <f>SUMIFS(Нормативы!X:X,Нормативы!$B:$B,$G278,Нормативы!$D:$D,'2020'!$I278,Нормативы!$F:$F,'2020'!$K278)*O278</f>
        <v>13440</v>
      </c>
      <c r="AM278" s="618">
        <f t="shared" ref="AM278:AM279" si="782">ROUND(AL278/1.302,1)</f>
        <v>10322.6</v>
      </c>
      <c r="AN278" s="618">
        <f t="shared" ref="AN278:AN279" si="783">AL278-AM278</f>
        <v>3117.4</v>
      </c>
      <c r="AO278" s="618">
        <f>SUMIFS(Нормативы!AA:AA,Нормативы!$B:$B,$G278,Нормативы!$D:$D,'2020'!$I278,Нормативы!$F:$F,'2020'!$K278)</f>
        <v>0</v>
      </c>
      <c r="AP278" s="619">
        <f t="shared" ref="AP278:AP279" si="784">U278+X278+Z278+AA278++AF278+AG278+AH278+AI278+AJ278+AK278+AL278+AO278</f>
        <v>108120</v>
      </c>
      <c r="AQ278" s="611">
        <f t="shared" si="616"/>
        <v>78450</v>
      </c>
      <c r="AR278" s="622">
        <f t="shared" si="680"/>
        <v>60253.5</v>
      </c>
      <c r="AS278" s="622">
        <f t="shared" si="681"/>
        <v>18196.5</v>
      </c>
      <c r="AT278" s="614">
        <f t="shared" si="617"/>
        <v>220</v>
      </c>
      <c r="AU278" s="614">
        <f t="shared" si="618"/>
        <v>44</v>
      </c>
      <c r="AV278" s="614">
        <f t="shared" si="619"/>
        <v>2320</v>
      </c>
      <c r="AW278" s="614">
        <f t="shared" si="620"/>
        <v>4510</v>
      </c>
      <c r="AX278" s="614">
        <f t="shared" si="621"/>
        <v>880</v>
      </c>
      <c r="AY278" s="614">
        <f t="shared" si="622"/>
        <v>2110</v>
      </c>
      <c r="AZ278" s="614">
        <f t="shared" si="623"/>
        <v>440</v>
      </c>
      <c r="BA278" s="614">
        <f t="shared" si="624"/>
        <v>1080</v>
      </c>
      <c r="BB278" s="614">
        <f t="shared" si="625"/>
        <v>2490</v>
      </c>
      <c r="BC278" s="614">
        <f t="shared" si="626"/>
        <v>5080</v>
      </c>
      <c r="BD278" s="614">
        <f t="shared" si="627"/>
        <v>540</v>
      </c>
      <c r="BE278" s="614">
        <f t="shared" si="628"/>
        <v>770</v>
      </c>
      <c r="BF278" s="614">
        <f t="shared" si="629"/>
        <v>170</v>
      </c>
      <c r="BG278" s="614">
        <f t="shared" si="630"/>
        <v>130</v>
      </c>
      <c r="BH278" s="614">
        <f t="shared" si="631"/>
        <v>13440</v>
      </c>
      <c r="BI278" s="622">
        <f t="shared" si="682"/>
        <v>10322.6</v>
      </c>
      <c r="BJ278" s="622">
        <f t="shared" si="683"/>
        <v>3117.4</v>
      </c>
      <c r="BK278" s="614">
        <f t="shared" si="632"/>
        <v>0</v>
      </c>
      <c r="BL278" s="620">
        <f t="shared" si="633"/>
        <v>108120</v>
      </c>
      <c r="BM278" s="614">
        <f t="shared" si="634"/>
        <v>112576</v>
      </c>
      <c r="BN278" s="622">
        <f t="shared" si="635"/>
        <v>86463.9</v>
      </c>
      <c r="BO278" s="622">
        <f t="shared" si="636"/>
        <v>26112.1</v>
      </c>
      <c r="BP278" s="614">
        <f t="shared" si="684"/>
        <v>220</v>
      </c>
      <c r="BQ278" s="614">
        <f t="shared" si="685"/>
        <v>44</v>
      </c>
      <c r="BR278" s="614">
        <f t="shared" si="686"/>
        <v>2320</v>
      </c>
      <c r="BS278" s="614">
        <f t="shared" si="637"/>
        <v>4510</v>
      </c>
      <c r="BT278" s="614">
        <f t="shared" si="638"/>
        <v>880</v>
      </c>
      <c r="BU278" s="614">
        <f t="shared" si="639"/>
        <v>2110</v>
      </c>
      <c r="BV278" s="614">
        <f t="shared" si="640"/>
        <v>440</v>
      </c>
      <c r="BW278" s="614">
        <f t="shared" si="641"/>
        <v>1080</v>
      </c>
      <c r="BX278" s="614">
        <f t="shared" si="642"/>
        <v>6250</v>
      </c>
      <c r="BY278" s="614">
        <f t="shared" si="643"/>
        <v>5080</v>
      </c>
      <c r="BZ278" s="614">
        <f t="shared" si="644"/>
        <v>540</v>
      </c>
      <c r="CA278" s="614">
        <f t="shared" si="645"/>
        <v>770</v>
      </c>
      <c r="CB278" s="614">
        <f t="shared" si="646"/>
        <v>170</v>
      </c>
      <c r="CC278" s="614">
        <f t="shared" si="647"/>
        <v>130</v>
      </c>
      <c r="CD278" s="614">
        <f t="shared" si="648"/>
        <v>19286</v>
      </c>
      <c r="CE278" s="622">
        <f t="shared" si="687"/>
        <v>14812.6</v>
      </c>
      <c r="CF278" s="622">
        <f t="shared" si="688"/>
        <v>4473.3999999999996</v>
      </c>
      <c r="CG278" s="614">
        <f t="shared" si="649"/>
        <v>0</v>
      </c>
      <c r="CH278" s="621">
        <f t="shared" si="650"/>
        <v>151852</v>
      </c>
      <c r="CI278" s="607"/>
      <c r="CJ278" s="607"/>
      <c r="CK278" s="607"/>
      <c r="CL278" s="607"/>
      <c r="CM278" s="607"/>
      <c r="CN278" s="607"/>
      <c r="CO278" s="607"/>
      <c r="CP278" s="607"/>
      <c r="CQ278" s="607"/>
      <c r="CR278" s="607"/>
      <c r="CS278" s="607"/>
      <c r="CT278" s="607"/>
      <c r="CU278" s="607"/>
      <c r="CV278" s="607"/>
      <c r="CW278" s="607"/>
      <c r="CX278" s="607"/>
      <c r="CY278" s="607"/>
      <c r="CZ278" s="607"/>
      <c r="DA278" s="607"/>
      <c r="DB278" s="607"/>
      <c r="DC278" s="607"/>
      <c r="DD278" s="607"/>
      <c r="AUV278" s="699">
        <f t="shared" si="758"/>
        <v>112576</v>
      </c>
      <c r="AUW278" s="699">
        <f t="shared" si="759"/>
        <v>86463.9</v>
      </c>
      <c r="AUX278" s="699">
        <f t="shared" si="760"/>
        <v>26112.1</v>
      </c>
      <c r="AUY278" s="699">
        <f t="shared" si="761"/>
        <v>220</v>
      </c>
      <c r="AUZ278" s="699">
        <f t="shared" si="778"/>
        <v>17.53</v>
      </c>
      <c r="AVA278" s="699">
        <f t="shared" si="778"/>
        <v>0.03</v>
      </c>
      <c r="AVB278" s="699">
        <f t="shared" si="762"/>
        <v>4510</v>
      </c>
      <c r="AVC278" s="699">
        <f t="shared" si="763"/>
        <v>880</v>
      </c>
      <c r="AVD278" s="699">
        <f t="shared" si="764"/>
        <v>2110</v>
      </c>
      <c r="AVE278" s="699">
        <f t="shared" si="765"/>
        <v>440</v>
      </c>
      <c r="AVF278" s="699">
        <f t="shared" si="766"/>
        <v>1080</v>
      </c>
      <c r="AVG278" s="699">
        <f t="shared" si="767"/>
        <v>6250</v>
      </c>
      <c r="AVH278" s="699">
        <f t="shared" si="768"/>
        <v>5080</v>
      </c>
      <c r="AVI278" s="699">
        <f t="shared" si="769"/>
        <v>540</v>
      </c>
      <c r="AVJ278" s="699">
        <f t="shared" si="770"/>
        <v>770</v>
      </c>
      <c r="AVK278" s="699">
        <f t="shared" si="771"/>
        <v>170</v>
      </c>
      <c r="AVL278" s="699">
        <f t="shared" si="772"/>
        <v>130</v>
      </c>
      <c r="AVM278" s="699">
        <f t="shared" si="773"/>
        <v>19286</v>
      </c>
      <c r="AVN278" s="699">
        <f t="shared" si="774"/>
        <v>14812.6</v>
      </c>
      <c r="AVO278" s="699">
        <f t="shared" si="775"/>
        <v>4473.3999999999996</v>
      </c>
      <c r="AVP278" s="699">
        <f t="shared" si="776"/>
        <v>0</v>
      </c>
      <c r="AVQ278" s="699">
        <f t="shared" si="777"/>
        <v>151852</v>
      </c>
    </row>
    <row r="279" spans="1:108 1244:1265" s="608" customFormat="1" ht="30" customHeight="1" x14ac:dyDescent="0.25">
      <c r="A279" s="634">
        <v>1</v>
      </c>
      <c r="B279" s="634">
        <v>12</v>
      </c>
      <c r="C279" s="633" t="s">
        <v>27</v>
      </c>
      <c r="D279" s="2"/>
      <c r="E279" s="602" t="s">
        <v>346</v>
      </c>
      <c r="F279" s="634" t="s">
        <v>39</v>
      </c>
      <c r="G279" s="634">
        <v>3</v>
      </c>
      <c r="H279" s="656" t="s">
        <v>10</v>
      </c>
      <c r="I279" s="634">
        <v>0</v>
      </c>
      <c r="J279" s="602" t="s">
        <v>444</v>
      </c>
      <c r="K279" s="634">
        <v>2</v>
      </c>
      <c r="L279" s="681" t="s">
        <v>351</v>
      </c>
      <c r="M279" s="601"/>
      <c r="N279" s="602" t="s">
        <v>387</v>
      </c>
      <c r="O279" s="634">
        <v>1</v>
      </c>
      <c r="P279" s="633">
        <v>1</v>
      </c>
      <c r="Q279" s="633">
        <v>1</v>
      </c>
      <c r="R279" s="633">
        <v>1</v>
      </c>
      <c r="S279" s="671">
        <f>'Территориальный кк'!D15</f>
        <v>1.4350000000000001</v>
      </c>
      <c r="T279" s="672">
        <f>'Территориальный кк'!E15</f>
        <v>2.5099999999999998</v>
      </c>
      <c r="U279" s="618">
        <f>SUMIFS(Нормативы!G:G,Нормативы!$B:$B,$G279,Нормативы!$D:$D,'2020'!$I279,Нормативы!$F:$F,'2020'!$K279)*O279</f>
        <v>78450</v>
      </c>
      <c r="V279" s="618">
        <f t="shared" si="779"/>
        <v>60253.5</v>
      </c>
      <c r="W279" s="618">
        <f t="shared" si="780"/>
        <v>18196.5</v>
      </c>
      <c r="X279" s="618">
        <f>SUMIFS(Нормативы!J:J,Нормативы!$B:$B,$G279,Нормативы!$D:$D,'2020'!$I279,Нормативы!$F:$F,'2020'!$K279)</f>
        <v>1610</v>
      </c>
      <c r="Y279" s="618">
        <f>SUMIFS(Нормативы!K:K,Нормативы!$B:$B,$G279,Нормативы!$D:$D,'2020'!$I279,Нормативы!$F:$F,'2020'!$K279)</f>
        <v>322</v>
      </c>
      <c r="Z279" s="618">
        <f>SUMIFS(Нормативы!L:L,Нормативы!$B:$B,$G279,Нормативы!$D:$D,'2020'!$I279,Нормативы!$F:$F,'2020'!$K279)</f>
        <v>3480</v>
      </c>
      <c r="AA279" s="618">
        <f t="shared" si="781"/>
        <v>8580</v>
      </c>
      <c r="AB279" s="618">
        <f>SUMIFS(Нормативы!N:N,Нормативы!$B:$B,$G279,Нормативы!$D:$D,'2020'!$I279,Нормативы!$F:$F,'2020'!$K279)*O279</f>
        <v>880</v>
      </c>
      <c r="AC279" s="618">
        <f>SUMIFS(Нормативы!O:O,Нормативы!$B:$B,$G279,Нормативы!$D:$D,'2020'!$I279,Нормативы!$F:$F,'2020'!$K279)</f>
        <v>6180</v>
      </c>
      <c r="AD279" s="618">
        <f>SUMIFS(Нормативы!P:P,Нормативы!$B:$B,$G279,Нормативы!$D:$D,'2020'!$I279,Нормативы!$F:$F,'2020'!$K279)*O279</f>
        <v>440</v>
      </c>
      <c r="AE279" s="618">
        <f>SUMIFS(Нормативы!Q:Q,Нормативы!$B:$B,$G279,Нормативы!$D:$D,'2020'!$I279,Нормативы!$F:$F,'2020'!$K279)</f>
        <v>1080</v>
      </c>
      <c r="AF279" s="618">
        <f>SUMIFS(Нормативы!R:R,Нормативы!$B:$B,$G279,Нормативы!$D:$D,'2020'!$I279,Нормативы!$F:$F,'2020'!$K279)</f>
        <v>2490</v>
      </c>
      <c r="AG279" s="618">
        <f>SUMIFS(Нормативы!S:S,Нормативы!$B:$B,$G279,Нормативы!$D:$D,'2020'!$I279,Нормативы!$F:$F,'2020'!$K279)</f>
        <v>5800</v>
      </c>
      <c r="AH279" s="618">
        <f>SUMIFS(Нормативы!T:T,Нормативы!$B:$B,$G279,Нормативы!$D:$D,'2020'!$I279,Нормативы!$F:$F,'2020'!$K279)</f>
        <v>540</v>
      </c>
      <c r="AI279" s="618">
        <f>SUMIFS(Нормативы!U:U,Нормативы!$B:$B,$G279,Нормативы!$D:$D,'2020'!$I279,Нормативы!$F:$F,'2020'!$K279)</f>
        <v>770</v>
      </c>
      <c r="AJ279" s="618">
        <f>SUMIFS(Нормативы!V:V,Нормативы!$B:$B,$G279,Нормативы!$D:$D,'2020'!$I279,Нормативы!$F:$F,'2020'!$K279)</f>
        <v>170</v>
      </c>
      <c r="AK279" s="618">
        <f>SUMIFS(Нормативы!W:W,Нормативы!$B:$B,$G279,Нормативы!$D:$D,'2020'!$I279,Нормативы!$F:$F,'2020'!$K279)</f>
        <v>200</v>
      </c>
      <c r="AL279" s="618">
        <f>SUMIFS(Нормативы!X:X,Нормативы!$B:$B,$G279,Нормативы!$D:$D,'2020'!$I279,Нормативы!$F:$F,'2020'!$K279)*O279</f>
        <v>13440</v>
      </c>
      <c r="AM279" s="618">
        <f t="shared" si="782"/>
        <v>10322.6</v>
      </c>
      <c r="AN279" s="618">
        <f t="shared" si="783"/>
        <v>3117.4</v>
      </c>
      <c r="AO279" s="618">
        <f>SUMIFS(Нормативы!AA:AA,Нормативы!$B:$B,$G279,Нормативы!$D:$D,'2020'!$I279,Нормативы!$F:$F,'2020'!$K279)</f>
        <v>0</v>
      </c>
      <c r="AP279" s="619">
        <f t="shared" si="784"/>
        <v>115530</v>
      </c>
      <c r="AQ279" s="611">
        <f t="shared" si="616"/>
        <v>78450</v>
      </c>
      <c r="AR279" s="622">
        <f t="shared" si="680"/>
        <v>60253.5</v>
      </c>
      <c r="AS279" s="622">
        <f t="shared" si="681"/>
        <v>18196.5</v>
      </c>
      <c r="AT279" s="614">
        <f t="shared" si="617"/>
        <v>1610</v>
      </c>
      <c r="AU279" s="614">
        <f t="shared" si="618"/>
        <v>322</v>
      </c>
      <c r="AV279" s="614">
        <f t="shared" si="619"/>
        <v>3480</v>
      </c>
      <c r="AW279" s="614">
        <f t="shared" si="620"/>
        <v>8580</v>
      </c>
      <c r="AX279" s="614">
        <f t="shared" si="621"/>
        <v>880</v>
      </c>
      <c r="AY279" s="614">
        <f t="shared" si="622"/>
        <v>6180</v>
      </c>
      <c r="AZ279" s="614">
        <f t="shared" si="623"/>
        <v>440</v>
      </c>
      <c r="BA279" s="614">
        <f t="shared" si="624"/>
        <v>1080</v>
      </c>
      <c r="BB279" s="614">
        <f t="shared" si="625"/>
        <v>2490</v>
      </c>
      <c r="BC279" s="614">
        <f t="shared" si="626"/>
        <v>5800</v>
      </c>
      <c r="BD279" s="614">
        <f t="shared" si="627"/>
        <v>540</v>
      </c>
      <c r="BE279" s="614">
        <f t="shared" si="628"/>
        <v>770</v>
      </c>
      <c r="BF279" s="614">
        <f t="shared" si="629"/>
        <v>170</v>
      </c>
      <c r="BG279" s="614">
        <f t="shared" si="630"/>
        <v>200</v>
      </c>
      <c r="BH279" s="614">
        <f t="shared" si="631"/>
        <v>13440</v>
      </c>
      <c r="BI279" s="614">
        <f t="shared" ref="BI279" si="785">ROUND($P279*AM279,0)</f>
        <v>10323</v>
      </c>
      <c r="BJ279" s="614">
        <f t="shared" ref="BJ279" si="786">ROUND($P279*AN279,0)</f>
        <v>3117</v>
      </c>
      <c r="BK279" s="614">
        <f t="shared" si="632"/>
        <v>0</v>
      </c>
      <c r="BL279" s="620">
        <f t="shared" si="633"/>
        <v>115530</v>
      </c>
      <c r="BM279" s="614">
        <f t="shared" si="634"/>
        <v>112576</v>
      </c>
      <c r="BN279" s="622">
        <f t="shared" si="635"/>
        <v>86463.9</v>
      </c>
      <c r="BO279" s="622">
        <f t="shared" si="636"/>
        <v>26112.1</v>
      </c>
      <c r="BP279" s="614">
        <f t="shared" si="684"/>
        <v>1610</v>
      </c>
      <c r="BQ279" s="614">
        <f t="shared" si="685"/>
        <v>322</v>
      </c>
      <c r="BR279" s="614">
        <f t="shared" si="686"/>
        <v>3480</v>
      </c>
      <c r="BS279" s="614">
        <f t="shared" si="637"/>
        <v>8580</v>
      </c>
      <c r="BT279" s="614">
        <f t="shared" si="638"/>
        <v>880</v>
      </c>
      <c r="BU279" s="614">
        <f t="shared" si="639"/>
        <v>6180</v>
      </c>
      <c r="BV279" s="614">
        <f t="shared" si="640"/>
        <v>440</v>
      </c>
      <c r="BW279" s="614">
        <f t="shared" si="641"/>
        <v>1080</v>
      </c>
      <c r="BX279" s="614">
        <f t="shared" si="642"/>
        <v>6250</v>
      </c>
      <c r="BY279" s="614">
        <f t="shared" si="643"/>
        <v>5800</v>
      </c>
      <c r="BZ279" s="614">
        <f t="shared" si="644"/>
        <v>540</v>
      </c>
      <c r="CA279" s="614">
        <f t="shared" si="645"/>
        <v>770</v>
      </c>
      <c r="CB279" s="614">
        <f t="shared" si="646"/>
        <v>170</v>
      </c>
      <c r="CC279" s="614">
        <f t="shared" si="647"/>
        <v>200</v>
      </c>
      <c r="CD279" s="614">
        <f t="shared" si="648"/>
        <v>19286</v>
      </c>
      <c r="CE279" s="622">
        <f t="shared" si="687"/>
        <v>14812.6</v>
      </c>
      <c r="CF279" s="622">
        <f t="shared" si="688"/>
        <v>4473.3999999999996</v>
      </c>
      <c r="CG279" s="614">
        <f t="shared" si="649"/>
        <v>0</v>
      </c>
      <c r="CH279" s="621">
        <f t="shared" si="650"/>
        <v>159262</v>
      </c>
      <c r="CI279" s="607"/>
      <c r="CJ279" s="607"/>
      <c r="CK279" s="607"/>
      <c r="CL279" s="607"/>
      <c r="CM279" s="607"/>
      <c r="CN279" s="607"/>
      <c r="CO279" s="607"/>
      <c r="CP279" s="607"/>
      <c r="CQ279" s="607"/>
      <c r="CR279" s="607"/>
      <c r="CS279" s="607"/>
      <c r="CT279" s="607"/>
      <c r="CU279" s="607"/>
      <c r="CV279" s="607"/>
      <c r="CW279" s="607"/>
      <c r="CX279" s="607"/>
      <c r="CY279" s="607"/>
      <c r="CZ279" s="607"/>
      <c r="DA279" s="607"/>
      <c r="DB279" s="607"/>
      <c r="DC279" s="607"/>
      <c r="DD279" s="607"/>
      <c r="AUV279" s="699">
        <f t="shared" si="758"/>
        <v>112576</v>
      </c>
      <c r="AUW279" s="699">
        <f t="shared" si="759"/>
        <v>86463.9</v>
      </c>
      <c r="AUX279" s="699">
        <f t="shared" si="760"/>
        <v>26112.1</v>
      </c>
      <c r="AUY279" s="699">
        <f t="shared" si="761"/>
        <v>1610</v>
      </c>
      <c r="AUZ279" s="699">
        <f t="shared" si="778"/>
        <v>128.29</v>
      </c>
      <c r="AVA279" s="699">
        <f t="shared" si="778"/>
        <v>0.04</v>
      </c>
      <c r="AVB279" s="699">
        <f t="shared" si="762"/>
        <v>8580</v>
      </c>
      <c r="AVC279" s="699">
        <f t="shared" si="763"/>
        <v>880</v>
      </c>
      <c r="AVD279" s="699">
        <f t="shared" si="764"/>
        <v>6180</v>
      </c>
      <c r="AVE279" s="699">
        <f t="shared" si="765"/>
        <v>440</v>
      </c>
      <c r="AVF279" s="699">
        <f t="shared" si="766"/>
        <v>1080</v>
      </c>
      <c r="AVG279" s="699">
        <f t="shared" si="767"/>
        <v>6250</v>
      </c>
      <c r="AVH279" s="699">
        <f t="shared" si="768"/>
        <v>5800</v>
      </c>
      <c r="AVI279" s="699">
        <f t="shared" si="769"/>
        <v>540</v>
      </c>
      <c r="AVJ279" s="699">
        <f t="shared" si="770"/>
        <v>770</v>
      </c>
      <c r="AVK279" s="699">
        <f t="shared" si="771"/>
        <v>170</v>
      </c>
      <c r="AVL279" s="699">
        <f t="shared" si="772"/>
        <v>200</v>
      </c>
      <c r="AVM279" s="699">
        <f t="shared" si="773"/>
        <v>19286</v>
      </c>
      <c r="AVN279" s="699">
        <f t="shared" si="774"/>
        <v>14812.6</v>
      </c>
      <c r="AVO279" s="699">
        <f t="shared" si="775"/>
        <v>4473.3999999999996</v>
      </c>
      <c r="AVP279" s="699">
        <f t="shared" si="776"/>
        <v>0</v>
      </c>
      <c r="AVQ279" s="699">
        <f t="shared" si="777"/>
        <v>159262</v>
      </c>
    </row>
    <row r="280" spans="1:108 1244:1265" ht="30" customHeight="1" x14ac:dyDescent="0.25">
      <c r="A280" s="643">
        <v>1</v>
      </c>
      <c r="B280" s="643">
        <v>12</v>
      </c>
      <c r="C280" s="664" t="s">
        <v>27</v>
      </c>
      <c r="D280" s="2"/>
      <c r="E280" s="101" t="s">
        <v>346</v>
      </c>
      <c r="F280" s="643" t="s">
        <v>39</v>
      </c>
      <c r="G280" s="643">
        <v>3</v>
      </c>
      <c r="H280" s="658" t="s">
        <v>10</v>
      </c>
      <c r="I280" s="643">
        <v>0</v>
      </c>
      <c r="J280" s="101" t="s">
        <v>368</v>
      </c>
      <c r="K280" s="643">
        <v>2</v>
      </c>
      <c r="L280" s="683" t="s">
        <v>351</v>
      </c>
      <c r="M280" s="11" t="s">
        <v>274</v>
      </c>
      <c r="N280" s="101" t="s">
        <v>387</v>
      </c>
      <c r="O280" s="643">
        <v>1</v>
      </c>
      <c r="P280" s="632">
        <v>2</v>
      </c>
      <c r="Q280" s="632">
        <v>2</v>
      </c>
      <c r="R280" s="632">
        <v>2</v>
      </c>
      <c r="S280" s="675">
        <f>SUMIF('Территориальный кк'!$A:$A,'2020'!$B280,'Территориальный кк'!D:D)</f>
        <v>1.4350000000000001</v>
      </c>
      <c r="T280" s="676">
        <f>SUMIF('Территориальный кк'!$A:$A,'2020'!$B280,'Территориальный кк'!E:E)</f>
        <v>2.5099999999999998</v>
      </c>
      <c r="U280" s="618">
        <f>SUMIFS(Нормативы!G:G,Нормативы!$B:$B,$G280,Нормативы!$D:$D,'2020'!$I280,Нормативы!$F:$F,'2020'!$K280)*O280</f>
        <v>78450</v>
      </c>
      <c r="V280" s="618">
        <f t="shared" si="674"/>
        <v>60253.5</v>
      </c>
      <c r="W280" s="618">
        <f t="shared" si="675"/>
        <v>18196.5</v>
      </c>
      <c r="X280" s="618">
        <f>SUMIFS(Нормативы!J:J,Нормативы!$B:$B,$G280,Нормативы!$D:$D,'2020'!$I280,Нормативы!$F:$F,'2020'!$K280)</f>
        <v>1610</v>
      </c>
      <c r="Y280" s="618">
        <f>SUMIFS(Нормативы!K:K,Нормативы!$B:$B,$G280,Нормативы!$D:$D,'2020'!$I280,Нормативы!$F:$F,'2020'!$K280)</f>
        <v>322</v>
      </c>
      <c r="Z280" s="618">
        <f>SUMIFS(Нормативы!L:L,Нормативы!$B:$B,$G280,Нормативы!$D:$D,'2020'!$I280,Нормативы!$F:$F,'2020'!$K280)</f>
        <v>3480</v>
      </c>
      <c r="AA280" s="618">
        <f t="shared" si="676"/>
        <v>8580</v>
      </c>
      <c r="AB280" s="618">
        <f>SUMIFS(Нормативы!N:N,Нормативы!$B:$B,$G280,Нормативы!$D:$D,'2020'!$I280,Нормативы!$F:$F,'2020'!$K280)*O280</f>
        <v>880</v>
      </c>
      <c r="AC280" s="618">
        <f>SUMIFS(Нормативы!O:O,Нормативы!$B:$B,$G280,Нормативы!$D:$D,'2020'!$I280,Нормативы!$F:$F,'2020'!$K280)</f>
        <v>6180</v>
      </c>
      <c r="AD280" s="618">
        <f>SUMIFS(Нормативы!P:P,Нормативы!$B:$B,$G280,Нормативы!$D:$D,'2020'!$I280,Нормативы!$F:$F,'2020'!$K280)*O280</f>
        <v>440</v>
      </c>
      <c r="AE280" s="618">
        <f>SUMIFS(Нормативы!Q:Q,Нормативы!$B:$B,$G280,Нормативы!$D:$D,'2020'!$I280,Нормативы!$F:$F,'2020'!$K280)</f>
        <v>1080</v>
      </c>
      <c r="AF280" s="618">
        <f>SUMIFS(Нормативы!R:R,Нормативы!$B:$B,$G280,Нормативы!$D:$D,'2020'!$I280,Нормативы!$F:$F,'2020'!$K280)</f>
        <v>2490</v>
      </c>
      <c r="AG280" s="618">
        <f>SUMIFS(Нормативы!S:S,Нормативы!$B:$B,$G280,Нормативы!$D:$D,'2020'!$I280,Нормативы!$F:$F,'2020'!$K280)</f>
        <v>5800</v>
      </c>
      <c r="AH280" s="618">
        <f>SUMIFS(Нормативы!T:T,Нормативы!$B:$B,$G280,Нормативы!$D:$D,'2020'!$I280,Нормативы!$F:$F,'2020'!$K280)</f>
        <v>540</v>
      </c>
      <c r="AI280" s="618">
        <f>SUMIFS(Нормативы!U:U,Нормативы!$B:$B,$G280,Нормативы!$D:$D,'2020'!$I280,Нормативы!$F:$F,'2020'!$K280)</f>
        <v>770</v>
      </c>
      <c r="AJ280" s="618">
        <f>SUMIFS(Нормативы!V:V,Нормативы!$B:$B,$G280,Нормативы!$D:$D,'2020'!$I280,Нормативы!$F:$F,'2020'!$K280)</f>
        <v>170</v>
      </c>
      <c r="AK280" s="618">
        <f>SUMIFS(Нормативы!W:W,Нормативы!$B:$B,$G280,Нормативы!$D:$D,'2020'!$I280,Нормативы!$F:$F,'2020'!$K280)</f>
        <v>200</v>
      </c>
      <c r="AL280" s="618">
        <f>SUMIFS(Нормативы!X:X,Нормативы!$B:$B,$G280,Нормативы!$D:$D,'2020'!$I280,Нормативы!$F:$F,'2020'!$K280)*O280</f>
        <v>13440</v>
      </c>
      <c r="AM280" s="618">
        <f t="shared" si="677"/>
        <v>10322.6</v>
      </c>
      <c r="AN280" s="618">
        <f t="shared" si="678"/>
        <v>3117.4</v>
      </c>
      <c r="AO280" s="618">
        <f>SUMIFS(Нормативы!AA:AA,Нормативы!$B:$B,$G280,Нормативы!$D:$D,'2020'!$I280,Нормативы!$F:$F,'2020'!$K280)</f>
        <v>0</v>
      </c>
      <c r="AP280" s="619">
        <f t="shared" si="679"/>
        <v>115530</v>
      </c>
      <c r="AQ280" s="413">
        <f t="shared" si="616"/>
        <v>156900</v>
      </c>
      <c r="AR280" s="618">
        <f t="shared" si="680"/>
        <v>120506.9</v>
      </c>
      <c r="AS280" s="618">
        <f t="shared" si="681"/>
        <v>36393.1</v>
      </c>
      <c r="AT280" s="616">
        <f t="shared" si="617"/>
        <v>3220</v>
      </c>
      <c r="AU280" s="616">
        <f t="shared" si="618"/>
        <v>644</v>
      </c>
      <c r="AV280" s="616">
        <f t="shared" si="619"/>
        <v>6960</v>
      </c>
      <c r="AW280" s="616">
        <f t="shared" si="620"/>
        <v>17160</v>
      </c>
      <c r="AX280" s="616">
        <f t="shared" si="621"/>
        <v>1760</v>
      </c>
      <c r="AY280" s="616">
        <f t="shared" si="622"/>
        <v>12360</v>
      </c>
      <c r="AZ280" s="616">
        <f t="shared" si="623"/>
        <v>880</v>
      </c>
      <c r="BA280" s="616">
        <f t="shared" si="624"/>
        <v>2160</v>
      </c>
      <c r="BB280" s="616">
        <f t="shared" si="625"/>
        <v>4980</v>
      </c>
      <c r="BC280" s="616">
        <f t="shared" si="626"/>
        <v>11600</v>
      </c>
      <c r="BD280" s="616">
        <f t="shared" si="627"/>
        <v>1080</v>
      </c>
      <c r="BE280" s="616">
        <f t="shared" si="628"/>
        <v>1540</v>
      </c>
      <c r="BF280" s="616">
        <f t="shared" si="629"/>
        <v>340</v>
      </c>
      <c r="BG280" s="616">
        <f t="shared" si="630"/>
        <v>400</v>
      </c>
      <c r="BH280" s="616">
        <f t="shared" si="631"/>
        <v>26880</v>
      </c>
      <c r="BI280" s="618">
        <f t="shared" si="682"/>
        <v>20645.2</v>
      </c>
      <c r="BJ280" s="618">
        <f t="shared" si="683"/>
        <v>6234.8</v>
      </c>
      <c r="BK280" s="616">
        <f t="shared" si="632"/>
        <v>0</v>
      </c>
      <c r="BL280" s="620">
        <f t="shared" si="633"/>
        <v>231060</v>
      </c>
      <c r="BM280" s="616">
        <f t="shared" si="634"/>
        <v>225152</v>
      </c>
      <c r="BN280" s="618">
        <f t="shared" si="635"/>
        <v>172927.8</v>
      </c>
      <c r="BO280" s="618">
        <f t="shared" si="636"/>
        <v>52224.2</v>
      </c>
      <c r="BP280" s="616">
        <f t="shared" si="684"/>
        <v>3220</v>
      </c>
      <c r="BQ280" s="616">
        <f t="shared" si="685"/>
        <v>644</v>
      </c>
      <c r="BR280" s="616">
        <f t="shared" si="686"/>
        <v>6960</v>
      </c>
      <c r="BS280" s="616">
        <f t="shared" si="637"/>
        <v>17160</v>
      </c>
      <c r="BT280" s="616">
        <f t="shared" si="638"/>
        <v>1760</v>
      </c>
      <c r="BU280" s="616">
        <f t="shared" si="639"/>
        <v>12360</v>
      </c>
      <c r="BV280" s="616">
        <f t="shared" si="640"/>
        <v>880</v>
      </c>
      <c r="BW280" s="616">
        <f t="shared" si="641"/>
        <v>2160</v>
      </c>
      <c r="BX280" s="616">
        <f t="shared" si="642"/>
        <v>12500</v>
      </c>
      <c r="BY280" s="616">
        <f t="shared" si="643"/>
        <v>11600</v>
      </c>
      <c r="BZ280" s="616">
        <f t="shared" si="644"/>
        <v>1080</v>
      </c>
      <c r="CA280" s="616">
        <f t="shared" si="645"/>
        <v>1540</v>
      </c>
      <c r="CB280" s="616">
        <f t="shared" si="646"/>
        <v>340</v>
      </c>
      <c r="CC280" s="616">
        <f t="shared" si="647"/>
        <v>400</v>
      </c>
      <c r="CD280" s="616">
        <f t="shared" si="648"/>
        <v>38573</v>
      </c>
      <c r="CE280" s="618">
        <f t="shared" si="687"/>
        <v>29626</v>
      </c>
      <c r="CF280" s="618">
        <f t="shared" si="688"/>
        <v>8947</v>
      </c>
      <c r="CG280" s="616">
        <f t="shared" si="649"/>
        <v>0</v>
      </c>
      <c r="CH280" s="621">
        <f t="shared" si="650"/>
        <v>318525</v>
      </c>
      <c r="CI280" s="88">
        <f t="shared" si="651"/>
        <v>112576</v>
      </c>
      <c r="CJ280" s="90">
        <f t="shared" si="652"/>
        <v>86463.9</v>
      </c>
      <c r="CK280" s="90">
        <f t="shared" si="653"/>
        <v>26112.1</v>
      </c>
      <c r="CL280" s="88">
        <f t="shared" si="654"/>
        <v>1610</v>
      </c>
      <c r="CM280" s="88">
        <f t="shared" si="655"/>
        <v>322</v>
      </c>
      <c r="CN280" s="88">
        <f t="shared" si="656"/>
        <v>3480</v>
      </c>
      <c r="CO280" s="88">
        <f t="shared" si="657"/>
        <v>8580</v>
      </c>
      <c r="CP280" s="88">
        <f t="shared" si="658"/>
        <v>880</v>
      </c>
      <c r="CQ280" s="88">
        <f t="shared" si="659"/>
        <v>6180</v>
      </c>
      <c r="CR280" s="88">
        <f t="shared" si="660"/>
        <v>440</v>
      </c>
      <c r="CS280" s="88">
        <f t="shared" si="661"/>
        <v>1080</v>
      </c>
      <c r="CT280" s="88">
        <f t="shared" si="662"/>
        <v>6250</v>
      </c>
      <c r="CU280" s="88">
        <f t="shared" si="663"/>
        <v>5800</v>
      </c>
      <c r="CV280" s="88">
        <f t="shared" si="664"/>
        <v>540</v>
      </c>
      <c r="CW280" s="88">
        <f t="shared" si="665"/>
        <v>770</v>
      </c>
      <c r="CX280" s="88">
        <f t="shared" si="666"/>
        <v>170</v>
      </c>
      <c r="CY280" s="88">
        <f t="shared" si="667"/>
        <v>200</v>
      </c>
      <c r="CZ280" s="88">
        <f t="shared" si="668"/>
        <v>19286.5</v>
      </c>
      <c r="DA280" s="90">
        <f t="shared" si="669"/>
        <v>14813</v>
      </c>
      <c r="DB280" s="90">
        <f t="shared" si="670"/>
        <v>4473.5</v>
      </c>
      <c r="DC280" s="88">
        <f t="shared" si="671"/>
        <v>0</v>
      </c>
      <c r="DD280" s="88">
        <f t="shared" si="672"/>
        <v>159262.5</v>
      </c>
      <c r="AUV280" s="699">
        <f t="shared" si="758"/>
        <v>112576</v>
      </c>
      <c r="AUW280" s="699">
        <f t="shared" si="759"/>
        <v>86463.9</v>
      </c>
      <c r="AUX280" s="699">
        <f t="shared" si="760"/>
        <v>26112.1</v>
      </c>
      <c r="AUY280" s="699">
        <f t="shared" si="761"/>
        <v>1610</v>
      </c>
      <c r="AUZ280" s="699">
        <f t="shared" si="778"/>
        <v>256.57</v>
      </c>
      <c r="AVA280" s="699">
        <f t="shared" si="778"/>
        <v>0.09</v>
      </c>
      <c r="AVB280" s="699">
        <f t="shared" si="762"/>
        <v>8580</v>
      </c>
      <c r="AVC280" s="699">
        <f t="shared" si="763"/>
        <v>880</v>
      </c>
      <c r="AVD280" s="699">
        <f t="shared" si="764"/>
        <v>6180</v>
      </c>
      <c r="AVE280" s="699">
        <f t="shared" si="765"/>
        <v>440</v>
      </c>
      <c r="AVF280" s="699">
        <f t="shared" si="766"/>
        <v>1080</v>
      </c>
      <c r="AVG280" s="699">
        <f t="shared" si="767"/>
        <v>6250</v>
      </c>
      <c r="AVH280" s="699">
        <f t="shared" si="768"/>
        <v>5800</v>
      </c>
      <c r="AVI280" s="699">
        <f t="shared" si="769"/>
        <v>540</v>
      </c>
      <c r="AVJ280" s="699">
        <f t="shared" si="770"/>
        <v>770</v>
      </c>
      <c r="AVK280" s="699">
        <f t="shared" si="771"/>
        <v>170</v>
      </c>
      <c r="AVL280" s="699">
        <f t="shared" si="772"/>
        <v>200</v>
      </c>
      <c r="AVM280" s="699">
        <f t="shared" si="773"/>
        <v>19286.5</v>
      </c>
      <c r="AVN280" s="699">
        <f t="shared" si="774"/>
        <v>14812.98</v>
      </c>
      <c r="AVO280" s="699">
        <f t="shared" si="775"/>
        <v>4473.5200000000004</v>
      </c>
      <c r="AVP280" s="699">
        <f t="shared" si="776"/>
        <v>0</v>
      </c>
      <c r="AVQ280" s="699">
        <f t="shared" si="777"/>
        <v>159262.5</v>
      </c>
    </row>
    <row r="281" spans="1:108 1244:1265" ht="30" customHeight="1" x14ac:dyDescent="0.25">
      <c r="A281" s="643">
        <v>1</v>
      </c>
      <c r="B281" s="643">
        <v>12</v>
      </c>
      <c r="C281" s="664" t="s">
        <v>27</v>
      </c>
      <c r="D281" s="2"/>
      <c r="E281" s="101" t="s">
        <v>344</v>
      </c>
      <c r="F281" s="643" t="s">
        <v>31</v>
      </c>
      <c r="G281" s="643">
        <v>1</v>
      </c>
      <c r="H281" s="658" t="s">
        <v>10</v>
      </c>
      <c r="I281" s="643">
        <v>0</v>
      </c>
      <c r="J281" s="101" t="s">
        <v>360</v>
      </c>
      <c r="K281" s="643">
        <v>3</v>
      </c>
      <c r="L281" s="683" t="s">
        <v>349</v>
      </c>
      <c r="M281" s="11" t="s">
        <v>265</v>
      </c>
      <c r="N281" s="101" t="s">
        <v>387</v>
      </c>
      <c r="O281" s="643">
        <v>1</v>
      </c>
      <c r="P281" s="632">
        <v>387</v>
      </c>
      <c r="Q281" s="632">
        <v>387</v>
      </c>
      <c r="R281" s="632">
        <v>387</v>
      </c>
      <c r="S281" s="675">
        <f>SUMIF('Территориальный кк'!$A:$A,'2020'!$B281,'Территориальный кк'!D:D)</f>
        <v>1.4350000000000001</v>
      </c>
      <c r="T281" s="676">
        <f>SUMIF('Территориальный кк'!$A:$A,'2020'!$B281,'Территориальный кк'!E:E)</f>
        <v>2.5099999999999998</v>
      </c>
      <c r="U281" s="618">
        <f>SUMIFS(Нормативы!G:G,Нормативы!$B:$B,$G281,Нормативы!$D:$D,'2020'!$I281,Нормативы!$F:$F,'2020'!$K281)*O281</f>
        <v>64190</v>
      </c>
      <c r="V281" s="618">
        <f t="shared" si="674"/>
        <v>49301.1</v>
      </c>
      <c r="W281" s="618">
        <f t="shared" si="675"/>
        <v>14888.9</v>
      </c>
      <c r="X281" s="618">
        <f>SUMIFS(Нормативы!J:J,Нормативы!$B:$B,$G281,Нормативы!$D:$D,'2020'!$I281,Нормативы!$F:$F,'2020'!$K281)</f>
        <v>8830</v>
      </c>
      <c r="Y281" s="618">
        <f>SUMIFS(Нормативы!K:K,Нормативы!$B:$B,$G281,Нормативы!$D:$D,'2020'!$I281,Нормативы!$F:$F,'2020'!$K281)</f>
        <v>1766</v>
      </c>
      <c r="Z281" s="618">
        <f>SUMIFS(Нормативы!L:L,Нормативы!$B:$B,$G281,Нормативы!$D:$D,'2020'!$I281,Нормативы!$F:$F,'2020'!$K281)</f>
        <v>8110</v>
      </c>
      <c r="AA281" s="618">
        <f t="shared" si="676"/>
        <v>19050</v>
      </c>
      <c r="AB281" s="618">
        <f>SUMIFS(Нормативы!N:N,Нормативы!$B:$B,$G281,Нормативы!$D:$D,'2020'!$I281,Нормативы!$F:$F,'2020'!$K281)*O281</f>
        <v>520</v>
      </c>
      <c r="AC281" s="618">
        <f>SUMIFS(Нормативы!O:O,Нормативы!$B:$B,$G281,Нормативы!$D:$D,'2020'!$I281,Нормативы!$F:$F,'2020'!$K281)</f>
        <v>17290</v>
      </c>
      <c r="AD281" s="618">
        <f>SUMIFS(Нормативы!P:P,Нормативы!$B:$B,$G281,Нормативы!$D:$D,'2020'!$I281,Нормативы!$F:$F,'2020'!$K281)*O281</f>
        <v>360</v>
      </c>
      <c r="AE281" s="618">
        <f>SUMIFS(Нормативы!Q:Q,Нормативы!$B:$B,$G281,Нормативы!$D:$D,'2020'!$I281,Нормативы!$F:$F,'2020'!$K281)</f>
        <v>880</v>
      </c>
      <c r="AF281" s="618">
        <f>SUMIFS(Нормативы!R:R,Нормативы!$B:$B,$G281,Нормативы!$D:$D,'2020'!$I281,Нормативы!$F:$F,'2020'!$K281)</f>
        <v>2680</v>
      </c>
      <c r="AG281" s="618">
        <f>SUMIFS(Нормативы!S:S,Нормативы!$B:$B,$G281,Нормативы!$D:$D,'2020'!$I281,Нормативы!$F:$F,'2020'!$K281)</f>
        <v>5800</v>
      </c>
      <c r="AH281" s="618">
        <f>SUMIFS(Нормативы!T:T,Нормативы!$B:$B,$G281,Нормативы!$D:$D,'2020'!$I281,Нормативы!$F:$F,'2020'!$K281)</f>
        <v>540</v>
      </c>
      <c r="AI281" s="618">
        <f>SUMIFS(Нормативы!U:U,Нормативы!$B:$B,$G281,Нормативы!$D:$D,'2020'!$I281,Нормативы!$F:$F,'2020'!$K281)</f>
        <v>770</v>
      </c>
      <c r="AJ281" s="618">
        <f>SUMIFS(Нормативы!V:V,Нормативы!$B:$B,$G281,Нормативы!$D:$D,'2020'!$I281,Нормативы!$F:$F,'2020'!$K281)</f>
        <v>80</v>
      </c>
      <c r="AK281" s="618">
        <f>SUMIFS(Нормативы!W:W,Нормативы!$B:$B,$G281,Нормативы!$D:$D,'2020'!$I281,Нормативы!$F:$F,'2020'!$K281)</f>
        <v>1050</v>
      </c>
      <c r="AL281" s="618">
        <f>SUMIFS(Нормативы!X:X,Нормативы!$B:$B,$G281,Нормативы!$D:$D,'2020'!$I281,Нормативы!$F:$F,'2020'!$K281)*O281</f>
        <v>16120</v>
      </c>
      <c r="AM281" s="618">
        <f t="shared" si="677"/>
        <v>12381</v>
      </c>
      <c r="AN281" s="618">
        <f t="shared" si="678"/>
        <v>3739</v>
      </c>
      <c r="AO281" s="618">
        <f>SUMIFS(Нормативы!AA:AA,Нормативы!$B:$B,$G281,Нормативы!$D:$D,'2020'!$I281,Нормативы!$F:$F,'2020'!$K281)</f>
        <v>3520</v>
      </c>
      <c r="AP281" s="619">
        <f t="shared" si="679"/>
        <v>130740</v>
      </c>
      <c r="AQ281" s="413">
        <f t="shared" si="616"/>
        <v>24841530</v>
      </c>
      <c r="AR281" s="618">
        <f t="shared" si="680"/>
        <v>19079516.100000001</v>
      </c>
      <c r="AS281" s="618">
        <f t="shared" si="681"/>
        <v>5762013.9000000004</v>
      </c>
      <c r="AT281" s="616">
        <f t="shared" si="617"/>
        <v>3417210</v>
      </c>
      <c r="AU281" s="616">
        <f t="shared" si="618"/>
        <v>683442</v>
      </c>
      <c r="AV281" s="616">
        <f t="shared" si="619"/>
        <v>3138570</v>
      </c>
      <c r="AW281" s="616">
        <f t="shared" si="620"/>
        <v>7372350</v>
      </c>
      <c r="AX281" s="616">
        <f t="shared" si="621"/>
        <v>201240</v>
      </c>
      <c r="AY281" s="616">
        <f t="shared" si="622"/>
        <v>6691230</v>
      </c>
      <c r="AZ281" s="616">
        <f t="shared" si="623"/>
        <v>139320</v>
      </c>
      <c r="BA281" s="616">
        <f t="shared" si="624"/>
        <v>340560</v>
      </c>
      <c r="BB281" s="616">
        <f t="shared" si="625"/>
        <v>1037160</v>
      </c>
      <c r="BC281" s="616">
        <f t="shared" si="626"/>
        <v>2244600</v>
      </c>
      <c r="BD281" s="616">
        <f t="shared" si="627"/>
        <v>208980</v>
      </c>
      <c r="BE281" s="616">
        <f t="shared" si="628"/>
        <v>297990</v>
      </c>
      <c r="BF281" s="616">
        <f t="shared" si="629"/>
        <v>30960</v>
      </c>
      <c r="BG281" s="616">
        <f t="shared" si="630"/>
        <v>406350</v>
      </c>
      <c r="BH281" s="616">
        <f t="shared" si="631"/>
        <v>6238440</v>
      </c>
      <c r="BI281" s="618">
        <f t="shared" si="682"/>
        <v>4791428.5999999996</v>
      </c>
      <c r="BJ281" s="618">
        <f t="shared" si="683"/>
        <v>1447011.4</v>
      </c>
      <c r="BK281" s="616">
        <f t="shared" si="632"/>
        <v>1362240</v>
      </c>
      <c r="BL281" s="620">
        <f t="shared" si="633"/>
        <v>50596380</v>
      </c>
      <c r="BM281" s="616">
        <f t="shared" si="634"/>
        <v>35647596</v>
      </c>
      <c r="BN281" s="618">
        <f t="shared" si="635"/>
        <v>27379106</v>
      </c>
      <c r="BO281" s="618">
        <f t="shared" si="636"/>
        <v>8268490</v>
      </c>
      <c r="BP281" s="616">
        <f t="shared" si="684"/>
        <v>3417210</v>
      </c>
      <c r="BQ281" s="616">
        <f t="shared" si="685"/>
        <v>683442</v>
      </c>
      <c r="BR281" s="616">
        <f t="shared" si="686"/>
        <v>3138570</v>
      </c>
      <c r="BS281" s="616">
        <f t="shared" si="637"/>
        <v>7372350</v>
      </c>
      <c r="BT281" s="616">
        <f t="shared" si="638"/>
        <v>201240</v>
      </c>
      <c r="BU281" s="616">
        <f t="shared" si="639"/>
        <v>6691230</v>
      </c>
      <c r="BV281" s="616">
        <f t="shared" si="640"/>
        <v>139320</v>
      </c>
      <c r="BW281" s="616">
        <f t="shared" si="641"/>
        <v>340560</v>
      </c>
      <c r="BX281" s="616">
        <f t="shared" si="642"/>
        <v>2603272</v>
      </c>
      <c r="BY281" s="616">
        <f t="shared" si="643"/>
        <v>2244600</v>
      </c>
      <c r="BZ281" s="616">
        <f t="shared" si="644"/>
        <v>208980</v>
      </c>
      <c r="CA281" s="616">
        <f t="shared" si="645"/>
        <v>297990</v>
      </c>
      <c r="CB281" s="616">
        <f t="shared" si="646"/>
        <v>30960</v>
      </c>
      <c r="CC281" s="616">
        <f t="shared" si="647"/>
        <v>406350</v>
      </c>
      <c r="CD281" s="616">
        <f t="shared" si="648"/>
        <v>8952161</v>
      </c>
      <c r="CE281" s="618">
        <f t="shared" si="687"/>
        <v>6875699.7000000002</v>
      </c>
      <c r="CF281" s="618">
        <f t="shared" si="688"/>
        <v>2076461.3</v>
      </c>
      <c r="CG281" s="616">
        <f t="shared" si="649"/>
        <v>1362240</v>
      </c>
      <c r="CH281" s="621">
        <f t="shared" si="650"/>
        <v>65682279</v>
      </c>
      <c r="CI281" s="88">
        <f t="shared" si="651"/>
        <v>92112.651199999993</v>
      </c>
      <c r="CJ281" s="90">
        <f t="shared" si="652"/>
        <v>70747.043900000004</v>
      </c>
      <c r="CK281" s="90">
        <f t="shared" si="653"/>
        <v>21365.607199999999</v>
      </c>
      <c r="CL281" s="88">
        <f t="shared" si="654"/>
        <v>8830</v>
      </c>
      <c r="CM281" s="88">
        <f t="shared" si="655"/>
        <v>1766</v>
      </c>
      <c r="CN281" s="88">
        <f t="shared" si="656"/>
        <v>8110</v>
      </c>
      <c r="CO281" s="88">
        <f t="shared" si="657"/>
        <v>19050</v>
      </c>
      <c r="CP281" s="88">
        <f t="shared" si="658"/>
        <v>520</v>
      </c>
      <c r="CQ281" s="88">
        <f t="shared" si="659"/>
        <v>17290</v>
      </c>
      <c r="CR281" s="88">
        <f t="shared" si="660"/>
        <v>360</v>
      </c>
      <c r="CS281" s="88">
        <f t="shared" si="661"/>
        <v>880</v>
      </c>
      <c r="CT281" s="88">
        <f t="shared" si="662"/>
        <v>6726.8010000000004</v>
      </c>
      <c r="CU281" s="88">
        <f t="shared" si="663"/>
        <v>5800</v>
      </c>
      <c r="CV281" s="88">
        <f t="shared" si="664"/>
        <v>540</v>
      </c>
      <c r="CW281" s="88">
        <f t="shared" si="665"/>
        <v>770</v>
      </c>
      <c r="CX281" s="88">
        <f t="shared" si="666"/>
        <v>80</v>
      </c>
      <c r="CY281" s="88">
        <f t="shared" si="667"/>
        <v>1050</v>
      </c>
      <c r="CZ281" s="88">
        <f t="shared" si="668"/>
        <v>23132.199000000001</v>
      </c>
      <c r="DA281" s="90">
        <f t="shared" si="669"/>
        <v>17766.6659</v>
      </c>
      <c r="DB281" s="90">
        <f t="shared" si="670"/>
        <v>5365.5330999999996</v>
      </c>
      <c r="DC281" s="88">
        <f t="shared" si="671"/>
        <v>3520</v>
      </c>
      <c r="DD281" s="88">
        <f t="shared" si="672"/>
        <v>169721.65119999999</v>
      </c>
      <c r="AUV281" s="699">
        <f t="shared" si="758"/>
        <v>92112.65</v>
      </c>
      <c r="AUW281" s="699">
        <f t="shared" si="759"/>
        <v>70747.039999999994</v>
      </c>
      <c r="AUX281" s="699">
        <f t="shared" si="760"/>
        <v>21365.61</v>
      </c>
      <c r="AUY281" s="699">
        <f t="shared" si="761"/>
        <v>8830</v>
      </c>
      <c r="AUZ281" s="699">
        <f t="shared" si="778"/>
        <v>272287.65000000002</v>
      </c>
      <c r="AVA281" s="699">
        <f t="shared" si="778"/>
        <v>48.89</v>
      </c>
      <c r="AVB281" s="699">
        <f t="shared" si="762"/>
        <v>19050</v>
      </c>
      <c r="AVC281" s="699">
        <f t="shared" si="763"/>
        <v>520</v>
      </c>
      <c r="AVD281" s="699">
        <f t="shared" si="764"/>
        <v>17290</v>
      </c>
      <c r="AVE281" s="699">
        <f t="shared" si="765"/>
        <v>360</v>
      </c>
      <c r="AVF281" s="699">
        <f t="shared" si="766"/>
        <v>880</v>
      </c>
      <c r="AVG281" s="699">
        <f t="shared" si="767"/>
        <v>6726.8</v>
      </c>
      <c r="AVH281" s="699">
        <f t="shared" si="768"/>
        <v>5800</v>
      </c>
      <c r="AVI281" s="699">
        <f t="shared" si="769"/>
        <v>540</v>
      </c>
      <c r="AVJ281" s="699">
        <f t="shared" si="770"/>
        <v>770</v>
      </c>
      <c r="AVK281" s="699">
        <f t="shared" si="771"/>
        <v>80</v>
      </c>
      <c r="AVL281" s="699">
        <f t="shared" si="772"/>
        <v>1050</v>
      </c>
      <c r="AVM281" s="699">
        <f t="shared" si="773"/>
        <v>23132.2</v>
      </c>
      <c r="AVN281" s="699">
        <f t="shared" si="774"/>
        <v>17766.669999999998</v>
      </c>
      <c r="AVO281" s="699">
        <f t="shared" si="775"/>
        <v>5365.53</v>
      </c>
      <c r="AVP281" s="699">
        <f t="shared" si="776"/>
        <v>3520</v>
      </c>
      <c r="AVQ281" s="699">
        <f t="shared" si="777"/>
        <v>169721.65</v>
      </c>
    </row>
    <row r="282" spans="1:108 1244:1265" ht="30" customHeight="1" x14ac:dyDescent="0.25">
      <c r="A282" s="643">
        <v>1</v>
      </c>
      <c r="B282" s="643">
        <v>2</v>
      </c>
      <c r="C282" s="664" t="s">
        <v>16</v>
      </c>
      <c r="D282" s="2"/>
      <c r="E282" s="101" t="s">
        <v>344</v>
      </c>
      <c r="F282" s="643" t="s">
        <v>31</v>
      </c>
      <c r="G282" s="643">
        <v>1</v>
      </c>
      <c r="H282" s="658" t="s">
        <v>10</v>
      </c>
      <c r="I282" s="643">
        <v>0</v>
      </c>
      <c r="J282" s="101" t="s">
        <v>356</v>
      </c>
      <c r="K282" s="643">
        <v>3</v>
      </c>
      <c r="L282" s="683" t="s">
        <v>349</v>
      </c>
      <c r="M282" s="11" t="s">
        <v>255</v>
      </c>
      <c r="N282" s="101" t="s">
        <v>387</v>
      </c>
      <c r="O282" s="643">
        <v>1</v>
      </c>
      <c r="P282" s="632">
        <v>447</v>
      </c>
      <c r="Q282" s="632">
        <v>447</v>
      </c>
      <c r="R282" s="632">
        <v>447</v>
      </c>
      <c r="S282" s="675">
        <f>SUMIF('Территориальный кк'!$A:$A,'2020'!$B282,'Территориальный кк'!D:D)</f>
        <v>1.244</v>
      </c>
      <c r="T282" s="676">
        <f>SUMIF('Территориальный кк'!$A:$A,'2020'!$B282,'Территориальный кк'!E:E)</f>
        <v>2.194</v>
      </c>
      <c r="U282" s="618">
        <f>SUMIFS(Нормативы!G:G,Нормативы!$B:$B,$G282,Нормативы!$D:$D,'2020'!$I282,Нормативы!$F:$F,'2020'!$K282)*O282</f>
        <v>64190</v>
      </c>
      <c r="V282" s="618">
        <f t="shared" si="674"/>
        <v>49301.1</v>
      </c>
      <c r="W282" s="618">
        <f t="shared" si="675"/>
        <v>14888.9</v>
      </c>
      <c r="X282" s="618">
        <f>SUMIFS(Нормативы!J:J,Нормативы!$B:$B,$G282,Нормативы!$D:$D,'2020'!$I282,Нормативы!$F:$F,'2020'!$K282)</f>
        <v>8830</v>
      </c>
      <c r="Y282" s="618">
        <f>SUMIFS(Нормативы!K:K,Нормативы!$B:$B,$G282,Нормативы!$D:$D,'2020'!$I282,Нормативы!$F:$F,'2020'!$K282)</f>
        <v>1766</v>
      </c>
      <c r="Z282" s="618">
        <f>SUMIFS(Нормативы!L:L,Нормативы!$B:$B,$G282,Нормативы!$D:$D,'2020'!$I282,Нормативы!$F:$F,'2020'!$K282)</f>
        <v>8110</v>
      </c>
      <c r="AA282" s="618">
        <f t="shared" si="676"/>
        <v>19050</v>
      </c>
      <c r="AB282" s="618">
        <f>SUMIFS(Нормативы!N:N,Нормативы!$B:$B,$G282,Нормативы!$D:$D,'2020'!$I282,Нормативы!$F:$F,'2020'!$K282)*O282</f>
        <v>520</v>
      </c>
      <c r="AC282" s="618">
        <f>SUMIFS(Нормативы!O:O,Нормативы!$B:$B,$G282,Нормативы!$D:$D,'2020'!$I282,Нормативы!$F:$F,'2020'!$K282)</f>
        <v>17290</v>
      </c>
      <c r="AD282" s="618">
        <f>SUMIFS(Нормативы!P:P,Нормативы!$B:$B,$G282,Нормативы!$D:$D,'2020'!$I282,Нормативы!$F:$F,'2020'!$K282)*O282</f>
        <v>360</v>
      </c>
      <c r="AE282" s="618">
        <f>SUMIFS(Нормативы!Q:Q,Нормативы!$B:$B,$G282,Нормативы!$D:$D,'2020'!$I282,Нормативы!$F:$F,'2020'!$K282)</f>
        <v>880</v>
      </c>
      <c r="AF282" s="618">
        <f>SUMIFS(Нормативы!R:R,Нормативы!$B:$B,$G282,Нормативы!$D:$D,'2020'!$I282,Нормативы!$F:$F,'2020'!$K282)</f>
        <v>2680</v>
      </c>
      <c r="AG282" s="618">
        <f>SUMIFS(Нормативы!S:S,Нормативы!$B:$B,$G282,Нормативы!$D:$D,'2020'!$I282,Нормативы!$F:$F,'2020'!$K282)</f>
        <v>5800</v>
      </c>
      <c r="AH282" s="618">
        <f>SUMIFS(Нормативы!T:T,Нормативы!$B:$B,$G282,Нормативы!$D:$D,'2020'!$I282,Нормативы!$F:$F,'2020'!$K282)</f>
        <v>540</v>
      </c>
      <c r="AI282" s="618">
        <f>SUMIFS(Нормативы!U:U,Нормативы!$B:$B,$G282,Нормативы!$D:$D,'2020'!$I282,Нормативы!$F:$F,'2020'!$K282)</f>
        <v>770</v>
      </c>
      <c r="AJ282" s="618">
        <f>SUMIFS(Нормативы!V:V,Нормативы!$B:$B,$G282,Нормативы!$D:$D,'2020'!$I282,Нормативы!$F:$F,'2020'!$K282)</f>
        <v>80</v>
      </c>
      <c r="AK282" s="618">
        <f>SUMIFS(Нормативы!W:W,Нормативы!$B:$B,$G282,Нормативы!$D:$D,'2020'!$I282,Нормативы!$F:$F,'2020'!$K282)</f>
        <v>1050</v>
      </c>
      <c r="AL282" s="618">
        <f>SUMIFS(Нормативы!X:X,Нормативы!$B:$B,$G282,Нормативы!$D:$D,'2020'!$I282,Нормативы!$F:$F,'2020'!$K282)*O282</f>
        <v>16120</v>
      </c>
      <c r="AM282" s="618">
        <f t="shared" si="677"/>
        <v>12381</v>
      </c>
      <c r="AN282" s="618">
        <f t="shared" si="678"/>
        <v>3739</v>
      </c>
      <c r="AO282" s="618">
        <f>SUMIFS(Нормативы!AA:AA,Нормативы!$B:$B,$G282,Нормативы!$D:$D,'2020'!$I282,Нормативы!$F:$F,'2020'!$K282)</f>
        <v>3520</v>
      </c>
      <c r="AP282" s="619">
        <f t="shared" si="679"/>
        <v>130740</v>
      </c>
      <c r="AQ282" s="413">
        <f t="shared" si="616"/>
        <v>28692930</v>
      </c>
      <c r="AR282" s="618">
        <f t="shared" si="680"/>
        <v>22037580.600000001</v>
      </c>
      <c r="AS282" s="618">
        <f t="shared" si="681"/>
        <v>6655349.4000000004</v>
      </c>
      <c r="AT282" s="616">
        <f t="shared" si="617"/>
        <v>3947010</v>
      </c>
      <c r="AU282" s="616">
        <f t="shared" si="618"/>
        <v>789402</v>
      </c>
      <c r="AV282" s="616">
        <f t="shared" si="619"/>
        <v>3625170</v>
      </c>
      <c r="AW282" s="616">
        <f t="shared" si="620"/>
        <v>8515350</v>
      </c>
      <c r="AX282" s="616">
        <f t="shared" si="621"/>
        <v>232440</v>
      </c>
      <c r="AY282" s="616">
        <f t="shared" si="622"/>
        <v>7728630</v>
      </c>
      <c r="AZ282" s="616">
        <f t="shared" si="623"/>
        <v>160920</v>
      </c>
      <c r="BA282" s="616">
        <f t="shared" si="624"/>
        <v>393360</v>
      </c>
      <c r="BB282" s="616">
        <f t="shared" si="625"/>
        <v>1197960</v>
      </c>
      <c r="BC282" s="616">
        <f t="shared" si="626"/>
        <v>2592600</v>
      </c>
      <c r="BD282" s="616">
        <f t="shared" si="627"/>
        <v>241380</v>
      </c>
      <c r="BE282" s="616">
        <f t="shared" si="628"/>
        <v>344190</v>
      </c>
      <c r="BF282" s="616">
        <f t="shared" si="629"/>
        <v>35760</v>
      </c>
      <c r="BG282" s="616">
        <f t="shared" si="630"/>
        <v>469350</v>
      </c>
      <c r="BH282" s="616">
        <f t="shared" si="631"/>
        <v>7205640</v>
      </c>
      <c r="BI282" s="618">
        <f t="shared" si="682"/>
        <v>5534285.7000000002</v>
      </c>
      <c r="BJ282" s="618">
        <f t="shared" si="683"/>
        <v>1671354.3</v>
      </c>
      <c r="BK282" s="616">
        <f t="shared" si="632"/>
        <v>1573440</v>
      </c>
      <c r="BL282" s="620">
        <f t="shared" si="633"/>
        <v>58440780</v>
      </c>
      <c r="BM282" s="616">
        <f t="shared" si="634"/>
        <v>35694005</v>
      </c>
      <c r="BN282" s="618">
        <f t="shared" si="635"/>
        <v>27414750.399999999</v>
      </c>
      <c r="BO282" s="618">
        <f t="shared" si="636"/>
        <v>8279254.5999999996</v>
      </c>
      <c r="BP282" s="616">
        <f t="shared" si="684"/>
        <v>3947010</v>
      </c>
      <c r="BQ282" s="616">
        <f t="shared" si="685"/>
        <v>789402</v>
      </c>
      <c r="BR282" s="616">
        <f t="shared" si="686"/>
        <v>3625170</v>
      </c>
      <c r="BS282" s="616">
        <f t="shared" si="637"/>
        <v>8515350</v>
      </c>
      <c r="BT282" s="616">
        <f t="shared" si="638"/>
        <v>232440</v>
      </c>
      <c r="BU282" s="616">
        <f t="shared" si="639"/>
        <v>7728630</v>
      </c>
      <c r="BV282" s="616">
        <f t="shared" si="640"/>
        <v>160920</v>
      </c>
      <c r="BW282" s="616">
        <f t="shared" si="641"/>
        <v>393360</v>
      </c>
      <c r="BX282" s="616">
        <f t="shared" si="642"/>
        <v>2628324</v>
      </c>
      <c r="BY282" s="616">
        <f t="shared" si="643"/>
        <v>2592600</v>
      </c>
      <c r="BZ282" s="616">
        <f t="shared" si="644"/>
        <v>241380</v>
      </c>
      <c r="CA282" s="616">
        <f t="shared" si="645"/>
        <v>344190</v>
      </c>
      <c r="CB282" s="616">
        <f t="shared" si="646"/>
        <v>35760</v>
      </c>
      <c r="CC282" s="616">
        <f t="shared" si="647"/>
        <v>469350</v>
      </c>
      <c r="CD282" s="616">
        <f t="shared" si="648"/>
        <v>8963816</v>
      </c>
      <c r="CE282" s="618">
        <f t="shared" si="687"/>
        <v>6884651.2999999998</v>
      </c>
      <c r="CF282" s="618">
        <f t="shared" si="688"/>
        <v>2079164.7</v>
      </c>
      <c r="CG282" s="616">
        <f t="shared" si="649"/>
        <v>1573440</v>
      </c>
      <c r="CH282" s="621">
        <f t="shared" si="650"/>
        <v>68630395</v>
      </c>
      <c r="CI282" s="88">
        <f t="shared" si="651"/>
        <v>79852.360199999996</v>
      </c>
      <c r="CJ282" s="90">
        <f t="shared" si="652"/>
        <v>61330.537799999998</v>
      </c>
      <c r="CK282" s="90">
        <f t="shared" si="653"/>
        <v>18521.822400000001</v>
      </c>
      <c r="CL282" s="88">
        <f t="shared" si="654"/>
        <v>8830</v>
      </c>
      <c r="CM282" s="88">
        <f t="shared" si="655"/>
        <v>1766</v>
      </c>
      <c r="CN282" s="88">
        <f t="shared" si="656"/>
        <v>8110</v>
      </c>
      <c r="CO282" s="88">
        <f t="shared" si="657"/>
        <v>19050</v>
      </c>
      <c r="CP282" s="88">
        <f t="shared" si="658"/>
        <v>520</v>
      </c>
      <c r="CQ282" s="88">
        <f t="shared" si="659"/>
        <v>17290</v>
      </c>
      <c r="CR282" s="88">
        <f t="shared" si="660"/>
        <v>360</v>
      </c>
      <c r="CS282" s="88">
        <f t="shared" si="661"/>
        <v>880</v>
      </c>
      <c r="CT282" s="88">
        <f t="shared" si="662"/>
        <v>5879.9195</v>
      </c>
      <c r="CU282" s="88">
        <f t="shared" si="663"/>
        <v>5800</v>
      </c>
      <c r="CV282" s="88">
        <f t="shared" si="664"/>
        <v>540</v>
      </c>
      <c r="CW282" s="88">
        <f t="shared" si="665"/>
        <v>770</v>
      </c>
      <c r="CX282" s="88">
        <f t="shared" si="666"/>
        <v>80</v>
      </c>
      <c r="CY282" s="88">
        <f t="shared" si="667"/>
        <v>1050</v>
      </c>
      <c r="CZ282" s="88">
        <f t="shared" si="668"/>
        <v>20053.279600000002</v>
      </c>
      <c r="DA282" s="90">
        <f t="shared" si="669"/>
        <v>15401.904500000001</v>
      </c>
      <c r="DB282" s="90">
        <f t="shared" si="670"/>
        <v>4651.3752000000004</v>
      </c>
      <c r="DC282" s="88">
        <f t="shared" si="671"/>
        <v>3520</v>
      </c>
      <c r="DD282" s="88">
        <f t="shared" si="672"/>
        <v>153535.55929999999</v>
      </c>
      <c r="AUV282" s="699">
        <f t="shared" si="758"/>
        <v>79852.36</v>
      </c>
      <c r="AUW282" s="699">
        <f t="shared" si="759"/>
        <v>61330.54</v>
      </c>
      <c r="AUX282" s="699">
        <f t="shared" si="760"/>
        <v>18521.82</v>
      </c>
      <c r="AUY282" s="699">
        <f t="shared" si="761"/>
        <v>8830</v>
      </c>
      <c r="AUZ282" s="699">
        <f t="shared" si="778"/>
        <v>359800.36</v>
      </c>
      <c r="AVA282" s="699">
        <f t="shared" si="778"/>
        <v>56.48</v>
      </c>
      <c r="AVB282" s="699">
        <f t="shared" si="762"/>
        <v>19050</v>
      </c>
      <c r="AVC282" s="699">
        <f t="shared" si="763"/>
        <v>520</v>
      </c>
      <c r="AVD282" s="699">
        <f t="shared" si="764"/>
        <v>17290</v>
      </c>
      <c r="AVE282" s="699">
        <f t="shared" si="765"/>
        <v>360</v>
      </c>
      <c r="AVF282" s="699">
        <f t="shared" si="766"/>
        <v>880</v>
      </c>
      <c r="AVG282" s="699">
        <f t="shared" si="767"/>
        <v>5879.92</v>
      </c>
      <c r="AVH282" s="699">
        <f t="shared" si="768"/>
        <v>5800</v>
      </c>
      <c r="AVI282" s="699">
        <f t="shared" si="769"/>
        <v>540</v>
      </c>
      <c r="AVJ282" s="699">
        <f t="shared" si="770"/>
        <v>770</v>
      </c>
      <c r="AVK282" s="699">
        <f t="shared" si="771"/>
        <v>80</v>
      </c>
      <c r="AVL282" s="699">
        <f t="shared" si="772"/>
        <v>1050</v>
      </c>
      <c r="AVM282" s="699">
        <f t="shared" si="773"/>
        <v>20053.28</v>
      </c>
      <c r="AVN282" s="699">
        <f t="shared" si="774"/>
        <v>15401.9</v>
      </c>
      <c r="AVO282" s="699">
        <f t="shared" si="775"/>
        <v>4651.38</v>
      </c>
      <c r="AVP282" s="699">
        <f t="shared" si="776"/>
        <v>3520</v>
      </c>
      <c r="AVQ282" s="699">
        <f t="shared" si="777"/>
        <v>153535.56</v>
      </c>
    </row>
    <row r="283" spans="1:108 1244:1265" ht="30" customHeight="1" x14ac:dyDescent="0.25">
      <c r="A283" s="643">
        <v>1</v>
      </c>
      <c r="B283" s="643">
        <v>2</v>
      </c>
      <c r="C283" s="664" t="s">
        <v>16</v>
      </c>
      <c r="D283" s="2"/>
      <c r="E283" s="101" t="s">
        <v>344</v>
      </c>
      <c r="F283" s="643" t="s">
        <v>31</v>
      </c>
      <c r="G283" s="643">
        <v>1</v>
      </c>
      <c r="H283" s="658" t="s">
        <v>10</v>
      </c>
      <c r="I283" s="643">
        <v>0</v>
      </c>
      <c r="J283" s="101" t="s">
        <v>356</v>
      </c>
      <c r="K283" s="643">
        <v>3</v>
      </c>
      <c r="L283" s="683" t="s">
        <v>349</v>
      </c>
      <c r="M283" s="11" t="s">
        <v>256</v>
      </c>
      <c r="N283" s="101" t="s">
        <v>401</v>
      </c>
      <c r="O283" s="643">
        <v>2</v>
      </c>
      <c r="P283" s="632">
        <v>1</v>
      </c>
      <c r="Q283" s="632">
        <v>1</v>
      </c>
      <c r="R283" s="632">
        <v>1</v>
      </c>
      <c r="S283" s="675">
        <f>SUMIF('Территориальный кк'!$A:$A,'2020'!$B283,'Территориальный кк'!D:D)</f>
        <v>1.244</v>
      </c>
      <c r="T283" s="676">
        <f>SUMIF('Территориальный кк'!$A:$A,'2020'!$B283,'Территориальный кк'!E:E)</f>
        <v>2.194</v>
      </c>
      <c r="U283" s="618">
        <f>SUMIFS(Нормативы!G:G,Нормативы!$B:$B,$G283,Нормативы!$D:$D,'2020'!$I283,Нормативы!$F:$F,'2020'!$K283)*O283</f>
        <v>128380</v>
      </c>
      <c r="V283" s="618">
        <f t="shared" si="674"/>
        <v>98602.2</v>
      </c>
      <c r="W283" s="618">
        <f t="shared" si="675"/>
        <v>29777.8</v>
      </c>
      <c r="X283" s="618">
        <f>SUMIFS(Нормативы!J:J,Нормативы!$B:$B,$G283,Нормативы!$D:$D,'2020'!$I283,Нормативы!$F:$F,'2020'!$K283)</f>
        <v>8830</v>
      </c>
      <c r="Y283" s="618">
        <f>SUMIFS(Нормативы!K:K,Нормативы!$B:$B,$G283,Нормативы!$D:$D,'2020'!$I283,Нормативы!$F:$F,'2020'!$K283)</f>
        <v>1766</v>
      </c>
      <c r="Z283" s="618">
        <f>SUMIFS(Нормативы!L:L,Нормативы!$B:$B,$G283,Нормативы!$D:$D,'2020'!$I283,Нормативы!$F:$F,'2020'!$K283)</f>
        <v>8110</v>
      </c>
      <c r="AA283" s="618">
        <f t="shared" si="676"/>
        <v>19930</v>
      </c>
      <c r="AB283" s="618">
        <f>SUMIFS(Нормативы!N:N,Нормативы!$B:$B,$G283,Нормативы!$D:$D,'2020'!$I283,Нормативы!$F:$F,'2020'!$K283)*O283</f>
        <v>1040</v>
      </c>
      <c r="AC283" s="618">
        <f>SUMIFS(Нормативы!O:O,Нормативы!$B:$B,$G283,Нормативы!$D:$D,'2020'!$I283,Нормативы!$F:$F,'2020'!$K283)</f>
        <v>17290</v>
      </c>
      <c r="AD283" s="618">
        <f>SUMIFS(Нормативы!P:P,Нормативы!$B:$B,$G283,Нормативы!$D:$D,'2020'!$I283,Нормативы!$F:$F,'2020'!$K283)*O283</f>
        <v>720</v>
      </c>
      <c r="AE283" s="618">
        <f>SUMIFS(Нормативы!Q:Q,Нормативы!$B:$B,$G283,Нормативы!$D:$D,'2020'!$I283,Нормативы!$F:$F,'2020'!$K283)</f>
        <v>880</v>
      </c>
      <c r="AF283" s="618">
        <f>SUMIFS(Нормативы!R:R,Нормативы!$B:$B,$G283,Нормативы!$D:$D,'2020'!$I283,Нормативы!$F:$F,'2020'!$K283)</f>
        <v>2680</v>
      </c>
      <c r="AG283" s="618">
        <f>SUMIFS(Нормативы!S:S,Нормативы!$B:$B,$G283,Нормативы!$D:$D,'2020'!$I283,Нормативы!$F:$F,'2020'!$K283)</f>
        <v>5800</v>
      </c>
      <c r="AH283" s="618">
        <f>SUMIFS(Нормативы!T:T,Нормативы!$B:$B,$G283,Нормативы!$D:$D,'2020'!$I283,Нормативы!$F:$F,'2020'!$K283)</f>
        <v>540</v>
      </c>
      <c r="AI283" s="618">
        <f>SUMIFS(Нормативы!U:U,Нормативы!$B:$B,$G283,Нормативы!$D:$D,'2020'!$I283,Нормативы!$F:$F,'2020'!$K283)</f>
        <v>770</v>
      </c>
      <c r="AJ283" s="618">
        <f>SUMIFS(Нормативы!V:V,Нормативы!$B:$B,$G283,Нормативы!$D:$D,'2020'!$I283,Нормативы!$F:$F,'2020'!$K283)</f>
        <v>80</v>
      </c>
      <c r="AK283" s="618">
        <f>SUMIFS(Нормативы!W:W,Нормативы!$B:$B,$G283,Нормативы!$D:$D,'2020'!$I283,Нормативы!$F:$F,'2020'!$K283)</f>
        <v>1050</v>
      </c>
      <c r="AL283" s="618">
        <f>SUMIFS(Нормативы!X:X,Нормативы!$B:$B,$G283,Нормативы!$D:$D,'2020'!$I283,Нормативы!$F:$F,'2020'!$K283)*O283</f>
        <v>32240</v>
      </c>
      <c r="AM283" s="618">
        <f t="shared" si="677"/>
        <v>24761.9</v>
      </c>
      <c r="AN283" s="618">
        <f t="shared" si="678"/>
        <v>7478.1</v>
      </c>
      <c r="AO283" s="618">
        <f>SUMIFS(Нормативы!AA:AA,Нормативы!$B:$B,$G283,Нормативы!$D:$D,'2020'!$I283,Нормативы!$F:$F,'2020'!$K283)</f>
        <v>3520</v>
      </c>
      <c r="AP283" s="619">
        <f t="shared" si="679"/>
        <v>211930</v>
      </c>
      <c r="AQ283" s="413">
        <f t="shared" si="616"/>
        <v>128380</v>
      </c>
      <c r="AR283" s="618">
        <f t="shared" si="680"/>
        <v>98602.2</v>
      </c>
      <c r="AS283" s="618">
        <f t="shared" si="681"/>
        <v>29777.8</v>
      </c>
      <c r="AT283" s="616">
        <f t="shared" si="617"/>
        <v>8830</v>
      </c>
      <c r="AU283" s="616">
        <f t="shared" si="618"/>
        <v>1766</v>
      </c>
      <c r="AV283" s="616">
        <f t="shared" si="619"/>
        <v>8110</v>
      </c>
      <c r="AW283" s="616">
        <f t="shared" si="620"/>
        <v>19930</v>
      </c>
      <c r="AX283" s="616">
        <f t="shared" si="621"/>
        <v>1040</v>
      </c>
      <c r="AY283" s="616">
        <f t="shared" si="622"/>
        <v>17290</v>
      </c>
      <c r="AZ283" s="616">
        <f t="shared" si="623"/>
        <v>720</v>
      </c>
      <c r="BA283" s="616">
        <f t="shared" si="624"/>
        <v>880</v>
      </c>
      <c r="BB283" s="616">
        <f t="shared" si="625"/>
        <v>2680</v>
      </c>
      <c r="BC283" s="616">
        <f t="shared" si="626"/>
        <v>5800</v>
      </c>
      <c r="BD283" s="616">
        <f t="shared" si="627"/>
        <v>540</v>
      </c>
      <c r="BE283" s="616">
        <f t="shared" si="628"/>
        <v>770</v>
      </c>
      <c r="BF283" s="616">
        <f t="shared" si="629"/>
        <v>80</v>
      </c>
      <c r="BG283" s="616">
        <f t="shared" si="630"/>
        <v>1050</v>
      </c>
      <c r="BH283" s="616">
        <f t="shared" si="631"/>
        <v>32240</v>
      </c>
      <c r="BI283" s="618">
        <f t="shared" si="682"/>
        <v>24761.9</v>
      </c>
      <c r="BJ283" s="618">
        <f t="shared" si="683"/>
        <v>7478.1</v>
      </c>
      <c r="BK283" s="616">
        <f t="shared" si="632"/>
        <v>3520</v>
      </c>
      <c r="BL283" s="620">
        <f t="shared" si="633"/>
        <v>211930</v>
      </c>
      <c r="BM283" s="616">
        <f t="shared" si="634"/>
        <v>159705</v>
      </c>
      <c r="BN283" s="618">
        <f t="shared" si="635"/>
        <v>122661.3</v>
      </c>
      <c r="BO283" s="618">
        <f t="shared" si="636"/>
        <v>37043.699999999997</v>
      </c>
      <c r="BP283" s="616">
        <f t="shared" si="684"/>
        <v>8830</v>
      </c>
      <c r="BQ283" s="616">
        <f t="shared" si="685"/>
        <v>1766</v>
      </c>
      <c r="BR283" s="616">
        <f t="shared" si="686"/>
        <v>8110</v>
      </c>
      <c r="BS283" s="616">
        <f t="shared" si="637"/>
        <v>19930</v>
      </c>
      <c r="BT283" s="616">
        <f t="shared" si="638"/>
        <v>1040</v>
      </c>
      <c r="BU283" s="616">
        <f t="shared" si="639"/>
        <v>17290</v>
      </c>
      <c r="BV283" s="616">
        <f t="shared" si="640"/>
        <v>720</v>
      </c>
      <c r="BW283" s="616">
        <f t="shared" si="641"/>
        <v>880</v>
      </c>
      <c r="BX283" s="616">
        <f t="shared" si="642"/>
        <v>5880</v>
      </c>
      <c r="BY283" s="616">
        <f t="shared" si="643"/>
        <v>5800</v>
      </c>
      <c r="BZ283" s="616">
        <f t="shared" si="644"/>
        <v>540</v>
      </c>
      <c r="CA283" s="616">
        <f t="shared" si="645"/>
        <v>770</v>
      </c>
      <c r="CB283" s="616">
        <f t="shared" si="646"/>
        <v>80</v>
      </c>
      <c r="CC283" s="616">
        <f t="shared" si="647"/>
        <v>1050</v>
      </c>
      <c r="CD283" s="616">
        <f t="shared" si="648"/>
        <v>40107</v>
      </c>
      <c r="CE283" s="618">
        <f t="shared" si="687"/>
        <v>30804.1</v>
      </c>
      <c r="CF283" s="618">
        <f t="shared" si="688"/>
        <v>9302.9</v>
      </c>
      <c r="CG283" s="616">
        <f t="shared" si="649"/>
        <v>3520</v>
      </c>
      <c r="CH283" s="621">
        <f t="shared" si="650"/>
        <v>254322</v>
      </c>
      <c r="CI283" s="88">
        <f t="shared" si="651"/>
        <v>159705</v>
      </c>
      <c r="CJ283" s="90">
        <f t="shared" si="652"/>
        <v>122661.3</v>
      </c>
      <c r="CK283" s="90">
        <f t="shared" si="653"/>
        <v>37043.699999999997</v>
      </c>
      <c r="CL283" s="88">
        <f t="shared" si="654"/>
        <v>8830</v>
      </c>
      <c r="CM283" s="88">
        <f t="shared" si="655"/>
        <v>1766</v>
      </c>
      <c r="CN283" s="88">
        <f t="shared" si="656"/>
        <v>8110</v>
      </c>
      <c r="CO283" s="88">
        <f t="shared" si="657"/>
        <v>19930</v>
      </c>
      <c r="CP283" s="88">
        <f t="shared" si="658"/>
        <v>1040</v>
      </c>
      <c r="CQ283" s="88">
        <f t="shared" si="659"/>
        <v>17290</v>
      </c>
      <c r="CR283" s="88">
        <f t="shared" si="660"/>
        <v>720</v>
      </c>
      <c r="CS283" s="88">
        <f t="shared" si="661"/>
        <v>880</v>
      </c>
      <c r="CT283" s="88">
        <f t="shared" si="662"/>
        <v>5880</v>
      </c>
      <c r="CU283" s="88">
        <f t="shared" si="663"/>
        <v>5800</v>
      </c>
      <c r="CV283" s="88">
        <f t="shared" si="664"/>
        <v>540</v>
      </c>
      <c r="CW283" s="88">
        <f t="shared" si="665"/>
        <v>770</v>
      </c>
      <c r="CX283" s="88">
        <f t="shared" si="666"/>
        <v>80</v>
      </c>
      <c r="CY283" s="88">
        <f t="shared" si="667"/>
        <v>1050</v>
      </c>
      <c r="CZ283" s="88">
        <f t="shared" si="668"/>
        <v>40107</v>
      </c>
      <c r="DA283" s="90">
        <f t="shared" si="669"/>
        <v>30804.1</v>
      </c>
      <c r="DB283" s="90">
        <f t="shared" si="670"/>
        <v>9302.9</v>
      </c>
      <c r="DC283" s="88">
        <f t="shared" si="671"/>
        <v>3520</v>
      </c>
      <c r="DD283" s="88">
        <f t="shared" si="672"/>
        <v>254322</v>
      </c>
      <c r="AUV283" s="699">
        <f t="shared" si="758"/>
        <v>159705</v>
      </c>
      <c r="AUW283" s="699">
        <f t="shared" si="759"/>
        <v>122661.29</v>
      </c>
      <c r="AUX283" s="699">
        <f t="shared" si="760"/>
        <v>37043.71</v>
      </c>
      <c r="AUY283" s="699">
        <f t="shared" si="761"/>
        <v>8830</v>
      </c>
      <c r="AUZ283" s="699">
        <f t="shared" si="778"/>
        <v>804.92</v>
      </c>
      <c r="AVA283" s="699">
        <f t="shared" si="778"/>
        <v>0.06</v>
      </c>
      <c r="AVB283" s="699">
        <f t="shared" si="762"/>
        <v>19930</v>
      </c>
      <c r="AVC283" s="699">
        <f t="shared" si="763"/>
        <v>1040</v>
      </c>
      <c r="AVD283" s="699">
        <f t="shared" si="764"/>
        <v>17290</v>
      </c>
      <c r="AVE283" s="699">
        <f t="shared" si="765"/>
        <v>720</v>
      </c>
      <c r="AVF283" s="699">
        <f t="shared" si="766"/>
        <v>880</v>
      </c>
      <c r="AVG283" s="699">
        <f t="shared" si="767"/>
        <v>5880</v>
      </c>
      <c r="AVH283" s="699">
        <f t="shared" si="768"/>
        <v>5800</v>
      </c>
      <c r="AVI283" s="699">
        <f t="shared" si="769"/>
        <v>540</v>
      </c>
      <c r="AVJ283" s="699">
        <f t="shared" si="770"/>
        <v>770</v>
      </c>
      <c r="AVK283" s="699">
        <f t="shared" si="771"/>
        <v>80</v>
      </c>
      <c r="AVL283" s="699">
        <f t="shared" si="772"/>
        <v>1050</v>
      </c>
      <c r="AVM283" s="699">
        <f t="shared" si="773"/>
        <v>40107</v>
      </c>
      <c r="AVN283" s="699">
        <f t="shared" si="774"/>
        <v>30804.15</v>
      </c>
      <c r="AVO283" s="699">
        <f t="shared" si="775"/>
        <v>9302.85</v>
      </c>
      <c r="AVP283" s="699">
        <f t="shared" si="776"/>
        <v>3520</v>
      </c>
      <c r="AVQ283" s="699">
        <f t="shared" si="777"/>
        <v>254322</v>
      </c>
    </row>
    <row r="284" spans="1:108 1244:1265" ht="30" customHeight="1" x14ac:dyDescent="0.25">
      <c r="A284" s="643">
        <v>1</v>
      </c>
      <c r="B284" s="643">
        <v>2</v>
      </c>
      <c r="C284" s="664" t="s">
        <v>16</v>
      </c>
      <c r="D284" s="2"/>
      <c r="E284" s="101" t="s">
        <v>344</v>
      </c>
      <c r="F284" s="643" t="s">
        <v>31</v>
      </c>
      <c r="G284" s="643">
        <v>1</v>
      </c>
      <c r="H284" s="658" t="s">
        <v>8</v>
      </c>
      <c r="I284" s="643">
        <v>3</v>
      </c>
      <c r="J284" s="101" t="s">
        <v>356</v>
      </c>
      <c r="K284" s="643">
        <v>3</v>
      </c>
      <c r="L284" s="683" t="s">
        <v>349</v>
      </c>
      <c r="M284" s="11" t="s">
        <v>257</v>
      </c>
      <c r="N284" s="101" t="s">
        <v>387</v>
      </c>
      <c r="O284" s="643">
        <v>1</v>
      </c>
      <c r="P284" s="632">
        <v>119</v>
      </c>
      <c r="Q284" s="632">
        <v>119</v>
      </c>
      <c r="R284" s="632">
        <v>119</v>
      </c>
      <c r="S284" s="675">
        <f>SUMIF('Территориальный кк'!$A:$A,'2020'!$B284,'Территориальный кк'!D:D)</f>
        <v>1.244</v>
      </c>
      <c r="T284" s="676">
        <f>SUMIF('Территориальный кк'!$A:$A,'2020'!$B284,'Территориальный кк'!E:E)</f>
        <v>2.194</v>
      </c>
      <c r="U284" s="618">
        <f>SUMIFS(Нормативы!G:G,Нормативы!$B:$B,$G284,Нормативы!$D:$D,'2020'!$I284,Нормативы!$F:$F,'2020'!$K284)*O284</f>
        <v>6419</v>
      </c>
      <c r="V284" s="618">
        <f t="shared" si="674"/>
        <v>4930.1000000000004</v>
      </c>
      <c r="W284" s="618">
        <f t="shared" si="675"/>
        <v>1488.9</v>
      </c>
      <c r="X284" s="618">
        <f>SUMIFS(Нормативы!J:J,Нормативы!$B:$B,$G284,Нормативы!$D:$D,'2020'!$I284,Нормативы!$F:$F,'2020'!$K284)</f>
        <v>883</v>
      </c>
      <c r="Y284" s="618">
        <f>SUMIFS(Нормативы!K:K,Нормативы!$B:$B,$G284,Нормативы!$D:$D,'2020'!$I284,Нормативы!$F:$F,'2020'!$K284)</f>
        <v>177</v>
      </c>
      <c r="Z284" s="618">
        <f>SUMIFS(Нормативы!L:L,Нормативы!$B:$B,$G284,Нормативы!$D:$D,'2020'!$I284,Нормативы!$F:$F,'2020'!$K284)</f>
        <v>811</v>
      </c>
      <c r="AA284" s="618">
        <f t="shared" si="676"/>
        <v>1905</v>
      </c>
      <c r="AB284" s="618">
        <f>SUMIFS(Нормативы!N:N,Нормативы!$B:$B,$G284,Нормативы!$D:$D,'2020'!$I284,Нормативы!$F:$F,'2020'!$K284)*O284</f>
        <v>52</v>
      </c>
      <c r="AC284" s="618">
        <f>SUMIFS(Нормативы!O:O,Нормативы!$B:$B,$G284,Нормативы!$D:$D,'2020'!$I284,Нормативы!$F:$F,'2020'!$K284)</f>
        <v>1729</v>
      </c>
      <c r="AD284" s="618">
        <f>SUMIFS(Нормативы!P:P,Нормативы!$B:$B,$G284,Нормативы!$D:$D,'2020'!$I284,Нормативы!$F:$F,'2020'!$K284)*O284</f>
        <v>36</v>
      </c>
      <c r="AE284" s="618">
        <f>SUMIFS(Нормативы!Q:Q,Нормативы!$B:$B,$G284,Нормативы!$D:$D,'2020'!$I284,Нормативы!$F:$F,'2020'!$K284)</f>
        <v>88</v>
      </c>
      <c r="AF284" s="618">
        <f>SUMIFS(Нормативы!R:R,Нормативы!$B:$B,$G284,Нормативы!$D:$D,'2020'!$I284,Нормативы!$F:$F,'2020'!$K284)</f>
        <v>268</v>
      </c>
      <c r="AG284" s="618">
        <f>SUMIFS(Нормативы!S:S,Нормативы!$B:$B,$G284,Нормативы!$D:$D,'2020'!$I284,Нормативы!$F:$F,'2020'!$K284)</f>
        <v>580</v>
      </c>
      <c r="AH284" s="618">
        <f>SUMIFS(Нормативы!T:T,Нормативы!$B:$B,$G284,Нормативы!$D:$D,'2020'!$I284,Нормативы!$F:$F,'2020'!$K284)</f>
        <v>54</v>
      </c>
      <c r="AI284" s="618">
        <f>SUMIFS(Нормативы!U:U,Нормативы!$B:$B,$G284,Нормативы!$D:$D,'2020'!$I284,Нормативы!$F:$F,'2020'!$K284)</f>
        <v>77</v>
      </c>
      <c r="AJ284" s="618">
        <f>SUMIFS(Нормативы!V:V,Нормативы!$B:$B,$G284,Нормативы!$D:$D,'2020'!$I284,Нормативы!$F:$F,'2020'!$K284)</f>
        <v>8</v>
      </c>
      <c r="AK284" s="618">
        <f>SUMIFS(Нормативы!W:W,Нормативы!$B:$B,$G284,Нормативы!$D:$D,'2020'!$I284,Нормативы!$F:$F,'2020'!$K284)</f>
        <v>105</v>
      </c>
      <c r="AL284" s="618">
        <f>SUMIFS(Нормативы!X:X,Нормативы!$B:$B,$G284,Нормативы!$D:$D,'2020'!$I284,Нормативы!$F:$F,'2020'!$K284)*O284</f>
        <v>1612</v>
      </c>
      <c r="AM284" s="618">
        <f t="shared" si="677"/>
        <v>1238.0999999999999</v>
      </c>
      <c r="AN284" s="618">
        <f t="shared" si="678"/>
        <v>373.9</v>
      </c>
      <c r="AO284" s="618">
        <f>SUMIFS(Нормативы!AA:AA,Нормативы!$B:$B,$G284,Нормативы!$D:$D,'2020'!$I284,Нормативы!$F:$F,'2020'!$K284)</f>
        <v>0</v>
      </c>
      <c r="AP284" s="619">
        <f t="shared" si="679"/>
        <v>12722</v>
      </c>
      <c r="AQ284" s="413">
        <f t="shared" si="616"/>
        <v>763861</v>
      </c>
      <c r="AR284" s="618">
        <f t="shared" si="680"/>
        <v>586682.80000000005</v>
      </c>
      <c r="AS284" s="618">
        <f t="shared" si="681"/>
        <v>177178.2</v>
      </c>
      <c r="AT284" s="616">
        <f t="shared" si="617"/>
        <v>105077</v>
      </c>
      <c r="AU284" s="616">
        <f t="shared" si="618"/>
        <v>21063</v>
      </c>
      <c r="AV284" s="616">
        <f t="shared" si="619"/>
        <v>96509</v>
      </c>
      <c r="AW284" s="616">
        <f t="shared" si="620"/>
        <v>226695</v>
      </c>
      <c r="AX284" s="616">
        <f t="shared" si="621"/>
        <v>6188</v>
      </c>
      <c r="AY284" s="616">
        <f t="shared" si="622"/>
        <v>205751</v>
      </c>
      <c r="AZ284" s="616">
        <f t="shared" si="623"/>
        <v>4284</v>
      </c>
      <c r="BA284" s="616">
        <f t="shared" si="624"/>
        <v>10472</v>
      </c>
      <c r="BB284" s="616">
        <f t="shared" si="625"/>
        <v>31892</v>
      </c>
      <c r="BC284" s="616">
        <f t="shared" si="626"/>
        <v>69020</v>
      </c>
      <c r="BD284" s="616">
        <f t="shared" si="627"/>
        <v>6426</v>
      </c>
      <c r="BE284" s="616">
        <f t="shared" si="628"/>
        <v>9163</v>
      </c>
      <c r="BF284" s="616">
        <f t="shared" si="629"/>
        <v>952</v>
      </c>
      <c r="BG284" s="616">
        <f t="shared" si="630"/>
        <v>12495</v>
      </c>
      <c r="BH284" s="616">
        <f t="shared" si="631"/>
        <v>191828</v>
      </c>
      <c r="BI284" s="618">
        <f t="shared" si="682"/>
        <v>147333.29999999999</v>
      </c>
      <c r="BJ284" s="618">
        <f t="shared" si="683"/>
        <v>44494.7</v>
      </c>
      <c r="BK284" s="616">
        <f t="shared" si="632"/>
        <v>0</v>
      </c>
      <c r="BL284" s="620">
        <f t="shared" si="633"/>
        <v>1513918</v>
      </c>
      <c r="BM284" s="616">
        <f t="shared" si="634"/>
        <v>950243</v>
      </c>
      <c r="BN284" s="618">
        <f t="shared" si="635"/>
        <v>729833.3</v>
      </c>
      <c r="BO284" s="618">
        <f t="shared" si="636"/>
        <v>220409.7</v>
      </c>
      <c r="BP284" s="616">
        <f t="shared" si="684"/>
        <v>105077</v>
      </c>
      <c r="BQ284" s="616">
        <f t="shared" si="685"/>
        <v>21063</v>
      </c>
      <c r="BR284" s="616">
        <f t="shared" si="686"/>
        <v>96509</v>
      </c>
      <c r="BS284" s="616">
        <f t="shared" si="637"/>
        <v>226695</v>
      </c>
      <c r="BT284" s="616">
        <f t="shared" si="638"/>
        <v>6188</v>
      </c>
      <c r="BU284" s="616">
        <f t="shared" si="639"/>
        <v>205751</v>
      </c>
      <c r="BV284" s="616">
        <f t="shared" si="640"/>
        <v>4284</v>
      </c>
      <c r="BW284" s="616">
        <f t="shared" si="641"/>
        <v>10472</v>
      </c>
      <c r="BX284" s="616">
        <f t="shared" si="642"/>
        <v>69971</v>
      </c>
      <c r="BY284" s="616">
        <f t="shared" si="643"/>
        <v>69020</v>
      </c>
      <c r="BZ284" s="616">
        <f t="shared" si="644"/>
        <v>6426</v>
      </c>
      <c r="CA284" s="616">
        <f t="shared" si="645"/>
        <v>9163</v>
      </c>
      <c r="CB284" s="616">
        <f t="shared" si="646"/>
        <v>952</v>
      </c>
      <c r="CC284" s="616">
        <f t="shared" si="647"/>
        <v>12495</v>
      </c>
      <c r="CD284" s="616">
        <f t="shared" si="648"/>
        <v>238634</v>
      </c>
      <c r="CE284" s="618">
        <f t="shared" si="687"/>
        <v>183282.6</v>
      </c>
      <c r="CF284" s="618">
        <f t="shared" si="688"/>
        <v>55351.4</v>
      </c>
      <c r="CG284" s="616">
        <f t="shared" si="649"/>
        <v>0</v>
      </c>
      <c r="CH284" s="621">
        <f t="shared" si="650"/>
        <v>1785185</v>
      </c>
      <c r="CI284" s="88">
        <f t="shared" si="651"/>
        <v>7985.2353000000003</v>
      </c>
      <c r="CJ284" s="90">
        <f t="shared" si="652"/>
        <v>6133.0528999999997</v>
      </c>
      <c r="CK284" s="90">
        <f t="shared" si="653"/>
        <v>1852.1823999999999</v>
      </c>
      <c r="CL284" s="88">
        <f t="shared" si="654"/>
        <v>883</v>
      </c>
      <c r="CM284" s="88">
        <f t="shared" si="655"/>
        <v>177</v>
      </c>
      <c r="CN284" s="88">
        <f t="shared" si="656"/>
        <v>811</v>
      </c>
      <c r="CO284" s="88">
        <f t="shared" si="657"/>
        <v>1905</v>
      </c>
      <c r="CP284" s="88">
        <f t="shared" si="658"/>
        <v>52</v>
      </c>
      <c r="CQ284" s="88">
        <f t="shared" si="659"/>
        <v>1729</v>
      </c>
      <c r="CR284" s="88">
        <f t="shared" si="660"/>
        <v>36</v>
      </c>
      <c r="CS284" s="88">
        <f t="shared" si="661"/>
        <v>88</v>
      </c>
      <c r="CT284" s="88">
        <f t="shared" si="662"/>
        <v>587.99159999999995</v>
      </c>
      <c r="CU284" s="88">
        <f t="shared" si="663"/>
        <v>580</v>
      </c>
      <c r="CV284" s="88">
        <f t="shared" si="664"/>
        <v>54</v>
      </c>
      <c r="CW284" s="88">
        <f t="shared" si="665"/>
        <v>77</v>
      </c>
      <c r="CX284" s="88">
        <f t="shared" si="666"/>
        <v>8</v>
      </c>
      <c r="CY284" s="88">
        <f t="shared" si="667"/>
        <v>105</v>
      </c>
      <c r="CZ284" s="88">
        <f t="shared" si="668"/>
        <v>2005.3277</v>
      </c>
      <c r="DA284" s="90">
        <f t="shared" si="669"/>
        <v>1540.1899000000001</v>
      </c>
      <c r="DB284" s="90">
        <f t="shared" si="670"/>
        <v>465.13780000000003</v>
      </c>
      <c r="DC284" s="88">
        <f t="shared" si="671"/>
        <v>0</v>
      </c>
      <c r="DD284" s="88">
        <f t="shared" si="672"/>
        <v>15001.554599999999</v>
      </c>
      <c r="AUV284" s="699">
        <f t="shared" si="758"/>
        <v>7985.24</v>
      </c>
      <c r="AUW284" s="699">
        <f t="shared" si="759"/>
        <v>6133.06</v>
      </c>
      <c r="AUX284" s="699">
        <f t="shared" si="760"/>
        <v>1852.18</v>
      </c>
      <c r="AUY284" s="699">
        <f t="shared" si="761"/>
        <v>883</v>
      </c>
      <c r="AUZ284" s="699">
        <f t="shared" si="778"/>
        <v>9600.27</v>
      </c>
      <c r="AVA284" s="699">
        <f t="shared" si="778"/>
        <v>15.03</v>
      </c>
      <c r="AVB284" s="699">
        <f t="shared" si="762"/>
        <v>1905</v>
      </c>
      <c r="AVC284" s="699">
        <f t="shared" si="763"/>
        <v>52</v>
      </c>
      <c r="AVD284" s="699">
        <f t="shared" si="764"/>
        <v>1729</v>
      </c>
      <c r="AVE284" s="699">
        <f t="shared" si="765"/>
        <v>36</v>
      </c>
      <c r="AVF284" s="699">
        <f t="shared" si="766"/>
        <v>88</v>
      </c>
      <c r="AVG284" s="699">
        <f t="shared" si="767"/>
        <v>587.99</v>
      </c>
      <c r="AVH284" s="699">
        <f t="shared" si="768"/>
        <v>580</v>
      </c>
      <c r="AVI284" s="699">
        <f t="shared" si="769"/>
        <v>54</v>
      </c>
      <c r="AVJ284" s="699">
        <f t="shared" si="770"/>
        <v>77</v>
      </c>
      <c r="AVK284" s="699">
        <f t="shared" si="771"/>
        <v>8</v>
      </c>
      <c r="AVL284" s="699">
        <f t="shared" si="772"/>
        <v>105</v>
      </c>
      <c r="AVM284" s="699">
        <f t="shared" si="773"/>
        <v>2005.33</v>
      </c>
      <c r="AVN284" s="699">
        <f t="shared" si="774"/>
        <v>1540.19</v>
      </c>
      <c r="AVO284" s="699">
        <f t="shared" si="775"/>
        <v>465.14</v>
      </c>
      <c r="AVP284" s="699">
        <f t="shared" si="776"/>
        <v>0</v>
      </c>
      <c r="AVQ284" s="699">
        <f t="shared" si="777"/>
        <v>15001.55</v>
      </c>
    </row>
    <row r="285" spans="1:108 1244:1265" ht="30" customHeight="1" x14ac:dyDescent="0.25">
      <c r="A285" s="643">
        <v>1</v>
      </c>
      <c r="B285" s="643">
        <v>2</v>
      </c>
      <c r="C285" s="664" t="s">
        <v>16</v>
      </c>
      <c r="D285" s="2"/>
      <c r="E285" s="101" t="s">
        <v>344</v>
      </c>
      <c r="F285" s="643" t="s">
        <v>31</v>
      </c>
      <c r="G285" s="643">
        <v>1</v>
      </c>
      <c r="H285" s="658" t="s">
        <v>8</v>
      </c>
      <c r="I285" s="643">
        <v>3</v>
      </c>
      <c r="J285" s="101" t="s">
        <v>356</v>
      </c>
      <c r="K285" s="643">
        <v>3</v>
      </c>
      <c r="L285" s="683" t="s">
        <v>349</v>
      </c>
      <c r="M285" s="11" t="s">
        <v>280</v>
      </c>
      <c r="N285" s="101" t="s">
        <v>401</v>
      </c>
      <c r="O285" s="643">
        <v>2</v>
      </c>
      <c r="P285" s="632">
        <v>1</v>
      </c>
      <c r="Q285" s="632">
        <v>1</v>
      </c>
      <c r="R285" s="632">
        <v>1</v>
      </c>
      <c r="S285" s="675">
        <f>SUMIF('Территориальный кк'!$A:$A,'2020'!$B285,'Территориальный кк'!D:D)</f>
        <v>1.244</v>
      </c>
      <c r="T285" s="676">
        <f>SUMIF('Территориальный кк'!$A:$A,'2020'!$B285,'Территориальный кк'!E:E)</f>
        <v>2.194</v>
      </c>
      <c r="U285" s="618">
        <f>SUMIFS(Нормативы!G:G,Нормативы!$B:$B,$G285,Нормативы!$D:$D,'2020'!$I285,Нормативы!$F:$F,'2020'!$K285)*O285</f>
        <v>12838</v>
      </c>
      <c r="V285" s="618">
        <f t="shared" si="674"/>
        <v>9860.2000000000007</v>
      </c>
      <c r="W285" s="618">
        <f t="shared" si="675"/>
        <v>2977.8</v>
      </c>
      <c r="X285" s="618">
        <f>SUMIFS(Нормативы!J:J,Нормативы!$B:$B,$G285,Нормативы!$D:$D,'2020'!$I285,Нормативы!$F:$F,'2020'!$K285)</f>
        <v>883</v>
      </c>
      <c r="Y285" s="618">
        <f>SUMIFS(Нормативы!K:K,Нормативы!$B:$B,$G285,Нормативы!$D:$D,'2020'!$I285,Нормативы!$F:$F,'2020'!$K285)</f>
        <v>177</v>
      </c>
      <c r="Z285" s="618">
        <f>SUMIFS(Нормативы!L:L,Нормативы!$B:$B,$G285,Нормативы!$D:$D,'2020'!$I285,Нормативы!$F:$F,'2020'!$K285)</f>
        <v>811</v>
      </c>
      <c r="AA285" s="618">
        <f t="shared" si="676"/>
        <v>1993</v>
      </c>
      <c r="AB285" s="618">
        <f>SUMIFS(Нормативы!N:N,Нормативы!$B:$B,$G285,Нормативы!$D:$D,'2020'!$I285,Нормативы!$F:$F,'2020'!$K285)*O285</f>
        <v>104</v>
      </c>
      <c r="AC285" s="618">
        <f>SUMIFS(Нормативы!O:O,Нормативы!$B:$B,$G285,Нормативы!$D:$D,'2020'!$I285,Нормативы!$F:$F,'2020'!$K285)</f>
        <v>1729</v>
      </c>
      <c r="AD285" s="618">
        <f>SUMIFS(Нормативы!P:P,Нормативы!$B:$B,$G285,Нормативы!$D:$D,'2020'!$I285,Нормативы!$F:$F,'2020'!$K285)*O285</f>
        <v>72</v>
      </c>
      <c r="AE285" s="618">
        <f>SUMIFS(Нормативы!Q:Q,Нормативы!$B:$B,$G285,Нормативы!$D:$D,'2020'!$I285,Нормативы!$F:$F,'2020'!$K285)</f>
        <v>88</v>
      </c>
      <c r="AF285" s="618">
        <f>SUMIFS(Нормативы!R:R,Нормативы!$B:$B,$G285,Нормативы!$D:$D,'2020'!$I285,Нормативы!$F:$F,'2020'!$K285)</f>
        <v>268</v>
      </c>
      <c r="AG285" s="618">
        <f>SUMIFS(Нормативы!S:S,Нормативы!$B:$B,$G285,Нормативы!$D:$D,'2020'!$I285,Нормативы!$F:$F,'2020'!$K285)</f>
        <v>580</v>
      </c>
      <c r="AH285" s="618">
        <f>SUMIFS(Нормативы!T:T,Нормативы!$B:$B,$G285,Нормативы!$D:$D,'2020'!$I285,Нормативы!$F:$F,'2020'!$K285)</f>
        <v>54</v>
      </c>
      <c r="AI285" s="618">
        <f>SUMIFS(Нормативы!U:U,Нормативы!$B:$B,$G285,Нормативы!$D:$D,'2020'!$I285,Нормативы!$F:$F,'2020'!$K285)</f>
        <v>77</v>
      </c>
      <c r="AJ285" s="618">
        <f>SUMIFS(Нормативы!V:V,Нормативы!$B:$B,$G285,Нормативы!$D:$D,'2020'!$I285,Нормативы!$F:$F,'2020'!$K285)</f>
        <v>8</v>
      </c>
      <c r="AK285" s="618">
        <f>SUMIFS(Нормативы!W:W,Нормативы!$B:$B,$G285,Нормативы!$D:$D,'2020'!$I285,Нормативы!$F:$F,'2020'!$K285)</f>
        <v>105</v>
      </c>
      <c r="AL285" s="618">
        <f>SUMIFS(Нормативы!X:X,Нормативы!$B:$B,$G285,Нормативы!$D:$D,'2020'!$I285,Нормативы!$F:$F,'2020'!$K285)*O285</f>
        <v>3224</v>
      </c>
      <c r="AM285" s="618">
        <f t="shared" si="677"/>
        <v>2476.1999999999998</v>
      </c>
      <c r="AN285" s="618">
        <f t="shared" si="678"/>
        <v>747.8</v>
      </c>
      <c r="AO285" s="618">
        <f>SUMIFS(Нормативы!AA:AA,Нормативы!$B:$B,$G285,Нормативы!$D:$D,'2020'!$I285,Нормативы!$F:$F,'2020'!$K285)</f>
        <v>0</v>
      </c>
      <c r="AP285" s="619">
        <f t="shared" si="679"/>
        <v>20841</v>
      </c>
      <c r="AQ285" s="413">
        <f t="shared" si="616"/>
        <v>12838</v>
      </c>
      <c r="AR285" s="618">
        <f t="shared" si="680"/>
        <v>9860.2000000000007</v>
      </c>
      <c r="AS285" s="618">
        <f t="shared" si="681"/>
        <v>2977.8</v>
      </c>
      <c r="AT285" s="616">
        <f t="shared" si="617"/>
        <v>883</v>
      </c>
      <c r="AU285" s="616">
        <f t="shared" si="618"/>
        <v>177</v>
      </c>
      <c r="AV285" s="616">
        <f t="shared" si="619"/>
        <v>811</v>
      </c>
      <c r="AW285" s="616">
        <f t="shared" si="620"/>
        <v>1993</v>
      </c>
      <c r="AX285" s="616">
        <f t="shared" si="621"/>
        <v>104</v>
      </c>
      <c r="AY285" s="616">
        <f t="shared" si="622"/>
        <v>1729</v>
      </c>
      <c r="AZ285" s="616">
        <f t="shared" si="623"/>
        <v>72</v>
      </c>
      <c r="BA285" s="616">
        <f t="shared" si="624"/>
        <v>88</v>
      </c>
      <c r="BB285" s="616">
        <f t="shared" si="625"/>
        <v>268</v>
      </c>
      <c r="BC285" s="616">
        <f t="shared" si="626"/>
        <v>580</v>
      </c>
      <c r="BD285" s="616">
        <f t="shared" si="627"/>
        <v>54</v>
      </c>
      <c r="BE285" s="616">
        <f t="shared" si="628"/>
        <v>77</v>
      </c>
      <c r="BF285" s="616">
        <f t="shared" si="629"/>
        <v>8</v>
      </c>
      <c r="BG285" s="616">
        <f t="shared" si="630"/>
        <v>105</v>
      </c>
      <c r="BH285" s="616">
        <f t="shared" si="631"/>
        <v>3224</v>
      </c>
      <c r="BI285" s="618">
        <f t="shared" si="682"/>
        <v>2476.1999999999998</v>
      </c>
      <c r="BJ285" s="618">
        <f t="shared" si="683"/>
        <v>747.8</v>
      </c>
      <c r="BK285" s="616">
        <f t="shared" si="632"/>
        <v>0</v>
      </c>
      <c r="BL285" s="620">
        <f t="shared" si="633"/>
        <v>20841</v>
      </c>
      <c r="BM285" s="616">
        <f t="shared" si="634"/>
        <v>15970</v>
      </c>
      <c r="BN285" s="618">
        <f t="shared" si="635"/>
        <v>12265.7</v>
      </c>
      <c r="BO285" s="618">
        <f t="shared" si="636"/>
        <v>3704.3</v>
      </c>
      <c r="BP285" s="616">
        <f t="shared" si="684"/>
        <v>883</v>
      </c>
      <c r="BQ285" s="616">
        <f t="shared" si="685"/>
        <v>177</v>
      </c>
      <c r="BR285" s="616">
        <f t="shared" si="686"/>
        <v>811</v>
      </c>
      <c r="BS285" s="616">
        <f t="shared" si="637"/>
        <v>1993</v>
      </c>
      <c r="BT285" s="616">
        <f t="shared" si="638"/>
        <v>104</v>
      </c>
      <c r="BU285" s="616">
        <f t="shared" si="639"/>
        <v>1729</v>
      </c>
      <c r="BV285" s="616">
        <f t="shared" si="640"/>
        <v>72</v>
      </c>
      <c r="BW285" s="616">
        <f t="shared" si="641"/>
        <v>88</v>
      </c>
      <c r="BX285" s="616">
        <f t="shared" si="642"/>
        <v>588</v>
      </c>
      <c r="BY285" s="616">
        <f t="shared" si="643"/>
        <v>580</v>
      </c>
      <c r="BZ285" s="616">
        <f t="shared" si="644"/>
        <v>54</v>
      </c>
      <c r="CA285" s="616">
        <f t="shared" si="645"/>
        <v>77</v>
      </c>
      <c r="CB285" s="616">
        <f t="shared" si="646"/>
        <v>8</v>
      </c>
      <c r="CC285" s="616">
        <f t="shared" si="647"/>
        <v>105</v>
      </c>
      <c r="CD285" s="616">
        <f t="shared" si="648"/>
        <v>4011</v>
      </c>
      <c r="CE285" s="618">
        <f t="shared" si="687"/>
        <v>3080.6</v>
      </c>
      <c r="CF285" s="618">
        <f t="shared" si="688"/>
        <v>930.4</v>
      </c>
      <c r="CG285" s="616">
        <f t="shared" si="649"/>
        <v>0</v>
      </c>
      <c r="CH285" s="621">
        <f t="shared" si="650"/>
        <v>25080</v>
      </c>
      <c r="CI285" s="88">
        <f t="shared" si="651"/>
        <v>15970</v>
      </c>
      <c r="CJ285" s="90">
        <f t="shared" si="652"/>
        <v>12265.7</v>
      </c>
      <c r="CK285" s="90">
        <f t="shared" si="653"/>
        <v>3704.3</v>
      </c>
      <c r="CL285" s="88">
        <f t="shared" si="654"/>
        <v>883</v>
      </c>
      <c r="CM285" s="88">
        <f t="shared" si="655"/>
        <v>177</v>
      </c>
      <c r="CN285" s="88">
        <f t="shared" si="656"/>
        <v>811</v>
      </c>
      <c r="CO285" s="88">
        <f t="shared" si="657"/>
        <v>1993</v>
      </c>
      <c r="CP285" s="88">
        <f t="shared" si="658"/>
        <v>104</v>
      </c>
      <c r="CQ285" s="88">
        <f t="shared" si="659"/>
        <v>1729</v>
      </c>
      <c r="CR285" s="88">
        <f t="shared" si="660"/>
        <v>72</v>
      </c>
      <c r="CS285" s="88">
        <f t="shared" si="661"/>
        <v>88</v>
      </c>
      <c r="CT285" s="88">
        <f t="shared" si="662"/>
        <v>588</v>
      </c>
      <c r="CU285" s="88">
        <f t="shared" si="663"/>
        <v>580</v>
      </c>
      <c r="CV285" s="88">
        <f t="shared" si="664"/>
        <v>54</v>
      </c>
      <c r="CW285" s="88">
        <f t="shared" si="665"/>
        <v>77</v>
      </c>
      <c r="CX285" s="88">
        <f t="shared" si="666"/>
        <v>8</v>
      </c>
      <c r="CY285" s="88">
        <f t="shared" si="667"/>
        <v>105</v>
      </c>
      <c r="CZ285" s="88">
        <f t="shared" si="668"/>
        <v>4011</v>
      </c>
      <c r="DA285" s="90">
        <f t="shared" si="669"/>
        <v>3080.6</v>
      </c>
      <c r="DB285" s="90">
        <f t="shared" si="670"/>
        <v>930.4</v>
      </c>
      <c r="DC285" s="88">
        <f t="shared" si="671"/>
        <v>0</v>
      </c>
      <c r="DD285" s="88">
        <f t="shared" si="672"/>
        <v>25080</v>
      </c>
      <c r="AUV285" s="699">
        <f t="shared" si="758"/>
        <v>15970</v>
      </c>
      <c r="AUW285" s="699">
        <f t="shared" si="759"/>
        <v>12265.75</v>
      </c>
      <c r="AUX285" s="699">
        <f t="shared" si="760"/>
        <v>3704.25</v>
      </c>
      <c r="AUY285" s="699">
        <f t="shared" si="761"/>
        <v>883</v>
      </c>
      <c r="AUZ285" s="699">
        <f t="shared" si="778"/>
        <v>80.67</v>
      </c>
      <c r="AVA285" s="699">
        <f t="shared" si="778"/>
        <v>0.06</v>
      </c>
      <c r="AVB285" s="699">
        <f t="shared" si="762"/>
        <v>1993</v>
      </c>
      <c r="AVC285" s="699">
        <f t="shared" si="763"/>
        <v>104</v>
      </c>
      <c r="AVD285" s="699">
        <f t="shared" si="764"/>
        <v>1729</v>
      </c>
      <c r="AVE285" s="699">
        <f t="shared" si="765"/>
        <v>72</v>
      </c>
      <c r="AVF285" s="699">
        <f t="shared" si="766"/>
        <v>88</v>
      </c>
      <c r="AVG285" s="699">
        <f t="shared" si="767"/>
        <v>588</v>
      </c>
      <c r="AVH285" s="699">
        <f t="shared" si="768"/>
        <v>580</v>
      </c>
      <c r="AVI285" s="699">
        <f t="shared" si="769"/>
        <v>54</v>
      </c>
      <c r="AVJ285" s="699">
        <f t="shared" si="770"/>
        <v>77</v>
      </c>
      <c r="AVK285" s="699">
        <f t="shared" si="771"/>
        <v>8</v>
      </c>
      <c r="AVL285" s="699">
        <f t="shared" si="772"/>
        <v>105</v>
      </c>
      <c r="AVM285" s="699">
        <f t="shared" si="773"/>
        <v>4011</v>
      </c>
      <c r="AVN285" s="699">
        <f t="shared" si="774"/>
        <v>3080.65</v>
      </c>
      <c r="AVO285" s="699">
        <f t="shared" si="775"/>
        <v>930.35</v>
      </c>
      <c r="AVP285" s="699">
        <f t="shared" si="776"/>
        <v>0</v>
      </c>
      <c r="AVQ285" s="699">
        <f t="shared" si="777"/>
        <v>25080</v>
      </c>
    </row>
    <row r="286" spans="1:108 1244:1265" s="608" customFormat="1" ht="30" customHeight="1" x14ac:dyDescent="0.25">
      <c r="A286" s="634">
        <v>1</v>
      </c>
      <c r="B286" s="634">
        <v>2</v>
      </c>
      <c r="C286" s="633" t="s">
        <v>16</v>
      </c>
      <c r="D286" s="2"/>
      <c r="E286" s="602" t="s">
        <v>344</v>
      </c>
      <c r="F286" s="634" t="s">
        <v>31</v>
      </c>
      <c r="G286" s="634">
        <v>1</v>
      </c>
      <c r="H286" s="656" t="s">
        <v>10</v>
      </c>
      <c r="I286" s="634">
        <v>0</v>
      </c>
      <c r="J286" s="602" t="s">
        <v>357</v>
      </c>
      <c r="K286" s="634">
        <v>3</v>
      </c>
      <c r="L286" s="681" t="s">
        <v>349</v>
      </c>
      <c r="M286" s="601"/>
      <c r="N286" s="602" t="s">
        <v>401</v>
      </c>
      <c r="O286" s="634">
        <v>2</v>
      </c>
      <c r="P286" s="633">
        <v>1</v>
      </c>
      <c r="Q286" s="633">
        <v>1</v>
      </c>
      <c r="R286" s="633">
        <v>1</v>
      </c>
      <c r="S286" s="671">
        <f>'Территориальный кк'!D5</f>
        <v>1.244</v>
      </c>
      <c r="T286" s="672">
        <f>'Территориальный кк'!E5</f>
        <v>2.194</v>
      </c>
      <c r="U286" s="618">
        <f>SUMIFS(Нормативы!G:G,Нормативы!$B:$B,$G286,Нормативы!$D:$D,'2020'!$I286,Нормативы!$F:$F,'2020'!$K286)*O286</f>
        <v>128380</v>
      </c>
      <c r="V286" s="618">
        <f t="shared" ref="V286" si="787">ROUND(U286/1.302,1)</f>
        <v>98602.2</v>
      </c>
      <c r="W286" s="618">
        <f t="shared" ref="W286" si="788">U286-V286</f>
        <v>29777.8</v>
      </c>
      <c r="X286" s="618">
        <f>SUMIFS(Нормативы!J:J,Нормативы!$B:$B,$G286,Нормативы!$D:$D,'2020'!$I286,Нормативы!$F:$F,'2020'!$K286)</f>
        <v>8830</v>
      </c>
      <c r="Y286" s="618">
        <f>SUMIFS(Нормативы!K:K,Нормативы!$B:$B,$G286,Нормативы!$D:$D,'2020'!$I286,Нормативы!$F:$F,'2020'!$K286)</f>
        <v>1766</v>
      </c>
      <c r="Z286" s="618">
        <f>SUMIFS(Нормативы!L:L,Нормативы!$B:$B,$G286,Нормативы!$D:$D,'2020'!$I286,Нормативы!$F:$F,'2020'!$K286)</f>
        <v>8110</v>
      </c>
      <c r="AA286" s="618">
        <f t="shared" ref="AA286" si="789">AB286+AC286+AD286+AE286</f>
        <v>19930</v>
      </c>
      <c r="AB286" s="618">
        <f>SUMIFS(Нормативы!N:N,Нормативы!$B:$B,$G286,Нормативы!$D:$D,'2020'!$I286,Нормативы!$F:$F,'2020'!$K286)*O286</f>
        <v>1040</v>
      </c>
      <c r="AC286" s="618">
        <f>SUMIFS(Нормативы!O:O,Нормативы!$B:$B,$G286,Нормативы!$D:$D,'2020'!$I286,Нормативы!$F:$F,'2020'!$K286)</f>
        <v>17290</v>
      </c>
      <c r="AD286" s="618">
        <f>SUMIFS(Нормативы!P:P,Нормативы!$B:$B,$G286,Нормативы!$D:$D,'2020'!$I286,Нормативы!$F:$F,'2020'!$K286)*O286</f>
        <v>720</v>
      </c>
      <c r="AE286" s="618">
        <f>SUMIFS(Нормативы!Q:Q,Нормативы!$B:$B,$G286,Нормативы!$D:$D,'2020'!$I286,Нормативы!$F:$F,'2020'!$K286)</f>
        <v>880</v>
      </c>
      <c r="AF286" s="618">
        <f>SUMIFS(Нормативы!R:R,Нормативы!$B:$B,$G286,Нормативы!$D:$D,'2020'!$I286,Нормативы!$F:$F,'2020'!$K286)</f>
        <v>2680</v>
      </c>
      <c r="AG286" s="618">
        <f>SUMIFS(Нормативы!S:S,Нормативы!$B:$B,$G286,Нормативы!$D:$D,'2020'!$I286,Нормативы!$F:$F,'2020'!$K286)</f>
        <v>5800</v>
      </c>
      <c r="AH286" s="618">
        <f>SUMIFS(Нормативы!T:T,Нормативы!$B:$B,$G286,Нормативы!$D:$D,'2020'!$I286,Нормативы!$F:$F,'2020'!$K286)</f>
        <v>540</v>
      </c>
      <c r="AI286" s="618">
        <f>SUMIFS(Нормативы!U:U,Нормативы!$B:$B,$G286,Нормативы!$D:$D,'2020'!$I286,Нормативы!$F:$F,'2020'!$K286)</f>
        <v>770</v>
      </c>
      <c r="AJ286" s="618">
        <f>SUMIFS(Нормативы!V:V,Нормативы!$B:$B,$G286,Нормативы!$D:$D,'2020'!$I286,Нормативы!$F:$F,'2020'!$K286)</f>
        <v>80</v>
      </c>
      <c r="AK286" s="618">
        <f>SUMIFS(Нормативы!W:W,Нормативы!$B:$B,$G286,Нормативы!$D:$D,'2020'!$I286,Нормативы!$F:$F,'2020'!$K286)</f>
        <v>1050</v>
      </c>
      <c r="AL286" s="618">
        <f>SUMIFS(Нормативы!X:X,Нормативы!$B:$B,$G286,Нормативы!$D:$D,'2020'!$I286,Нормативы!$F:$F,'2020'!$K286)*O286</f>
        <v>32240</v>
      </c>
      <c r="AM286" s="618">
        <f t="shared" ref="AM286" si="790">ROUND(AL286/1.302,1)</f>
        <v>24761.9</v>
      </c>
      <c r="AN286" s="618">
        <f t="shared" ref="AN286" si="791">AL286-AM286</f>
        <v>7478.1</v>
      </c>
      <c r="AO286" s="618">
        <f>SUMIFS(Нормативы!AA:AA,Нормативы!$B:$B,$G286,Нормативы!$D:$D,'2020'!$I286,Нормативы!$F:$F,'2020'!$K286)</f>
        <v>3520</v>
      </c>
      <c r="AP286" s="619">
        <f t="shared" ref="AP286" si="792">U286+X286+Z286+AA286++AF286+AG286+AH286+AI286+AJ286+AK286+AL286+AO286</f>
        <v>211930</v>
      </c>
      <c r="AQ286" s="611">
        <f t="shared" si="616"/>
        <v>128380</v>
      </c>
      <c r="AR286" s="611">
        <f t="shared" ref="AR286" si="793">ROUND($P286*V286,0)</f>
        <v>98602</v>
      </c>
      <c r="AS286" s="611">
        <f t="shared" ref="AS286" si="794">ROUND($P286*W286,0)</f>
        <v>29778</v>
      </c>
      <c r="AT286" s="611">
        <f t="shared" si="617"/>
        <v>8830</v>
      </c>
      <c r="AU286" s="611">
        <f t="shared" si="618"/>
        <v>1766</v>
      </c>
      <c r="AV286" s="611">
        <f t="shared" si="619"/>
        <v>8110</v>
      </c>
      <c r="AW286" s="611">
        <f t="shared" si="620"/>
        <v>19930</v>
      </c>
      <c r="AX286" s="611">
        <f t="shared" si="621"/>
        <v>1040</v>
      </c>
      <c r="AY286" s="611">
        <f t="shared" si="622"/>
        <v>17290</v>
      </c>
      <c r="AZ286" s="611">
        <f t="shared" si="623"/>
        <v>720</v>
      </c>
      <c r="BA286" s="611">
        <f t="shared" si="624"/>
        <v>880</v>
      </c>
      <c r="BB286" s="611">
        <f t="shared" si="625"/>
        <v>2680</v>
      </c>
      <c r="BC286" s="611">
        <f t="shared" si="626"/>
        <v>5800</v>
      </c>
      <c r="BD286" s="611">
        <f t="shared" si="627"/>
        <v>540</v>
      </c>
      <c r="BE286" s="611">
        <f t="shared" si="628"/>
        <v>770</v>
      </c>
      <c r="BF286" s="611">
        <f t="shared" si="629"/>
        <v>80</v>
      </c>
      <c r="BG286" s="611">
        <f t="shared" si="630"/>
        <v>1050</v>
      </c>
      <c r="BH286" s="614">
        <f t="shared" si="631"/>
        <v>32240</v>
      </c>
      <c r="BI286" s="622">
        <f t="shared" si="682"/>
        <v>24761.9</v>
      </c>
      <c r="BJ286" s="622">
        <f t="shared" si="683"/>
        <v>7478.1</v>
      </c>
      <c r="BK286" s="611">
        <f t="shared" si="632"/>
        <v>3520</v>
      </c>
      <c r="BL286" s="620">
        <f t="shared" si="633"/>
        <v>211930</v>
      </c>
      <c r="BM286" s="614">
        <f t="shared" si="634"/>
        <v>159705</v>
      </c>
      <c r="BN286" s="622">
        <f t="shared" si="635"/>
        <v>122661.3</v>
      </c>
      <c r="BO286" s="622">
        <f t="shared" si="636"/>
        <v>37043.699999999997</v>
      </c>
      <c r="BP286" s="614">
        <f t="shared" si="684"/>
        <v>8830</v>
      </c>
      <c r="BQ286" s="614">
        <f t="shared" si="685"/>
        <v>1766</v>
      </c>
      <c r="BR286" s="614">
        <f t="shared" si="686"/>
        <v>8110</v>
      </c>
      <c r="BS286" s="614">
        <f t="shared" si="637"/>
        <v>19930</v>
      </c>
      <c r="BT286" s="614">
        <f t="shared" si="638"/>
        <v>1040</v>
      </c>
      <c r="BU286" s="614">
        <f t="shared" si="639"/>
        <v>17290</v>
      </c>
      <c r="BV286" s="614">
        <f t="shared" si="640"/>
        <v>720</v>
      </c>
      <c r="BW286" s="614">
        <f t="shared" si="641"/>
        <v>880</v>
      </c>
      <c r="BX286" s="614">
        <f t="shared" si="642"/>
        <v>5880</v>
      </c>
      <c r="BY286" s="614">
        <f t="shared" si="643"/>
        <v>5800</v>
      </c>
      <c r="BZ286" s="614">
        <f t="shared" si="644"/>
        <v>540</v>
      </c>
      <c r="CA286" s="614">
        <f t="shared" si="645"/>
        <v>770</v>
      </c>
      <c r="CB286" s="614">
        <f t="shared" si="646"/>
        <v>80</v>
      </c>
      <c r="CC286" s="614">
        <f t="shared" si="647"/>
        <v>1050</v>
      </c>
      <c r="CD286" s="614">
        <f t="shared" si="648"/>
        <v>40107</v>
      </c>
      <c r="CE286" s="622">
        <f t="shared" si="687"/>
        <v>30804.1</v>
      </c>
      <c r="CF286" s="622">
        <f t="shared" si="688"/>
        <v>9302.9</v>
      </c>
      <c r="CG286" s="614">
        <f t="shared" si="649"/>
        <v>3520</v>
      </c>
      <c r="CH286" s="621">
        <f t="shared" si="650"/>
        <v>254322</v>
      </c>
      <c r="CI286" s="607"/>
      <c r="CJ286" s="607"/>
      <c r="CK286" s="607"/>
      <c r="CL286" s="607"/>
      <c r="CM286" s="607"/>
      <c r="CN286" s="607"/>
      <c r="CO286" s="607"/>
      <c r="CP286" s="607"/>
      <c r="CQ286" s="607"/>
      <c r="CR286" s="607"/>
      <c r="CS286" s="607"/>
      <c r="CT286" s="607"/>
      <c r="CU286" s="607"/>
      <c r="CV286" s="607"/>
      <c r="CW286" s="607"/>
      <c r="CX286" s="607"/>
      <c r="CY286" s="607"/>
      <c r="CZ286" s="607"/>
      <c r="DA286" s="607"/>
      <c r="DB286" s="607"/>
      <c r="DC286" s="607"/>
      <c r="DD286" s="607"/>
      <c r="AUV286" s="699">
        <f t="shared" si="758"/>
        <v>159705</v>
      </c>
      <c r="AUW286" s="699">
        <f t="shared" si="759"/>
        <v>122661.29</v>
      </c>
      <c r="AUX286" s="699">
        <f t="shared" si="760"/>
        <v>37043.71</v>
      </c>
      <c r="AUY286" s="699">
        <f t="shared" si="761"/>
        <v>8830</v>
      </c>
      <c r="AUZ286" s="699">
        <f t="shared" si="778"/>
        <v>804.92</v>
      </c>
      <c r="AVA286" s="699">
        <f t="shared" si="778"/>
        <v>0.06</v>
      </c>
      <c r="AVB286" s="699">
        <f t="shared" si="762"/>
        <v>19930</v>
      </c>
      <c r="AVC286" s="699">
        <f t="shared" si="763"/>
        <v>1040</v>
      </c>
      <c r="AVD286" s="699">
        <f t="shared" si="764"/>
        <v>17290</v>
      </c>
      <c r="AVE286" s="699">
        <f t="shared" si="765"/>
        <v>720</v>
      </c>
      <c r="AVF286" s="699">
        <f t="shared" si="766"/>
        <v>880</v>
      </c>
      <c r="AVG286" s="699">
        <f t="shared" si="767"/>
        <v>5880</v>
      </c>
      <c r="AVH286" s="699">
        <f t="shared" si="768"/>
        <v>5800</v>
      </c>
      <c r="AVI286" s="699">
        <f t="shared" si="769"/>
        <v>540</v>
      </c>
      <c r="AVJ286" s="699">
        <f t="shared" si="770"/>
        <v>770</v>
      </c>
      <c r="AVK286" s="699">
        <f t="shared" si="771"/>
        <v>80</v>
      </c>
      <c r="AVL286" s="699">
        <f t="shared" si="772"/>
        <v>1050</v>
      </c>
      <c r="AVM286" s="699">
        <f t="shared" si="773"/>
        <v>40107</v>
      </c>
      <c r="AVN286" s="699">
        <f t="shared" si="774"/>
        <v>30804.15</v>
      </c>
      <c r="AVO286" s="699">
        <f t="shared" si="775"/>
        <v>9302.85</v>
      </c>
      <c r="AVP286" s="699">
        <f t="shared" si="776"/>
        <v>3520</v>
      </c>
      <c r="AVQ286" s="699">
        <f t="shared" si="777"/>
        <v>254322</v>
      </c>
    </row>
    <row r="287" spans="1:108 1244:1265" ht="30" customHeight="1" x14ac:dyDescent="0.25">
      <c r="A287" s="643">
        <v>1</v>
      </c>
      <c r="B287" s="643">
        <v>2</v>
      </c>
      <c r="C287" s="664" t="s">
        <v>16</v>
      </c>
      <c r="D287" s="2"/>
      <c r="E287" s="101" t="s">
        <v>344</v>
      </c>
      <c r="F287" s="643" t="s">
        <v>31</v>
      </c>
      <c r="G287" s="643">
        <v>1</v>
      </c>
      <c r="H287" s="658" t="s">
        <v>10</v>
      </c>
      <c r="I287" s="643">
        <v>0</v>
      </c>
      <c r="J287" s="101" t="s">
        <v>357</v>
      </c>
      <c r="K287" s="643">
        <v>3</v>
      </c>
      <c r="L287" s="683" t="s">
        <v>349</v>
      </c>
      <c r="M287" s="11" t="s">
        <v>258</v>
      </c>
      <c r="N287" s="101" t="s">
        <v>387</v>
      </c>
      <c r="O287" s="643">
        <v>1</v>
      </c>
      <c r="P287" s="632">
        <v>40</v>
      </c>
      <c r="Q287" s="632">
        <v>40</v>
      </c>
      <c r="R287" s="632">
        <v>40</v>
      </c>
      <c r="S287" s="675">
        <f>SUMIF('Территориальный кк'!$A:$A,'2020'!$B287,'Территориальный кк'!D:D)</f>
        <v>1.244</v>
      </c>
      <c r="T287" s="676">
        <f>SUMIF('Территориальный кк'!$A:$A,'2020'!$B287,'Территориальный кк'!E:E)</f>
        <v>2.194</v>
      </c>
      <c r="U287" s="618">
        <f>SUMIFS(Нормативы!G:G,Нормативы!$B:$B,$G287,Нормативы!$D:$D,'2020'!$I287,Нормативы!$F:$F,'2020'!$K287)*O287</f>
        <v>64190</v>
      </c>
      <c r="V287" s="618">
        <f t="shared" si="674"/>
        <v>49301.1</v>
      </c>
      <c r="W287" s="618">
        <f t="shared" si="675"/>
        <v>14888.9</v>
      </c>
      <c r="X287" s="618">
        <f>SUMIFS(Нормативы!J:J,Нормативы!$B:$B,$G287,Нормативы!$D:$D,'2020'!$I287,Нормативы!$F:$F,'2020'!$K287)</f>
        <v>8830</v>
      </c>
      <c r="Y287" s="618">
        <f>SUMIFS(Нормативы!K:K,Нормативы!$B:$B,$G287,Нормативы!$D:$D,'2020'!$I287,Нормативы!$F:$F,'2020'!$K287)</f>
        <v>1766</v>
      </c>
      <c r="Z287" s="618">
        <f>SUMIFS(Нормативы!L:L,Нормативы!$B:$B,$G287,Нормативы!$D:$D,'2020'!$I287,Нормативы!$F:$F,'2020'!$K287)</f>
        <v>8110</v>
      </c>
      <c r="AA287" s="618">
        <f t="shared" si="676"/>
        <v>19050</v>
      </c>
      <c r="AB287" s="618">
        <f>SUMIFS(Нормативы!N:N,Нормативы!$B:$B,$G287,Нормативы!$D:$D,'2020'!$I287,Нормативы!$F:$F,'2020'!$K287)*O287</f>
        <v>520</v>
      </c>
      <c r="AC287" s="618">
        <f>SUMIFS(Нормативы!O:O,Нормативы!$B:$B,$G287,Нормативы!$D:$D,'2020'!$I287,Нормативы!$F:$F,'2020'!$K287)</f>
        <v>17290</v>
      </c>
      <c r="AD287" s="618">
        <f>SUMIFS(Нормативы!P:P,Нормативы!$B:$B,$G287,Нормативы!$D:$D,'2020'!$I287,Нормативы!$F:$F,'2020'!$K287)*O287</f>
        <v>360</v>
      </c>
      <c r="AE287" s="618">
        <f>SUMIFS(Нормативы!Q:Q,Нормативы!$B:$B,$G287,Нормативы!$D:$D,'2020'!$I287,Нормативы!$F:$F,'2020'!$K287)</f>
        <v>880</v>
      </c>
      <c r="AF287" s="618">
        <f>SUMIFS(Нормативы!R:R,Нормативы!$B:$B,$G287,Нормативы!$D:$D,'2020'!$I287,Нормативы!$F:$F,'2020'!$K287)</f>
        <v>2680</v>
      </c>
      <c r="AG287" s="618">
        <f>SUMIFS(Нормативы!S:S,Нормативы!$B:$B,$G287,Нормативы!$D:$D,'2020'!$I287,Нормативы!$F:$F,'2020'!$K287)</f>
        <v>5800</v>
      </c>
      <c r="AH287" s="618">
        <f>SUMIFS(Нормативы!T:T,Нормативы!$B:$B,$G287,Нормативы!$D:$D,'2020'!$I287,Нормативы!$F:$F,'2020'!$K287)</f>
        <v>540</v>
      </c>
      <c r="AI287" s="618">
        <f>SUMIFS(Нормативы!U:U,Нормативы!$B:$B,$G287,Нормативы!$D:$D,'2020'!$I287,Нормативы!$F:$F,'2020'!$K287)</f>
        <v>770</v>
      </c>
      <c r="AJ287" s="618">
        <f>SUMIFS(Нормативы!V:V,Нормативы!$B:$B,$G287,Нормативы!$D:$D,'2020'!$I287,Нормативы!$F:$F,'2020'!$K287)</f>
        <v>80</v>
      </c>
      <c r="AK287" s="618">
        <f>SUMIFS(Нормативы!W:W,Нормативы!$B:$B,$G287,Нормативы!$D:$D,'2020'!$I287,Нормативы!$F:$F,'2020'!$K287)</f>
        <v>1050</v>
      </c>
      <c r="AL287" s="618">
        <f>SUMIFS(Нормативы!X:X,Нормативы!$B:$B,$G287,Нормативы!$D:$D,'2020'!$I287,Нормативы!$F:$F,'2020'!$K287)*O287</f>
        <v>16120</v>
      </c>
      <c r="AM287" s="618">
        <f t="shared" si="677"/>
        <v>12381</v>
      </c>
      <c r="AN287" s="618">
        <f t="shared" si="678"/>
        <v>3739</v>
      </c>
      <c r="AO287" s="618">
        <f>SUMIFS(Нормативы!AA:AA,Нормативы!$B:$B,$G287,Нормативы!$D:$D,'2020'!$I287,Нормативы!$F:$F,'2020'!$K287)</f>
        <v>3520</v>
      </c>
      <c r="AP287" s="619">
        <f t="shared" si="679"/>
        <v>130740</v>
      </c>
      <c r="AQ287" s="413">
        <f t="shared" si="616"/>
        <v>2567600</v>
      </c>
      <c r="AR287" s="618">
        <f t="shared" si="680"/>
        <v>1972043</v>
      </c>
      <c r="AS287" s="618">
        <f t="shared" si="681"/>
        <v>595557</v>
      </c>
      <c r="AT287" s="616">
        <f t="shared" si="617"/>
        <v>353200</v>
      </c>
      <c r="AU287" s="616">
        <f t="shared" si="618"/>
        <v>70640</v>
      </c>
      <c r="AV287" s="616">
        <f t="shared" si="619"/>
        <v>324400</v>
      </c>
      <c r="AW287" s="616">
        <f t="shared" si="620"/>
        <v>762000</v>
      </c>
      <c r="AX287" s="616">
        <f t="shared" si="621"/>
        <v>20800</v>
      </c>
      <c r="AY287" s="616">
        <f t="shared" si="622"/>
        <v>691600</v>
      </c>
      <c r="AZ287" s="616">
        <f t="shared" si="623"/>
        <v>14400</v>
      </c>
      <c r="BA287" s="616">
        <f t="shared" si="624"/>
        <v>35200</v>
      </c>
      <c r="BB287" s="616">
        <f t="shared" si="625"/>
        <v>107200</v>
      </c>
      <c r="BC287" s="616">
        <f t="shared" si="626"/>
        <v>232000</v>
      </c>
      <c r="BD287" s="616">
        <f t="shared" si="627"/>
        <v>21600</v>
      </c>
      <c r="BE287" s="616">
        <f t="shared" si="628"/>
        <v>30800</v>
      </c>
      <c r="BF287" s="616">
        <f t="shared" si="629"/>
        <v>3200</v>
      </c>
      <c r="BG287" s="616">
        <f t="shared" si="630"/>
        <v>42000</v>
      </c>
      <c r="BH287" s="616">
        <f t="shared" si="631"/>
        <v>644800</v>
      </c>
      <c r="BI287" s="618">
        <f t="shared" si="682"/>
        <v>495238.1</v>
      </c>
      <c r="BJ287" s="618">
        <f t="shared" si="683"/>
        <v>149561.9</v>
      </c>
      <c r="BK287" s="616">
        <f t="shared" si="632"/>
        <v>140800</v>
      </c>
      <c r="BL287" s="620">
        <f t="shared" si="633"/>
        <v>5229600</v>
      </c>
      <c r="BM287" s="616">
        <f t="shared" si="634"/>
        <v>3194094</v>
      </c>
      <c r="BN287" s="618">
        <f t="shared" si="635"/>
        <v>2453221.2000000002</v>
      </c>
      <c r="BO287" s="618">
        <f t="shared" si="636"/>
        <v>740872.8</v>
      </c>
      <c r="BP287" s="616">
        <f t="shared" si="684"/>
        <v>353200</v>
      </c>
      <c r="BQ287" s="616">
        <f t="shared" si="685"/>
        <v>70640</v>
      </c>
      <c r="BR287" s="616">
        <f t="shared" si="686"/>
        <v>324400</v>
      </c>
      <c r="BS287" s="616">
        <f t="shared" si="637"/>
        <v>762000</v>
      </c>
      <c r="BT287" s="616">
        <f t="shared" si="638"/>
        <v>20800</v>
      </c>
      <c r="BU287" s="616">
        <f t="shared" si="639"/>
        <v>691600</v>
      </c>
      <c r="BV287" s="616">
        <f t="shared" si="640"/>
        <v>14400</v>
      </c>
      <c r="BW287" s="616">
        <f t="shared" si="641"/>
        <v>35200</v>
      </c>
      <c r="BX287" s="616">
        <f t="shared" si="642"/>
        <v>235197</v>
      </c>
      <c r="BY287" s="616">
        <f t="shared" si="643"/>
        <v>232000</v>
      </c>
      <c r="BZ287" s="616">
        <f t="shared" si="644"/>
        <v>21600</v>
      </c>
      <c r="CA287" s="616">
        <f t="shared" si="645"/>
        <v>30800</v>
      </c>
      <c r="CB287" s="616">
        <f t="shared" si="646"/>
        <v>3200</v>
      </c>
      <c r="CC287" s="616">
        <f t="shared" si="647"/>
        <v>42000</v>
      </c>
      <c r="CD287" s="616">
        <f t="shared" si="648"/>
        <v>802131</v>
      </c>
      <c r="CE287" s="618">
        <f t="shared" si="687"/>
        <v>616076</v>
      </c>
      <c r="CF287" s="618">
        <f t="shared" si="688"/>
        <v>186055</v>
      </c>
      <c r="CG287" s="616">
        <f t="shared" si="649"/>
        <v>140800</v>
      </c>
      <c r="CH287" s="621">
        <f t="shared" si="650"/>
        <v>6141422</v>
      </c>
      <c r="CI287" s="88">
        <f t="shared" si="651"/>
        <v>79852.350000000006</v>
      </c>
      <c r="CJ287" s="90">
        <f t="shared" si="652"/>
        <v>61330.53</v>
      </c>
      <c r="CK287" s="90">
        <f t="shared" si="653"/>
        <v>18521.82</v>
      </c>
      <c r="CL287" s="88">
        <f t="shared" si="654"/>
        <v>8830</v>
      </c>
      <c r="CM287" s="88">
        <f t="shared" si="655"/>
        <v>1766</v>
      </c>
      <c r="CN287" s="88">
        <f t="shared" si="656"/>
        <v>8110</v>
      </c>
      <c r="CO287" s="88">
        <f t="shared" si="657"/>
        <v>19050</v>
      </c>
      <c r="CP287" s="88">
        <f t="shared" si="658"/>
        <v>520</v>
      </c>
      <c r="CQ287" s="88">
        <f t="shared" si="659"/>
        <v>17290</v>
      </c>
      <c r="CR287" s="88">
        <f t="shared" si="660"/>
        <v>360</v>
      </c>
      <c r="CS287" s="88">
        <f t="shared" si="661"/>
        <v>880</v>
      </c>
      <c r="CT287" s="88">
        <f t="shared" si="662"/>
        <v>5879.9250000000002</v>
      </c>
      <c r="CU287" s="88">
        <f t="shared" si="663"/>
        <v>5800</v>
      </c>
      <c r="CV287" s="88">
        <f t="shared" si="664"/>
        <v>540</v>
      </c>
      <c r="CW287" s="88">
        <f t="shared" si="665"/>
        <v>770</v>
      </c>
      <c r="CX287" s="88">
        <f t="shared" si="666"/>
        <v>80</v>
      </c>
      <c r="CY287" s="88">
        <f t="shared" si="667"/>
        <v>1050</v>
      </c>
      <c r="CZ287" s="88">
        <f t="shared" si="668"/>
        <v>20053.275000000001</v>
      </c>
      <c r="DA287" s="90">
        <f t="shared" si="669"/>
        <v>15401.9</v>
      </c>
      <c r="DB287" s="90">
        <f t="shared" si="670"/>
        <v>4651.375</v>
      </c>
      <c r="DC287" s="88">
        <f t="shared" si="671"/>
        <v>3520</v>
      </c>
      <c r="DD287" s="88">
        <f t="shared" si="672"/>
        <v>153535.54999999999</v>
      </c>
      <c r="AUV287" s="699">
        <f t="shared" si="758"/>
        <v>79852.350000000006</v>
      </c>
      <c r="AUW287" s="699">
        <f t="shared" si="759"/>
        <v>61330.53</v>
      </c>
      <c r="AUX287" s="699">
        <f t="shared" si="760"/>
        <v>18521.82</v>
      </c>
      <c r="AUY287" s="699">
        <f t="shared" si="761"/>
        <v>8830</v>
      </c>
      <c r="AUZ287" s="699">
        <f t="shared" si="778"/>
        <v>32196.9</v>
      </c>
      <c r="AVA287" s="699">
        <f t="shared" si="778"/>
        <v>5.05</v>
      </c>
      <c r="AVB287" s="699">
        <f t="shared" si="762"/>
        <v>19050</v>
      </c>
      <c r="AVC287" s="699">
        <f t="shared" si="763"/>
        <v>520</v>
      </c>
      <c r="AVD287" s="699">
        <f t="shared" si="764"/>
        <v>17290</v>
      </c>
      <c r="AVE287" s="699">
        <f t="shared" si="765"/>
        <v>360</v>
      </c>
      <c r="AVF287" s="699">
        <f t="shared" si="766"/>
        <v>880</v>
      </c>
      <c r="AVG287" s="699">
        <f t="shared" si="767"/>
        <v>5879.93</v>
      </c>
      <c r="AVH287" s="699">
        <f t="shared" si="768"/>
        <v>5800</v>
      </c>
      <c r="AVI287" s="699">
        <f t="shared" si="769"/>
        <v>540</v>
      </c>
      <c r="AVJ287" s="699">
        <f t="shared" si="770"/>
        <v>770</v>
      </c>
      <c r="AVK287" s="699">
        <f t="shared" si="771"/>
        <v>80</v>
      </c>
      <c r="AVL287" s="699">
        <f t="shared" si="772"/>
        <v>1050</v>
      </c>
      <c r="AVM287" s="699">
        <f t="shared" si="773"/>
        <v>20053.28</v>
      </c>
      <c r="AVN287" s="699">
        <f t="shared" si="774"/>
        <v>15401.9</v>
      </c>
      <c r="AVO287" s="699">
        <f t="shared" si="775"/>
        <v>4651.38</v>
      </c>
      <c r="AVP287" s="699">
        <f t="shared" si="776"/>
        <v>3520</v>
      </c>
      <c r="AVQ287" s="699">
        <f t="shared" si="777"/>
        <v>153535.54999999999</v>
      </c>
    </row>
    <row r="288" spans="1:108 1244:1265" ht="30" customHeight="1" x14ac:dyDescent="0.25">
      <c r="A288" s="643">
        <v>1</v>
      </c>
      <c r="B288" s="643">
        <v>2</v>
      </c>
      <c r="C288" s="664" t="s">
        <v>16</v>
      </c>
      <c r="D288" s="2"/>
      <c r="E288" s="101" t="s">
        <v>344</v>
      </c>
      <c r="F288" s="643" t="s">
        <v>31</v>
      </c>
      <c r="G288" s="643">
        <v>1</v>
      </c>
      <c r="H288" s="658" t="s">
        <v>8</v>
      </c>
      <c r="I288" s="643">
        <v>3</v>
      </c>
      <c r="J288" s="101" t="s">
        <v>357</v>
      </c>
      <c r="K288" s="643">
        <v>3</v>
      </c>
      <c r="L288" s="683" t="s">
        <v>349</v>
      </c>
      <c r="M288" s="11" t="s">
        <v>260</v>
      </c>
      <c r="N288" s="101" t="s">
        <v>387</v>
      </c>
      <c r="O288" s="643">
        <v>1</v>
      </c>
      <c r="P288" s="632">
        <v>35</v>
      </c>
      <c r="Q288" s="632">
        <v>35</v>
      </c>
      <c r="R288" s="632">
        <v>35</v>
      </c>
      <c r="S288" s="675">
        <f>SUMIF('Территориальный кк'!$A:$A,'2020'!$B288,'Территориальный кк'!D:D)</f>
        <v>1.244</v>
      </c>
      <c r="T288" s="676">
        <f>SUMIF('Территориальный кк'!$A:$A,'2020'!$B288,'Территориальный кк'!E:E)</f>
        <v>2.194</v>
      </c>
      <c r="U288" s="618">
        <f>SUMIFS(Нормативы!G:G,Нормативы!$B:$B,$G288,Нормативы!$D:$D,'2020'!$I288,Нормативы!$F:$F,'2020'!$K288)*O288</f>
        <v>6419</v>
      </c>
      <c r="V288" s="618">
        <f t="shared" si="674"/>
        <v>4930.1000000000004</v>
      </c>
      <c r="W288" s="618">
        <f t="shared" si="675"/>
        <v>1488.9</v>
      </c>
      <c r="X288" s="618">
        <f>SUMIFS(Нормативы!J:J,Нормативы!$B:$B,$G288,Нормативы!$D:$D,'2020'!$I288,Нормативы!$F:$F,'2020'!$K288)</f>
        <v>883</v>
      </c>
      <c r="Y288" s="618">
        <f>SUMIFS(Нормативы!K:K,Нормативы!$B:$B,$G288,Нормативы!$D:$D,'2020'!$I288,Нормативы!$F:$F,'2020'!$K288)</f>
        <v>177</v>
      </c>
      <c r="Z288" s="618">
        <f>SUMIFS(Нормативы!L:L,Нормативы!$B:$B,$G288,Нормативы!$D:$D,'2020'!$I288,Нормативы!$F:$F,'2020'!$K288)</f>
        <v>811</v>
      </c>
      <c r="AA288" s="618">
        <f t="shared" si="676"/>
        <v>1905</v>
      </c>
      <c r="AB288" s="618">
        <f>SUMIFS(Нормативы!N:N,Нормативы!$B:$B,$G288,Нормативы!$D:$D,'2020'!$I288,Нормативы!$F:$F,'2020'!$K288)*O288</f>
        <v>52</v>
      </c>
      <c r="AC288" s="618">
        <f>SUMIFS(Нормативы!O:O,Нормативы!$B:$B,$G288,Нормативы!$D:$D,'2020'!$I288,Нормативы!$F:$F,'2020'!$K288)</f>
        <v>1729</v>
      </c>
      <c r="AD288" s="618">
        <f>SUMIFS(Нормативы!P:P,Нормативы!$B:$B,$G288,Нормативы!$D:$D,'2020'!$I288,Нормативы!$F:$F,'2020'!$K288)*O288</f>
        <v>36</v>
      </c>
      <c r="AE288" s="618">
        <f>SUMIFS(Нормативы!Q:Q,Нормативы!$B:$B,$G288,Нормативы!$D:$D,'2020'!$I288,Нормативы!$F:$F,'2020'!$K288)</f>
        <v>88</v>
      </c>
      <c r="AF288" s="618">
        <f>SUMIFS(Нормативы!R:R,Нормативы!$B:$B,$G288,Нормативы!$D:$D,'2020'!$I288,Нормативы!$F:$F,'2020'!$K288)</f>
        <v>268</v>
      </c>
      <c r="AG288" s="618">
        <f>SUMIFS(Нормативы!S:S,Нормативы!$B:$B,$G288,Нормативы!$D:$D,'2020'!$I288,Нормативы!$F:$F,'2020'!$K288)</f>
        <v>580</v>
      </c>
      <c r="AH288" s="618">
        <f>SUMIFS(Нормативы!T:T,Нормативы!$B:$B,$G288,Нормативы!$D:$D,'2020'!$I288,Нормативы!$F:$F,'2020'!$K288)</f>
        <v>54</v>
      </c>
      <c r="AI288" s="618">
        <f>SUMIFS(Нормативы!U:U,Нормативы!$B:$B,$G288,Нормативы!$D:$D,'2020'!$I288,Нормативы!$F:$F,'2020'!$K288)</f>
        <v>77</v>
      </c>
      <c r="AJ288" s="618">
        <f>SUMIFS(Нормативы!V:V,Нормативы!$B:$B,$G288,Нормативы!$D:$D,'2020'!$I288,Нормативы!$F:$F,'2020'!$K288)</f>
        <v>8</v>
      </c>
      <c r="AK288" s="618">
        <f>SUMIFS(Нормативы!W:W,Нормативы!$B:$B,$G288,Нормативы!$D:$D,'2020'!$I288,Нормативы!$F:$F,'2020'!$K288)</f>
        <v>105</v>
      </c>
      <c r="AL288" s="618">
        <f>SUMIFS(Нормативы!X:X,Нормативы!$B:$B,$G288,Нормативы!$D:$D,'2020'!$I288,Нормативы!$F:$F,'2020'!$K288)*O288</f>
        <v>1612</v>
      </c>
      <c r="AM288" s="618">
        <f t="shared" si="677"/>
        <v>1238.0999999999999</v>
      </c>
      <c r="AN288" s="618">
        <f t="shared" si="678"/>
        <v>373.9</v>
      </c>
      <c r="AO288" s="618">
        <f>SUMIFS(Нормативы!AA:AA,Нормативы!$B:$B,$G288,Нормативы!$D:$D,'2020'!$I288,Нормативы!$F:$F,'2020'!$K288)</f>
        <v>0</v>
      </c>
      <c r="AP288" s="619">
        <f t="shared" si="679"/>
        <v>12722</v>
      </c>
      <c r="AQ288" s="413">
        <f t="shared" ref="AQ288:AQ360" si="795">ROUND($P288*U288,0)</f>
        <v>224665</v>
      </c>
      <c r="AR288" s="618">
        <f t="shared" si="680"/>
        <v>172553.8</v>
      </c>
      <c r="AS288" s="618">
        <f t="shared" si="681"/>
        <v>52111.199999999997</v>
      </c>
      <c r="AT288" s="616">
        <f t="shared" ref="AT288:AT360" si="796">ROUND($P288*X288,0)</f>
        <v>30905</v>
      </c>
      <c r="AU288" s="616">
        <f t="shared" ref="AU288:AU360" si="797">ROUND($P288*Y288,0)</f>
        <v>6195</v>
      </c>
      <c r="AV288" s="616">
        <f t="shared" ref="AV288:AV360" si="798">ROUND($P288*Z288,0)</f>
        <v>28385</v>
      </c>
      <c r="AW288" s="616">
        <f t="shared" ref="AW288:AW360" si="799">ROUND($P288*AA288,0)</f>
        <v>66675</v>
      </c>
      <c r="AX288" s="616">
        <f t="shared" ref="AX288:AX360" si="800">ROUND($P288*AB288,0)</f>
        <v>1820</v>
      </c>
      <c r="AY288" s="616">
        <f t="shared" ref="AY288:AY360" si="801">ROUND($P288*AC288,0)</f>
        <v>60515</v>
      </c>
      <c r="AZ288" s="616">
        <f t="shared" ref="AZ288:AZ360" si="802">ROUND($P288*AD288,0)</f>
        <v>1260</v>
      </c>
      <c r="BA288" s="616">
        <f t="shared" ref="BA288:BA360" si="803">ROUND($P288*AE288,0)</f>
        <v>3080</v>
      </c>
      <c r="BB288" s="616">
        <f t="shared" ref="BB288:BB360" si="804">ROUND($P288*AF288,0)</f>
        <v>9380</v>
      </c>
      <c r="BC288" s="616">
        <f t="shared" ref="BC288:BC360" si="805">ROUND($P288*AG288,0)</f>
        <v>20300</v>
      </c>
      <c r="BD288" s="616">
        <f t="shared" ref="BD288:BD360" si="806">ROUND($P288*AH288,0)</f>
        <v>1890</v>
      </c>
      <c r="BE288" s="616">
        <f t="shared" ref="BE288:BE360" si="807">ROUND($P288*AI288,0)</f>
        <v>2695</v>
      </c>
      <c r="BF288" s="616">
        <f t="shared" ref="BF288:BF360" si="808">ROUND($P288*AJ288,0)</f>
        <v>280</v>
      </c>
      <c r="BG288" s="616">
        <f t="shared" ref="BG288:BG360" si="809">ROUND($P288*AK288,0)</f>
        <v>3675</v>
      </c>
      <c r="BH288" s="616">
        <f t="shared" ref="BH288:BH360" si="810">ROUND($P288*AL288,0)</f>
        <v>56420</v>
      </c>
      <c r="BI288" s="618">
        <f t="shared" si="682"/>
        <v>43333.3</v>
      </c>
      <c r="BJ288" s="618">
        <f t="shared" si="683"/>
        <v>13086.7</v>
      </c>
      <c r="BK288" s="616">
        <f t="shared" ref="BK288:BK360" si="811">ROUND($P288*AO288,0)</f>
        <v>0</v>
      </c>
      <c r="BL288" s="620">
        <f t="shared" ref="BL288:BL360" si="812">AQ288+AT288+AV288+AW288++BB288+BC288+BD288+BE288+BF288+BG288+BH288+BK288</f>
        <v>445270</v>
      </c>
      <c r="BM288" s="616">
        <f t="shared" ref="BM288:BM360" si="813">ROUND(AQ288*S288,0)</f>
        <v>279483</v>
      </c>
      <c r="BN288" s="618">
        <f t="shared" ref="BN288:BN360" si="814">ROUND(BM288/1.302,1)</f>
        <v>214656.7</v>
      </c>
      <c r="BO288" s="618">
        <f t="shared" ref="BO288:BO360" si="815">BM288-BN288</f>
        <v>64826.3</v>
      </c>
      <c r="BP288" s="616">
        <f t="shared" si="684"/>
        <v>30905</v>
      </c>
      <c r="BQ288" s="616">
        <f t="shared" si="685"/>
        <v>6195</v>
      </c>
      <c r="BR288" s="616">
        <f t="shared" si="686"/>
        <v>28385</v>
      </c>
      <c r="BS288" s="616">
        <f t="shared" ref="BS288:BS360" si="816">AW288</f>
        <v>66675</v>
      </c>
      <c r="BT288" s="616">
        <f t="shared" ref="BT288:BT360" si="817">AX288</f>
        <v>1820</v>
      </c>
      <c r="BU288" s="616">
        <f t="shared" ref="BU288:BU360" si="818">AY288</f>
        <v>60515</v>
      </c>
      <c r="BV288" s="616">
        <f t="shared" ref="BV288:BV360" si="819">AZ288</f>
        <v>1260</v>
      </c>
      <c r="BW288" s="616">
        <f t="shared" ref="BW288:BW360" si="820">BA288</f>
        <v>3080</v>
      </c>
      <c r="BX288" s="616">
        <f t="shared" ref="BX288:BX360" si="821">ROUND(BB288*T288,0)</f>
        <v>20580</v>
      </c>
      <c r="BY288" s="616">
        <f t="shared" ref="BY288:BY360" si="822">BC288</f>
        <v>20300</v>
      </c>
      <c r="BZ288" s="616">
        <f t="shared" ref="BZ288:BZ360" si="823">BD288</f>
        <v>1890</v>
      </c>
      <c r="CA288" s="616">
        <f t="shared" ref="CA288:CA360" si="824">BE288</f>
        <v>2695</v>
      </c>
      <c r="CB288" s="616">
        <f t="shared" ref="CB288:CB360" si="825">BF288</f>
        <v>280</v>
      </c>
      <c r="CC288" s="616">
        <f t="shared" ref="CC288:CC360" si="826">BG288</f>
        <v>3675</v>
      </c>
      <c r="CD288" s="616">
        <f t="shared" ref="CD288:CD360" si="827">ROUND(BH288*S288,0)</f>
        <v>70186</v>
      </c>
      <c r="CE288" s="618">
        <f t="shared" si="687"/>
        <v>53906.3</v>
      </c>
      <c r="CF288" s="618">
        <f t="shared" si="688"/>
        <v>16279.7</v>
      </c>
      <c r="CG288" s="616">
        <f t="shared" ref="CG288:CG360" si="828">BK288</f>
        <v>0</v>
      </c>
      <c r="CH288" s="621">
        <f t="shared" ref="CH288:CH360" si="829">BM288+BP288+BR288+BS288++BX288+BY288+BZ288+CA288+CB288+CC288+CD288+CG288</f>
        <v>525054</v>
      </c>
      <c r="CI288" s="88">
        <f t="shared" ref="CI288:CI360" si="830">ROUND(BM288/$P288,4)</f>
        <v>7985.2286000000004</v>
      </c>
      <c r="CJ288" s="90">
        <f t="shared" ref="CJ288:CJ360" si="831">ROUND(BN288/$P288,4)</f>
        <v>6133.0486000000001</v>
      </c>
      <c r="CK288" s="90">
        <f t="shared" ref="CK288:CK360" si="832">ROUND(BO288/$P288,4)</f>
        <v>1852.18</v>
      </c>
      <c r="CL288" s="88">
        <f t="shared" ref="CL288:CL360" si="833">ROUND(BP288/$P288,4)</f>
        <v>883</v>
      </c>
      <c r="CM288" s="88">
        <f t="shared" ref="CM288:CM360" si="834">ROUND(BQ288/$P288,4)</f>
        <v>177</v>
      </c>
      <c r="CN288" s="88">
        <f t="shared" ref="CN288:CN360" si="835">ROUND(BR288/$P288,4)</f>
        <v>811</v>
      </c>
      <c r="CO288" s="88">
        <f t="shared" ref="CO288:CO360" si="836">ROUND(BS288/$P288,4)</f>
        <v>1905</v>
      </c>
      <c r="CP288" s="88">
        <f t="shared" ref="CP288:CP360" si="837">ROUND(BT288/$P288,4)</f>
        <v>52</v>
      </c>
      <c r="CQ288" s="88">
        <f t="shared" ref="CQ288:CQ360" si="838">ROUND(BU288/$P288,4)</f>
        <v>1729</v>
      </c>
      <c r="CR288" s="88">
        <f t="shared" ref="CR288:CR360" si="839">ROUND(BV288/$P288,4)</f>
        <v>36</v>
      </c>
      <c r="CS288" s="88">
        <f t="shared" ref="CS288:CS360" si="840">ROUND(BW288/$P288,4)</f>
        <v>88</v>
      </c>
      <c r="CT288" s="88">
        <f t="shared" ref="CT288:CT360" si="841">ROUND(BX288/$P288,4)</f>
        <v>588</v>
      </c>
      <c r="CU288" s="88">
        <f t="shared" ref="CU288:CU360" si="842">ROUND(BY288/$P288,4)</f>
        <v>580</v>
      </c>
      <c r="CV288" s="88">
        <f t="shared" ref="CV288:CV360" si="843">ROUND(BZ288/$P288,4)</f>
        <v>54</v>
      </c>
      <c r="CW288" s="88">
        <f t="shared" ref="CW288:CW360" si="844">ROUND(CA288/$P288,4)</f>
        <v>77</v>
      </c>
      <c r="CX288" s="88">
        <f t="shared" ref="CX288:CX360" si="845">ROUND(CB288/$P288,4)</f>
        <v>8</v>
      </c>
      <c r="CY288" s="88">
        <f t="shared" ref="CY288:CY360" si="846">ROUND(CC288/$P288,4)</f>
        <v>105</v>
      </c>
      <c r="CZ288" s="88">
        <f t="shared" ref="CZ288:CZ360" si="847">ROUND(CD288/$P288,4)</f>
        <v>2005.3143</v>
      </c>
      <c r="DA288" s="90">
        <f t="shared" ref="DA288:DA360" si="848">ROUND(CE288/$P288,4)</f>
        <v>1540.18</v>
      </c>
      <c r="DB288" s="90">
        <f t="shared" ref="DB288:DB360" si="849">ROUND(CF288/$P288,4)</f>
        <v>465.1343</v>
      </c>
      <c r="DC288" s="88">
        <f t="shared" ref="DC288:DC360" si="850">ROUND(CG288/$P288,4)</f>
        <v>0</v>
      </c>
      <c r="DD288" s="88">
        <f t="shared" ref="DD288:DD360" si="851">ROUND(CH288/$P288,4)</f>
        <v>15001.5429</v>
      </c>
      <c r="AUV288" s="699">
        <f t="shared" si="758"/>
        <v>7985.23</v>
      </c>
      <c r="AUW288" s="699">
        <f t="shared" si="759"/>
        <v>6133.05</v>
      </c>
      <c r="AUX288" s="699">
        <f t="shared" si="760"/>
        <v>1852.18</v>
      </c>
      <c r="AUY288" s="699">
        <f t="shared" si="761"/>
        <v>883</v>
      </c>
      <c r="AUZ288" s="699">
        <f t="shared" si="778"/>
        <v>2823.61</v>
      </c>
      <c r="AVA288" s="699">
        <f t="shared" si="778"/>
        <v>4.42</v>
      </c>
      <c r="AVB288" s="699">
        <f t="shared" si="762"/>
        <v>1905</v>
      </c>
      <c r="AVC288" s="699">
        <f t="shared" si="763"/>
        <v>52</v>
      </c>
      <c r="AVD288" s="699">
        <f t="shared" si="764"/>
        <v>1729</v>
      </c>
      <c r="AVE288" s="699">
        <f t="shared" si="765"/>
        <v>36</v>
      </c>
      <c r="AVF288" s="699">
        <f t="shared" si="766"/>
        <v>88</v>
      </c>
      <c r="AVG288" s="699">
        <f t="shared" si="767"/>
        <v>588</v>
      </c>
      <c r="AVH288" s="699">
        <f t="shared" si="768"/>
        <v>580</v>
      </c>
      <c r="AVI288" s="699">
        <f t="shared" si="769"/>
        <v>54</v>
      </c>
      <c r="AVJ288" s="699">
        <f t="shared" si="770"/>
        <v>77</v>
      </c>
      <c r="AVK288" s="699">
        <f t="shared" si="771"/>
        <v>8</v>
      </c>
      <c r="AVL288" s="699">
        <f t="shared" si="772"/>
        <v>105</v>
      </c>
      <c r="AVM288" s="699">
        <f t="shared" si="773"/>
        <v>2005.31</v>
      </c>
      <c r="AVN288" s="699">
        <f t="shared" si="774"/>
        <v>1540.18</v>
      </c>
      <c r="AVO288" s="699">
        <f t="shared" si="775"/>
        <v>465.13</v>
      </c>
      <c r="AVP288" s="699">
        <f t="shared" si="776"/>
        <v>0</v>
      </c>
      <c r="AVQ288" s="699">
        <f t="shared" si="777"/>
        <v>15001.54</v>
      </c>
    </row>
    <row r="289" spans="1:108 1244:1265" ht="30" customHeight="1" x14ac:dyDescent="0.25">
      <c r="A289" s="643">
        <v>1</v>
      </c>
      <c r="B289" s="643">
        <v>2</v>
      </c>
      <c r="C289" s="664" t="s">
        <v>16</v>
      </c>
      <c r="D289" s="2"/>
      <c r="E289" s="101" t="s">
        <v>344</v>
      </c>
      <c r="F289" s="643" t="s">
        <v>31</v>
      </c>
      <c r="G289" s="643">
        <v>1</v>
      </c>
      <c r="H289" s="658" t="s">
        <v>8</v>
      </c>
      <c r="I289" s="643">
        <v>3</v>
      </c>
      <c r="J289" s="101" t="s">
        <v>357</v>
      </c>
      <c r="K289" s="643">
        <v>3</v>
      </c>
      <c r="L289" s="683" t="s">
        <v>349</v>
      </c>
      <c r="M289" s="11" t="s">
        <v>261</v>
      </c>
      <c r="N289" s="101" t="s">
        <v>401</v>
      </c>
      <c r="O289" s="643">
        <v>2</v>
      </c>
      <c r="P289" s="632">
        <v>4</v>
      </c>
      <c r="Q289" s="632">
        <v>4</v>
      </c>
      <c r="R289" s="632">
        <v>4</v>
      </c>
      <c r="S289" s="675">
        <f>SUMIF('Территориальный кк'!$A:$A,'2020'!$B289,'Территориальный кк'!D:D)</f>
        <v>1.244</v>
      </c>
      <c r="T289" s="676">
        <f>SUMIF('Территориальный кк'!$A:$A,'2020'!$B289,'Территориальный кк'!E:E)</f>
        <v>2.194</v>
      </c>
      <c r="U289" s="618">
        <f>SUMIFS(Нормативы!G:G,Нормативы!$B:$B,$G289,Нормативы!$D:$D,'2020'!$I289,Нормативы!$F:$F,'2020'!$K289)*O289</f>
        <v>12838</v>
      </c>
      <c r="V289" s="618">
        <f t="shared" ref="V289:V361" si="852">ROUND(U289/1.302,1)</f>
        <v>9860.2000000000007</v>
      </c>
      <c r="W289" s="618">
        <f t="shared" ref="W289:W361" si="853">U289-V289</f>
        <v>2977.8</v>
      </c>
      <c r="X289" s="618">
        <f>SUMIFS(Нормативы!J:J,Нормативы!$B:$B,$G289,Нормативы!$D:$D,'2020'!$I289,Нормативы!$F:$F,'2020'!$K289)</f>
        <v>883</v>
      </c>
      <c r="Y289" s="618">
        <f>SUMIFS(Нормативы!K:K,Нормативы!$B:$B,$G289,Нормативы!$D:$D,'2020'!$I289,Нормативы!$F:$F,'2020'!$K289)</f>
        <v>177</v>
      </c>
      <c r="Z289" s="618">
        <f>SUMIFS(Нормативы!L:L,Нормативы!$B:$B,$G289,Нормативы!$D:$D,'2020'!$I289,Нормативы!$F:$F,'2020'!$K289)</f>
        <v>811</v>
      </c>
      <c r="AA289" s="618">
        <f t="shared" ref="AA289:AA361" si="854">AB289+AC289+AD289+AE289</f>
        <v>1993</v>
      </c>
      <c r="AB289" s="618">
        <f>SUMIFS(Нормативы!N:N,Нормативы!$B:$B,$G289,Нормативы!$D:$D,'2020'!$I289,Нормативы!$F:$F,'2020'!$K289)*O289</f>
        <v>104</v>
      </c>
      <c r="AC289" s="618">
        <f>SUMIFS(Нормативы!O:O,Нормативы!$B:$B,$G289,Нормативы!$D:$D,'2020'!$I289,Нормативы!$F:$F,'2020'!$K289)</f>
        <v>1729</v>
      </c>
      <c r="AD289" s="618">
        <f>SUMIFS(Нормативы!P:P,Нормативы!$B:$B,$G289,Нормативы!$D:$D,'2020'!$I289,Нормативы!$F:$F,'2020'!$K289)*O289</f>
        <v>72</v>
      </c>
      <c r="AE289" s="618">
        <f>SUMIFS(Нормативы!Q:Q,Нормативы!$B:$B,$G289,Нормативы!$D:$D,'2020'!$I289,Нормативы!$F:$F,'2020'!$K289)</f>
        <v>88</v>
      </c>
      <c r="AF289" s="618">
        <f>SUMIFS(Нормативы!R:R,Нормативы!$B:$B,$G289,Нормативы!$D:$D,'2020'!$I289,Нормативы!$F:$F,'2020'!$K289)</f>
        <v>268</v>
      </c>
      <c r="AG289" s="618">
        <f>SUMIFS(Нормативы!S:S,Нормативы!$B:$B,$G289,Нормативы!$D:$D,'2020'!$I289,Нормативы!$F:$F,'2020'!$K289)</f>
        <v>580</v>
      </c>
      <c r="AH289" s="618">
        <f>SUMIFS(Нормативы!T:T,Нормативы!$B:$B,$G289,Нормативы!$D:$D,'2020'!$I289,Нормативы!$F:$F,'2020'!$K289)</f>
        <v>54</v>
      </c>
      <c r="AI289" s="618">
        <f>SUMIFS(Нормативы!U:U,Нормативы!$B:$B,$G289,Нормативы!$D:$D,'2020'!$I289,Нормативы!$F:$F,'2020'!$K289)</f>
        <v>77</v>
      </c>
      <c r="AJ289" s="618">
        <f>SUMIFS(Нормативы!V:V,Нормативы!$B:$B,$G289,Нормативы!$D:$D,'2020'!$I289,Нормативы!$F:$F,'2020'!$K289)</f>
        <v>8</v>
      </c>
      <c r="AK289" s="618">
        <f>SUMIFS(Нормативы!W:W,Нормативы!$B:$B,$G289,Нормативы!$D:$D,'2020'!$I289,Нормативы!$F:$F,'2020'!$K289)</f>
        <v>105</v>
      </c>
      <c r="AL289" s="618">
        <f>SUMIFS(Нормативы!X:X,Нормативы!$B:$B,$G289,Нормативы!$D:$D,'2020'!$I289,Нормативы!$F:$F,'2020'!$K289)*O289</f>
        <v>3224</v>
      </c>
      <c r="AM289" s="618">
        <f t="shared" ref="AM289:AM361" si="855">ROUND(AL289/1.302,1)</f>
        <v>2476.1999999999998</v>
      </c>
      <c r="AN289" s="618">
        <f t="shared" ref="AN289:AN361" si="856">AL289-AM289</f>
        <v>747.8</v>
      </c>
      <c r="AO289" s="618">
        <f>SUMIFS(Нормативы!AA:AA,Нормативы!$B:$B,$G289,Нормативы!$D:$D,'2020'!$I289,Нормативы!$F:$F,'2020'!$K289)</f>
        <v>0</v>
      </c>
      <c r="AP289" s="619">
        <f t="shared" ref="AP289:AP361" si="857">U289+X289+Z289+AA289++AF289+AG289+AH289+AI289+AJ289+AK289+AL289+AO289</f>
        <v>20841</v>
      </c>
      <c r="AQ289" s="413">
        <f t="shared" si="795"/>
        <v>51352</v>
      </c>
      <c r="AR289" s="618">
        <f t="shared" ref="AR289:AR361" si="858">ROUND(AQ289/1.302,1)</f>
        <v>39440.9</v>
      </c>
      <c r="AS289" s="618">
        <f t="shared" ref="AS289:AS361" si="859">AQ289-AR289</f>
        <v>11911.1</v>
      </c>
      <c r="AT289" s="616">
        <f t="shared" si="796"/>
        <v>3532</v>
      </c>
      <c r="AU289" s="616">
        <f t="shared" si="797"/>
        <v>708</v>
      </c>
      <c r="AV289" s="616">
        <f t="shared" si="798"/>
        <v>3244</v>
      </c>
      <c r="AW289" s="616">
        <f t="shared" si="799"/>
        <v>7972</v>
      </c>
      <c r="AX289" s="616">
        <f t="shared" si="800"/>
        <v>416</v>
      </c>
      <c r="AY289" s="616">
        <f t="shared" si="801"/>
        <v>6916</v>
      </c>
      <c r="AZ289" s="616">
        <f t="shared" si="802"/>
        <v>288</v>
      </c>
      <c r="BA289" s="616">
        <f t="shared" si="803"/>
        <v>352</v>
      </c>
      <c r="BB289" s="616">
        <f t="shared" si="804"/>
        <v>1072</v>
      </c>
      <c r="BC289" s="616">
        <f t="shared" si="805"/>
        <v>2320</v>
      </c>
      <c r="BD289" s="616">
        <f t="shared" si="806"/>
        <v>216</v>
      </c>
      <c r="BE289" s="616">
        <f t="shared" si="807"/>
        <v>308</v>
      </c>
      <c r="BF289" s="616">
        <f t="shared" si="808"/>
        <v>32</v>
      </c>
      <c r="BG289" s="616">
        <f t="shared" si="809"/>
        <v>420</v>
      </c>
      <c r="BH289" s="616">
        <f t="shared" si="810"/>
        <v>12896</v>
      </c>
      <c r="BI289" s="618">
        <f t="shared" ref="BI289:BI361" si="860">ROUND(BH289/1.302,1)</f>
        <v>9904.7999999999993</v>
      </c>
      <c r="BJ289" s="618">
        <f t="shared" ref="BJ289:BJ361" si="861">BH289-BI289</f>
        <v>2991.2</v>
      </c>
      <c r="BK289" s="616">
        <f t="shared" si="811"/>
        <v>0</v>
      </c>
      <c r="BL289" s="620">
        <f t="shared" si="812"/>
        <v>83364</v>
      </c>
      <c r="BM289" s="616">
        <f t="shared" si="813"/>
        <v>63882</v>
      </c>
      <c r="BN289" s="618">
        <f t="shared" si="814"/>
        <v>49064.5</v>
      </c>
      <c r="BO289" s="618">
        <f t="shared" si="815"/>
        <v>14817.5</v>
      </c>
      <c r="BP289" s="616">
        <f t="shared" ref="BP289:BP361" si="862">AT289</f>
        <v>3532</v>
      </c>
      <c r="BQ289" s="616">
        <f t="shared" ref="BQ289:BQ361" si="863">AU289</f>
        <v>708</v>
      </c>
      <c r="BR289" s="616">
        <f t="shared" ref="BR289:BR361" si="864">AV289</f>
        <v>3244</v>
      </c>
      <c r="BS289" s="616">
        <f t="shared" si="816"/>
        <v>7972</v>
      </c>
      <c r="BT289" s="616">
        <f t="shared" si="817"/>
        <v>416</v>
      </c>
      <c r="BU289" s="616">
        <f t="shared" si="818"/>
        <v>6916</v>
      </c>
      <c r="BV289" s="616">
        <f t="shared" si="819"/>
        <v>288</v>
      </c>
      <c r="BW289" s="616">
        <f t="shared" si="820"/>
        <v>352</v>
      </c>
      <c r="BX289" s="616">
        <f t="shared" si="821"/>
        <v>2352</v>
      </c>
      <c r="BY289" s="616">
        <f t="shared" si="822"/>
        <v>2320</v>
      </c>
      <c r="BZ289" s="616">
        <f t="shared" si="823"/>
        <v>216</v>
      </c>
      <c r="CA289" s="616">
        <f t="shared" si="824"/>
        <v>308</v>
      </c>
      <c r="CB289" s="616">
        <f t="shared" si="825"/>
        <v>32</v>
      </c>
      <c r="CC289" s="616">
        <f t="shared" si="826"/>
        <v>420</v>
      </c>
      <c r="CD289" s="616">
        <f t="shared" si="827"/>
        <v>16043</v>
      </c>
      <c r="CE289" s="618">
        <f t="shared" ref="CE289:CE361" si="865">ROUND(CD289/1.302,1)</f>
        <v>12321.8</v>
      </c>
      <c r="CF289" s="618">
        <f t="shared" ref="CF289:CF361" si="866">CD289-CE289</f>
        <v>3721.2</v>
      </c>
      <c r="CG289" s="616">
        <f t="shared" si="828"/>
        <v>0</v>
      </c>
      <c r="CH289" s="621">
        <f t="shared" si="829"/>
        <v>100321</v>
      </c>
      <c r="CI289" s="88">
        <f t="shared" si="830"/>
        <v>15970.5</v>
      </c>
      <c r="CJ289" s="90">
        <f t="shared" si="831"/>
        <v>12266.125</v>
      </c>
      <c r="CK289" s="90">
        <f t="shared" si="832"/>
        <v>3704.375</v>
      </c>
      <c r="CL289" s="88">
        <f t="shared" si="833"/>
        <v>883</v>
      </c>
      <c r="CM289" s="88">
        <f t="shared" si="834"/>
        <v>177</v>
      </c>
      <c r="CN289" s="88">
        <f t="shared" si="835"/>
        <v>811</v>
      </c>
      <c r="CO289" s="88">
        <f t="shared" si="836"/>
        <v>1993</v>
      </c>
      <c r="CP289" s="88">
        <f t="shared" si="837"/>
        <v>104</v>
      </c>
      <c r="CQ289" s="88">
        <f t="shared" si="838"/>
        <v>1729</v>
      </c>
      <c r="CR289" s="88">
        <f t="shared" si="839"/>
        <v>72</v>
      </c>
      <c r="CS289" s="88">
        <f t="shared" si="840"/>
        <v>88</v>
      </c>
      <c r="CT289" s="88">
        <f t="shared" si="841"/>
        <v>588</v>
      </c>
      <c r="CU289" s="88">
        <f t="shared" si="842"/>
        <v>580</v>
      </c>
      <c r="CV289" s="88">
        <f t="shared" si="843"/>
        <v>54</v>
      </c>
      <c r="CW289" s="88">
        <f t="shared" si="844"/>
        <v>77</v>
      </c>
      <c r="CX289" s="88">
        <f t="shared" si="845"/>
        <v>8</v>
      </c>
      <c r="CY289" s="88">
        <f t="shared" si="846"/>
        <v>105</v>
      </c>
      <c r="CZ289" s="88">
        <f t="shared" si="847"/>
        <v>4010.75</v>
      </c>
      <c r="DA289" s="90">
        <f t="shared" si="848"/>
        <v>3080.45</v>
      </c>
      <c r="DB289" s="90">
        <f t="shared" si="849"/>
        <v>930.3</v>
      </c>
      <c r="DC289" s="88">
        <f t="shared" si="850"/>
        <v>0</v>
      </c>
      <c r="DD289" s="88">
        <f t="shared" si="851"/>
        <v>25080.25</v>
      </c>
      <c r="AUV289" s="699">
        <f t="shared" si="758"/>
        <v>15970.5</v>
      </c>
      <c r="AUW289" s="699">
        <f t="shared" si="759"/>
        <v>12266.13</v>
      </c>
      <c r="AUX289" s="699">
        <f t="shared" si="760"/>
        <v>3704.37</v>
      </c>
      <c r="AUY289" s="699">
        <f t="shared" si="761"/>
        <v>883</v>
      </c>
      <c r="AUZ289" s="699">
        <f t="shared" si="778"/>
        <v>322.7</v>
      </c>
      <c r="AVA289" s="699">
        <f t="shared" si="778"/>
        <v>0.25</v>
      </c>
      <c r="AVB289" s="699">
        <f t="shared" si="762"/>
        <v>1993</v>
      </c>
      <c r="AVC289" s="699">
        <f t="shared" si="763"/>
        <v>104</v>
      </c>
      <c r="AVD289" s="699">
        <f t="shared" si="764"/>
        <v>1729</v>
      </c>
      <c r="AVE289" s="699">
        <f t="shared" si="765"/>
        <v>72</v>
      </c>
      <c r="AVF289" s="699">
        <f t="shared" si="766"/>
        <v>88</v>
      </c>
      <c r="AVG289" s="699">
        <f t="shared" si="767"/>
        <v>588</v>
      </c>
      <c r="AVH289" s="699">
        <f t="shared" si="768"/>
        <v>580</v>
      </c>
      <c r="AVI289" s="699">
        <f t="shared" si="769"/>
        <v>54</v>
      </c>
      <c r="AVJ289" s="699">
        <f t="shared" si="770"/>
        <v>77</v>
      </c>
      <c r="AVK289" s="699">
        <f t="shared" si="771"/>
        <v>8</v>
      </c>
      <c r="AVL289" s="699">
        <f t="shared" si="772"/>
        <v>105</v>
      </c>
      <c r="AVM289" s="699">
        <f t="shared" si="773"/>
        <v>4010.75</v>
      </c>
      <c r="AVN289" s="699">
        <f t="shared" si="774"/>
        <v>3080.45</v>
      </c>
      <c r="AVO289" s="699">
        <f t="shared" si="775"/>
        <v>930.3</v>
      </c>
      <c r="AVP289" s="699">
        <f t="shared" si="776"/>
        <v>0</v>
      </c>
      <c r="AVQ289" s="699">
        <f t="shared" si="777"/>
        <v>25080.25</v>
      </c>
    </row>
    <row r="290" spans="1:108 1244:1265" ht="30" customHeight="1" x14ac:dyDescent="0.25">
      <c r="A290" s="643">
        <v>1</v>
      </c>
      <c r="B290" s="643">
        <v>2</v>
      </c>
      <c r="C290" s="664" t="s">
        <v>16</v>
      </c>
      <c r="D290" s="2"/>
      <c r="E290" s="101" t="s">
        <v>344</v>
      </c>
      <c r="F290" s="643" t="s">
        <v>31</v>
      </c>
      <c r="G290" s="643">
        <v>1</v>
      </c>
      <c r="H290" s="658" t="s">
        <v>8</v>
      </c>
      <c r="I290" s="643">
        <v>3</v>
      </c>
      <c r="J290" s="101" t="s">
        <v>359</v>
      </c>
      <c r="K290" s="643">
        <v>1</v>
      </c>
      <c r="L290" s="683" t="s">
        <v>349</v>
      </c>
      <c r="M290" s="11" t="s">
        <v>264</v>
      </c>
      <c r="N290" s="101" t="s">
        <v>387</v>
      </c>
      <c r="O290" s="643">
        <v>1</v>
      </c>
      <c r="P290" s="632">
        <v>73</v>
      </c>
      <c r="Q290" s="632">
        <v>73</v>
      </c>
      <c r="R290" s="632">
        <v>73</v>
      </c>
      <c r="S290" s="675">
        <f>SUMIF('Территориальный кк'!$A:$A,'2020'!$B290,'Территориальный кк'!D:D)</f>
        <v>1.244</v>
      </c>
      <c r="T290" s="676">
        <f>SUMIF('Территориальный кк'!$A:$A,'2020'!$B290,'Территориальный кк'!E:E)</f>
        <v>2.194</v>
      </c>
      <c r="U290" s="618">
        <f>SUMIFS(Нормативы!G:G,Нормативы!$B:$B,$G290,Нормативы!$D:$D,'2020'!$I290,Нормативы!$F:$F,'2020'!$K290)*O290</f>
        <v>5402</v>
      </c>
      <c r="V290" s="618">
        <f t="shared" si="852"/>
        <v>4149</v>
      </c>
      <c r="W290" s="618">
        <f t="shared" si="853"/>
        <v>1253</v>
      </c>
      <c r="X290" s="618">
        <f>SUMIFS(Нормативы!J:J,Нормативы!$B:$B,$G290,Нормативы!$D:$D,'2020'!$I290,Нормативы!$F:$F,'2020'!$K290)</f>
        <v>22</v>
      </c>
      <c r="Y290" s="618">
        <f>SUMIFS(Нормативы!K:K,Нормативы!$B:$B,$G290,Нормативы!$D:$D,'2020'!$I290,Нормативы!$F:$F,'2020'!$K290)</f>
        <v>4</v>
      </c>
      <c r="Z290" s="618">
        <f>SUMIFS(Нормативы!L:L,Нормативы!$B:$B,$G290,Нормативы!$D:$D,'2020'!$I290,Нормативы!$F:$F,'2020'!$K290)</f>
        <v>232</v>
      </c>
      <c r="AA290" s="618">
        <f t="shared" si="854"/>
        <v>371</v>
      </c>
      <c r="AB290" s="618">
        <f>SUMIFS(Нормативы!N:N,Нормативы!$B:$B,$G290,Нормативы!$D:$D,'2020'!$I290,Нормативы!$F:$F,'2020'!$K290)*O290</f>
        <v>52</v>
      </c>
      <c r="AC290" s="618">
        <f>SUMIFS(Нормативы!O:O,Нормативы!$B:$B,$G290,Нормативы!$D:$D,'2020'!$I290,Нормативы!$F:$F,'2020'!$K290)</f>
        <v>214</v>
      </c>
      <c r="AD290" s="618">
        <f>SUMIFS(Нормативы!P:P,Нормативы!$B:$B,$G290,Нормативы!$D:$D,'2020'!$I290,Нормативы!$F:$F,'2020'!$K290)*O290</f>
        <v>31</v>
      </c>
      <c r="AE290" s="618">
        <f>SUMIFS(Нормативы!Q:Q,Нормативы!$B:$B,$G290,Нормативы!$D:$D,'2020'!$I290,Нормативы!$F:$F,'2020'!$K290)</f>
        <v>74</v>
      </c>
      <c r="AF290" s="618">
        <f>SUMIFS(Нормативы!R:R,Нормативы!$B:$B,$G290,Нормативы!$D:$D,'2020'!$I290,Нормативы!$F:$F,'2020'!$K290)</f>
        <v>246</v>
      </c>
      <c r="AG290" s="618">
        <f>SUMIFS(Нормативы!S:S,Нормативы!$B:$B,$G290,Нормативы!$D:$D,'2020'!$I290,Нормативы!$F:$F,'2020'!$K290)</f>
        <v>508</v>
      </c>
      <c r="AH290" s="618">
        <f>SUMIFS(Нормативы!T:T,Нормативы!$B:$B,$G290,Нормативы!$D:$D,'2020'!$I290,Нормативы!$F:$F,'2020'!$K290)</f>
        <v>54</v>
      </c>
      <c r="AI290" s="618">
        <f>SUMIFS(Нормативы!U:U,Нормативы!$B:$B,$G290,Нормативы!$D:$D,'2020'!$I290,Нормативы!$F:$F,'2020'!$K290)</f>
        <v>77</v>
      </c>
      <c r="AJ290" s="618">
        <f>SUMIFS(Нормативы!V:V,Нормативы!$B:$B,$G290,Нормативы!$D:$D,'2020'!$I290,Нормативы!$F:$F,'2020'!$K290)</f>
        <v>8</v>
      </c>
      <c r="AK290" s="618">
        <f>SUMIFS(Нормативы!W:W,Нормативы!$B:$B,$G290,Нормативы!$D:$D,'2020'!$I290,Нормативы!$F:$F,'2020'!$K290)</f>
        <v>30</v>
      </c>
      <c r="AL290" s="618">
        <f>SUMIFS(Нормативы!X:X,Нормативы!$B:$B,$G290,Нормативы!$D:$D,'2020'!$I290,Нормативы!$F:$F,'2020'!$K290)*O290</f>
        <v>1344</v>
      </c>
      <c r="AM290" s="618">
        <f t="shared" si="855"/>
        <v>1032.3</v>
      </c>
      <c r="AN290" s="618">
        <f t="shared" si="856"/>
        <v>311.7</v>
      </c>
      <c r="AO290" s="618">
        <f>SUMIFS(Нормативы!AA:AA,Нормативы!$B:$B,$G290,Нормативы!$D:$D,'2020'!$I290,Нормативы!$F:$F,'2020'!$K290)</f>
        <v>0</v>
      </c>
      <c r="AP290" s="619">
        <f t="shared" si="857"/>
        <v>8294</v>
      </c>
      <c r="AQ290" s="413">
        <f t="shared" si="795"/>
        <v>394346</v>
      </c>
      <c r="AR290" s="618">
        <f t="shared" si="858"/>
        <v>302877.09999999998</v>
      </c>
      <c r="AS290" s="618">
        <f t="shared" si="859"/>
        <v>91468.9</v>
      </c>
      <c r="AT290" s="616">
        <f t="shared" si="796"/>
        <v>1606</v>
      </c>
      <c r="AU290" s="616">
        <f t="shared" si="797"/>
        <v>292</v>
      </c>
      <c r="AV290" s="616">
        <f t="shared" si="798"/>
        <v>16936</v>
      </c>
      <c r="AW290" s="616">
        <f t="shared" si="799"/>
        <v>27083</v>
      </c>
      <c r="AX290" s="616">
        <f t="shared" si="800"/>
        <v>3796</v>
      </c>
      <c r="AY290" s="616">
        <f t="shared" si="801"/>
        <v>15622</v>
      </c>
      <c r="AZ290" s="616">
        <f t="shared" si="802"/>
        <v>2263</v>
      </c>
      <c r="BA290" s="616">
        <f t="shared" si="803"/>
        <v>5402</v>
      </c>
      <c r="BB290" s="616">
        <f t="shared" si="804"/>
        <v>17958</v>
      </c>
      <c r="BC290" s="616">
        <f t="shared" si="805"/>
        <v>37084</v>
      </c>
      <c r="BD290" s="616">
        <f t="shared" si="806"/>
        <v>3942</v>
      </c>
      <c r="BE290" s="616">
        <f t="shared" si="807"/>
        <v>5621</v>
      </c>
      <c r="BF290" s="616">
        <f t="shared" si="808"/>
        <v>584</v>
      </c>
      <c r="BG290" s="616">
        <f t="shared" si="809"/>
        <v>2190</v>
      </c>
      <c r="BH290" s="616">
        <f t="shared" si="810"/>
        <v>98112</v>
      </c>
      <c r="BI290" s="618">
        <f t="shared" si="860"/>
        <v>75354.8</v>
      </c>
      <c r="BJ290" s="618">
        <f t="shared" si="861"/>
        <v>22757.200000000001</v>
      </c>
      <c r="BK290" s="616">
        <f t="shared" si="811"/>
        <v>0</v>
      </c>
      <c r="BL290" s="620">
        <f t="shared" si="812"/>
        <v>605462</v>
      </c>
      <c r="BM290" s="616">
        <f t="shared" si="813"/>
        <v>490566</v>
      </c>
      <c r="BN290" s="618">
        <f t="shared" si="814"/>
        <v>376778.8</v>
      </c>
      <c r="BO290" s="618">
        <f t="shared" si="815"/>
        <v>113787.2</v>
      </c>
      <c r="BP290" s="616">
        <f t="shared" si="862"/>
        <v>1606</v>
      </c>
      <c r="BQ290" s="616">
        <f t="shared" si="863"/>
        <v>292</v>
      </c>
      <c r="BR290" s="616">
        <f t="shared" si="864"/>
        <v>16936</v>
      </c>
      <c r="BS290" s="616">
        <f t="shared" si="816"/>
        <v>27083</v>
      </c>
      <c r="BT290" s="616">
        <f t="shared" si="817"/>
        <v>3796</v>
      </c>
      <c r="BU290" s="616">
        <f t="shared" si="818"/>
        <v>15622</v>
      </c>
      <c r="BV290" s="616">
        <f t="shared" si="819"/>
        <v>2263</v>
      </c>
      <c r="BW290" s="616">
        <f t="shared" si="820"/>
        <v>5402</v>
      </c>
      <c r="BX290" s="616">
        <f t="shared" si="821"/>
        <v>39400</v>
      </c>
      <c r="BY290" s="616">
        <f t="shared" si="822"/>
        <v>37084</v>
      </c>
      <c r="BZ290" s="616">
        <f t="shared" si="823"/>
        <v>3942</v>
      </c>
      <c r="CA290" s="616">
        <f t="shared" si="824"/>
        <v>5621</v>
      </c>
      <c r="CB290" s="616">
        <f t="shared" si="825"/>
        <v>584</v>
      </c>
      <c r="CC290" s="616">
        <f t="shared" si="826"/>
        <v>2190</v>
      </c>
      <c r="CD290" s="616">
        <f t="shared" si="827"/>
        <v>122051</v>
      </c>
      <c r="CE290" s="618">
        <f t="shared" si="865"/>
        <v>93741.2</v>
      </c>
      <c r="CF290" s="618">
        <f t="shared" si="866"/>
        <v>28309.8</v>
      </c>
      <c r="CG290" s="616">
        <f t="shared" si="828"/>
        <v>0</v>
      </c>
      <c r="CH290" s="621">
        <f t="shared" si="829"/>
        <v>747063</v>
      </c>
      <c r="CI290" s="88">
        <f t="shared" si="830"/>
        <v>6720.0821999999998</v>
      </c>
      <c r="CJ290" s="90">
        <f t="shared" si="831"/>
        <v>5161.3534</v>
      </c>
      <c r="CK290" s="90">
        <f t="shared" si="832"/>
        <v>1558.7288000000001</v>
      </c>
      <c r="CL290" s="88">
        <f t="shared" si="833"/>
        <v>22</v>
      </c>
      <c r="CM290" s="88">
        <f t="shared" si="834"/>
        <v>4</v>
      </c>
      <c r="CN290" s="88">
        <f t="shared" si="835"/>
        <v>232</v>
      </c>
      <c r="CO290" s="88">
        <f t="shared" si="836"/>
        <v>371</v>
      </c>
      <c r="CP290" s="88">
        <f t="shared" si="837"/>
        <v>52</v>
      </c>
      <c r="CQ290" s="88">
        <f t="shared" si="838"/>
        <v>214</v>
      </c>
      <c r="CR290" s="88">
        <f t="shared" si="839"/>
        <v>31</v>
      </c>
      <c r="CS290" s="88">
        <f t="shared" si="840"/>
        <v>74</v>
      </c>
      <c r="CT290" s="88">
        <f t="shared" si="841"/>
        <v>539.726</v>
      </c>
      <c r="CU290" s="88">
        <f t="shared" si="842"/>
        <v>508</v>
      </c>
      <c r="CV290" s="88">
        <f t="shared" si="843"/>
        <v>54</v>
      </c>
      <c r="CW290" s="88">
        <f t="shared" si="844"/>
        <v>77</v>
      </c>
      <c r="CX290" s="88">
        <f t="shared" si="845"/>
        <v>8</v>
      </c>
      <c r="CY290" s="88">
        <f t="shared" si="846"/>
        <v>30</v>
      </c>
      <c r="CZ290" s="88">
        <f t="shared" si="847"/>
        <v>1671.9314999999999</v>
      </c>
      <c r="DA290" s="90">
        <f t="shared" si="848"/>
        <v>1284.126</v>
      </c>
      <c r="DB290" s="90">
        <f t="shared" si="849"/>
        <v>387.80549999999999</v>
      </c>
      <c r="DC290" s="88">
        <f t="shared" si="850"/>
        <v>0</v>
      </c>
      <c r="DD290" s="88">
        <f t="shared" si="851"/>
        <v>10233.7397</v>
      </c>
      <c r="AUV290" s="699">
        <f t="shared" si="758"/>
        <v>6720.08</v>
      </c>
      <c r="AUW290" s="699">
        <f t="shared" si="759"/>
        <v>5161.3500000000004</v>
      </c>
      <c r="AUX290" s="699">
        <f t="shared" si="760"/>
        <v>1558.73</v>
      </c>
      <c r="AUY290" s="699">
        <f t="shared" si="761"/>
        <v>22</v>
      </c>
      <c r="AUZ290" s="699">
        <f t="shared" si="778"/>
        <v>133.09</v>
      </c>
      <c r="AVA290" s="699">
        <f t="shared" si="778"/>
        <v>3.14</v>
      </c>
      <c r="AVB290" s="699">
        <f t="shared" si="762"/>
        <v>371</v>
      </c>
      <c r="AVC290" s="699">
        <f t="shared" si="763"/>
        <v>52</v>
      </c>
      <c r="AVD290" s="699">
        <f t="shared" si="764"/>
        <v>214</v>
      </c>
      <c r="AVE290" s="699">
        <f t="shared" si="765"/>
        <v>31</v>
      </c>
      <c r="AVF290" s="699">
        <f t="shared" si="766"/>
        <v>74</v>
      </c>
      <c r="AVG290" s="699">
        <f t="shared" si="767"/>
        <v>539.73</v>
      </c>
      <c r="AVH290" s="699">
        <f t="shared" si="768"/>
        <v>508</v>
      </c>
      <c r="AVI290" s="699">
        <f t="shared" si="769"/>
        <v>54</v>
      </c>
      <c r="AVJ290" s="699">
        <f t="shared" si="770"/>
        <v>77</v>
      </c>
      <c r="AVK290" s="699">
        <f t="shared" si="771"/>
        <v>8</v>
      </c>
      <c r="AVL290" s="699">
        <f t="shared" si="772"/>
        <v>30</v>
      </c>
      <c r="AVM290" s="699">
        <f t="shared" si="773"/>
        <v>1671.93</v>
      </c>
      <c r="AVN290" s="699">
        <f t="shared" si="774"/>
        <v>1284.1199999999999</v>
      </c>
      <c r="AVO290" s="699">
        <f t="shared" si="775"/>
        <v>387.81</v>
      </c>
      <c r="AVP290" s="699">
        <f t="shared" si="776"/>
        <v>0</v>
      </c>
      <c r="AVQ290" s="699">
        <f t="shared" si="777"/>
        <v>10233.74</v>
      </c>
    </row>
    <row r="291" spans="1:108 1244:1265" ht="30" customHeight="1" x14ac:dyDescent="0.25">
      <c r="A291" s="643">
        <v>1</v>
      </c>
      <c r="B291" s="643">
        <v>2</v>
      </c>
      <c r="C291" s="664" t="s">
        <v>16</v>
      </c>
      <c r="D291" s="2"/>
      <c r="E291" s="101" t="s">
        <v>344</v>
      </c>
      <c r="F291" s="643" t="s">
        <v>31</v>
      </c>
      <c r="G291" s="643">
        <v>1</v>
      </c>
      <c r="H291" s="658" t="s">
        <v>10</v>
      </c>
      <c r="I291" s="643">
        <v>0</v>
      </c>
      <c r="J291" s="101" t="s">
        <v>360</v>
      </c>
      <c r="K291" s="643">
        <v>3</v>
      </c>
      <c r="L291" s="683" t="s">
        <v>349</v>
      </c>
      <c r="M291" s="11" t="s">
        <v>265</v>
      </c>
      <c r="N291" s="101" t="s">
        <v>387</v>
      </c>
      <c r="O291" s="643">
        <v>1</v>
      </c>
      <c r="P291" s="632">
        <v>245</v>
      </c>
      <c r="Q291" s="632">
        <v>245</v>
      </c>
      <c r="R291" s="632">
        <v>245</v>
      </c>
      <c r="S291" s="675">
        <f>SUMIF('Территориальный кк'!$A:$A,'2020'!$B291,'Территориальный кк'!D:D)</f>
        <v>1.244</v>
      </c>
      <c r="T291" s="676">
        <f>SUMIF('Территориальный кк'!$A:$A,'2020'!$B291,'Территориальный кк'!E:E)</f>
        <v>2.194</v>
      </c>
      <c r="U291" s="618">
        <f>SUMIFS(Нормативы!G:G,Нормативы!$B:$B,$G291,Нормативы!$D:$D,'2020'!$I291,Нормативы!$F:$F,'2020'!$K291)*O291</f>
        <v>64190</v>
      </c>
      <c r="V291" s="618">
        <f t="shared" si="852"/>
        <v>49301.1</v>
      </c>
      <c r="W291" s="618">
        <f t="shared" si="853"/>
        <v>14888.9</v>
      </c>
      <c r="X291" s="618">
        <f>SUMIFS(Нормативы!J:J,Нормативы!$B:$B,$G291,Нормативы!$D:$D,'2020'!$I291,Нормативы!$F:$F,'2020'!$K291)</f>
        <v>8830</v>
      </c>
      <c r="Y291" s="618">
        <f>SUMIFS(Нормативы!K:K,Нормативы!$B:$B,$G291,Нормативы!$D:$D,'2020'!$I291,Нормативы!$F:$F,'2020'!$K291)</f>
        <v>1766</v>
      </c>
      <c r="Z291" s="618">
        <f>SUMIFS(Нормативы!L:L,Нормативы!$B:$B,$G291,Нормативы!$D:$D,'2020'!$I291,Нормативы!$F:$F,'2020'!$K291)</f>
        <v>8110</v>
      </c>
      <c r="AA291" s="618">
        <f t="shared" si="854"/>
        <v>19050</v>
      </c>
      <c r="AB291" s="618">
        <f>SUMIFS(Нормативы!N:N,Нормативы!$B:$B,$G291,Нормативы!$D:$D,'2020'!$I291,Нормативы!$F:$F,'2020'!$K291)*O291</f>
        <v>520</v>
      </c>
      <c r="AC291" s="618">
        <f>SUMIFS(Нормативы!O:O,Нормативы!$B:$B,$G291,Нормативы!$D:$D,'2020'!$I291,Нормативы!$F:$F,'2020'!$K291)</f>
        <v>17290</v>
      </c>
      <c r="AD291" s="618">
        <f>SUMIFS(Нормативы!P:P,Нормативы!$B:$B,$G291,Нормативы!$D:$D,'2020'!$I291,Нормативы!$F:$F,'2020'!$K291)*O291</f>
        <v>360</v>
      </c>
      <c r="AE291" s="618">
        <f>SUMIFS(Нормативы!Q:Q,Нормативы!$B:$B,$G291,Нормативы!$D:$D,'2020'!$I291,Нормативы!$F:$F,'2020'!$K291)</f>
        <v>880</v>
      </c>
      <c r="AF291" s="618">
        <f>SUMIFS(Нормативы!R:R,Нормативы!$B:$B,$G291,Нормативы!$D:$D,'2020'!$I291,Нормативы!$F:$F,'2020'!$K291)</f>
        <v>2680</v>
      </c>
      <c r="AG291" s="618">
        <f>SUMIFS(Нормативы!S:S,Нормативы!$B:$B,$G291,Нормативы!$D:$D,'2020'!$I291,Нормативы!$F:$F,'2020'!$K291)</f>
        <v>5800</v>
      </c>
      <c r="AH291" s="618">
        <f>SUMIFS(Нормативы!T:T,Нормативы!$B:$B,$G291,Нормативы!$D:$D,'2020'!$I291,Нормативы!$F:$F,'2020'!$K291)</f>
        <v>540</v>
      </c>
      <c r="AI291" s="618">
        <f>SUMIFS(Нормативы!U:U,Нормативы!$B:$B,$G291,Нормативы!$D:$D,'2020'!$I291,Нормативы!$F:$F,'2020'!$K291)</f>
        <v>770</v>
      </c>
      <c r="AJ291" s="618">
        <f>SUMIFS(Нормативы!V:V,Нормативы!$B:$B,$G291,Нормативы!$D:$D,'2020'!$I291,Нормативы!$F:$F,'2020'!$K291)</f>
        <v>80</v>
      </c>
      <c r="AK291" s="618">
        <f>SUMIFS(Нормативы!W:W,Нормативы!$B:$B,$G291,Нормативы!$D:$D,'2020'!$I291,Нормативы!$F:$F,'2020'!$K291)</f>
        <v>1050</v>
      </c>
      <c r="AL291" s="618">
        <f>SUMIFS(Нормативы!X:X,Нормативы!$B:$B,$G291,Нормативы!$D:$D,'2020'!$I291,Нормативы!$F:$F,'2020'!$K291)*O291</f>
        <v>16120</v>
      </c>
      <c r="AM291" s="618">
        <f t="shared" si="855"/>
        <v>12381</v>
      </c>
      <c r="AN291" s="618">
        <f t="shared" si="856"/>
        <v>3739</v>
      </c>
      <c r="AO291" s="618">
        <f>SUMIFS(Нормативы!AA:AA,Нормативы!$B:$B,$G291,Нормативы!$D:$D,'2020'!$I291,Нормативы!$F:$F,'2020'!$K291)</f>
        <v>3520</v>
      </c>
      <c r="AP291" s="619">
        <f t="shared" si="857"/>
        <v>130740</v>
      </c>
      <c r="AQ291" s="413">
        <f t="shared" si="795"/>
        <v>15726550</v>
      </c>
      <c r="AR291" s="618">
        <f t="shared" si="858"/>
        <v>12078763.4</v>
      </c>
      <c r="AS291" s="618">
        <f t="shared" si="859"/>
        <v>3647786.6</v>
      </c>
      <c r="AT291" s="616">
        <f t="shared" si="796"/>
        <v>2163350</v>
      </c>
      <c r="AU291" s="616">
        <f t="shared" si="797"/>
        <v>432670</v>
      </c>
      <c r="AV291" s="616">
        <f t="shared" si="798"/>
        <v>1986950</v>
      </c>
      <c r="AW291" s="616">
        <f t="shared" si="799"/>
        <v>4667250</v>
      </c>
      <c r="AX291" s="616">
        <f t="shared" si="800"/>
        <v>127400</v>
      </c>
      <c r="AY291" s="616">
        <f t="shared" si="801"/>
        <v>4236050</v>
      </c>
      <c r="AZ291" s="616">
        <f t="shared" si="802"/>
        <v>88200</v>
      </c>
      <c r="BA291" s="616">
        <f t="shared" si="803"/>
        <v>215600</v>
      </c>
      <c r="BB291" s="616">
        <f t="shared" si="804"/>
        <v>656600</v>
      </c>
      <c r="BC291" s="616">
        <f t="shared" si="805"/>
        <v>1421000</v>
      </c>
      <c r="BD291" s="616">
        <f t="shared" si="806"/>
        <v>132300</v>
      </c>
      <c r="BE291" s="616">
        <f t="shared" si="807"/>
        <v>188650</v>
      </c>
      <c r="BF291" s="616">
        <f t="shared" si="808"/>
        <v>19600</v>
      </c>
      <c r="BG291" s="616">
        <f t="shared" si="809"/>
        <v>257250</v>
      </c>
      <c r="BH291" s="616">
        <f t="shared" si="810"/>
        <v>3949400</v>
      </c>
      <c r="BI291" s="618">
        <f t="shared" si="860"/>
        <v>3033333.3</v>
      </c>
      <c r="BJ291" s="618">
        <f t="shared" si="861"/>
        <v>916066.7</v>
      </c>
      <c r="BK291" s="616">
        <f t="shared" si="811"/>
        <v>862400</v>
      </c>
      <c r="BL291" s="620">
        <f t="shared" si="812"/>
        <v>32031300</v>
      </c>
      <c r="BM291" s="616">
        <f t="shared" si="813"/>
        <v>19563828</v>
      </c>
      <c r="BN291" s="618">
        <f t="shared" si="814"/>
        <v>15025981.6</v>
      </c>
      <c r="BO291" s="618">
        <f t="shared" si="815"/>
        <v>4537846.4000000004</v>
      </c>
      <c r="BP291" s="616">
        <f t="shared" si="862"/>
        <v>2163350</v>
      </c>
      <c r="BQ291" s="616">
        <f t="shared" si="863"/>
        <v>432670</v>
      </c>
      <c r="BR291" s="616">
        <f t="shared" si="864"/>
        <v>1986950</v>
      </c>
      <c r="BS291" s="616">
        <f t="shared" si="816"/>
        <v>4667250</v>
      </c>
      <c r="BT291" s="616">
        <f t="shared" si="817"/>
        <v>127400</v>
      </c>
      <c r="BU291" s="616">
        <f t="shared" si="818"/>
        <v>4236050</v>
      </c>
      <c r="BV291" s="616">
        <f t="shared" si="819"/>
        <v>88200</v>
      </c>
      <c r="BW291" s="616">
        <f t="shared" si="820"/>
        <v>215600</v>
      </c>
      <c r="BX291" s="616">
        <f t="shared" si="821"/>
        <v>1440580</v>
      </c>
      <c r="BY291" s="616">
        <f t="shared" si="822"/>
        <v>1421000</v>
      </c>
      <c r="BZ291" s="616">
        <f t="shared" si="823"/>
        <v>132300</v>
      </c>
      <c r="CA291" s="616">
        <f t="shared" si="824"/>
        <v>188650</v>
      </c>
      <c r="CB291" s="616">
        <f t="shared" si="825"/>
        <v>19600</v>
      </c>
      <c r="CC291" s="616">
        <f t="shared" si="826"/>
        <v>257250</v>
      </c>
      <c r="CD291" s="616">
        <f t="shared" si="827"/>
        <v>4913054</v>
      </c>
      <c r="CE291" s="618">
        <f t="shared" si="865"/>
        <v>3773467</v>
      </c>
      <c r="CF291" s="618">
        <f t="shared" si="866"/>
        <v>1139587</v>
      </c>
      <c r="CG291" s="616">
        <f t="shared" si="828"/>
        <v>862400</v>
      </c>
      <c r="CH291" s="621">
        <f t="shared" si="829"/>
        <v>37616212</v>
      </c>
      <c r="CI291" s="88">
        <f t="shared" si="830"/>
        <v>79852.359200000006</v>
      </c>
      <c r="CJ291" s="90">
        <f t="shared" si="831"/>
        <v>61330.537100000001</v>
      </c>
      <c r="CK291" s="90">
        <f t="shared" si="832"/>
        <v>18521.822</v>
      </c>
      <c r="CL291" s="88">
        <f t="shared" si="833"/>
        <v>8830</v>
      </c>
      <c r="CM291" s="88">
        <f t="shared" si="834"/>
        <v>1766</v>
      </c>
      <c r="CN291" s="88">
        <f t="shared" si="835"/>
        <v>8110</v>
      </c>
      <c r="CO291" s="88">
        <f t="shared" si="836"/>
        <v>19050</v>
      </c>
      <c r="CP291" s="88">
        <f t="shared" si="837"/>
        <v>520</v>
      </c>
      <c r="CQ291" s="88">
        <f t="shared" si="838"/>
        <v>17290</v>
      </c>
      <c r="CR291" s="88">
        <f t="shared" si="839"/>
        <v>360</v>
      </c>
      <c r="CS291" s="88">
        <f t="shared" si="840"/>
        <v>880</v>
      </c>
      <c r="CT291" s="88">
        <f t="shared" si="841"/>
        <v>5879.9183999999996</v>
      </c>
      <c r="CU291" s="88">
        <f t="shared" si="842"/>
        <v>5800</v>
      </c>
      <c r="CV291" s="88">
        <f t="shared" si="843"/>
        <v>540</v>
      </c>
      <c r="CW291" s="88">
        <f t="shared" si="844"/>
        <v>770</v>
      </c>
      <c r="CX291" s="88">
        <f t="shared" si="845"/>
        <v>80</v>
      </c>
      <c r="CY291" s="88">
        <f t="shared" si="846"/>
        <v>1050</v>
      </c>
      <c r="CZ291" s="88">
        <f t="shared" si="847"/>
        <v>20053.281599999998</v>
      </c>
      <c r="DA291" s="90">
        <f t="shared" si="848"/>
        <v>15401.9061</v>
      </c>
      <c r="DB291" s="90">
        <f t="shared" si="849"/>
        <v>4651.3755000000001</v>
      </c>
      <c r="DC291" s="88">
        <f t="shared" si="850"/>
        <v>3520</v>
      </c>
      <c r="DD291" s="88">
        <f t="shared" si="851"/>
        <v>153535.55919999999</v>
      </c>
      <c r="AUV291" s="699">
        <f t="shared" si="758"/>
        <v>79852.36</v>
      </c>
      <c r="AUW291" s="699">
        <f t="shared" si="759"/>
        <v>61330.54</v>
      </c>
      <c r="AUX291" s="699">
        <f t="shared" si="760"/>
        <v>18521.82</v>
      </c>
      <c r="AUY291" s="699">
        <f t="shared" si="761"/>
        <v>8830</v>
      </c>
      <c r="AUZ291" s="699">
        <f t="shared" si="778"/>
        <v>197206.02</v>
      </c>
      <c r="AVA291" s="699">
        <f t="shared" si="778"/>
        <v>30.95</v>
      </c>
      <c r="AVB291" s="699">
        <f t="shared" si="762"/>
        <v>19050</v>
      </c>
      <c r="AVC291" s="699">
        <f t="shared" si="763"/>
        <v>520</v>
      </c>
      <c r="AVD291" s="699">
        <f t="shared" si="764"/>
        <v>17290</v>
      </c>
      <c r="AVE291" s="699">
        <f t="shared" si="765"/>
        <v>360</v>
      </c>
      <c r="AVF291" s="699">
        <f t="shared" si="766"/>
        <v>880</v>
      </c>
      <c r="AVG291" s="699">
        <f t="shared" si="767"/>
        <v>5879.92</v>
      </c>
      <c r="AVH291" s="699">
        <f t="shared" si="768"/>
        <v>5800</v>
      </c>
      <c r="AVI291" s="699">
        <f t="shared" si="769"/>
        <v>540</v>
      </c>
      <c r="AVJ291" s="699">
        <f t="shared" si="770"/>
        <v>770</v>
      </c>
      <c r="AVK291" s="699">
        <f t="shared" si="771"/>
        <v>80</v>
      </c>
      <c r="AVL291" s="699">
        <f t="shared" si="772"/>
        <v>1050</v>
      </c>
      <c r="AVM291" s="699">
        <f t="shared" si="773"/>
        <v>20053.28</v>
      </c>
      <c r="AVN291" s="699">
        <f t="shared" si="774"/>
        <v>15401.9</v>
      </c>
      <c r="AVO291" s="699">
        <f t="shared" si="775"/>
        <v>4651.38</v>
      </c>
      <c r="AVP291" s="699">
        <f t="shared" si="776"/>
        <v>3520</v>
      </c>
      <c r="AVQ291" s="699">
        <f t="shared" si="777"/>
        <v>153535.56</v>
      </c>
    </row>
    <row r="292" spans="1:108 1244:1265" ht="30" customHeight="1" x14ac:dyDescent="0.25">
      <c r="A292" s="643">
        <v>1</v>
      </c>
      <c r="B292" s="643">
        <v>2</v>
      </c>
      <c r="C292" s="664" t="s">
        <v>16</v>
      </c>
      <c r="D292" s="2"/>
      <c r="E292" s="101" t="s">
        <v>344</v>
      </c>
      <c r="F292" s="643" t="s">
        <v>31</v>
      </c>
      <c r="G292" s="643">
        <v>1</v>
      </c>
      <c r="H292" s="658" t="s">
        <v>8</v>
      </c>
      <c r="I292" s="643">
        <v>3</v>
      </c>
      <c r="J292" s="101" t="s">
        <v>360</v>
      </c>
      <c r="K292" s="643">
        <v>3</v>
      </c>
      <c r="L292" s="683" t="s">
        <v>349</v>
      </c>
      <c r="M292" s="11" t="s">
        <v>266</v>
      </c>
      <c r="N292" s="101" t="s">
        <v>387</v>
      </c>
      <c r="O292" s="643">
        <v>1</v>
      </c>
      <c r="P292" s="632">
        <v>10</v>
      </c>
      <c r="Q292" s="632">
        <v>10</v>
      </c>
      <c r="R292" s="632">
        <v>10</v>
      </c>
      <c r="S292" s="675">
        <f>SUMIF('Территориальный кк'!$A:$A,'2020'!$B292,'Территориальный кк'!D:D)</f>
        <v>1.244</v>
      </c>
      <c r="T292" s="676">
        <f>SUMIF('Территориальный кк'!$A:$A,'2020'!$B292,'Территориальный кк'!E:E)</f>
        <v>2.194</v>
      </c>
      <c r="U292" s="618">
        <f>SUMIFS(Нормативы!G:G,Нормативы!$B:$B,$G292,Нормативы!$D:$D,'2020'!$I292,Нормативы!$F:$F,'2020'!$K292)*O292</f>
        <v>6419</v>
      </c>
      <c r="V292" s="618">
        <f t="shared" si="852"/>
        <v>4930.1000000000004</v>
      </c>
      <c r="W292" s="618">
        <f t="shared" si="853"/>
        <v>1488.9</v>
      </c>
      <c r="X292" s="618">
        <f>SUMIFS(Нормативы!J:J,Нормативы!$B:$B,$G292,Нормативы!$D:$D,'2020'!$I292,Нормативы!$F:$F,'2020'!$K292)</f>
        <v>883</v>
      </c>
      <c r="Y292" s="618">
        <f>SUMIFS(Нормативы!K:K,Нормативы!$B:$B,$G292,Нормативы!$D:$D,'2020'!$I292,Нормативы!$F:$F,'2020'!$K292)</f>
        <v>177</v>
      </c>
      <c r="Z292" s="618">
        <f>SUMIFS(Нормативы!L:L,Нормативы!$B:$B,$G292,Нормативы!$D:$D,'2020'!$I292,Нормативы!$F:$F,'2020'!$K292)</f>
        <v>811</v>
      </c>
      <c r="AA292" s="618">
        <f t="shared" si="854"/>
        <v>1905</v>
      </c>
      <c r="AB292" s="618">
        <f>SUMIFS(Нормативы!N:N,Нормативы!$B:$B,$G292,Нормативы!$D:$D,'2020'!$I292,Нормативы!$F:$F,'2020'!$K292)*O292</f>
        <v>52</v>
      </c>
      <c r="AC292" s="618">
        <f>SUMIFS(Нормативы!O:O,Нормативы!$B:$B,$G292,Нормативы!$D:$D,'2020'!$I292,Нормативы!$F:$F,'2020'!$K292)</f>
        <v>1729</v>
      </c>
      <c r="AD292" s="618">
        <f>SUMIFS(Нормативы!P:P,Нормативы!$B:$B,$G292,Нормативы!$D:$D,'2020'!$I292,Нормативы!$F:$F,'2020'!$K292)*O292</f>
        <v>36</v>
      </c>
      <c r="AE292" s="618">
        <f>SUMIFS(Нормативы!Q:Q,Нормативы!$B:$B,$G292,Нормативы!$D:$D,'2020'!$I292,Нормативы!$F:$F,'2020'!$K292)</f>
        <v>88</v>
      </c>
      <c r="AF292" s="618">
        <f>SUMIFS(Нормативы!R:R,Нормативы!$B:$B,$G292,Нормативы!$D:$D,'2020'!$I292,Нормативы!$F:$F,'2020'!$K292)</f>
        <v>268</v>
      </c>
      <c r="AG292" s="618">
        <f>SUMIFS(Нормативы!S:S,Нормативы!$B:$B,$G292,Нормативы!$D:$D,'2020'!$I292,Нормативы!$F:$F,'2020'!$K292)</f>
        <v>580</v>
      </c>
      <c r="AH292" s="618">
        <f>SUMIFS(Нормативы!T:T,Нормативы!$B:$B,$G292,Нормативы!$D:$D,'2020'!$I292,Нормативы!$F:$F,'2020'!$K292)</f>
        <v>54</v>
      </c>
      <c r="AI292" s="618">
        <f>SUMIFS(Нормативы!U:U,Нормативы!$B:$B,$G292,Нормативы!$D:$D,'2020'!$I292,Нормативы!$F:$F,'2020'!$K292)</f>
        <v>77</v>
      </c>
      <c r="AJ292" s="618">
        <f>SUMIFS(Нормативы!V:V,Нормативы!$B:$B,$G292,Нормативы!$D:$D,'2020'!$I292,Нормативы!$F:$F,'2020'!$K292)</f>
        <v>8</v>
      </c>
      <c r="AK292" s="618">
        <f>SUMIFS(Нормативы!W:W,Нормативы!$B:$B,$G292,Нормативы!$D:$D,'2020'!$I292,Нормативы!$F:$F,'2020'!$K292)</f>
        <v>105</v>
      </c>
      <c r="AL292" s="618">
        <f>SUMIFS(Нормативы!X:X,Нормативы!$B:$B,$G292,Нормативы!$D:$D,'2020'!$I292,Нормативы!$F:$F,'2020'!$K292)*O292</f>
        <v>1612</v>
      </c>
      <c r="AM292" s="618">
        <f t="shared" si="855"/>
        <v>1238.0999999999999</v>
      </c>
      <c r="AN292" s="618">
        <f t="shared" si="856"/>
        <v>373.9</v>
      </c>
      <c r="AO292" s="618">
        <f>SUMIFS(Нормативы!AA:AA,Нормативы!$B:$B,$G292,Нормативы!$D:$D,'2020'!$I292,Нормативы!$F:$F,'2020'!$K292)</f>
        <v>0</v>
      </c>
      <c r="AP292" s="619">
        <f t="shared" si="857"/>
        <v>12722</v>
      </c>
      <c r="AQ292" s="413">
        <f t="shared" si="795"/>
        <v>64190</v>
      </c>
      <c r="AR292" s="618">
        <f t="shared" si="858"/>
        <v>49301.1</v>
      </c>
      <c r="AS292" s="618">
        <f t="shared" si="859"/>
        <v>14888.9</v>
      </c>
      <c r="AT292" s="616">
        <f t="shared" si="796"/>
        <v>8830</v>
      </c>
      <c r="AU292" s="616">
        <f t="shared" si="797"/>
        <v>1770</v>
      </c>
      <c r="AV292" s="616">
        <f t="shared" si="798"/>
        <v>8110</v>
      </c>
      <c r="AW292" s="616">
        <f t="shared" si="799"/>
        <v>19050</v>
      </c>
      <c r="AX292" s="616">
        <f t="shared" si="800"/>
        <v>520</v>
      </c>
      <c r="AY292" s="616">
        <f t="shared" si="801"/>
        <v>17290</v>
      </c>
      <c r="AZ292" s="616">
        <f t="shared" si="802"/>
        <v>360</v>
      </c>
      <c r="BA292" s="616">
        <f t="shared" si="803"/>
        <v>880</v>
      </c>
      <c r="BB292" s="616">
        <f t="shared" si="804"/>
        <v>2680</v>
      </c>
      <c r="BC292" s="616">
        <f t="shared" si="805"/>
        <v>5800</v>
      </c>
      <c r="BD292" s="616">
        <f t="shared" si="806"/>
        <v>540</v>
      </c>
      <c r="BE292" s="616">
        <f t="shared" si="807"/>
        <v>770</v>
      </c>
      <c r="BF292" s="616">
        <f t="shared" si="808"/>
        <v>80</v>
      </c>
      <c r="BG292" s="616">
        <f t="shared" si="809"/>
        <v>1050</v>
      </c>
      <c r="BH292" s="616">
        <f t="shared" si="810"/>
        <v>16120</v>
      </c>
      <c r="BI292" s="618">
        <f t="shared" si="860"/>
        <v>12381</v>
      </c>
      <c r="BJ292" s="618">
        <f t="shared" si="861"/>
        <v>3739</v>
      </c>
      <c r="BK292" s="616">
        <f t="shared" si="811"/>
        <v>0</v>
      </c>
      <c r="BL292" s="620">
        <f t="shared" si="812"/>
        <v>127220</v>
      </c>
      <c r="BM292" s="616">
        <f t="shared" si="813"/>
        <v>79852</v>
      </c>
      <c r="BN292" s="618">
        <f t="shared" si="814"/>
        <v>61330.3</v>
      </c>
      <c r="BO292" s="618">
        <f t="shared" si="815"/>
        <v>18521.7</v>
      </c>
      <c r="BP292" s="616">
        <f t="shared" si="862"/>
        <v>8830</v>
      </c>
      <c r="BQ292" s="616">
        <f t="shared" si="863"/>
        <v>1770</v>
      </c>
      <c r="BR292" s="616">
        <f t="shared" si="864"/>
        <v>8110</v>
      </c>
      <c r="BS292" s="616">
        <f t="shared" si="816"/>
        <v>19050</v>
      </c>
      <c r="BT292" s="616">
        <f t="shared" si="817"/>
        <v>520</v>
      </c>
      <c r="BU292" s="616">
        <f t="shared" si="818"/>
        <v>17290</v>
      </c>
      <c r="BV292" s="616">
        <f t="shared" si="819"/>
        <v>360</v>
      </c>
      <c r="BW292" s="616">
        <f t="shared" si="820"/>
        <v>880</v>
      </c>
      <c r="BX292" s="616">
        <f t="shared" si="821"/>
        <v>5880</v>
      </c>
      <c r="BY292" s="616">
        <f t="shared" si="822"/>
        <v>5800</v>
      </c>
      <c r="BZ292" s="616">
        <f t="shared" si="823"/>
        <v>540</v>
      </c>
      <c r="CA292" s="616">
        <f t="shared" si="824"/>
        <v>770</v>
      </c>
      <c r="CB292" s="616">
        <f t="shared" si="825"/>
        <v>80</v>
      </c>
      <c r="CC292" s="616">
        <f t="shared" si="826"/>
        <v>1050</v>
      </c>
      <c r="CD292" s="616">
        <f t="shared" si="827"/>
        <v>20053</v>
      </c>
      <c r="CE292" s="618">
        <f t="shared" si="865"/>
        <v>15401.7</v>
      </c>
      <c r="CF292" s="618">
        <f t="shared" si="866"/>
        <v>4651.3</v>
      </c>
      <c r="CG292" s="616">
        <f t="shared" si="828"/>
        <v>0</v>
      </c>
      <c r="CH292" s="621">
        <f t="shared" si="829"/>
        <v>150015</v>
      </c>
      <c r="CI292" s="88">
        <f t="shared" si="830"/>
        <v>7985.2</v>
      </c>
      <c r="CJ292" s="90">
        <f t="shared" si="831"/>
        <v>6133.03</v>
      </c>
      <c r="CK292" s="90">
        <f t="shared" si="832"/>
        <v>1852.17</v>
      </c>
      <c r="CL292" s="88">
        <f t="shared" si="833"/>
        <v>883</v>
      </c>
      <c r="CM292" s="88">
        <f t="shared" si="834"/>
        <v>177</v>
      </c>
      <c r="CN292" s="88">
        <f t="shared" si="835"/>
        <v>811</v>
      </c>
      <c r="CO292" s="88">
        <f t="shared" si="836"/>
        <v>1905</v>
      </c>
      <c r="CP292" s="88">
        <f t="shared" si="837"/>
        <v>52</v>
      </c>
      <c r="CQ292" s="88">
        <f t="shared" si="838"/>
        <v>1729</v>
      </c>
      <c r="CR292" s="88">
        <f t="shared" si="839"/>
        <v>36</v>
      </c>
      <c r="CS292" s="88">
        <f t="shared" si="840"/>
        <v>88</v>
      </c>
      <c r="CT292" s="88">
        <f t="shared" si="841"/>
        <v>588</v>
      </c>
      <c r="CU292" s="88">
        <f t="shared" si="842"/>
        <v>580</v>
      </c>
      <c r="CV292" s="88">
        <f t="shared" si="843"/>
        <v>54</v>
      </c>
      <c r="CW292" s="88">
        <f t="shared" si="844"/>
        <v>77</v>
      </c>
      <c r="CX292" s="88">
        <f t="shared" si="845"/>
        <v>8</v>
      </c>
      <c r="CY292" s="88">
        <f t="shared" si="846"/>
        <v>105</v>
      </c>
      <c r="CZ292" s="88">
        <f t="shared" si="847"/>
        <v>2005.3</v>
      </c>
      <c r="DA292" s="90">
        <f t="shared" si="848"/>
        <v>1540.17</v>
      </c>
      <c r="DB292" s="90">
        <f t="shared" si="849"/>
        <v>465.13</v>
      </c>
      <c r="DC292" s="88">
        <f t="shared" si="850"/>
        <v>0</v>
      </c>
      <c r="DD292" s="88">
        <f t="shared" si="851"/>
        <v>15001.5</v>
      </c>
      <c r="AUV292" s="699">
        <f t="shared" si="758"/>
        <v>7985.2</v>
      </c>
      <c r="AUW292" s="699">
        <f t="shared" si="759"/>
        <v>6133.03</v>
      </c>
      <c r="AUX292" s="699">
        <f t="shared" si="760"/>
        <v>1852.17</v>
      </c>
      <c r="AUY292" s="699">
        <f t="shared" si="761"/>
        <v>883</v>
      </c>
      <c r="AUZ292" s="699">
        <f t="shared" si="778"/>
        <v>806.75</v>
      </c>
      <c r="AVA292" s="699">
        <f t="shared" si="778"/>
        <v>1.26</v>
      </c>
      <c r="AVB292" s="699">
        <f t="shared" si="762"/>
        <v>1905</v>
      </c>
      <c r="AVC292" s="699">
        <f t="shared" si="763"/>
        <v>52</v>
      </c>
      <c r="AVD292" s="699">
        <f t="shared" si="764"/>
        <v>1729</v>
      </c>
      <c r="AVE292" s="699">
        <f t="shared" si="765"/>
        <v>36</v>
      </c>
      <c r="AVF292" s="699">
        <f t="shared" si="766"/>
        <v>88</v>
      </c>
      <c r="AVG292" s="699">
        <f t="shared" si="767"/>
        <v>588</v>
      </c>
      <c r="AVH292" s="699">
        <f t="shared" si="768"/>
        <v>580</v>
      </c>
      <c r="AVI292" s="699">
        <f t="shared" si="769"/>
        <v>54</v>
      </c>
      <c r="AVJ292" s="699">
        <f t="shared" si="770"/>
        <v>77</v>
      </c>
      <c r="AVK292" s="699">
        <f t="shared" si="771"/>
        <v>8</v>
      </c>
      <c r="AVL292" s="699">
        <f t="shared" si="772"/>
        <v>105</v>
      </c>
      <c r="AVM292" s="699">
        <f t="shared" si="773"/>
        <v>2005.3</v>
      </c>
      <c r="AVN292" s="699">
        <f t="shared" si="774"/>
        <v>1540.17</v>
      </c>
      <c r="AVO292" s="699">
        <f t="shared" si="775"/>
        <v>465.13</v>
      </c>
      <c r="AVP292" s="699">
        <f t="shared" si="776"/>
        <v>0</v>
      </c>
      <c r="AVQ292" s="699">
        <f t="shared" si="777"/>
        <v>15001.5</v>
      </c>
    </row>
    <row r="293" spans="1:108 1244:1265" ht="30" customHeight="1" x14ac:dyDescent="0.25">
      <c r="A293" s="643">
        <v>1</v>
      </c>
      <c r="B293" s="643">
        <v>2</v>
      </c>
      <c r="C293" s="664" t="s">
        <v>16</v>
      </c>
      <c r="D293" s="2"/>
      <c r="E293" s="101" t="s">
        <v>345</v>
      </c>
      <c r="F293" s="643" t="s">
        <v>38</v>
      </c>
      <c r="G293" s="643">
        <v>2</v>
      </c>
      <c r="H293" s="658" t="s">
        <v>10</v>
      </c>
      <c r="I293" s="643">
        <v>0</v>
      </c>
      <c r="J293" s="101" t="s">
        <v>361</v>
      </c>
      <c r="K293" s="643">
        <v>3</v>
      </c>
      <c r="L293" s="683" t="s">
        <v>350</v>
      </c>
      <c r="M293" s="11" t="s">
        <v>267</v>
      </c>
      <c r="N293" s="101" t="s">
        <v>387</v>
      </c>
      <c r="O293" s="643">
        <v>1</v>
      </c>
      <c r="P293" s="632">
        <v>7</v>
      </c>
      <c r="Q293" s="632">
        <v>7</v>
      </c>
      <c r="R293" s="632">
        <v>7</v>
      </c>
      <c r="S293" s="675">
        <f>SUMIF('Территориальный кк'!$A:$A,'2020'!$B293,'Территориальный кк'!D:D)</f>
        <v>1.244</v>
      </c>
      <c r="T293" s="676">
        <f>SUMIF('Территориальный кк'!$A:$A,'2020'!$B293,'Территориальный кк'!E:E)</f>
        <v>2.194</v>
      </c>
      <c r="U293" s="618">
        <f>SUMIFS(Нормативы!G:G,Нормативы!$B:$B,$G293,Нормативы!$D:$D,'2020'!$I293,Нормативы!$F:$F,'2020'!$K293)*O293</f>
        <v>70600</v>
      </c>
      <c r="V293" s="618">
        <f t="shared" si="852"/>
        <v>54224.3</v>
      </c>
      <c r="W293" s="618">
        <f t="shared" si="853"/>
        <v>16375.7</v>
      </c>
      <c r="X293" s="618">
        <f>SUMIFS(Нормативы!J:J,Нормативы!$B:$B,$G293,Нормативы!$D:$D,'2020'!$I293,Нормативы!$F:$F,'2020'!$K293)</f>
        <v>8860</v>
      </c>
      <c r="Y293" s="618">
        <f>SUMIFS(Нормативы!K:K,Нормативы!$B:$B,$G293,Нормативы!$D:$D,'2020'!$I293,Нормативы!$F:$F,'2020'!$K293)</f>
        <v>0</v>
      </c>
      <c r="Z293" s="618">
        <f>SUMIFS(Нормативы!L:L,Нормативы!$B:$B,$G293,Нормативы!$D:$D,'2020'!$I293,Нормативы!$F:$F,'2020'!$K293)</f>
        <v>8110</v>
      </c>
      <c r="AA293" s="618">
        <f t="shared" si="854"/>
        <v>21610</v>
      </c>
      <c r="AB293" s="618">
        <f>SUMIFS(Нормативы!N:N,Нормативы!$B:$B,$G293,Нормативы!$D:$D,'2020'!$I293,Нормативы!$F:$F,'2020'!$K293)*O293</f>
        <v>520</v>
      </c>
      <c r="AC293" s="618">
        <f>SUMIFS(Нормативы!O:O,Нормативы!$B:$B,$G293,Нормативы!$D:$D,'2020'!$I293,Нормативы!$F:$F,'2020'!$K293)</f>
        <v>19720</v>
      </c>
      <c r="AD293" s="618">
        <f>SUMIFS(Нормативы!P:P,Нормативы!$B:$B,$G293,Нормативы!$D:$D,'2020'!$I293,Нормативы!$F:$F,'2020'!$K293)*O293</f>
        <v>400</v>
      </c>
      <c r="AE293" s="618">
        <f>SUMIFS(Нормативы!Q:Q,Нормативы!$B:$B,$G293,Нормативы!$D:$D,'2020'!$I293,Нормативы!$F:$F,'2020'!$K293)</f>
        <v>970</v>
      </c>
      <c r="AF293" s="618">
        <f>SUMIFS(Нормативы!R:R,Нормативы!$B:$B,$G293,Нормативы!$D:$D,'2020'!$I293,Нормативы!$F:$F,'2020'!$K293)</f>
        <v>2680</v>
      </c>
      <c r="AG293" s="618">
        <f>SUMIFS(Нормативы!S:S,Нормативы!$B:$B,$G293,Нормативы!$D:$D,'2020'!$I293,Нормативы!$F:$F,'2020'!$K293)</f>
        <v>5800</v>
      </c>
      <c r="AH293" s="618">
        <f>SUMIFS(Нормативы!T:T,Нормативы!$B:$B,$G293,Нормативы!$D:$D,'2020'!$I293,Нормативы!$F:$F,'2020'!$K293)</f>
        <v>540</v>
      </c>
      <c r="AI293" s="618">
        <f>SUMIFS(Нормативы!U:U,Нормативы!$B:$B,$G293,Нормативы!$D:$D,'2020'!$I293,Нормативы!$F:$F,'2020'!$K293)</f>
        <v>770</v>
      </c>
      <c r="AJ293" s="618">
        <f>SUMIFS(Нормативы!V:V,Нормативы!$B:$B,$G293,Нормативы!$D:$D,'2020'!$I293,Нормативы!$F:$F,'2020'!$K293)</f>
        <v>80</v>
      </c>
      <c r="AK293" s="618">
        <f>SUMIFS(Нормативы!W:W,Нормативы!$B:$B,$G293,Нормативы!$D:$D,'2020'!$I293,Нормативы!$F:$F,'2020'!$K293)</f>
        <v>330</v>
      </c>
      <c r="AL293" s="618">
        <f>SUMIFS(Нормативы!X:X,Нормативы!$B:$B,$G293,Нормативы!$D:$D,'2020'!$I293,Нормативы!$F:$F,'2020'!$K293)*O293</f>
        <v>16120</v>
      </c>
      <c r="AM293" s="618">
        <f t="shared" si="855"/>
        <v>12381</v>
      </c>
      <c r="AN293" s="618">
        <f t="shared" si="856"/>
        <v>3739</v>
      </c>
      <c r="AO293" s="618">
        <f>SUMIFS(Нормативы!AA:AA,Нормативы!$B:$B,$G293,Нормативы!$D:$D,'2020'!$I293,Нормативы!$F:$F,'2020'!$K293)</f>
        <v>3520</v>
      </c>
      <c r="AP293" s="619">
        <f t="shared" si="857"/>
        <v>139020</v>
      </c>
      <c r="AQ293" s="413">
        <f t="shared" si="795"/>
        <v>494200</v>
      </c>
      <c r="AR293" s="618">
        <f t="shared" si="858"/>
        <v>379569.9</v>
      </c>
      <c r="AS293" s="618">
        <f t="shared" si="859"/>
        <v>114630.1</v>
      </c>
      <c r="AT293" s="616">
        <f t="shared" si="796"/>
        <v>62020</v>
      </c>
      <c r="AU293" s="616">
        <f t="shared" si="797"/>
        <v>0</v>
      </c>
      <c r="AV293" s="616">
        <f t="shared" si="798"/>
        <v>56770</v>
      </c>
      <c r="AW293" s="616">
        <f t="shared" si="799"/>
        <v>151270</v>
      </c>
      <c r="AX293" s="616">
        <f t="shared" si="800"/>
        <v>3640</v>
      </c>
      <c r="AY293" s="616">
        <f t="shared" si="801"/>
        <v>138040</v>
      </c>
      <c r="AZ293" s="616">
        <f t="shared" si="802"/>
        <v>2800</v>
      </c>
      <c r="BA293" s="616">
        <f t="shared" si="803"/>
        <v>6790</v>
      </c>
      <c r="BB293" s="616">
        <f t="shared" si="804"/>
        <v>18760</v>
      </c>
      <c r="BC293" s="616">
        <f t="shared" si="805"/>
        <v>40600</v>
      </c>
      <c r="BD293" s="616">
        <f t="shared" si="806"/>
        <v>3780</v>
      </c>
      <c r="BE293" s="616">
        <f t="shared" si="807"/>
        <v>5390</v>
      </c>
      <c r="BF293" s="616">
        <f t="shared" si="808"/>
        <v>560</v>
      </c>
      <c r="BG293" s="616">
        <f t="shared" si="809"/>
        <v>2310</v>
      </c>
      <c r="BH293" s="616">
        <f t="shared" si="810"/>
        <v>112840</v>
      </c>
      <c r="BI293" s="618">
        <f t="shared" si="860"/>
        <v>86666.7</v>
      </c>
      <c r="BJ293" s="618">
        <f t="shared" si="861"/>
        <v>26173.3</v>
      </c>
      <c r="BK293" s="616">
        <f t="shared" si="811"/>
        <v>24640</v>
      </c>
      <c r="BL293" s="620">
        <f t="shared" si="812"/>
        <v>973140</v>
      </c>
      <c r="BM293" s="616">
        <f t="shared" si="813"/>
        <v>614785</v>
      </c>
      <c r="BN293" s="618">
        <f t="shared" si="814"/>
        <v>472185.1</v>
      </c>
      <c r="BO293" s="618">
        <f t="shared" si="815"/>
        <v>142599.9</v>
      </c>
      <c r="BP293" s="616">
        <f t="shared" si="862"/>
        <v>62020</v>
      </c>
      <c r="BQ293" s="616">
        <f t="shared" si="863"/>
        <v>0</v>
      </c>
      <c r="BR293" s="616">
        <f t="shared" si="864"/>
        <v>56770</v>
      </c>
      <c r="BS293" s="616">
        <f t="shared" si="816"/>
        <v>151270</v>
      </c>
      <c r="BT293" s="616">
        <f t="shared" si="817"/>
        <v>3640</v>
      </c>
      <c r="BU293" s="616">
        <f t="shared" si="818"/>
        <v>138040</v>
      </c>
      <c r="BV293" s="616">
        <f t="shared" si="819"/>
        <v>2800</v>
      </c>
      <c r="BW293" s="616">
        <f t="shared" si="820"/>
        <v>6790</v>
      </c>
      <c r="BX293" s="616">
        <f t="shared" si="821"/>
        <v>41159</v>
      </c>
      <c r="BY293" s="616">
        <f t="shared" si="822"/>
        <v>40600</v>
      </c>
      <c r="BZ293" s="616">
        <f t="shared" si="823"/>
        <v>3780</v>
      </c>
      <c r="CA293" s="616">
        <f t="shared" si="824"/>
        <v>5390</v>
      </c>
      <c r="CB293" s="616">
        <f t="shared" si="825"/>
        <v>560</v>
      </c>
      <c r="CC293" s="616">
        <f t="shared" si="826"/>
        <v>2310</v>
      </c>
      <c r="CD293" s="616">
        <f t="shared" si="827"/>
        <v>140373</v>
      </c>
      <c r="CE293" s="618">
        <f t="shared" si="865"/>
        <v>107813.4</v>
      </c>
      <c r="CF293" s="618">
        <f t="shared" si="866"/>
        <v>32559.599999999999</v>
      </c>
      <c r="CG293" s="616">
        <f t="shared" si="828"/>
        <v>24640</v>
      </c>
      <c r="CH293" s="621">
        <f t="shared" si="829"/>
        <v>1143657</v>
      </c>
      <c r="CI293" s="88">
        <f t="shared" si="830"/>
        <v>87826.428599999999</v>
      </c>
      <c r="CJ293" s="90">
        <f t="shared" si="831"/>
        <v>67455.014299999995</v>
      </c>
      <c r="CK293" s="90">
        <f t="shared" si="832"/>
        <v>20371.4143</v>
      </c>
      <c r="CL293" s="88">
        <f t="shared" si="833"/>
        <v>8860</v>
      </c>
      <c r="CM293" s="88">
        <f t="shared" si="834"/>
        <v>0</v>
      </c>
      <c r="CN293" s="88">
        <f t="shared" si="835"/>
        <v>8110</v>
      </c>
      <c r="CO293" s="88">
        <f t="shared" si="836"/>
        <v>21610</v>
      </c>
      <c r="CP293" s="88">
        <f t="shared" si="837"/>
        <v>520</v>
      </c>
      <c r="CQ293" s="88">
        <f t="shared" si="838"/>
        <v>19720</v>
      </c>
      <c r="CR293" s="88">
        <f t="shared" si="839"/>
        <v>400</v>
      </c>
      <c r="CS293" s="88">
        <f t="shared" si="840"/>
        <v>970</v>
      </c>
      <c r="CT293" s="88">
        <f t="shared" si="841"/>
        <v>5879.8571000000002</v>
      </c>
      <c r="CU293" s="88">
        <f t="shared" si="842"/>
        <v>5800</v>
      </c>
      <c r="CV293" s="88">
        <f t="shared" si="843"/>
        <v>540</v>
      </c>
      <c r="CW293" s="88">
        <f t="shared" si="844"/>
        <v>770</v>
      </c>
      <c r="CX293" s="88">
        <f t="shared" si="845"/>
        <v>80</v>
      </c>
      <c r="CY293" s="88">
        <f t="shared" si="846"/>
        <v>330</v>
      </c>
      <c r="CZ293" s="88">
        <f t="shared" si="847"/>
        <v>20053.2857</v>
      </c>
      <c r="DA293" s="90">
        <f t="shared" si="848"/>
        <v>15401.9143</v>
      </c>
      <c r="DB293" s="90">
        <f t="shared" si="849"/>
        <v>4651.3714</v>
      </c>
      <c r="DC293" s="88">
        <f t="shared" si="850"/>
        <v>3520</v>
      </c>
      <c r="DD293" s="88">
        <f t="shared" si="851"/>
        <v>163379.57139999999</v>
      </c>
      <c r="AUV293" s="699">
        <f t="shared" si="758"/>
        <v>87826.43</v>
      </c>
      <c r="AUW293" s="699">
        <f t="shared" si="759"/>
        <v>67455.02</v>
      </c>
      <c r="AUX293" s="699">
        <f t="shared" si="760"/>
        <v>20371.41</v>
      </c>
      <c r="AUY293" s="699">
        <f t="shared" si="761"/>
        <v>8860</v>
      </c>
      <c r="AUZ293" s="699">
        <f t="shared" si="778"/>
        <v>0</v>
      </c>
      <c r="AVA293" s="699">
        <f t="shared" si="778"/>
        <v>0.8</v>
      </c>
      <c r="AVB293" s="699">
        <f t="shared" si="762"/>
        <v>21610</v>
      </c>
      <c r="AVC293" s="699">
        <f t="shared" si="763"/>
        <v>520</v>
      </c>
      <c r="AVD293" s="699">
        <f t="shared" si="764"/>
        <v>19720</v>
      </c>
      <c r="AVE293" s="699">
        <f t="shared" si="765"/>
        <v>400</v>
      </c>
      <c r="AVF293" s="699">
        <f t="shared" si="766"/>
        <v>970</v>
      </c>
      <c r="AVG293" s="699">
        <f t="shared" si="767"/>
        <v>5879.86</v>
      </c>
      <c r="AVH293" s="699">
        <f t="shared" si="768"/>
        <v>5800</v>
      </c>
      <c r="AVI293" s="699">
        <f t="shared" si="769"/>
        <v>540</v>
      </c>
      <c r="AVJ293" s="699">
        <f t="shared" si="770"/>
        <v>770</v>
      </c>
      <c r="AVK293" s="699">
        <f t="shared" si="771"/>
        <v>80</v>
      </c>
      <c r="AVL293" s="699">
        <f t="shared" si="772"/>
        <v>330</v>
      </c>
      <c r="AVM293" s="699">
        <f t="shared" si="773"/>
        <v>20053.29</v>
      </c>
      <c r="AVN293" s="699">
        <f t="shared" si="774"/>
        <v>15401.91</v>
      </c>
      <c r="AVO293" s="699">
        <f t="shared" si="775"/>
        <v>4651.38</v>
      </c>
      <c r="AVP293" s="699">
        <f t="shared" si="776"/>
        <v>3520</v>
      </c>
      <c r="AVQ293" s="699">
        <f t="shared" si="777"/>
        <v>163379.57</v>
      </c>
    </row>
    <row r="294" spans="1:108 1244:1265" ht="30" customHeight="1" x14ac:dyDescent="0.25">
      <c r="A294" s="643">
        <v>1</v>
      </c>
      <c r="B294" s="643">
        <v>2</v>
      </c>
      <c r="C294" s="664" t="s">
        <v>16</v>
      </c>
      <c r="D294" s="2"/>
      <c r="E294" s="101" t="s">
        <v>345</v>
      </c>
      <c r="F294" s="643" t="s">
        <v>38</v>
      </c>
      <c r="G294" s="643">
        <v>2</v>
      </c>
      <c r="H294" s="658" t="s">
        <v>8</v>
      </c>
      <c r="I294" s="643">
        <v>3</v>
      </c>
      <c r="J294" s="101" t="s">
        <v>361</v>
      </c>
      <c r="K294" s="643">
        <v>3</v>
      </c>
      <c r="L294" s="683" t="s">
        <v>350</v>
      </c>
      <c r="M294" s="11" t="s">
        <v>294</v>
      </c>
      <c r="N294" s="101" t="s">
        <v>387</v>
      </c>
      <c r="O294" s="643">
        <v>1</v>
      </c>
      <c r="P294" s="632">
        <v>7</v>
      </c>
      <c r="Q294" s="632">
        <v>7</v>
      </c>
      <c r="R294" s="632">
        <v>7</v>
      </c>
      <c r="S294" s="675">
        <f>SUMIF('Территориальный кк'!$A:$A,'2020'!$B294,'Территориальный кк'!D:D)</f>
        <v>1.244</v>
      </c>
      <c r="T294" s="676">
        <f>SUMIF('Территориальный кк'!$A:$A,'2020'!$B294,'Территориальный кк'!E:E)</f>
        <v>2.194</v>
      </c>
      <c r="U294" s="618">
        <f>SUMIFS(Нормативы!G:G,Нормативы!$B:$B,$G294,Нормативы!$D:$D,'2020'!$I294,Нормативы!$F:$F,'2020'!$K294)*O294</f>
        <v>12944</v>
      </c>
      <c r="V294" s="618">
        <f t="shared" si="852"/>
        <v>9941.6</v>
      </c>
      <c r="W294" s="618">
        <f t="shared" si="853"/>
        <v>3002.4</v>
      </c>
      <c r="X294" s="618">
        <f>SUMIFS(Нормативы!J:J,Нормативы!$B:$B,$G294,Нормативы!$D:$D,'2020'!$I294,Нормативы!$F:$F,'2020'!$K294)</f>
        <v>486</v>
      </c>
      <c r="Y294" s="618">
        <f>SUMIFS(Нормативы!K:K,Нормативы!$B:$B,$G294,Нормативы!$D:$D,'2020'!$I294,Нормативы!$F:$F,'2020'!$K294)</f>
        <v>97</v>
      </c>
      <c r="Z294" s="618">
        <f>SUMIFS(Нормативы!L:L,Нормативы!$B:$B,$G294,Нормативы!$D:$D,'2020'!$I294,Нормативы!$F:$F,'2020'!$K294)</f>
        <v>348</v>
      </c>
      <c r="AA294" s="618">
        <f t="shared" si="854"/>
        <v>2031</v>
      </c>
      <c r="AB294" s="618">
        <f>SUMIFS(Нормативы!N:N,Нормативы!$B:$B,$G294,Нормативы!$D:$D,'2020'!$I294,Нормативы!$F:$F,'2020'!$K294)*O294</f>
        <v>52</v>
      </c>
      <c r="AC294" s="618">
        <f>SUMIFS(Нормативы!O:O,Нормативы!$B:$B,$G294,Нормативы!$D:$D,'2020'!$I294,Нормативы!$F:$F,'2020'!$K294)</f>
        <v>1728</v>
      </c>
      <c r="AD294" s="618">
        <f>SUMIFS(Нормативы!P:P,Нормативы!$B:$B,$G294,Нормативы!$D:$D,'2020'!$I294,Нормативы!$F:$F,'2020'!$K294)*O294</f>
        <v>73</v>
      </c>
      <c r="AE294" s="618">
        <f>SUMIFS(Нормативы!Q:Q,Нормативы!$B:$B,$G294,Нормативы!$D:$D,'2020'!$I294,Нормативы!$F:$F,'2020'!$K294)</f>
        <v>178</v>
      </c>
      <c r="AF294" s="618">
        <f>SUMIFS(Нормативы!R:R,Нормативы!$B:$B,$G294,Нормативы!$D:$D,'2020'!$I294,Нормативы!$F:$F,'2020'!$K294)</f>
        <v>275</v>
      </c>
      <c r="AG294" s="618">
        <f>SUMIFS(Нормативы!S:S,Нормативы!$B:$B,$G294,Нормативы!$D:$D,'2020'!$I294,Нормативы!$F:$F,'2020'!$K294)</f>
        <v>580</v>
      </c>
      <c r="AH294" s="618">
        <f>SUMIFS(Нормативы!T:T,Нормативы!$B:$B,$G294,Нормативы!$D:$D,'2020'!$I294,Нормативы!$F:$F,'2020'!$K294)</f>
        <v>54</v>
      </c>
      <c r="AI294" s="618">
        <f>SUMIFS(Нормативы!U:U,Нормативы!$B:$B,$G294,Нормативы!$D:$D,'2020'!$I294,Нормативы!$F:$F,'2020'!$K294)</f>
        <v>77</v>
      </c>
      <c r="AJ294" s="618">
        <f>SUMIFS(Нормативы!V:V,Нормативы!$B:$B,$G294,Нормативы!$D:$D,'2020'!$I294,Нормативы!$F:$F,'2020'!$K294)</f>
        <v>8</v>
      </c>
      <c r="AK294" s="618">
        <f>SUMIFS(Нормативы!W:W,Нормативы!$B:$B,$G294,Нормативы!$D:$D,'2020'!$I294,Нормативы!$F:$F,'2020'!$K294)</f>
        <v>39</v>
      </c>
      <c r="AL294" s="618">
        <f>SUMIFS(Нормативы!X:X,Нормативы!$B:$B,$G294,Нормативы!$D:$D,'2020'!$I294,Нормативы!$F:$F,'2020'!$K294)*O294</f>
        <v>1612</v>
      </c>
      <c r="AM294" s="618">
        <f t="shared" si="855"/>
        <v>1238.0999999999999</v>
      </c>
      <c r="AN294" s="618">
        <f t="shared" si="856"/>
        <v>373.9</v>
      </c>
      <c r="AO294" s="618">
        <f>SUMIFS(Нормативы!AA:AA,Нормативы!$B:$B,$G294,Нормативы!$D:$D,'2020'!$I294,Нормативы!$F:$F,'2020'!$K294)</f>
        <v>0</v>
      </c>
      <c r="AP294" s="619">
        <f t="shared" si="857"/>
        <v>18454</v>
      </c>
      <c r="AQ294" s="413">
        <f t="shared" si="795"/>
        <v>90608</v>
      </c>
      <c r="AR294" s="618">
        <f t="shared" si="858"/>
        <v>69591.399999999994</v>
      </c>
      <c r="AS294" s="618">
        <f t="shared" si="859"/>
        <v>21016.6</v>
      </c>
      <c r="AT294" s="616">
        <f t="shared" si="796"/>
        <v>3402</v>
      </c>
      <c r="AU294" s="616">
        <f t="shared" si="797"/>
        <v>679</v>
      </c>
      <c r="AV294" s="616">
        <f t="shared" si="798"/>
        <v>2436</v>
      </c>
      <c r="AW294" s="616">
        <f t="shared" si="799"/>
        <v>14217</v>
      </c>
      <c r="AX294" s="616">
        <f t="shared" si="800"/>
        <v>364</v>
      </c>
      <c r="AY294" s="616">
        <f t="shared" si="801"/>
        <v>12096</v>
      </c>
      <c r="AZ294" s="616">
        <f t="shared" si="802"/>
        <v>511</v>
      </c>
      <c r="BA294" s="616">
        <f t="shared" si="803"/>
        <v>1246</v>
      </c>
      <c r="BB294" s="616">
        <f t="shared" si="804"/>
        <v>1925</v>
      </c>
      <c r="BC294" s="616">
        <f t="shared" si="805"/>
        <v>4060</v>
      </c>
      <c r="BD294" s="616">
        <f t="shared" si="806"/>
        <v>378</v>
      </c>
      <c r="BE294" s="616">
        <f t="shared" si="807"/>
        <v>539</v>
      </c>
      <c r="BF294" s="616">
        <f t="shared" si="808"/>
        <v>56</v>
      </c>
      <c r="BG294" s="616">
        <f t="shared" si="809"/>
        <v>273</v>
      </c>
      <c r="BH294" s="616">
        <f t="shared" si="810"/>
        <v>11284</v>
      </c>
      <c r="BI294" s="618">
        <f t="shared" si="860"/>
        <v>8666.7000000000007</v>
      </c>
      <c r="BJ294" s="618">
        <f t="shared" si="861"/>
        <v>2617.3000000000002</v>
      </c>
      <c r="BK294" s="616">
        <f t="shared" si="811"/>
        <v>0</v>
      </c>
      <c r="BL294" s="620">
        <f t="shared" si="812"/>
        <v>129178</v>
      </c>
      <c r="BM294" s="616">
        <f t="shared" si="813"/>
        <v>112716</v>
      </c>
      <c r="BN294" s="618">
        <f t="shared" si="814"/>
        <v>86571.4</v>
      </c>
      <c r="BO294" s="618">
        <f t="shared" si="815"/>
        <v>26144.6</v>
      </c>
      <c r="BP294" s="616">
        <f t="shared" si="862"/>
        <v>3402</v>
      </c>
      <c r="BQ294" s="616">
        <f t="shared" si="863"/>
        <v>679</v>
      </c>
      <c r="BR294" s="616">
        <f t="shared" si="864"/>
        <v>2436</v>
      </c>
      <c r="BS294" s="616">
        <f t="shared" si="816"/>
        <v>14217</v>
      </c>
      <c r="BT294" s="616">
        <f t="shared" si="817"/>
        <v>364</v>
      </c>
      <c r="BU294" s="616">
        <f t="shared" si="818"/>
        <v>12096</v>
      </c>
      <c r="BV294" s="616">
        <f t="shared" si="819"/>
        <v>511</v>
      </c>
      <c r="BW294" s="616">
        <f t="shared" si="820"/>
        <v>1246</v>
      </c>
      <c r="BX294" s="616">
        <f t="shared" si="821"/>
        <v>4223</v>
      </c>
      <c r="BY294" s="616">
        <f t="shared" si="822"/>
        <v>4060</v>
      </c>
      <c r="BZ294" s="616">
        <f t="shared" si="823"/>
        <v>378</v>
      </c>
      <c r="CA294" s="616">
        <f t="shared" si="824"/>
        <v>539</v>
      </c>
      <c r="CB294" s="616">
        <f t="shared" si="825"/>
        <v>56</v>
      </c>
      <c r="CC294" s="616">
        <f t="shared" si="826"/>
        <v>273</v>
      </c>
      <c r="CD294" s="616">
        <f t="shared" si="827"/>
        <v>14037</v>
      </c>
      <c r="CE294" s="618">
        <f t="shared" si="865"/>
        <v>10781.1</v>
      </c>
      <c r="CF294" s="618">
        <f t="shared" si="866"/>
        <v>3255.9</v>
      </c>
      <c r="CG294" s="616">
        <f t="shared" si="828"/>
        <v>0</v>
      </c>
      <c r="CH294" s="621">
        <f t="shared" si="829"/>
        <v>156337</v>
      </c>
      <c r="CI294" s="88">
        <f t="shared" si="830"/>
        <v>16102.2857</v>
      </c>
      <c r="CJ294" s="90">
        <f t="shared" si="831"/>
        <v>12367.3429</v>
      </c>
      <c r="CK294" s="90">
        <f t="shared" si="832"/>
        <v>3734.9429</v>
      </c>
      <c r="CL294" s="88">
        <f t="shared" si="833"/>
        <v>486</v>
      </c>
      <c r="CM294" s="88">
        <f t="shared" si="834"/>
        <v>97</v>
      </c>
      <c r="CN294" s="88">
        <f t="shared" si="835"/>
        <v>348</v>
      </c>
      <c r="CO294" s="88">
        <f t="shared" si="836"/>
        <v>2031</v>
      </c>
      <c r="CP294" s="88">
        <f t="shared" si="837"/>
        <v>52</v>
      </c>
      <c r="CQ294" s="88">
        <f t="shared" si="838"/>
        <v>1728</v>
      </c>
      <c r="CR294" s="88">
        <f t="shared" si="839"/>
        <v>73</v>
      </c>
      <c r="CS294" s="88">
        <f t="shared" si="840"/>
        <v>178</v>
      </c>
      <c r="CT294" s="88">
        <f t="shared" si="841"/>
        <v>603.28570000000002</v>
      </c>
      <c r="CU294" s="88">
        <f t="shared" si="842"/>
        <v>580</v>
      </c>
      <c r="CV294" s="88">
        <f t="shared" si="843"/>
        <v>54</v>
      </c>
      <c r="CW294" s="88">
        <f t="shared" si="844"/>
        <v>77</v>
      </c>
      <c r="CX294" s="88">
        <f t="shared" si="845"/>
        <v>8</v>
      </c>
      <c r="CY294" s="88">
        <f t="shared" si="846"/>
        <v>39</v>
      </c>
      <c r="CZ294" s="88">
        <f t="shared" si="847"/>
        <v>2005.2856999999999</v>
      </c>
      <c r="DA294" s="90">
        <f t="shared" si="848"/>
        <v>1540.1570999999999</v>
      </c>
      <c r="DB294" s="90">
        <f t="shared" si="849"/>
        <v>465.12860000000001</v>
      </c>
      <c r="DC294" s="88">
        <f t="shared" si="850"/>
        <v>0</v>
      </c>
      <c r="DD294" s="88">
        <f t="shared" si="851"/>
        <v>22333.857100000001</v>
      </c>
      <c r="AUV294" s="699">
        <f t="shared" si="758"/>
        <v>16102.29</v>
      </c>
      <c r="AUW294" s="699">
        <f t="shared" si="759"/>
        <v>12367.35</v>
      </c>
      <c r="AUX294" s="699">
        <f t="shared" si="760"/>
        <v>3734.94</v>
      </c>
      <c r="AUY294" s="699">
        <f t="shared" si="761"/>
        <v>486</v>
      </c>
      <c r="AUZ294" s="699">
        <f t="shared" si="778"/>
        <v>309.48</v>
      </c>
      <c r="AVA294" s="699">
        <f t="shared" si="778"/>
        <v>0.19</v>
      </c>
      <c r="AVB294" s="699">
        <f t="shared" si="762"/>
        <v>2031</v>
      </c>
      <c r="AVC294" s="699">
        <f t="shared" si="763"/>
        <v>52</v>
      </c>
      <c r="AVD294" s="699">
        <f t="shared" si="764"/>
        <v>1728</v>
      </c>
      <c r="AVE294" s="699">
        <f t="shared" si="765"/>
        <v>73</v>
      </c>
      <c r="AVF294" s="699">
        <f t="shared" si="766"/>
        <v>178</v>
      </c>
      <c r="AVG294" s="699">
        <f t="shared" si="767"/>
        <v>603.29</v>
      </c>
      <c r="AVH294" s="699">
        <f t="shared" si="768"/>
        <v>580</v>
      </c>
      <c r="AVI294" s="699">
        <f t="shared" si="769"/>
        <v>54</v>
      </c>
      <c r="AVJ294" s="699">
        <f t="shared" si="770"/>
        <v>77</v>
      </c>
      <c r="AVK294" s="699">
        <f t="shared" si="771"/>
        <v>8</v>
      </c>
      <c r="AVL294" s="699">
        <f t="shared" si="772"/>
        <v>39</v>
      </c>
      <c r="AVM294" s="699">
        <f t="shared" si="773"/>
        <v>2005.29</v>
      </c>
      <c r="AVN294" s="699">
        <f t="shared" si="774"/>
        <v>1540.16</v>
      </c>
      <c r="AVO294" s="699">
        <f t="shared" si="775"/>
        <v>465.13</v>
      </c>
      <c r="AVP294" s="699">
        <f t="shared" si="776"/>
        <v>0</v>
      </c>
      <c r="AVQ294" s="699">
        <f t="shared" si="777"/>
        <v>22333.86</v>
      </c>
    </row>
    <row r="295" spans="1:108 1244:1265" ht="30" customHeight="1" x14ac:dyDescent="0.25">
      <c r="A295" s="643">
        <v>1</v>
      </c>
      <c r="B295" s="643">
        <v>2</v>
      </c>
      <c r="C295" s="664" t="s">
        <v>16</v>
      </c>
      <c r="D295" s="2"/>
      <c r="E295" s="101" t="s">
        <v>345</v>
      </c>
      <c r="F295" s="643" t="s">
        <v>38</v>
      </c>
      <c r="G295" s="643">
        <v>2</v>
      </c>
      <c r="H295" s="658" t="s">
        <v>10</v>
      </c>
      <c r="I295" s="643">
        <v>0</v>
      </c>
      <c r="J295" s="101" t="s">
        <v>362</v>
      </c>
      <c r="K295" s="643">
        <v>3</v>
      </c>
      <c r="L295" s="683" t="s">
        <v>350</v>
      </c>
      <c r="M295" s="11" t="s">
        <v>268</v>
      </c>
      <c r="N295" s="101" t="s">
        <v>387</v>
      </c>
      <c r="O295" s="643">
        <v>1</v>
      </c>
      <c r="P295" s="632">
        <v>3</v>
      </c>
      <c r="Q295" s="632">
        <v>3</v>
      </c>
      <c r="R295" s="632">
        <v>3</v>
      </c>
      <c r="S295" s="675">
        <f>SUMIF('Территориальный кк'!$A:$A,'2020'!$B295,'Территориальный кк'!D:D)</f>
        <v>1.244</v>
      </c>
      <c r="T295" s="676">
        <f>SUMIF('Территориальный кк'!$A:$A,'2020'!$B295,'Территориальный кк'!E:E)</f>
        <v>2.194</v>
      </c>
      <c r="U295" s="618">
        <f>SUMIFS(Нормативы!G:G,Нормативы!$B:$B,$G295,Нормативы!$D:$D,'2020'!$I295,Нормативы!$F:$F,'2020'!$K295)*O295</f>
        <v>70600</v>
      </c>
      <c r="V295" s="618">
        <f t="shared" si="852"/>
        <v>54224.3</v>
      </c>
      <c r="W295" s="618">
        <f t="shared" si="853"/>
        <v>16375.7</v>
      </c>
      <c r="X295" s="618">
        <f>SUMIFS(Нормативы!J:J,Нормативы!$B:$B,$G295,Нормативы!$D:$D,'2020'!$I295,Нормативы!$F:$F,'2020'!$K295)</f>
        <v>8860</v>
      </c>
      <c r="Y295" s="618">
        <f>SUMIFS(Нормативы!K:K,Нормативы!$B:$B,$G295,Нормативы!$D:$D,'2020'!$I295,Нормативы!$F:$F,'2020'!$K295)</f>
        <v>0</v>
      </c>
      <c r="Z295" s="618">
        <f>SUMIFS(Нормативы!L:L,Нормативы!$B:$B,$G295,Нормативы!$D:$D,'2020'!$I295,Нормативы!$F:$F,'2020'!$K295)</f>
        <v>8110</v>
      </c>
      <c r="AA295" s="618">
        <f t="shared" si="854"/>
        <v>21610</v>
      </c>
      <c r="AB295" s="618">
        <f>SUMIFS(Нормативы!N:N,Нормативы!$B:$B,$G295,Нормативы!$D:$D,'2020'!$I295,Нормативы!$F:$F,'2020'!$K295)*O295</f>
        <v>520</v>
      </c>
      <c r="AC295" s="618">
        <f>SUMIFS(Нормативы!O:O,Нормативы!$B:$B,$G295,Нормативы!$D:$D,'2020'!$I295,Нормативы!$F:$F,'2020'!$K295)</f>
        <v>19720</v>
      </c>
      <c r="AD295" s="618">
        <f>SUMIFS(Нормативы!P:P,Нормативы!$B:$B,$G295,Нормативы!$D:$D,'2020'!$I295,Нормативы!$F:$F,'2020'!$K295)*O295</f>
        <v>400</v>
      </c>
      <c r="AE295" s="618">
        <f>SUMIFS(Нормативы!Q:Q,Нормативы!$B:$B,$G295,Нормативы!$D:$D,'2020'!$I295,Нормативы!$F:$F,'2020'!$K295)</f>
        <v>970</v>
      </c>
      <c r="AF295" s="618">
        <f>SUMIFS(Нормативы!R:R,Нормативы!$B:$B,$G295,Нормативы!$D:$D,'2020'!$I295,Нормативы!$F:$F,'2020'!$K295)</f>
        <v>2680</v>
      </c>
      <c r="AG295" s="618">
        <f>SUMIFS(Нормативы!S:S,Нормативы!$B:$B,$G295,Нормативы!$D:$D,'2020'!$I295,Нормативы!$F:$F,'2020'!$K295)</f>
        <v>5800</v>
      </c>
      <c r="AH295" s="618">
        <f>SUMIFS(Нормативы!T:T,Нормативы!$B:$B,$G295,Нормативы!$D:$D,'2020'!$I295,Нормативы!$F:$F,'2020'!$K295)</f>
        <v>540</v>
      </c>
      <c r="AI295" s="618">
        <f>SUMIFS(Нормативы!U:U,Нормативы!$B:$B,$G295,Нормативы!$D:$D,'2020'!$I295,Нормативы!$F:$F,'2020'!$K295)</f>
        <v>770</v>
      </c>
      <c r="AJ295" s="618">
        <f>SUMIFS(Нормативы!V:V,Нормативы!$B:$B,$G295,Нормативы!$D:$D,'2020'!$I295,Нормативы!$F:$F,'2020'!$K295)</f>
        <v>80</v>
      </c>
      <c r="AK295" s="618">
        <f>SUMIFS(Нормативы!W:W,Нормативы!$B:$B,$G295,Нормативы!$D:$D,'2020'!$I295,Нормативы!$F:$F,'2020'!$K295)</f>
        <v>330</v>
      </c>
      <c r="AL295" s="618">
        <f>SUMIFS(Нормативы!X:X,Нормативы!$B:$B,$G295,Нормативы!$D:$D,'2020'!$I295,Нормативы!$F:$F,'2020'!$K295)*O295</f>
        <v>16120</v>
      </c>
      <c r="AM295" s="618">
        <f t="shared" si="855"/>
        <v>12381</v>
      </c>
      <c r="AN295" s="618">
        <f t="shared" si="856"/>
        <v>3739</v>
      </c>
      <c r="AO295" s="618">
        <f>SUMIFS(Нормативы!AA:AA,Нормативы!$B:$B,$G295,Нормативы!$D:$D,'2020'!$I295,Нормативы!$F:$F,'2020'!$K295)</f>
        <v>3520</v>
      </c>
      <c r="AP295" s="619">
        <f t="shared" si="857"/>
        <v>139020</v>
      </c>
      <c r="AQ295" s="413">
        <f t="shared" si="795"/>
        <v>211800</v>
      </c>
      <c r="AR295" s="618">
        <f t="shared" si="858"/>
        <v>162672.79999999999</v>
      </c>
      <c r="AS295" s="618">
        <f t="shared" si="859"/>
        <v>49127.199999999997</v>
      </c>
      <c r="AT295" s="616">
        <f t="shared" si="796"/>
        <v>26580</v>
      </c>
      <c r="AU295" s="616">
        <f t="shared" si="797"/>
        <v>0</v>
      </c>
      <c r="AV295" s="616">
        <f t="shared" si="798"/>
        <v>24330</v>
      </c>
      <c r="AW295" s="616">
        <f t="shared" si="799"/>
        <v>64830</v>
      </c>
      <c r="AX295" s="616">
        <f t="shared" si="800"/>
        <v>1560</v>
      </c>
      <c r="AY295" s="616">
        <f t="shared" si="801"/>
        <v>59160</v>
      </c>
      <c r="AZ295" s="616">
        <f t="shared" si="802"/>
        <v>1200</v>
      </c>
      <c r="BA295" s="616">
        <f t="shared" si="803"/>
        <v>2910</v>
      </c>
      <c r="BB295" s="616">
        <f t="shared" si="804"/>
        <v>8040</v>
      </c>
      <c r="BC295" s="616">
        <f t="shared" si="805"/>
        <v>17400</v>
      </c>
      <c r="BD295" s="616">
        <f t="shared" si="806"/>
        <v>1620</v>
      </c>
      <c r="BE295" s="616">
        <f t="shared" si="807"/>
        <v>2310</v>
      </c>
      <c r="BF295" s="616">
        <f t="shared" si="808"/>
        <v>240</v>
      </c>
      <c r="BG295" s="616">
        <f t="shared" si="809"/>
        <v>990</v>
      </c>
      <c r="BH295" s="616">
        <f t="shared" si="810"/>
        <v>48360</v>
      </c>
      <c r="BI295" s="618">
        <f t="shared" si="860"/>
        <v>37142.9</v>
      </c>
      <c r="BJ295" s="618">
        <f t="shared" si="861"/>
        <v>11217.1</v>
      </c>
      <c r="BK295" s="616">
        <f t="shared" si="811"/>
        <v>10560</v>
      </c>
      <c r="BL295" s="620">
        <f t="shared" si="812"/>
        <v>417060</v>
      </c>
      <c r="BM295" s="616">
        <f t="shared" si="813"/>
        <v>263479</v>
      </c>
      <c r="BN295" s="618">
        <f t="shared" si="814"/>
        <v>202364.79999999999</v>
      </c>
      <c r="BO295" s="618">
        <f t="shared" si="815"/>
        <v>61114.2</v>
      </c>
      <c r="BP295" s="616">
        <f t="shared" si="862"/>
        <v>26580</v>
      </c>
      <c r="BQ295" s="616">
        <f t="shared" si="863"/>
        <v>0</v>
      </c>
      <c r="BR295" s="616">
        <f t="shared" si="864"/>
        <v>24330</v>
      </c>
      <c r="BS295" s="616">
        <f t="shared" si="816"/>
        <v>64830</v>
      </c>
      <c r="BT295" s="616">
        <f t="shared" si="817"/>
        <v>1560</v>
      </c>
      <c r="BU295" s="616">
        <f t="shared" si="818"/>
        <v>59160</v>
      </c>
      <c r="BV295" s="616">
        <f t="shared" si="819"/>
        <v>1200</v>
      </c>
      <c r="BW295" s="616">
        <f t="shared" si="820"/>
        <v>2910</v>
      </c>
      <c r="BX295" s="616">
        <f t="shared" si="821"/>
        <v>17640</v>
      </c>
      <c r="BY295" s="616">
        <f t="shared" si="822"/>
        <v>17400</v>
      </c>
      <c r="BZ295" s="616">
        <f t="shared" si="823"/>
        <v>1620</v>
      </c>
      <c r="CA295" s="616">
        <f t="shared" si="824"/>
        <v>2310</v>
      </c>
      <c r="CB295" s="616">
        <f t="shared" si="825"/>
        <v>240</v>
      </c>
      <c r="CC295" s="616">
        <f t="shared" si="826"/>
        <v>990</v>
      </c>
      <c r="CD295" s="616">
        <f t="shared" si="827"/>
        <v>60160</v>
      </c>
      <c r="CE295" s="618">
        <f t="shared" si="865"/>
        <v>46205.8</v>
      </c>
      <c r="CF295" s="618">
        <f t="shared" si="866"/>
        <v>13954.2</v>
      </c>
      <c r="CG295" s="616">
        <f t="shared" si="828"/>
        <v>10560</v>
      </c>
      <c r="CH295" s="621">
        <f t="shared" si="829"/>
        <v>490139</v>
      </c>
      <c r="CI295" s="88">
        <f t="shared" si="830"/>
        <v>87826.333299999998</v>
      </c>
      <c r="CJ295" s="90">
        <f t="shared" si="831"/>
        <v>67454.933300000004</v>
      </c>
      <c r="CK295" s="90">
        <f t="shared" si="832"/>
        <v>20371.400000000001</v>
      </c>
      <c r="CL295" s="88">
        <f t="shared" si="833"/>
        <v>8860</v>
      </c>
      <c r="CM295" s="88">
        <f t="shared" si="834"/>
        <v>0</v>
      </c>
      <c r="CN295" s="88">
        <f t="shared" si="835"/>
        <v>8110</v>
      </c>
      <c r="CO295" s="88">
        <f t="shared" si="836"/>
        <v>21610</v>
      </c>
      <c r="CP295" s="88">
        <f t="shared" si="837"/>
        <v>520</v>
      </c>
      <c r="CQ295" s="88">
        <f t="shared" si="838"/>
        <v>19720</v>
      </c>
      <c r="CR295" s="88">
        <f t="shared" si="839"/>
        <v>400</v>
      </c>
      <c r="CS295" s="88">
        <f t="shared" si="840"/>
        <v>970</v>
      </c>
      <c r="CT295" s="88">
        <f t="shared" si="841"/>
        <v>5880</v>
      </c>
      <c r="CU295" s="88">
        <f t="shared" si="842"/>
        <v>5800</v>
      </c>
      <c r="CV295" s="88">
        <f t="shared" si="843"/>
        <v>540</v>
      </c>
      <c r="CW295" s="88">
        <f t="shared" si="844"/>
        <v>770</v>
      </c>
      <c r="CX295" s="88">
        <f t="shared" si="845"/>
        <v>80</v>
      </c>
      <c r="CY295" s="88">
        <f t="shared" si="846"/>
        <v>330</v>
      </c>
      <c r="CZ295" s="88">
        <f t="shared" si="847"/>
        <v>20053.333299999998</v>
      </c>
      <c r="DA295" s="90">
        <f t="shared" si="848"/>
        <v>15401.933300000001</v>
      </c>
      <c r="DB295" s="90">
        <f t="shared" si="849"/>
        <v>4651.3999999999996</v>
      </c>
      <c r="DC295" s="88">
        <f t="shared" si="850"/>
        <v>3520</v>
      </c>
      <c r="DD295" s="88">
        <f t="shared" si="851"/>
        <v>163379.6667</v>
      </c>
      <c r="AUV295" s="699">
        <f t="shared" si="758"/>
        <v>87826.33</v>
      </c>
      <c r="AUW295" s="699">
        <f t="shared" si="759"/>
        <v>67454.94</v>
      </c>
      <c r="AUX295" s="699">
        <f t="shared" si="760"/>
        <v>20371.39</v>
      </c>
      <c r="AUY295" s="699">
        <f t="shared" si="761"/>
        <v>8860</v>
      </c>
      <c r="AUZ295" s="699">
        <f t="shared" si="778"/>
        <v>0</v>
      </c>
      <c r="AVA295" s="699">
        <f t="shared" si="778"/>
        <v>0.34</v>
      </c>
      <c r="AVB295" s="699">
        <f t="shared" si="762"/>
        <v>21610</v>
      </c>
      <c r="AVC295" s="699">
        <f t="shared" si="763"/>
        <v>520</v>
      </c>
      <c r="AVD295" s="699">
        <f t="shared" si="764"/>
        <v>19720</v>
      </c>
      <c r="AVE295" s="699">
        <f t="shared" si="765"/>
        <v>400</v>
      </c>
      <c r="AVF295" s="699">
        <f t="shared" si="766"/>
        <v>970</v>
      </c>
      <c r="AVG295" s="699">
        <f t="shared" si="767"/>
        <v>5880</v>
      </c>
      <c r="AVH295" s="699">
        <f t="shared" si="768"/>
        <v>5800</v>
      </c>
      <c r="AVI295" s="699">
        <f t="shared" si="769"/>
        <v>540</v>
      </c>
      <c r="AVJ295" s="699">
        <f t="shared" si="770"/>
        <v>770</v>
      </c>
      <c r="AVK295" s="699">
        <f t="shared" si="771"/>
        <v>80</v>
      </c>
      <c r="AVL295" s="699">
        <f t="shared" si="772"/>
        <v>330</v>
      </c>
      <c r="AVM295" s="699">
        <f t="shared" si="773"/>
        <v>20053.330000000002</v>
      </c>
      <c r="AVN295" s="699">
        <f t="shared" si="774"/>
        <v>15401.94</v>
      </c>
      <c r="AVO295" s="699">
        <f t="shared" si="775"/>
        <v>4651.3900000000003</v>
      </c>
      <c r="AVP295" s="699">
        <f t="shared" si="776"/>
        <v>3520</v>
      </c>
      <c r="AVQ295" s="699">
        <f t="shared" si="777"/>
        <v>163379.67000000001</v>
      </c>
    </row>
    <row r="296" spans="1:108 1244:1265" ht="30" customHeight="1" x14ac:dyDescent="0.25">
      <c r="A296" s="643">
        <v>1</v>
      </c>
      <c r="B296" s="643">
        <v>2</v>
      </c>
      <c r="C296" s="664" t="s">
        <v>16</v>
      </c>
      <c r="D296" s="2"/>
      <c r="E296" s="101" t="s">
        <v>345</v>
      </c>
      <c r="F296" s="643" t="s">
        <v>38</v>
      </c>
      <c r="G296" s="643">
        <v>2</v>
      </c>
      <c r="H296" s="658" t="s">
        <v>8</v>
      </c>
      <c r="I296" s="643">
        <v>3</v>
      </c>
      <c r="J296" s="101" t="s">
        <v>362</v>
      </c>
      <c r="K296" s="643">
        <v>3</v>
      </c>
      <c r="L296" s="683" t="s">
        <v>350</v>
      </c>
      <c r="M296" s="11" t="s">
        <v>297</v>
      </c>
      <c r="N296" s="101" t="s">
        <v>387</v>
      </c>
      <c r="O296" s="643">
        <v>1</v>
      </c>
      <c r="P296" s="632">
        <v>3</v>
      </c>
      <c r="Q296" s="632">
        <v>3</v>
      </c>
      <c r="R296" s="632">
        <v>3</v>
      </c>
      <c r="S296" s="675">
        <f>SUMIF('Территориальный кк'!$A:$A,'2020'!$B296,'Территориальный кк'!D:D)</f>
        <v>1.244</v>
      </c>
      <c r="T296" s="676">
        <f>SUMIF('Территориальный кк'!$A:$A,'2020'!$B296,'Территориальный кк'!E:E)</f>
        <v>2.194</v>
      </c>
      <c r="U296" s="618">
        <f>SUMIFS(Нормативы!G:G,Нормативы!$B:$B,$G296,Нормативы!$D:$D,'2020'!$I296,Нормативы!$F:$F,'2020'!$K296)*O296</f>
        <v>12944</v>
      </c>
      <c r="V296" s="618">
        <f t="shared" si="852"/>
        <v>9941.6</v>
      </c>
      <c r="W296" s="618">
        <f t="shared" si="853"/>
        <v>3002.4</v>
      </c>
      <c r="X296" s="618">
        <f>SUMIFS(Нормативы!J:J,Нормативы!$B:$B,$G296,Нормативы!$D:$D,'2020'!$I296,Нормативы!$F:$F,'2020'!$K296)</f>
        <v>486</v>
      </c>
      <c r="Y296" s="618">
        <f>SUMIFS(Нормативы!K:K,Нормативы!$B:$B,$G296,Нормативы!$D:$D,'2020'!$I296,Нормативы!$F:$F,'2020'!$K296)</f>
        <v>97</v>
      </c>
      <c r="Z296" s="618">
        <f>SUMIFS(Нормативы!L:L,Нормативы!$B:$B,$G296,Нормативы!$D:$D,'2020'!$I296,Нормативы!$F:$F,'2020'!$K296)</f>
        <v>348</v>
      </c>
      <c r="AA296" s="618">
        <f t="shared" si="854"/>
        <v>2031</v>
      </c>
      <c r="AB296" s="618">
        <f>SUMIFS(Нормативы!N:N,Нормативы!$B:$B,$G296,Нормативы!$D:$D,'2020'!$I296,Нормативы!$F:$F,'2020'!$K296)*O296</f>
        <v>52</v>
      </c>
      <c r="AC296" s="618">
        <f>SUMIFS(Нормативы!O:O,Нормативы!$B:$B,$G296,Нормативы!$D:$D,'2020'!$I296,Нормативы!$F:$F,'2020'!$K296)</f>
        <v>1728</v>
      </c>
      <c r="AD296" s="618">
        <f>SUMIFS(Нормативы!P:P,Нормативы!$B:$B,$G296,Нормативы!$D:$D,'2020'!$I296,Нормативы!$F:$F,'2020'!$K296)*O296</f>
        <v>73</v>
      </c>
      <c r="AE296" s="618">
        <f>SUMIFS(Нормативы!Q:Q,Нормативы!$B:$B,$G296,Нормативы!$D:$D,'2020'!$I296,Нормативы!$F:$F,'2020'!$K296)</f>
        <v>178</v>
      </c>
      <c r="AF296" s="618">
        <f>SUMIFS(Нормативы!R:R,Нормативы!$B:$B,$G296,Нормативы!$D:$D,'2020'!$I296,Нормативы!$F:$F,'2020'!$K296)</f>
        <v>275</v>
      </c>
      <c r="AG296" s="618">
        <f>SUMIFS(Нормативы!S:S,Нормативы!$B:$B,$G296,Нормативы!$D:$D,'2020'!$I296,Нормативы!$F:$F,'2020'!$K296)</f>
        <v>580</v>
      </c>
      <c r="AH296" s="618">
        <f>SUMIFS(Нормативы!T:T,Нормативы!$B:$B,$G296,Нормативы!$D:$D,'2020'!$I296,Нормативы!$F:$F,'2020'!$K296)</f>
        <v>54</v>
      </c>
      <c r="AI296" s="618">
        <f>SUMIFS(Нормативы!U:U,Нормативы!$B:$B,$G296,Нормативы!$D:$D,'2020'!$I296,Нормативы!$F:$F,'2020'!$K296)</f>
        <v>77</v>
      </c>
      <c r="AJ296" s="618">
        <f>SUMIFS(Нормативы!V:V,Нормативы!$B:$B,$G296,Нормативы!$D:$D,'2020'!$I296,Нормативы!$F:$F,'2020'!$K296)</f>
        <v>8</v>
      </c>
      <c r="AK296" s="618">
        <f>SUMIFS(Нормативы!W:W,Нормативы!$B:$B,$G296,Нормативы!$D:$D,'2020'!$I296,Нормативы!$F:$F,'2020'!$K296)</f>
        <v>39</v>
      </c>
      <c r="AL296" s="618">
        <f>SUMIFS(Нормативы!X:X,Нормативы!$B:$B,$G296,Нормативы!$D:$D,'2020'!$I296,Нормативы!$F:$F,'2020'!$K296)*O296</f>
        <v>1612</v>
      </c>
      <c r="AM296" s="618">
        <f t="shared" si="855"/>
        <v>1238.0999999999999</v>
      </c>
      <c r="AN296" s="618">
        <f t="shared" si="856"/>
        <v>373.9</v>
      </c>
      <c r="AO296" s="618">
        <f>SUMIFS(Нормативы!AA:AA,Нормативы!$B:$B,$G296,Нормативы!$D:$D,'2020'!$I296,Нормативы!$F:$F,'2020'!$K296)</f>
        <v>0</v>
      </c>
      <c r="AP296" s="619">
        <f t="shared" si="857"/>
        <v>18454</v>
      </c>
      <c r="AQ296" s="413">
        <f t="shared" si="795"/>
        <v>38832</v>
      </c>
      <c r="AR296" s="618">
        <f t="shared" si="858"/>
        <v>29824.9</v>
      </c>
      <c r="AS296" s="618">
        <f t="shared" si="859"/>
        <v>9007.1</v>
      </c>
      <c r="AT296" s="616">
        <f t="shared" si="796"/>
        <v>1458</v>
      </c>
      <c r="AU296" s="616">
        <f t="shared" si="797"/>
        <v>291</v>
      </c>
      <c r="AV296" s="616">
        <f t="shared" si="798"/>
        <v>1044</v>
      </c>
      <c r="AW296" s="616">
        <f t="shared" si="799"/>
        <v>6093</v>
      </c>
      <c r="AX296" s="616">
        <f t="shared" si="800"/>
        <v>156</v>
      </c>
      <c r="AY296" s="616">
        <f t="shared" si="801"/>
        <v>5184</v>
      </c>
      <c r="AZ296" s="616">
        <f t="shared" si="802"/>
        <v>219</v>
      </c>
      <c r="BA296" s="616">
        <f t="shared" si="803"/>
        <v>534</v>
      </c>
      <c r="BB296" s="616">
        <f t="shared" si="804"/>
        <v>825</v>
      </c>
      <c r="BC296" s="616">
        <f t="shared" si="805"/>
        <v>1740</v>
      </c>
      <c r="BD296" s="616">
        <f t="shared" si="806"/>
        <v>162</v>
      </c>
      <c r="BE296" s="616">
        <f t="shared" si="807"/>
        <v>231</v>
      </c>
      <c r="BF296" s="616">
        <f t="shared" si="808"/>
        <v>24</v>
      </c>
      <c r="BG296" s="616">
        <f t="shared" si="809"/>
        <v>117</v>
      </c>
      <c r="BH296" s="616">
        <f t="shared" si="810"/>
        <v>4836</v>
      </c>
      <c r="BI296" s="618">
        <f t="shared" si="860"/>
        <v>3714.3</v>
      </c>
      <c r="BJ296" s="618">
        <f t="shared" si="861"/>
        <v>1121.7</v>
      </c>
      <c r="BK296" s="616">
        <f t="shared" si="811"/>
        <v>0</v>
      </c>
      <c r="BL296" s="620">
        <f t="shared" si="812"/>
        <v>55362</v>
      </c>
      <c r="BM296" s="616">
        <f t="shared" si="813"/>
        <v>48307</v>
      </c>
      <c r="BN296" s="618">
        <f t="shared" si="814"/>
        <v>37102.199999999997</v>
      </c>
      <c r="BO296" s="618">
        <f t="shared" si="815"/>
        <v>11204.8</v>
      </c>
      <c r="BP296" s="616">
        <f t="shared" si="862"/>
        <v>1458</v>
      </c>
      <c r="BQ296" s="616">
        <f t="shared" si="863"/>
        <v>291</v>
      </c>
      <c r="BR296" s="616">
        <f t="shared" si="864"/>
        <v>1044</v>
      </c>
      <c r="BS296" s="616">
        <f t="shared" si="816"/>
        <v>6093</v>
      </c>
      <c r="BT296" s="616">
        <f t="shared" si="817"/>
        <v>156</v>
      </c>
      <c r="BU296" s="616">
        <f t="shared" si="818"/>
        <v>5184</v>
      </c>
      <c r="BV296" s="616">
        <f t="shared" si="819"/>
        <v>219</v>
      </c>
      <c r="BW296" s="616">
        <f t="shared" si="820"/>
        <v>534</v>
      </c>
      <c r="BX296" s="616">
        <f t="shared" si="821"/>
        <v>1810</v>
      </c>
      <c r="BY296" s="616">
        <f t="shared" si="822"/>
        <v>1740</v>
      </c>
      <c r="BZ296" s="616">
        <f t="shared" si="823"/>
        <v>162</v>
      </c>
      <c r="CA296" s="616">
        <f t="shared" si="824"/>
        <v>231</v>
      </c>
      <c r="CB296" s="616">
        <f t="shared" si="825"/>
        <v>24</v>
      </c>
      <c r="CC296" s="616">
        <f t="shared" si="826"/>
        <v>117</v>
      </c>
      <c r="CD296" s="616">
        <f t="shared" si="827"/>
        <v>6016</v>
      </c>
      <c r="CE296" s="618">
        <f t="shared" si="865"/>
        <v>4620.6000000000004</v>
      </c>
      <c r="CF296" s="618">
        <f t="shared" si="866"/>
        <v>1395.4</v>
      </c>
      <c r="CG296" s="616">
        <f t="shared" si="828"/>
        <v>0</v>
      </c>
      <c r="CH296" s="621">
        <f t="shared" si="829"/>
        <v>67002</v>
      </c>
      <c r="CI296" s="88">
        <f t="shared" si="830"/>
        <v>16102.3333</v>
      </c>
      <c r="CJ296" s="90">
        <f t="shared" si="831"/>
        <v>12367.4</v>
      </c>
      <c r="CK296" s="90">
        <f t="shared" si="832"/>
        <v>3734.9333000000001</v>
      </c>
      <c r="CL296" s="88">
        <f t="shared" si="833"/>
        <v>486</v>
      </c>
      <c r="CM296" s="88">
        <f t="shared" si="834"/>
        <v>97</v>
      </c>
      <c r="CN296" s="88">
        <f t="shared" si="835"/>
        <v>348</v>
      </c>
      <c r="CO296" s="88">
        <f t="shared" si="836"/>
        <v>2031</v>
      </c>
      <c r="CP296" s="88">
        <f t="shared" si="837"/>
        <v>52</v>
      </c>
      <c r="CQ296" s="88">
        <f t="shared" si="838"/>
        <v>1728</v>
      </c>
      <c r="CR296" s="88">
        <f t="shared" si="839"/>
        <v>73</v>
      </c>
      <c r="CS296" s="88">
        <f t="shared" si="840"/>
        <v>178</v>
      </c>
      <c r="CT296" s="88">
        <f t="shared" si="841"/>
        <v>603.33330000000001</v>
      </c>
      <c r="CU296" s="88">
        <f t="shared" si="842"/>
        <v>580</v>
      </c>
      <c r="CV296" s="88">
        <f t="shared" si="843"/>
        <v>54</v>
      </c>
      <c r="CW296" s="88">
        <f t="shared" si="844"/>
        <v>77</v>
      </c>
      <c r="CX296" s="88">
        <f t="shared" si="845"/>
        <v>8</v>
      </c>
      <c r="CY296" s="88">
        <f t="shared" si="846"/>
        <v>39</v>
      </c>
      <c r="CZ296" s="88">
        <f t="shared" si="847"/>
        <v>2005.3333</v>
      </c>
      <c r="DA296" s="90">
        <f t="shared" si="848"/>
        <v>1540.2</v>
      </c>
      <c r="DB296" s="90">
        <f t="shared" si="849"/>
        <v>465.13330000000002</v>
      </c>
      <c r="DC296" s="88">
        <f t="shared" si="850"/>
        <v>0</v>
      </c>
      <c r="DD296" s="88">
        <f t="shared" si="851"/>
        <v>22334</v>
      </c>
      <c r="AUV296" s="699">
        <f t="shared" si="758"/>
        <v>16102.33</v>
      </c>
      <c r="AUW296" s="699">
        <f t="shared" si="759"/>
        <v>12367.38</v>
      </c>
      <c r="AUX296" s="699">
        <f t="shared" si="760"/>
        <v>3734.95</v>
      </c>
      <c r="AUY296" s="699">
        <f t="shared" si="761"/>
        <v>486</v>
      </c>
      <c r="AUZ296" s="699">
        <f t="shared" si="778"/>
        <v>132.63</v>
      </c>
      <c r="AVA296" s="699">
        <f t="shared" si="778"/>
        <v>0.08</v>
      </c>
      <c r="AVB296" s="699">
        <f t="shared" si="762"/>
        <v>2031</v>
      </c>
      <c r="AVC296" s="699">
        <f t="shared" si="763"/>
        <v>52</v>
      </c>
      <c r="AVD296" s="699">
        <f t="shared" si="764"/>
        <v>1728</v>
      </c>
      <c r="AVE296" s="699">
        <f t="shared" si="765"/>
        <v>73</v>
      </c>
      <c r="AVF296" s="699">
        <f t="shared" si="766"/>
        <v>178</v>
      </c>
      <c r="AVG296" s="699">
        <f t="shared" si="767"/>
        <v>603.33000000000004</v>
      </c>
      <c r="AVH296" s="699">
        <f t="shared" si="768"/>
        <v>580</v>
      </c>
      <c r="AVI296" s="699">
        <f t="shared" si="769"/>
        <v>54</v>
      </c>
      <c r="AVJ296" s="699">
        <f t="shared" si="770"/>
        <v>77</v>
      </c>
      <c r="AVK296" s="699">
        <f t="shared" si="771"/>
        <v>8</v>
      </c>
      <c r="AVL296" s="699">
        <f t="shared" si="772"/>
        <v>39</v>
      </c>
      <c r="AVM296" s="699">
        <f t="shared" si="773"/>
        <v>2005.33</v>
      </c>
      <c r="AVN296" s="699">
        <f t="shared" si="774"/>
        <v>1540.19</v>
      </c>
      <c r="AVO296" s="699">
        <f t="shared" si="775"/>
        <v>465.14</v>
      </c>
      <c r="AVP296" s="699">
        <f t="shared" si="776"/>
        <v>0</v>
      </c>
      <c r="AVQ296" s="699">
        <f t="shared" si="777"/>
        <v>22334</v>
      </c>
    </row>
    <row r="297" spans="1:108 1244:1265" ht="30" customHeight="1" x14ac:dyDescent="0.25">
      <c r="A297" s="643">
        <v>1</v>
      </c>
      <c r="B297" s="643">
        <v>2</v>
      </c>
      <c r="C297" s="664" t="s">
        <v>16</v>
      </c>
      <c r="D297" s="2"/>
      <c r="E297" s="101" t="s">
        <v>345</v>
      </c>
      <c r="F297" s="643" t="s">
        <v>38</v>
      </c>
      <c r="G297" s="643">
        <v>2</v>
      </c>
      <c r="H297" s="658" t="s">
        <v>10</v>
      </c>
      <c r="I297" s="643">
        <v>0</v>
      </c>
      <c r="J297" s="101" t="s">
        <v>363</v>
      </c>
      <c r="K297" s="643">
        <v>3</v>
      </c>
      <c r="L297" s="683" t="s">
        <v>350</v>
      </c>
      <c r="M297" s="11" t="s">
        <v>269</v>
      </c>
      <c r="N297" s="101" t="s">
        <v>387</v>
      </c>
      <c r="O297" s="643">
        <v>1</v>
      </c>
      <c r="P297" s="632">
        <v>20</v>
      </c>
      <c r="Q297" s="632">
        <v>20</v>
      </c>
      <c r="R297" s="632">
        <v>20</v>
      </c>
      <c r="S297" s="675">
        <f>SUMIF('Территориальный кк'!$A:$A,'2020'!$B297,'Территориальный кк'!D:D)</f>
        <v>1.244</v>
      </c>
      <c r="T297" s="676">
        <f>SUMIF('Территориальный кк'!$A:$A,'2020'!$B297,'Территориальный кк'!E:E)</f>
        <v>2.194</v>
      </c>
      <c r="U297" s="618">
        <f>SUMIFS(Нормативы!G:G,Нормативы!$B:$B,$G297,Нормативы!$D:$D,'2020'!$I297,Нормативы!$F:$F,'2020'!$K297)*O297</f>
        <v>70600</v>
      </c>
      <c r="V297" s="618">
        <f t="shared" si="852"/>
        <v>54224.3</v>
      </c>
      <c r="W297" s="618">
        <f t="shared" si="853"/>
        <v>16375.7</v>
      </c>
      <c r="X297" s="618">
        <f>SUMIFS(Нормативы!J:J,Нормативы!$B:$B,$G297,Нормативы!$D:$D,'2020'!$I297,Нормативы!$F:$F,'2020'!$K297)</f>
        <v>8860</v>
      </c>
      <c r="Y297" s="618">
        <f>SUMIFS(Нормативы!K:K,Нормативы!$B:$B,$G297,Нормативы!$D:$D,'2020'!$I297,Нормативы!$F:$F,'2020'!$K297)</f>
        <v>0</v>
      </c>
      <c r="Z297" s="618">
        <f>SUMIFS(Нормативы!L:L,Нормативы!$B:$B,$G297,Нормативы!$D:$D,'2020'!$I297,Нормативы!$F:$F,'2020'!$K297)</f>
        <v>8110</v>
      </c>
      <c r="AA297" s="618">
        <f t="shared" si="854"/>
        <v>21610</v>
      </c>
      <c r="AB297" s="618">
        <f>SUMIFS(Нормативы!N:N,Нормативы!$B:$B,$G297,Нормативы!$D:$D,'2020'!$I297,Нормативы!$F:$F,'2020'!$K297)*O297</f>
        <v>520</v>
      </c>
      <c r="AC297" s="618">
        <f>SUMIFS(Нормативы!O:O,Нормативы!$B:$B,$G297,Нормативы!$D:$D,'2020'!$I297,Нормативы!$F:$F,'2020'!$K297)</f>
        <v>19720</v>
      </c>
      <c r="AD297" s="618">
        <f>SUMIFS(Нормативы!P:P,Нормативы!$B:$B,$G297,Нормативы!$D:$D,'2020'!$I297,Нормативы!$F:$F,'2020'!$K297)*O297</f>
        <v>400</v>
      </c>
      <c r="AE297" s="618">
        <f>SUMIFS(Нормативы!Q:Q,Нормативы!$B:$B,$G297,Нормативы!$D:$D,'2020'!$I297,Нормативы!$F:$F,'2020'!$K297)</f>
        <v>970</v>
      </c>
      <c r="AF297" s="618">
        <f>SUMIFS(Нормативы!R:R,Нормативы!$B:$B,$G297,Нормативы!$D:$D,'2020'!$I297,Нормативы!$F:$F,'2020'!$K297)</f>
        <v>2680</v>
      </c>
      <c r="AG297" s="618">
        <f>SUMIFS(Нормативы!S:S,Нормативы!$B:$B,$G297,Нормативы!$D:$D,'2020'!$I297,Нормативы!$F:$F,'2020'!$K297)</f>
        <v>5800</v>
      </c>
      <c r="AH297" s="618">
        <f>SUMIFS(Нормативы!T:T,Нормативы!$B:$B,$G297,Нормативы!$D:$D,'2020'!$I297,Нормативы!$F:$F,'2020'!$K297)</f>
        <v>540</v>
      </c>
      <c r="AI297" s="618">
        <f>SUMIFS(Нормативы!U:U,Нормативы!$B:$B,$G297,Нормативы!$D:$D,'2020'!$I297,Нормативы!$F:$F,'2020'!$K297)</f>
        <v>770</v>
      </c>
      <c r="AJ297" s="618">
        <f>SUMIFS(Нормативы!V:V,Нормативы!$B:$B,$G297,Нормативы!$D:$D,'2020'!$I297,Нормативы!$F:$F,'2020'!$K297)</f>
        <v>80</v>
      </c>
      <c r="AK297" s="618">
        <f>SUMIFS(Нормативы!W:W,Нормативы!$B:$B,$G297,Нормативы!$D:$D,'2020'!$I297,Нормативы!$F:$F,'2020'!$K297)</f>
        <v>330</v>
      </c>
      <c r="AL297" s="618">
        <f>SUMIFS(Нормативы!X:X,Нормативы!$B:$B,$G297,Нормативы!$D:$D,'2020'!$I297,Нормативы!$F:$F,'2020'!$K297)*O297</f>
        <v>16120</v>
      </c>
      <c r="AM297" s="618">
        <f t="shared" si="855"/>
        <v>12381</v>
      </c>
      <c r="AN297" s="618">
        <f t="shared" si="856"/>
        <v>3739</v>
      </c>
      <c r="AO297" s="618">
        <f>SUMIFS(Нормативы!AA:AA,Нормативы!$B:$B,$G297,Нормативы!$D:$D,'2020'!$I297,Нормативы!$F:$F,'2020'!$K297)</f>
        <v>3520</v>
      </c>
      <c r="AP297" s="619">
        <f t="shared" si="857"/>
        <v>139020</v>
      </c>
      <c r="AQ297" s="413">
        <f t="shared" si="795"/>
        <v>1412000</v>
      </c>
      <c r="AR297" s="618">
        <f t="shared" si="858"/>
        <v>1084485.3999999999</v>
      </c>
      <c r="AS297" s="618">
        <f t="shared" si="859"/>
        <v>327514.59999999998</v>
      </c>
      <c r="AT297" s="616">
        <f t="shared" si="796"/>
        <v>177200</v>
      </c>
      <c r="AU297" s="616">
        <f t="shared" si="797"/>
        <v>0</v>
      </c>
      <c r="AV297" s="616">
        <f t="shared" si="798"/>
        <v>162200</v>
      </c>
      <c r="AW297" s="616">
        <f t="shared" si="799"/>
        <v>432200</v>
      </c>
      <c r="AX297" s="616">
        <f t="shared" si="800"/>
        <v>10400</v>
      </c>
      <c r="AY297" s="616">
        <f t="shared" si="801"/>
        <v>394400</v>
      </c>
      <c r="AZ297" s="616">
        <f t="shared" si="802"/>
        <v>8000</v>
      </c>
      <c r="BA297" s="616">
        <f t="shared" si="803"/>
        <v>19400</v>
      </c>
      <c r="BB297" s="616">
        <f t="shared" si="804"/>
        <v>53600</v>
      </c>
      <c r="BC297" s="616">
        <f t="shared" si="805"/>
        <v>116000</v>
      </c>
      <c r="BD297" s="616">
        <f t="shared" si="806"/>
        <v>10800</v>
      </c>
      <c r="BE297" s="616">
        <f t="shared" si="807"/>
        <v>15400</v>
      </c>
      <c r="BF297" s="616">
        <f t="shared" si="808"/>
        <v>1600</v>
      </c>
      <c r="BG297" s="616">
        <f t="shared" si="809"/>
        <v>6600</v>
      </c>
      <c r="BH297" s="616">
        <f t="shared" si="810"/>
        <v>322400</v>
      </c>
      <c r="BI297" s="618">
        <f t="shared" si="860"/>
        <v>247619</v>
      </c>
      <c r="BJ297" s="618">
        <f t="shared" si="861"/>
        <v>74781</v>
      </c>
      <c r="BK297" s="616">
        <f t="shared" si="811"/>
        <v>70400</v>
      </c>
      <c r="BL297" s="620">
        <f t="shared" si="812"/>
        <v>2780400</v>
      </c>
      <c r="BM297" s="616">
        <f t="shared" si="813"/>
        <v>1756528</v>
      </c>
      <c r="BN297" s="618">
        <f t="shared" si="814"/>
        <v>1349099.8</v>
      </c>
      <c r="BO297" s="618">
        <f t="shared" si="815"/>
        <v>407428.2</v>
      </c>
      <c r="BP297" s="616">
        <f t="shared" si="862"/>
        <v>177200</v>
      </c>
      <c r="BQ297" s="616">
        <f t="shared" si="863"/>
        <v>0</v>
      </c>
      <c r="BR297" s="616">
        <f t="shared" si="864"/>
        <v>162200</v>
      </c>
      <c r="BS297" s="616">
        <f t="shared" si="816"/>
        <v>432200</v>
      </c>
      <c r="BT297" s="616">
        <f t="shared" si="817"/>
        <v>10400</v>
      </c>
      <c r="BU297" s="616">
        <f t="shared" si="818"/>
        <v>394400</v>
      </c>
      <c r="BV297" s="616">
        <f t="shared" si="819"/>
        <v>8000</v>
      </c>
      <c r="BW297" s="616">
        <f t="shared" si="820"/>
        <v>19400</v>
      </c>
      <c r="BX297" s="616">
        <f t="shared" si="821"/>
        <v>117598</v>
      </c>
      <c r="BY297" s="616">
        <f t="shared" si="822"/>
        <v>116000</v>
      </c>
      <c r="BZ297" s="616">
        <f t="shared" si="823"/>
        <v>10800</v>
      </c>
      <c r="CA297" s="616">
        <f t="shared" si="824"/>
        <v>15400</v>
      </c>
      <c r="CB297" s="616">
        <f t="shared" si="825"/>
        <v>1600</v>
      </c>
      <c r="CC297" s="616">
        <f t="shared" si="826"/>
        <v>6600</v>
      </c>
      <c r="CD297" s="616">
        <f t="shared" si="827"/>
        <v>401066</v>
      </c>
      <c r="CE297" s="618">
        <f t="shared" si="865"/>
        <v>308038.40000000002</v>
      </c>
      <c r="CF297" s="618">
        <f t="shared" si="866"/>
        <v>93027.6</v>
      </c>
      <c r="CG297" s="616">
        <f t="shared" si="828"/>
        <v>70400</v>
      </c>
      <c r="CH297" s="621">
        <f t="shared" si="829"/>
        <v>3267592</v>
      </c>
      <c r="CI297" s="88">
        <f t="shared" si="830"/>
        <v>87826.4</v>
      </c>
      <c r="CJ297" s="90">
        <f t="shared" si="831"/>
        <v>67454.990000000005</v>
      </c>
      <c r="CK297" s="90">
        <f t="shared" si="832"/>
        <v>20371.41</v>
      </c>
      <c r="CL297" s="88">
        <f t="shared" si="833"/>
        <v>8860</v>
      </c>
      <c r="CM297" s="88">
        <f t="shared" si="834"/>
        <v>0</v>
      </c>
      <c r="CN297" s="88">
        <f t="shared" si="835"/>
        <v>8110</v>
      </c>
      <c r="CO297" s="88">
        <f t="shared" si="836"/>
        <v>21610</v>
      </c>
      <c r="CP297" s="88">
        <f t="shared" si="837"/>
        <v>520</v>
      </c>
      <c r="CQ297" s="88">
        <f t="shared" si="838"/>
        <v>19720</v>
      </c>
      <c r="CR297" s="88">
        <f t="shared" si="839"/>
        <v>400</v>
      </c>
      <c r="CS297" s="88">
        <f t="shared" si="840"/>
        <v>970</v>
      </c>
      <c r="CT297" s="88">
        <f t="shared" si="841"/>
        <v>5879.9</v>
      </c>
      <c r="CU297" s="88">
        <f t="shared" si="842"/>
        <v>5800</v>
      </c>
      <c r="CV297" s="88">
        <f t="shared" si="843"/>
        <v>540</v>
      </c>
      <c r="CW297" s="88">
        <f t="shared" si="844"/>
        <v>770</v>
      </c>
      <c r="CX297" s="88">
        <f t="shared" si="845"/>
        <v>80</v>
      </c>
      <c r="CY297" s="88">
        <f t="shared" si="846"/>
        <v>330</v>
      </c>
      <c r="CZ297" s="88">
        <f t="shared" si="847"/>
        <v>20053.3</v>
      </c>
      <c r="DA297" s="90">
        <f t="shared" si="848"/>
        <v>15401.92</v>
      </c>
      <c r="DB297" s="90">
        <f t="shared" si="849"/>
        <v>4651.38</v>
      </c>
      <c r="DC297" s="88">
        <f t="shared" si="850"/>
        <v>3520</v>
      </c>
      <c r="DD297" s="88">
        <f t="shared" si="851"/>
        <v>163379.6</v>
      </c>
      <c r="AUV297" s="699">
        <f t="shared" si="758"/>
        <v>87826.4</v>
      </c>
      <c r="AUW297" s="699">
        <f t="shared" si="759"/>
        <v>67454.990000000005</v>
      </c>
      <c r="AUX297" s="699">
        <f t="shared" si="760"/>
        <v>20371.41</v>
      </c>
      <c r="AUY297" s="699">
        <f t="shared" si="761"/>
        <v>8860</v>
      </c>
      <c r="AUZ297" s="699">
        <f t="shared" si="778"/>
        <v>0</v>
      </c>
      <c r="AVA297" s="699">
        <f t="shared" si="778"/>
        <v>2.2999999999999998</v>
      </c>
      <c r="AVB297" s="699">
        <f t="shared" si="762"/>
        <v>21610</v>
      </c>
      <c r="AVC297" s="699">
        <f t="shared" si="763"/>
        <v>520</v>
      </c>
      <c r="AVD297" s="699">
        <f t="shared" si="764"/>
        <v>19720</v>
      </c>
      <c r="AVE297" s="699">
        <f t="shared" si="765"/>
        <v>400</v>
      </c>
      <c r="AVF297" s="699">
        <f t="shared" si="766"/>
        <v>970</v>
      </c>
      <c r="AVG297" s="699">
        <f t="shared" si="767"/>
        <v>5879.9</v>
      </c>
      <c r="AVH297" s="699">
        <f t="shared" si="768"/>
        <v>5800</v>
      </c>
      <c r="AVI297" s="699">
        <f t="shared" si="769"/>
        <v>540</v>
      </c>
      <c r="AVJ297" s="699">
        <f t="shared" si="770"/>
        <v>770</v>
      </c>
      <c r="AVK297" s="699">
        <f t="shared" si="771"/>
        <v>80</v>
      </c>
      <c r="AVL297" s="699">
        <f t="shared" si="772"/>
        <v>330</v>
      </c>
      <c r="AVM297" s="699">
        <f t="shared" si="773"/>
        <v>20053.3</v>
      </c>
      <c r="AVN297" s="699">
        <f t="shared" si="774"/>
        <v>15401.92</v>
      </c>
      <c r="AVO297" s="699">
        <f t="shared" si="775"/>
        <v>4651.38</v>
      </c>
      <c r="AVP297" s="699">
        <f t="shared" si="776"/>
        <v>3520</v>
      </c>
      <c r="AVQ297" s="699">
        <f t="shared" si="777"/>
        <v>163379.6</v>
      </c>
    </row>
    <row r="298" spans="1:108 1244:1265" ht="30" customHeight="1" x14ac:dyDescent="0.25">
      <c r="A298" s="643">
        <v>1</v>
      </c>
      <c r="B298" s="643">
        <v>2</v>
      </c>
      <c r="C298" s="664" t="s">
        <v>16</v>
      </c>
      <c r="D298" s="2"/>
      <c r="E298" s="101" t="s">
        <v>345</v>
      </c>
      <c r="F298" s="643" t="s">
        <v>38</v>
      </c>
      <c r="G298" s="643">
        <v>2</v>
      </c>
      <c r="H298" s="658" t="s">
        <v>10</v>
      </c>
      <c r="I298" s="643">
        <v>0</v>
      </c>
      <c r="J298" s="101" t="s">
        <v>364</v>
      </c>
      <c r="K298" s="643">
        <v>3</v>
      </c>
      <c r="L298" s="683" t="s">
        <v>350</v>
      </c>
      <c r="M298" s="11" t="s">
        <v>270</v>
      </c>
      <c r="N298" s="101" t="s">
        <v>387</v>
      </c>
      <c r="O298" s="643">
        <v>1</v>
      </c>
      <c r="P298" s="632">
        <v>57</v>
      </c>
      <c r="Q298" s="632">
        <v>57</v>
      </c>
      <c r="R298" s="632">
        <v>57</v>
      </c>
      <c r="S298" s="675">
        <f>SUMIF('Территориальный кк'!$A:$A,'2020'!$B298,'Территориальный кк'!D:D)</f>
        <v>1.244</v>
      </c>
      <c r="T298" s="676">
        <f>SUMIF('Территориальный кк'!$A:$A,'2020'!$B298,'Территориальный кк'!E:E)</f>
        <v>2.194</v>
      </c>
      <c r="U298" s="618">
        <f>SUMIFS(Нормативы!G:G,Нормативы!$B:$B,$G298,Нормативы!$D:$D,'2020'!$I298,Нормативы!$F:$F,'2020'!$K298)*O298</f>
        <v>70600</v>
      </c>
      <c r="V298" s="618">
        <f t="shared" si="852"/>
        <v>54224.3</v>
      </c>
      <c r="W298" s="618">
        <f t="shared" si="853"/>
        <v>16375.7</v>
      </c>
      <c r="X298" s="618">
        <f>SUMIFS(Нормативы!J:J,Нормативы!$B:$B,$G298,Нормативы!$D:$D,'2020'!$I298,Нормативы!$F:$F,'2020'!$K298)</f>
        <v>8860</v>
      </c>
      <c r="Y298" s="618">
        <f>SUMIFS(Нормативы!K:K,Нормативы!$B:$B,$G298,Нормативы!$D:$D,'2020'!$I298,Нормативы!$F:$F,'2020'!$K298)</f>
        <v>0</v>
      </c>
      <c r="Z298" s="618">
        <f>SUMIFS(Нормативы!L:L,Нормативы!$B:$B,$G298,Нормативы!$D:$D,'2020'!$I298,Нормативы!$F:$F,'2020'!$K298)</f>
        <v>8110</v>
      </c>
      <c r="AA298" s="618">
        <f t="shared" si="854"/>
        <v>21610</v>
      </c>
      <c r="AB298" s="618">
        <f>SUMIFS(Нормативы!N:N,Нормативы!$B:$B,$G298,Нормативы!$D:$D,'2020'!$I298,Нормативы!$F:$F,'2020'!$K298)*O298</f>
        <v>520</v>
      </c>
      <c r="AC298" s="618">
        <f>SUMIFS(Нормативы!O:O,Нормативы!$B:$B,$G298,Нормативы!$D:$D,'2020'!$I298,Нормативы!$F:$F,'2020'!$K298)</f>
        <v>19720</v>
      </c>
      <c r="AD298" s="618">
        <f>SUMIFS(Нормативы!P:P,Нормативы!$B:$B,$G298,Нормативы!$D:$D,'2020'!$I298,Нормативы!$F:$F,'2020'!$K298)*O298</f>
        <v>400</v>
      </c>
      <c r="AE298" s="618">
        <f>SUMIFS(Нормативы!Q:Q,Нормативы!$B:$B,$G298,Нормативы!$D:$D,'2020'!$I298,Нормативы!$F:$F,'2020'!$K298)</f>
        <v>970</v>
      </c>
      <c r="AF298" s="618">
        <f>SUMIFS(Нормативы!R:R,Нормативы!$B:$B,$G298,Нормативы!$D:$D,'2020'!$I298,Нормативы!$F:$F,'2020'!$K298)</f>
        <v>2680</v>
      </c>
      <c r="AG298" s="618">
        <f>SUMIFS(Нормативы!S:S,Нормативы!$B:$B,$G298,Нормативы!$D:$D,'2020'!$I298,Нормативы!$F:$F,'2020'!$K298)</f>
        <v>5800</v>
      </c>
      <c r="AH298" s="618">
        <f>SUMIFS(Нормативы!T:T,Нормативы!$B:$B,$G298,Нормативы!$D:$D,'2020'!$I298,Нормативы!$F:$F,'2020'!$K298)</f>
        <v>540</v>
      </c>
      <c r="AI298" s="618">
        <f>SUMIFS(Нормативы!U:U,Нормативы!$B:$B,$G298,Нормативы!$D:$D,'2020'!$I298,Нормативы!$F:$F,'2020'!$K298)</f>
        <v>770</v>
      </c>
      <c r="AJ298" s="618">
        <f>SUMIFS(Нормативы!V:V,Нормативы!$B:$B,$G298,Нормативы!$D:$D,'2020'!$I298,Нормативы!$F:$F,'2020'!$K298)</f>
        <v>80</v>
      </c>
      <c r="AK298" s="618">
        <f>SUMIFS(Нормативы!W:W,Нормативы!$B:$B,$G298,Нормативы!$D:$D,'2020'!$I298,Нормативы!$F:$F,'2020'!$K298)</f>
        <v>330</v>
      </c>
      <c r="AL298" s="618">
        <f>SUMIFS(Нормативы!X:X,Нормативы!$B:$B,$G298,Нормативы!$D:$D,'2020'!$I298,Нормативы!$F:$F,'2020'!$K298)*O298</f>
        <v>16120</v>
      </c>
      <c r="AM298" s="618">
        <f t="shared" si="855"/>
        <v>12381</v>
      </c>
      <c r="AN298" s="618">
        <f t="shared" si="856"/>
        <v>3739</v>
      </c>
      <c r="AO298" s="618">
        <f>SUMIFS(Нормативы!AA:AA,Нормативы!$B:$B,$G298,Нормативы!$D:$D,'2020'!$I298,Нормативы!$F:$F,'2020'!$K298)</f>
        <v>3520</v>
      </c>
      <c r="AP298" s="619">
        <f t="shared" si="857"/>
        <v>139020</v>
      </c>
      <c r="AQ298" s="413">
        <f t="shared" si="795"/>
        <v>4024200</v>
      </c>
      <c r="AR298" s="618">
        <f t="shared" si="858"/>
        <v>3090783.4</v>
      </c>
      <c r="AS298" s="618">
        <f t="shared" si="859"/>
        <v>933416.6</v>
      </c>
      <c r="AT298" s="616">
        <f t="shared" si="796"/>
        <v>505020</v>
      </c>
      <c r="AU298" s="616">
        <f t="shared" si="797"/>
        <v>0</v>
      </c>
      <c r="AV298" s="616">
        <f t="shared" si="798"/>
        <v>462270</v>
      </c>
      <c r="AW298" s="616">
        <f t="shared" si="799"/>
        <v>1231770</v>
      </c>
      <c r="AX298" s="616">
        <f t="shared" si="800"/>
        <v>29640</v>
      </c>
      <c r="AY298" s="616">
        <f t="shared" si="801"/>
        <v>1124040</v>
      </c>
      <c r="AZ298" s="616">
        <f t="shared" si="802"/>
        <v>22800</v>
      </c>
      <c r="BA298" s="616">
        <f t="shared" si="803"/>
        <v>55290</v>
      </c>
      <c r="BB298" s="616">
        <f t="shared" si="804"/>
        <v>152760</v>
      </c>
      <c r="BC298" s="616">
        <f t="shared" si="805"/>
        <v>330600</v>
      </c>
      <c r="BD298" s="616">
        <f t="shared" si="806"/>
        <v>30780</v>
      </c>
      <c r="BE298" s="616">
        <f t="shared" si="807"/>
        <v>43890</v>
      </c>
      <c r="BF298" s="616">
        <f t="shared" si="808"/>
        <v>4560</v>
      </c>
      <c r="BG298" s="616">
        <f t="shared" si="809"/>
        <v>18810</v>
      </c>
      <c r="BH298" s="616">
        <f t="shared" si="810"/>
        <v>918840</v>
      </c>
      <c r="BI298" s="618">
        <f t="shared" si="860"/>
        <v>705714.3</v>
      </c>
      <c r="BJ298" s="618">
        <f t="shared" si="861"/>
        <v>213125.7</v>
      </c>
      <c r="BK298" s="616">
        <f t="shared" si="811"/>
        <v>200640</v>
      </c>
      <c r="BL298" s="620">
        <f t="shared" si="812"/>
        <v>7924140</v>
      </c>
      <c r="BM298" s="616">
        <f t="shared" si="813"/>
        <v>5006105</v>
      </c>
      <c r="BN298" s="618">
        <f t="shared" si="814"/>
        <v>3844934.7</v>
      </c>
      <c r="BO298" s="618">
        <f t="shared" si="815"/>
        <v>1161170.3</v>
      </c>
      <c r="BP298" s="616">
        <f t="shared" si="862"/>
        <v>505020</v>
      </c>
      <c r="BQ298" s="616">
        <f t="shared" si="863"/>
        <v>0</v>
      </c>
      <c r="BR298" s="616">
        <f t="shared" si="864"/>
        <v>462270</v>
      </c>
      <c r="BS298" s="616">
        <f t="shared" si="816"/>
        <v>1231770</v>
      </c>
      <c r="BT298" s="616">
        <f t="shared" si="817"/>
        <v>29640</v>
      </c>
      <c r="BU298" s="616">
        <f t="shared" si="818"/>
        <v>1124040</v>
      </c>
      <c r="BV298" s="616">
        <f t="shared" si="819"/>
        <v>22800</v>
      </c>
      <c r="BW298" s="616">
        <f t="shared" si="820"/>
        <v>55290</v>
      </c>
      <c r="BX298" s="616">
        <f t="shared" si="821"/>
        <v>335155</v>
      </c>
      <c r="BY298" s="616">
        <f t="shared" si="822"/>
        <v>330600</v>
      </c>
      <c r="BZ298" s="616">
        <f t="shared" si="823"/>
        <v>30780</v>
      </c>
      <c r="CA298" s="616">
        <f t="shared" si="824"/>
        <v>43890</v>
      </c>
      <c r="CB298" s="616">
        <f t="shared" si="825"/>
        <v>4560</v>
      </c>
      <c r="CC298" s="616">
        <f t="shared" si="826"/>
        <v>18810</v>
      </c>
      <c r="CD298" s="616">
        <f t="shared" si="827"/>
        <v>1143037</v>
      </c>
      <c r="CE298" s="618">
        <f t="shared" si="865"/>
        <v>877908.6</v>
      </c>
      <c r="CF298" s="618">
        <f t="shared" si="866"/>
        <v>265128.40000000002</v>
      </c>
      <c r="CG298" s="616">
        <f t="shared" si="828"/>
        <v>200640</v>
      </c>
      <c r="CH298" s="621">
        <f t="shared" si="829"/>
        <v>9312637</v>
      </c>
      <c r="CI298" s="88">
        <f t="shared" si="830"/>
        <v>87826.4035</v>
      </c>
      <c r="CJ298" s="90">
        <f t="shared" si="831"/>
        <v>67454.994699999996</v>
      </c>
      <c r="CK298" s="90">
        <f t="shared" si="832"/>
        <v>20371.408800000001</v>
      </c>
      <c r="CL298" s="88">
        <f t="shared" si="833"/>
        <v>8860</v>
      </c>
      <c r="CM298" s="88">
        <f t="shared" si="834"/>
        <v>0</v>
      </c>
      <c r="CN298" s="88">
        <f t="shared" si="835"/>
        <v>8110</v>
      </c>
      <c r="CO298" s="88">
        <f t="shared" si="836"/>
        <v>21610</v>
      </c>
      <c r="CP298" s="88">
        <f t="shared" si="837"/>
        <v>520</v>
      </c>
      <c r="CQ298" s="88">
        <f t="shared" si="838"/>
        <v>19720</v>
      </c>
      <c r="CR298" s="88">
        <f t="shared" si="839"/>
        <v>400</v>
      </c>
      <c r="CS298" s="88">
        <f t="shared" si="840"/>
        <v>970</v>
      </c>
      <c r="CT298" s="88">
        <f t="shared" si="841"/>
        <v>5879.9123</v>
      </c>
      <c r="CU298" s="88">
        <f t="shared" si="842"/>
        <v>5800</v>
      </c>
      <c r="CV298" s="88">
        <f t="shared" si="843"/>
        <v>540</v>
      </c>
      <c r="CW298" s="88">
        <f t="shared" si="844"/>
        <v>770</v>
      </c>
      <c r="CX298" s="88">
        <f t="shared" si="845"/>
        <v>80</v>
      </c>
      <c r="CY298" s="88">
        <f t="shared" si="846"/>
        <v>330</v>
      </c>
      <c r="CZ298" s="88">
        <f t="shared" si="847"/>
        <v>20053.280699999999</v>
      </c>
      <c r="DA298" s="90">
        <f t="shared" si="848"/>
        <v>15401.9053</v>
      </c>
      <c r="DB298" s="90">
        <f t="shared" si="849"/>
        <v>4651.3753999999999</v>
      </c>
      <c r="DC298" s="88">
        <f t="shared" si="850"/>
        <v>3520</v>
      </c>
      <c r="DD298" s="88">
        <f t="shared" si="851"/>
        <v>163379.59650000001</v>
      </c>
      <c r="AUV298" s="699">
        <f t="shared" si="758"/>
        <v>87826.4</v>
      </c>
      <c r="AUW298" s="699">
        <f t="shared" si="759"/>
        <v>67454.990000000005</v>
      </c>
      <c r="AUX298" s="699">
        <f t="shared" si="760"/>
        <v>20371.41</v>
      </c>
      <c r="AUY298" s="699">
        <f t="shared" si="761"/>
        <v>8860</v>
      </c>
      <c r="AUZ298" s="699">
        <f t="shared" si="778"/>
        <v>0</v>
      </c>
      <c r="AVA298" s="699">
        <f t="shared" si="778"/>
        <v>6.55</v>
      </c>
      <c r="AVB298" s="699">
        <f t="shared" si="762"/>
        <v>21610</v>
      </c>
      <c r="AVC298" s="699">
        <f t="shared" si="763"/>
        <v>520</v>
      </c>
      <c r="AVD298" s="699">
        <f t="shared" si="764"/>
        <v>19720</v>
      </c>
      <c r="AVE298" s="699">
        <f t="shared" si="765"/>
        <v>400</v>
      </c>
      <c r="AVF298" s="699">
        <f t="shared" si="766"/>
        <v>970</v>
      </c>
      <c r="AVG298" s="699">
        <f t="shared" si="767"/>
        <v>5879.91</v>
      </c>
      <c r="AVH298" s="699">
        <f t="shared" si="768"/>
        <v>5800</v>
      </c>
      <c r="AVI298" s="699">
        <f t="shared" si="769"/>
        <v>540</v>
      </c>
      <c r="AVJ298" s="699">
        <f t="shared" si="770"/>
        <v>770</v>
      </c>
      <c r="AVK298" s="699">
        <f t="shared" si="771"/>
        <v>80</v>
      </c>
      <c r="AVL298" s="699">
        <f t="shared" si="772"/>
        <v>330</v>
      </c>
      <c r="AVM298" s="699">
        <f t="shared" si="773"/>
        <v>20053.28</v>
      </c>
      <c r="AVN298" s="699">
        <f t="shared" si="774"/>
        <v>15401.9</v>
      </c>
      <c r="AVO298" s="699">
        <f t="shared" si="775"/>
        <v>4651.38</v>
      </c>
      <c r="AVP298" s="699">
        <f t="shared" si="776"/>
        <v>3520</v>
      </c>
      <c r="AVQ298" s="699">
        <f t="shared" si="777"/>
        <v>163379.6</v>
      </c>
    </row>
    <row r="299" spans="1:108 1244:1265" ht="30" customHeight="1" x14ac:dyDescent="0.25">
      <c r="A299" s="643">
        <v>1</v>
      </c>
      <c r="B299" s="643">
        <v>2</v>
      </c>
      <c r="C299" s="664" t="s">
        <v>16</v>
      </c>
      <c r="D299" s="2"/>
      <c r="E299" s="101" t="s">
        <v>345</v>
      </c>
      <c r="F299" s="643" t="s">
        <v>38</v>
      </c>
      <c r="G299" s="643">
        <v>2</v>
      </c>
      <c r="H299" s="658" t="s">
        <v>8</v>
      </c>
      <c r="I299" s="643">
        <v>3</v>
      </c>
      <c r="J299" s="101" t="s">
        <v>364</v>
      </c>
      <c r="K299" s="643">
        <v>3</v>
      </c>
      <c r="L299" s="683" t="s">
        <v>350</v>
      </c>
      <c r="M299" s="11" t="s">
        <v>307</v>
      </c>
      <c r="N299" s="101" t="s">
        <v>387</v>
      </c>
      <c r="O299" s="643">
        <v>1</v>
      </c>
      <c r="P299" s="632">
        <v>40</v>
      </c>
      <c r="Q299" s="632">
        <v>40</v>
      </c>
      <c r="R299" s="632">
        <v>40</v>
      </c>
      <c r="S299" s="675">
        <f>SUMIF('Территориальный кк'!$A:$A,'2020'!$B299,'Территориальный кк'!D:D)</f>
        <v>1.244</v>
      </c>
      <c r="T299" s="676">
        <f>SUMIF('Территориальный кк'!$A:$A,'2020'!$B299,'Территориальный кк'!E:E)</f>
        <v>2.194</v>
      </c>
      <c r="U299" s="618">
        <f>SUMIFS(Нормативы!G:G,Нормативы!$B:$B,$G299,Нормативы!$D:$D,'2020'!$I299,Нормативы!$F:$F,'2020'!$K299)*O299</f>
        <v>12944</v>
      </c>
      <c r="V299" s="618">
        <f t="shared" si="852"/>
        <v>9941.6</v>
      </c>
      <c r="W299" s="618">
        <f t="shared" si="853"/>
        <v>3002.4</v>
      </c>
      <c r="X299" s="618">
        <f>SUMIFS(Нормативы!J:J,Нормативы!$B:$B,$G299,Нормативы!$D:$D,'2020'!$I299,Нормативы!$F:$F,'2020'!$K299)</f>
        <v>486</v>
      </c>
      <c r="Y299" s="618">
        <f>SUMIFS(Нормативы!K:K,Нормативы!$B:$B,$G299,Нормативы!$D:$D,'2020'!$I299,Нормативы!$F:$F,'2020'!$K299)</f>
        <v>97</v>
      </c>
      <c r="Z299" s="618">
        <f>SUMIFS(Нормативы!L:L,Нормативы!$B:$B,$G299,Нормативы!$D:$D,'2020'!$I299,Нормативы!$F:$F,'2020'!$K299)</f>
        <v>348</v>
      </c>
      <c r="AA299" s="618">
        <f t="shared" si="854"/>
        <v>2031</v>
      </c>
      <c r="AB299" s="618">
        <f>SUMIFS(Нормативы!N:N,Нормативы!$B:$B,$G299,Нормативы!$D:$D,'2020'!$I299,Нормативы!$F:$F,'2020'!$K299)*O299</f>
        <v>52</v>
      </c>
      <c r="AC299" s="618">
        <f>SUMIFS(Нормативы!O:O,Нормативы!$B:$B,$G299,Нормативы!$D:$D,'2020'!$I299,Нормативы!$F:$F,'2020'!$K299)</f>
        <v>1728</v>
      </c>
      <c r="AD299" s="618">
        <f>SUMIFS(Нормативы!P:P,Нормативы!$B:$B,$G299,Нормативы!$D:$D,'2020'!$I299,Нормативы!$F:$F,'2020'!$K299)*O299</f>
        <v>73</v>
      </c>
      <c r="AE299" s="618">
        <f>SUMIFS(Нормативы!Q:Q,Нормативы!$B:$B,$G299,Нормативы!$D:$D,'2020'!$I299,Нормативы!$F:$F,'2020'!$K299)</f>
        <v>178</v>
      </c>
      <c r="AF299" s="618">
        <f>SUMIFS(Нормативы!R:R,Нормативы!$B:$B,$G299,Нормативы!$D:$D,'2020'!$I299,Нормативы!$F:$F,'2020'!$K299)</f>
        <v>275</v>
      </c>
      <c r="AG299" s="618">
        <f>SUMIFS(Нормативы!S:S,Нормативы!$B:$B,$G299,Нормативы!$D:$D,'2020'!$I299,Нормативы!$F:$F,'2020'!$K299)</f>
        <v>580</v>
      </c>
      <c r="AH299" s="618">
        <f>SUMIFS(Нормативы!T:T,Нормативы!$B:$B,$G299,Нормативы!$D:$D,'2020'!$I299,Нормативы!$F:$F,'2020'!$K299)</f>
        <v>54</v>
      </c>
      <c r="AI299" s="618">
        <f>SUMIFS(Нормативы!U:U,Нормативы!$B:$B,$G299,Нормативы!$D:$D,'2020'!$I299,Нормативы!$F:$F,'2020'!$K299)</f>
        <v>77</v>
      </c>
      <c r="AJ299" s="618">
        <f>SUMIFS(Нормативы!V:V,Нормативы!$B:$B,$G299,Нормативы!$D:$D,'2020'!$I299,Нормативы!$F:$F,'2020'!$K299)</f>
        <v>8</v>
      </c>
      <c r="AK299" s="618">
        <f>SUMIFS(Нормативы!W:W,Нормативы!$B:$B,$G299,Нормативы!$D:$D,'2020'!$I299,Нормативы!$F:$F,'2020'!$K299)</f>
        <v>39</v>
      </c>
      <c r="AL299" s="618">
        <f>SUMIFS(Нормативы!X:X,Нормативы!$B:$B,$G299,Нормативы!$D:$D,'2020'!$I299,Нормативы!$F:$F,'2020'!$K299)*O299</f>
        <v>1612</v>
      </c>
      <c r="AM299" s="618">
        <f t="shared" si="855"/>
        <v>1238.0999999999999</v>
      </c>
      <c r="AN299" s="618">
        <f t="shared" si="856"/>
        <v>373.9</v>
      </c>
      <c r="AO299" s="618">
        <f>SUMIFS(Нормативы!AA:AA,Нормативы!$B:$B,$G299,Нормативы!$D:$D,'2020'!$I299,Нормативы!$F:$F,'2020'!$K299)</f>
        <v>0</v>
      </c>
      <c r="AP299" s="619">
        <f t="shared" si="857"/>
        <v>18454</v>
      </c>
      <c r="AQ299" s="413">
        <f t="shared" si="795"/>
        <v>517760</v>
      </c>
      <c r="AR299" s="618">
        <f t="shared" si="858"/>
        <v>397665.1</v>
      </c>
      <c r="AS299" s="618">
        <f t="shared" si="859"/>
        <v>120094.9</v>
      </c>
      <c r="AT299" s="616">
        <f t="shared" si="796"/>
        <v>19440</v>
      </c>
      <c r="AU299" s="616">
        <f t="shared" si="797"/>
        <v>3880</v>
      </c>
      <c r="AV299" s="616">
        <f t="shared" si="798"/>
        <v>13920</v>
      </c>
      <c r="AW299" s="616">
        <f t="shared" si="799"/>
        <v>81240</v>
      </c>
      <c r="AX299" s="616">
        <f t="shared" si="800"/>
        <v>2080</v>
      </c>
      <c r="AY299" s="616">
        <f t="shared" si="801"/>
        <v>69120</v>
      </c>
      <c r="AZ299" s="616">
        <f t="shared" si="802"/>
        <v>2920</v>
      </c>
      <c r="BA299" s="616">
        <f t="shared" si="803"/>
        <v>7120</v>
      </c>
      <c r="BB299" s="616">
        <f t="shared" si="804"/>
        <v>11000</v>
      </c>
      <c r="BC299" s="616">
        <f t="shared" si="805"/>
        <v>23200</v>
      </c>
      <c r="BD299" s="616">
        <f t="shared" si="806"/>
        <v>2160</v>
      </c>
      <c r="BE299" s="616">
        <f t="shared" si="807"/>
        <v>3080</v>
      </c>
      <c r="BF299" s="616">
        <f t="shared" si="808"/>
        <v>320</v>
      </c>
      <c r="BG299" s="616">
        <f t="shared" si="809"/>
        <v>1560</v>
      </c>
      <c r="BH299" s="616">
        <f t="shared" si="810"/>
        <v>64480</v>
      </c>
      <c r="BI299" s="618">
        <f t="shared" si="860"/>
        <v>49523.8</v>
      </c>
      <c r="BJ299" s="618">
        <f t="shared" si="861"/>
        <v>14956.2</v>
      </c>
      <c r="BK299" s="616">
        <f t="shared" si="811"/>
        <v>0</v>
      </c>
      <c r="BL299" s="620">
        <f t="shared" si="812"/>
        <v>738160</v>
      </c>
      <c r="BM299" s="616">
        <f t="shared" si="813"/>
        <v>644093</v>
      </c>
      <c r="BN299" s="618">
        <f t="shared" si="814"/>
        <v>494695.1</v>
      </c>
      <c r="BO299" s="618">
        <f t="shared" si="815"/>
        <v>149397.9</v>
      </c>
      <c r="BP299" s="616">
        <f t="shared" si="862"/>
        <v>19440</v>
      </c>
      <c r="BQ299" s="616">
        <f t="shared" si="863"/>
        <v>3880</v>
      </c>
      <c r="BR299" s="616">
        <f t="shared" si="864"/>
        <v>13920</v>
      </c>
      <c r="BS299" s="616">
        <f t="shared" si="816"/>
        <v>81240</v>
      </c>
      <c r="BT299" s="616">
        <f t="shared" si="817"/>
        <v>2080</v>
      </c>
      <c r="BU299" s="616">
        <f t="shared" si="818"/>
        <v>69120</v>
      </c>
      <c r="BV299" s="616">
        <f t="shared" si="819"/>
        <v>2920</v>
      </c>
      <c r="BW299" s="616">
        <f t="shared" si="820"/>
        <v>7120</v>
      </c>
      <c r="BX299" s="616">
        <f t="shared" si="821"/>
        <v>24134</v>
      </c>
      <c r="BY299" s="616">
        <f t="shared" si="822"/>
        <v>23200</v>
      </c>
      <c r="BZ299" s="616">
        <f t="shared" si="823"/>
        <v>2160</v>
      </c>
      <c r="CA299" s="616">
        <f t="shared" si="824"/>
        <v>3080</v>
      </c>
      <c r="CB299" s="616">
        <f t="shared" si="825"/>
        <v>320</v>
      </c>
      <c r="CC299" s="616">
        <f t="shared" si="826"/>
        <v>1560</v>
      </c>
      <c r="CD299" s="616">
        <f t="shared" si="827"/>
        <v>80213</v>
      </c>
      <c r="CE299" s="618">
        <f t="shared" si="865"/>
        <v>61607.5</v>
      </c>
      <c r="CF299" s="618">
        <f t="shared" si="866"/>
        <v>18605.5</v>
      </c>
      <c r="CG299" s="616">
        <f t="shared" si="828"/>
        <v>0</v>
      </c>
      <c r="CH299" s="621">
        <f t="shared" si="829"/>
        <v>893360</v>
      </c>
      <c r="CI299" s="88">
        <f t="shared" si="830"/>
        <v>16102.325000000001</v>
      </c>
      <c r="CJ299" s="90">
        <f t="shared" si="831"/>
        <v>12367.377500000001</v>
      </c>
      <c r="CK299" s="90">
        <f t="shared" si="832"/>
        <v>3734.9475000000002</v>
      </c>
      <c r="CL299" s="88">
        <f t="shared" si="833"/>
        <v>486</v>
      </c>
      <c r="CM299" s="88">
        <f t="shared" si="834"/>
        <v>97</v>
      </c>
      <c r="CN299" s="88">
        <f t="shared" si="835"/>
        <v>348</v>
      </c>
      <c r="CO299" s="88">
        <f t="shared" si="836"/>
        <v>2031</v>
      </c>
      <c r="CP299" s="88">
        <f t="shared" si="837"/>
        <v>52</v>
      </c>
      <c r="CQ299" s="88">
        <f t="shared" si="838"/>
        <v>1728</v>
      </c>
      <c r="CR299" s="88">
        <f t="shared" si="839"/>
        <v>73</v>
      </c>
      <c r="CS299" s="88">
        <f t="shared" si="840"/>
        <v>178</v>
      </c>
      <c r="CT299" s="88">
        <f t="shared" si="841"/>
        <v>603.35</v>
      </c>
      <c r="CU299" s="88">
        <f t="shared" si="842"/>
        <v>580</v>
      </c>
      <c r="CV299" s="88">
        <f t="shared" si="843"/>
        <v>54</v>
      </c>
      <c r="CW299" s="88">
        <f t="shared" si="844"/>
        <v>77</v>
      </c>
      <c r="CX299" s="88">
        <f t="shared" si="845"/>
        <v>8</v>
      </c>
      <c r="CY299" s="88">
        <f t="shared" si="846"/>
        <v>39</v>
      </c>
      <c r="CZ299" s="88">
        <f t="shared" si="847"/>
        <v>2005.325</v>
      </c>
      <c r="DA299" s="90">
        <f t="shared" si="848"/>
        <v>1540.1875</v>
      </c>
      <c r="DB299" s="90">
        <f t="shared" si="849"/>
        <v>465.13749999999999</v>
      </c>
      <c r="DC299" s="88">
        <f t="shared" si="850"/>
        <v>0</v>
      </c>
      <c r="DD299" s="88">
        <f t="shared" si="851"/>
        <v>22334</v>
      </c>
      <c r="AUV299" s="699">
        <f t="shared" si="758"/>
        <v>16102.33</v>
      </c>
      <c r="AUW299" s="699">
        <f t="shared" si="759"/>
        <v>12367.38</v>
      </c>
      <c r="AUX299" s="699">
        <f t="shared" si="760"/>
        <v>3734.95</v>
      </c>
      <c r="AUY299" s="699">
        <f t="shared" si="761"/>
        <v>486</v>
      </c>
      <c r="AUZ299" s="699">
        <f t="shared" si="778"/>
        <v>1768.46</v>
      </c>
      <c r="AVA299" s="699">
        <f t="shared" si="778"/>
        <v>1.08</v>
      </c>
      <c r="AVB299" s="699">
        <f t="shared" si="762"/>
        <v>2031</v>
      </c>
      <c r="AVC299" s="699">
        <f t="shared" si="763"/>
        <v>52</v>
      </c>
      <c r="AVD299" s="699">
        <f t="shared" si="764"/>
        <v>1728</v>
      </c>
      <c r="AVE299" s="699">
        <f t="shared" si="765"/>
        <v>73</v>
      </c>
      <c r="AVF299" s="699">
        <f t="shared" si="766"/>
        <v>178</v>
      </c>
      <c r="AVG299" s="699">
        <f t="shared" si="767"/>
        <v>603.35</v>
      </c>
      <c r="AVH299" s="699">
        <f t="shared" si="768"/>
        <v>580</v>
      </c>
      <c r="AVI299" s="699">
        <f t="shared" si="769"/>
        <v>54</v>
      </c>
      <c r="AVJ299" s="699">
        <f t="shared" si="770"/>
        <v>77</v>
      </c>
      <c r="AVK299" s="699">
        <f t="shared" si="771"/>
        <v>8</v>
      </c>
      <c r="AVL299" s="699">
        <f t="shared" si="772"/>
        <v>39</v>
      </c>
      <c r="AVM299" s="699">
        <f t="shared" si="773"/>
        <v>2005.33</v>
      </c>
      <c r="AVN299" s="699">
        <f t="shared" si="774"/>
        <v>1540.19</v>
      </c>
      <c r="AVO299" s="699">
        <f t="shared" si="775"/>
        <v>465.14</v>
      </c>
      <c r="AVP299" s="699">
        <f t="shared" si="776"/>
        <v>0</v>
      </c>
      <c r="AVQ299" s="699">
        <f t="shared" si="777"/>
        <v>22334</v>
      </c>
    </row>
    <row r="300" spans="1:108 1244:1265" ht="30" customHeight="1" x14ac:dyDescent="0.25">
      <c r="A300" s="643">
        <v>1</v>
      </c>
      <c r="B300" s="643">
        <v>2</v>
      </c>
      <c r="C300" s="664" t="s">
        <v>16</v>
      </c>
      <c r="D300" s="2"/>
      <c r="E300" s="101" t="s">
        <v>346</v>
      </c>
      <c r="F300" s="643" t="s">
        <v>39</v>
      </c>
      <c r="G300" s="643">
        <v>3</v>
      </c>
      <c r="H300" s="658" t="s">
        <v>10</v>
      </c>
      <c r="I300" s="643">
        <v>0</v>
      </c>
      <c r="J300" s="101" t="s">
        <v>367</v>
      </c>
      <c r="K300" s="643">
        <v>3</v>
      </c>
      <c r="L300" s="683" t="s">
        <v>351</v>
      </c>
      <c r="M300" s="11" t="s">
        <v>273</v>
      </c>
      <c r="N300" s="101" t="s">
        <v>387</v>
      </c>
      <c r="O300" s="643">
        <v>1</v>
      </c>
      <c r="P300" s="632">
        <v>8</v>
      </c>
      <c r="Q300" s="632">
        <v>8</v>
      </c>
      <c r="R300" s="632">
        <v>8</v>
      </c>
      <c r="S300" s="675">
        <f>SUMIF('Территориальный кк'!$A:$A,'2020'!$B300,'Территориальный кк'!D:D)</f>
        <v>1.244</v>
      </c>
      <c r="T300" s="676">
        <f>SUMIF('Территориальный кк'!$A:$A,'2020'!$B300,'Территориальный кк'!E:E)</f>
        <v>2.194</v>
      </c>
      <c r="U300" s="618">
        <f>SUMIFS(Нормативы!G:G,Нормативы!$B:$B,$G300,Нормативы!$D:$D,'2020'!$I300,Нормативы!$F:$F,'2020'!$K300)*O300</f>
        <v>78450</v>
      </c>
      <c r="V300" s="618">
        <f t="shared" si="852"/>
        <v>60253.5</v>
      </c>
      <c r="W300" s="618">
        <f t="shared" si="853"/>
        <v>18196.5</v>
      </c>
      <c r="X300" s="618">
        <f>SUMIFS(Нормативы!J:J,Нормативы!$B:$B,$G300,Нормативы!$D:$D,'2020'!$I300,Нормативы!$F:$F,'2020'!$K300)</f>
        <v>6840</v>
      </c>
      <c r="Y300" s="618">
        <f>SUMIFS(Нормативы!K:K,Нормативы!$B:$B,$G300,Нормативы!$D:$D,'2020'!$I300,Нормативы!$F:$F,'2020'!$K300)</f>
        <v>1368</v>
      </c>
      <c r="Z300" s="618">
        <f>SUMIFS(Нормативы!L:L,Нормативы!$B:$B,$G300,Нормативы!$D:$D,'2020'!$I300,Нормативы!$F:$F,'2020'!$K300)</f>
        <v>8110</v>
      </c>
      <c r="AA300" s="618">
        <f t="shared" si="854"/>
        <v>23360</v>
      </c>
      <c r="AB300" s="618">
        <f>SUMIFS(Нормативы!N:N,Нормативы!$B:$B,$G300,Нормативы!$D:$D,'2020'!$I300,Нормативы!$F:$F,'2020'!$K300)*O300</f>
        <v>880</v>
      </c>
      <c r="AC300" s="618">
        <f>SUMIFS(Нормативы!O:O,Нормативы!$B:$B,$G300,Нормативы!$D:$D,'2020'!$I300,Нормативы!$F:$F,'2020'!$K300)</f>
        <v>20960</v>
      </c>
      <c r="AD300" s="618">
        <f>SUMIFS(Нормативы!P:P,Нормативы!$B:$B,$G300,Нормативы!$D:$D,'2020'!$I300,Нормативы!$F:$F,'2020'!$K300)*O300</f>
        <v>440</v>
      </c>
      <c r="AE300" s="618">
        <f>SUMIFS(Нормативы!Q:Q,Нормативы!$B:$B,$G300,Нормативы!$D:$D,'2020'!$I300,Нормативы!$F:$F,'2020'!$K300)</f>
        <v>1080</v>
      </c>
      <c r="AF300" s="618">
        <f>SUMIFS(Нормативы!R:R,Нормативы!$B:$B,$G300,Нормативы!$D:$D,'2020'!$I300,Нормативы!$F:$F,'2020'!$K300)</f>
        <v>2700</v>
      </c>
      <c r="AG300" s="618">
        <f>SUMIFS(Нормативы!S:S,Нормативы!$B:$B,$G300,Нормативы!$D:$D,'2020'!$I300,Нормативы!$F:$F,'2020'!$K300)</f>
        <v>5800</v>
      </c>
      <c r="AH300" s="618">
        <f>SUMIFS(Нормативы!T:T,Нормативы!$B:$B,$G300,Нормативы!$D:$D,'2020'!$I300,Нормативы!$F:$F,'2020'!$K300)</f>
        <v>540</v>
      </c>
      <c r="AI300" s="618">
        <f>SUMIFS(Нормативы!U:U,Нормативы!$B:$B,$G300,Нормативы!$D:$D,'2020'!$I300,Нормативы!$F:$F,'2020'!$K300)</f>
        <v>770</v>
      </c>
      <c r="AJ300" s="618">
        <f>SUMIFS(Нормативы!V:V,Нормативы!$B:$B,$G300,Нормативы!$D:$D,'2020'!$I300,Нормативы!$F:$F,'2020'!$K300)</f>
        <v>170</v>
      </c>
      <c r="AK300" s="618">
        <f>SUMIFS(Нормативы!W:W,Нормативы!$B:$B,$G300,Нормативы!$D:$D,'2020'!$I300,Нормативы!$F:$F,'2020'!$K300)</f>
        <v>200</v>
      </c>
      <c r="AL300" s="618">
        <f>SUMIFS(Нормативы!X:X,Нормативы!$B:$B,$G300,Нормативы!$D:$D,'2020'!$I300,Нормативы!$F:$F,'2020'!$K300)*O300</f>
        <v>13440</v>
      </c>
      <c r="AM300" s="618">
        <f t="shared" si="855"/>
        <v>10322.6</v>
      </c>
      <c r="AN300" s="618">
        <f t="shared" si="856"/>
        <v>3117.4</v>
      </c>
      <c r="AO300" s="618">
        <f>SUMIFS(Нормативы!AA:AA,Нормативы!$B:$B,$G300,Нормативы!$D:$D,'2020'!$I300,Нормативы!$F:$F,'2020'!$K300)</f>
        <v>0</v>
      </c>
      <c r="AP300" s="619">
        <f t="shared" si="857"/>
        <v>140380</v>
      </c>
      <c r="AQ300" s="413">
        <f t="shared" si="795"/>
        <v>627600</v>
      </c>
      <c r="AR300" s="618">
        <f t="shared" si="858"/>
        <v>482027.6</v>
      </c>
      <c r="AS300" s="618">
        <f t="shared" si="859"/>
        <v>145572.4</v>
      </c>
      <c r="AT300" s="616">
        <f t="shared" si="796"/>
        <v>54720</v>
      </c>
      <c r="AU300" s="616">
        <f t="shared" si="797"/>
        <v>10944</v>
      </c>
      <c r="AV300" s="616">
        <f t="shared" si="798"/>
        <v>64880</v>
      </c>
      <c r="AW300" s="616">
        <f t="shared" si="799"/>
        <v>186880</v>
      </c>
      <c r="AX300" s="616">
        <f t="shared" si="800"/>
        <v>7040</v>
      </c>
      <c r="AY300" s="616">
        <f t="shared" si="801"/>
        <v>167680</v>
      </c>
      <c r="AZ300" s="616">
        <f t="shared" si="802"/>
        <v>3520</v>
      </c>
      <c r="BA300" s="616">
        <f t="shared" si="803"/>
        <v>8640</v>
      </c>
      <c r="BB300" s="616">
        <f t="shared" si="804"/>
        <v>21600</v>
      </c>
      <c r="BC300" s="616">
        <f t="shared" si="805"/>
        <v>46400</v>
      </c>
      <c r="BD300" s="616">
        <f t="shared" si="806"/>
        <v>4320</v>
      </c>
      <c r="BE300" s="616">
        <f t="shared" si="807"/>
        <v>6160</v>
      </c>
      <c r="BF300" s="616">
        <f t="shared" si="808"/>
        <v>1360</v>
      </c>
      <c r="BG300" s="616">
        <f t="shared" si="809"/>
        <v>1600</v>
      </c>
      <c r="BH300" s="616">
        <f t="shared" si="810"/>
        <v>107520</v>
      </c>
      <c r="BI300" s="618">
        <f t="shared" si="860"/>
        <v>82580.600000000006</v>
      </c>
      <c r="BJ300" s="618">
        <f t="shared" si="861"/>
        <v>24939.4</v>
      </c>
      <c r="BK300" s="616">
        <f t="shared" si="811"/>
        <v>0</v>
      </c>
      <c r="BL300" s="620">
        <f t="shared" si="812"/>
        <v>1123040</v>
      </c>
      <c r="BM300" s="616">
        <f t="shared" si="813"/>
        <v>780734</v>
      </c>
      <c r="BN300" s="618">
        <f t="shared" si="814"/>
        <v>599642.1</v>
      </c>
      <c r="BO300" s="618">
        <f t="shared" si="815"/>
        <v>181091.9</v>
      </c>
      <c r="BP300" s="616">
        <f t="shared" si="862"/>
        <v>54720</v>
      </c>
      <c r="BQ300" s="616">
        <f t="shared" si="863"/>
        <v>10944</v>
      </c>
      <c r="BR300" s="616">
        <f t="shared" si="864"/>
        <v>64880</v>
      </c>
      <c r="BS300" s="616">
        <f t="shared" si="816"/>
        <v>186880</v>
      </c>
      <c r="BT300" s="616">
        <f t="shared" si="817"/>
        <v>7040</v>
      </c>
      <c r="BU300" s="616">
        <f t="shared" si="818"/>
        <v>167680</v>
      </c>
      <c r="BV300" s="616">
        <f t="shared" si="819"/>
        <v>3520</v>
      </c>
      <c r="BW300" s="616">
        <f t="shared" si="820"/>
        <v>8640</v>
      </c>
      <c r="BX300" s="616">
        <f t="shared" si="821"/>
        <v>47390</v>
      </c>
      <c r="BY300" s="616">
        <f t="shared" si="822"/>
        <v>46400</v>
      </c>
      <c r="BZ300" s="616">
        <f t="shared" si="823"/>
        <v>4320</v>
      </c>
      <c r="CA300" s="616">
        <f t="shared" si="824"/>
        <v>6160</v>
      </c>
      <c r="CB300" s="616">
        <f t="shared" si="825"/>
        <v>1360</v>
      </c>
      <c r="CC300" s="616">
        <f t="shared" si="826"/>
        <v>1600</v>
      </c>
      <c r="CD300" s="616">
        <f t="shared" si="827"/>
        <v>133755</v>
      </c>
      <c r="CE300" s="618">
        <f t="shared" si="865"/>
        <v>102730.4</v>
      </c>
      <c r="CF300" s="618">
        <f t="shared" si="866"/>
        <v>31024.6</v>
      </c>
      <c r="CG300" s="616">
        <f t="shared" si="828"/>
        <v>0</v>
      </c>
      <c r="CH300" s="621">
        <f t="shared" si="829"/>
        <v>1328199</v>
      </c>
      <c r="CI300" s="88">
        <f t="shared" si="830"/>
        <v>97591.75</v>
      </c>
      <c r="CJ300" s="90">
        <f t="shared" si="831"/>
        <v>74955.262499999997</v>
      </c>
      <c r="CK300" s="90">
        <f t="shared" si="832"/>
        <v>22636.487499999999</v>
      </c>
      <c r="CL300" s="88">
        <f t="shared" si="833"/>
        <v>6840</v>
      </c>
      <c r="CM300" s="88">
        <f t="shared" si="834"/>
        <v>1368</v>
      </c>
      <c r="CN300" s="88">
        <f t="shared" si="835"/>
        <v>8110</v>
      </c>
      <c r="CO300" s="88">
        <f t="shared" si="836"/>
        <v>23360</v>
      </c>
      <c r="CP300" s="88">
        <f t="shared" si="837"/>
        <v>880</v>
      </c>
      <c r="CQ300" s="88">
        <f t="shared" si="838"/>
        <v>20960</v>
      </c>
      <c r="CR300" s="88">
        <f t="shared" si="839"/>
        <v>440</v>
      </c>
      <c r="CS300" s="88">
        <f t="shared" si="840"/>
        <v>1080</v>
      </c>
      <c r="CT300" s="88">
        <f t="shared" si="841"/>
        <v>5923.75</v>
      </c>
      <c r="CU300" s="88">
        <f t="shared" si="842"/>
        <v>5800</v>
      </c>
      <c r="CV300" s="88">
        <f t="shared" si="843"/>
        <v>540</v>
      </c>
      <c r="CW300" s="88">
        <f t="shared" si="844"/>
        <v>770</v>
      </c>
      <c r="CX300" s="88">
        <f t="shared" si="845"/>
        <v>170</v>
      </c>
      <c r="CY300" s="88">
        <f t="shared" si="846"/>
        <v>200</v>
      </c>
      <c r="CZ300" s="88">
        <f t="shared" si="847"/>
        <v>16719.375</v>
      </c>
      <c r="DA300" s="90">
        <f t="shared" si="848"/>
        <v>12841.3</v>
      </c>
      <c r="DB300" s="90">
        <f t="shared" si="849"/>
        <v>3878.0749999999998</v>
      </c>
      <c r="DC300" s="88">
        <f t="shared" si="850"/>
        <v>0</v>
      </c>
      <c r="DD300" s="88">
        <f t="shared" si="851"/>
        <v>166024.875</v>
      </c>
      <c r="AUV300" s="699">
        <f t="shared" si="758"/>
        <v>97591.75</v>
      </c>
      <c r="AUW300" s="699">
        <f t="shared" si="759"/>
        <v>74955.259999999995</v>
      </c>
      <c r="AUX300" s="699">
        <f t="shared" si="760"/>
        <v>22636.49</v>
      </c>
      <c r="AUY300" s="699">
        <f t="shared" si="761"/>
        <v>6840</v>
      </c>
      <c r="AUZ300" s="699">
        <f t="shared" si="778"/>
        <v>4988.1499999999996</v>
      </c>
      <c r="AVA300" s="699">
        <f t="shared" si="778"/>
        <v>0.83</v>
      </c>
      <c r="AVB300" s="699">
        <f t="shared" si="762"/>
        <v>23360</v>
      </c>
      <c r="AVC300" s="699">
        <f t="shared" si="763"/>
        <v>880</v>
      </c>
      <c r="AVD300" s="699">
        <f t="shared" si="764"/>
        <v>20960</v>
      </c>
      <c r="AVE300" s="699">
        <f t="shared" si="765"/>
        <v>440</v>
      </c>
      <c r="AVF300" s="699">
        <f t="shared" si="766"/>
        <v>1080</v>
      </c>
      <c r="AVG300" s="699">
        <f t="shared" si="767"/>
        <v>5923.75</v>
      </c>
      <c r="AVH300" s="699">
        <f t="shared" si="768"/>
        <v>5800</v>
      </c>
      <c r="AVI300" s="699">
        <f t="shared" si="769"/>
        <v>540</v>
      </c>
      <c r="AVJ300" s="699">
        <f t="shared" si="770"/>
        <v>770</v>
      </c>
      <c r="AVK300" s="699">
        <f t="shared" si="771"/>
        <v>170</v>
      </c>
      <c r="AVL300" s="699">
        <f t="shared" si="772"/>
        <v>200</v>
      </c>
      <c r="AVM300" s="699">
        <f t="shared" si="773"/>
        <v>16719.38</v>
      </c>
      <c r="AVN300" s="699">
        <f t="shared" si="774"/>
        <v>12841.31</v>
      </c>
      <c r="AVO300" s="699">
        <f t="shared" si="775"/>
        <v>3878.07</v>
      </c>
      <c r="AVP300" s="699">
        <f t="shared" si="776"/>
        <v>0</v>
      </c>
      <c r="AVQ300" s="699">
        <f t="shared" si="777"/>
        <v>166024.88</v>
      </c>
    </row>
    <row r="301" spans="1:108 1244:1265" ht="30" customHeight="1" x14ac:dyDescent="0.25">
      <c r="A301" s="643">
        <v>1</v>
      </c>
      <c r="B301" s="643">
        <v>2</v>
      </c>
      <c r="C301" s="664" t="s">
        <v>16</v>
      </c>
      <c r="D301" s="2"/>
      <c r="E301" s="101" t="s">
        <v>344</v>
      </c>
      <c r="F301" s="643" t="s">
        <v>31</v>
      </c>
      <c r="G301" s="643">
        <v>1</v>
      </c>
      <c r="H301" s="658" t="s">
        <v>8</v>
      </c>
      <c r="I301" s="643">
        <v>3</v>
      </c>
      <c r="J301" s="101" t="s">
        <v>389</v>
      </c>
      <c r="K301" s="643">
        <v>1</v>
      </c>
      <c r="L301" s="683" t="s">
        <v>349</v>
      </c>
      <c r="M301" s="11" t="s">
        <v>328</v>
      </c>
      <c r="N301" s="101" t="s">
        <v>387</v>
      </c>
      <c r="O301" s="643">
        <v>1</v>
      </c>
      <c r="P301" s="632">
        <v>19</v>
      </c>
      <c r="Q301" s="632">
        <v>19</v>
      </c>
      <c r="R301" s="632">
        <v>19</v>
      </c>
      <c r="S301" s="675">
        <f>SUMIF('Территориальный кк'!$A:$A,'2020'!$B301,'Территориальный кк'!D:D)</f>
        <v>1.244</v>
      </c>
      <c r="T301" s="676">
        <f>SUMIF('Территориальный кк'!$A:$A,'2020'!$B301,'Территориальный кк'!E:E)</f>
        <v>2.194</v>
      </c>
      <c r="U301" s="618">
        <f>SUMIFS(Нормативы!G:G,Нормативы!$B:$B,$G301,Нормативы!$D:$D,'2020'!$I301,Нормативы!$F:$F,'2020'!$K301)*O301</f>
        <v>5402</v>
      </c>
      <c r="V301" s="618">
        <f t="shared" si="852"/>
        <v>4149</v>
      </c>
      <c r="W301" s="618">
        <f t="shared" si="853"/>
        <v>1253</v>
      </c>
      <c r="X301" s="618">
        <f>SUMIFS(Нормативы!J:J,Нормативы!$B:$B,$G301,Нормативы!$D:$D,'2020'!$I301,Нормативы!$F:$F,'2020'!$K301)</f>
        <v>22</v>
      </c>
      <c r="Y301" s="618">
        <f>SUMIFS(Нормативы!K:K,Нормативы!$B:$B,$G301,Нормативы!$D:$D,'2020'!$I301,Нормативы!$F:$F,'2020'!$K301)</f>
        <v>4</v>
      </c>
      <c r="Z301" s="618">
        <f>SUMIFS(Нормативы!L:L,Нормативы!$B:$B,$G301,Нормативы!$D:$D,'2020'!$I301,Нормативы!$F:$F,'2020'!$K301)</f>
        <v>232</v>
      </c>
      <c r="AA301" s="618">
        <f t="shared" si="854"/>
        <v>371</v>
      </c>
      <c r="AB301" s="618">
        <f>SUMIFS(Нормативы!N:N,Нормативы!$B:$B,$G301,Нормативы!$D:$D,'2020'!$I301,Нормативы!$F:$F,'2020'!$K301)*O301</f>
        <v>52</v>
      </c>
      <c r="AC301" s="618">
        <f>SUMIFS(Нормативы!O:O,Нормативы!$B:$B,$G301,Нормативы!$D:$D,'2020'!$I301,Нормативы!$F:$F,'2020'!$K301)</f>
        <v>214</v>
      </c>
      <c r="AD301" s="618">
        <f>SUMIFS(Нормативы!P:P,Нормативы!$B:$B,$G301,Нормативы!$D:$D,'2020'!$I301,Нормативы!$F:$F,'2020'!$K301)*O301</f>
        <v>31</v>
      </c>
      <c r="AE301" s="618">
        <f>SUMIFS(Нормативы!Q:Q,Нормативы!$B:$B,$G301,Нормативы!$D:$D,'2020'!$I301,Нормативы!$F:$F,'2020'!$K301)</f>
        <v>74</v>
      </c>
      <c r="AF301" s="618">
        <f>SUMIFS(Нормативы!R:R,Нормативы!$B:$B,$G301,Нормативы!$D:$D,'2020'!$I301,Нормативы!$F:$F,'2020'!$K301)</f>
        <v>246</v>
      </c>
      <c r="AG301" s="618">
        <f>SUMIFS(Нормативы!S:S,Нормативы!$B:$B,$G301,Нормативы!$D:$D,'2020'!$I301,Нормативы!$F:$F,'2020'!$K301)</f>
        <v>508</v>
      </c>
      <c r="AH301" s="618">
        <f>SUMIFS(Нормативы!T:T,Нормативы!$B:$B,$G301,Нормативы!$D:$D,'2020'!$I301,Нормативы!$F:$F,'2020'!$K301)</f>
        <v>54</v>
      </c>
      <c r="AI301" s="618">
        <f>SUMIFS(Нормативы!U:U,Нормативы!$B:$B,$G301,Нормативы!$D:$D,'2020'!$I301,Нормативы!$F:$F,'2020'!$K301)</f>
        <v>77</v>
      </c>
      <c r="AJ301" s="618">
        <f>SUMIFS(Нормативы!V:V,Нормативы!$B:$B,$G301,Нормативы!$D:$D,'2020'!$I301,Нормативы!$F:$F,'2020'!$K301)</f>
        <v>8</v>
      </c>
      <c r="AK301" s="618">
        <f>SUMIFS(Нормативы!W:W,Нормативы!$B:$B,$G301,Нормативы!$D:$D,'2020'!$I301,Нормативы!$F:$F,'2020'!$K301)</f>
        <v>30</v>
      </c>
      <c r="AL301" s="618">
        <f>SUMIFS(Нормативы!X:X,Нормативы!$B:$B,$G301,Нормативы!$D:$D,'2020'!$I301,Нормативы!$F:$F,'2020'!$K301)*O301</f>
        <v>1344</v>
      </c>
      <c r="AM301" s="618">
        <f t="shared" si="855"/>
        <v>1032.3</v>
      </c>
      <c r="AN301" s="618">
        <f t="shared" si="856"/>
        <v>311.7</v>
      </c>
      <c r="AO301" s="618">
        <f>SUMIFS(Нормативы!AA:AA,Нормативы!$B:$B,$G301,Нормативы!$D:$D,'2020'!$I301,Нормативы!$F:$F,'2020'!$K301)</f>
        <v>0</v>
      </c>
      <c r="AP301" s="619">
        <f t="shared" si="857"/>
        <v>8294</v>
      </c>
      <c r="AQ301" s="413">
        <f t="shared" si="795"/>
        <v>102638</v>
      </c>
      <c r="AR301" s="618">
        <f t="shared" si="858"/>
        <v>78831</v>
      </c>
      <c r="AS301" s="618">
        <f t="shared" si="859"/>
        <v>23807</v>
      </c>
      <c r="AT301" s="616">
        <f t="shared" si="796"/>
        <v>418</v>
      </c>
      <c r="AU301" s="616">
        <f t="shared" si="797"/>
        <v>76</v>
      </c>
      <c r="AV301" s="616">
        <f t="shared" si="798"/>
        <v>4408</v>
      </c>
      <c r="AW301" s="616">
        <f t="shared" si="799"/>
        <v>7049</v>
      </c>
      <c r="AX301" s="616">
        <f t="shared" si="800"/>
        <v>988</v>
      </c>
      <c r="AY301" s="616">
        <f t="shared" si="801"/>
        <v>4066</v>
      </c>
      <c r="AZ301" s="616">
        <f t="shared" si="802"/>
        <v>589</v>
      </c>
      <c r="BA301" s="616">
        <f t="shared" si="803"/>
        <v>1406</v>
      </c>
      <c r="BB301" s="616">
        <f t="shared" si="804"/>
        <v>4674</v>
      </c>
      <c r="BC301" s="616">
        <f t="shared" si="805"/>
        <v>9652</v>
      </c>
      <c r="BD301" s="616">
        <f t="shared" si="806"/>
        <v>1026</v>
      </c>
      <c r="BE301" s="616">
        <f t="shared" si="807"/>
        <v>1463</v>
      </c>
      <c r="BF301" s="616">
        <f t="shared" si="808"/>
        <v>152</v>
      </c>
      <c r="BG301" s="616">
        <f t="shared" si="809"/>
        <v>570</v>
      </c>
      <c r="BH301" s="616">
        <f t="shared" si="810"/>
        <v>25536</v>
      </c>
      <c r="BI301" s="618">
        <f t="shared" si="860"/>
        <v>19612.900000000001</v>
      </c>
      <c r="BJ301" s="618">
        <f t="shared" si="861"/>
        <v>5923.1</v>
      </c>
      <c r="BK301" s="616">
        <f t="shared" si="811"/>
        <v>0</v>
      </c>
      <c r="BL301" s="620">
        <f t="shared" si="812"/>
        <v>157586</v>
      </c>
      <c r="BM301" s="616">
        <f t="shared" si="813"/>
        <v>127682</v>
      </c>
      <c r="BN301" s="618">
        <f t="shared" si="814"/>
        <v>98066.1</v>
      </c>
      <c r="BO301" s="618">
        <f t="shared" si="815"/>
        <v>29615.9</v>
      </c>
      <c r="BP301" s="616">
        <f t="shared" si="862"/>
        <v>418</v>
      </c>
      <c r="BQ301" s="616">
        <f t="shared" si="863"/>
        <v>76</v>
      </c>
      <c r="BR301" s="616">
        <f t="shared" si="864"/>
        <v>4408</v>
      </c>
      <c r="BS301" s="616">
        <f t="shared" si="816"/>
        <v>7049</v>
      </c>
      <c r="BT301" s="616">
        <f t="shared" si="817"/>
        <v>988</v>
      </c>
      <c r="BU301" s="616">
        <f t="shared" si="818"/>
        <v>4066</v>
      </c>
      <c r="BV301" s="616">
        <f t="shared" si="819"/>
        <v>589</v>
      </c>
      <c r="BW301" s="616">
        <f t="shared" si="820"/>
        <v>1406</v>
      </c>
      <c r="BX301" s="616">
        <f t="shared" si="821"/>
        <v>10255</v>
      </c>
      <c r="BY301" s="616">
        <f t="shared" si="822"/>
        <v>9652</v>
      </c>
      <c r="BZ301" s="616">
        <f t="shared" si="823"/>
        <v>1026</v>
      </c>
      <c r="CA301" s="616">
        <f t="shared" si="824"/>
        <v>1463</v>
      </c>
      <c r="CB301" s="616">
        <f t="shared" si="825"/>
        <v>152</v>
      </c>
      <c r="CC301" s="616">
        <f t="shared" si="826"/>
        <v>570</v>
      </c>
      <c r="CD301" s="616">
        <f t="shared" si="827"/>
        <v>31767</v>
      </c>
      <c r="CE301" s="618">
        <f t="shared" si="865"/>
        <v>24398.6</v>
      </c>
      <c r="CF301" s="618">
        <f t="shared" si="866"/>
        <v>7368.4</v>
      </c>
      <c r="CG301" s="616">
        <f t="shared" si="828"/>
        <v>0</v>
      </c>
      <c r="CH301" s="621">
        <f t="shared" si="829"/>
        <v>194442</v>
      </c>
      <c r="CI301" s="88">
        <f t="shared" si="830"/>
        <v>6720.1053000000002</v>
      </c>
      <c r="CJ301" s="90">
        <f t="shared" si="831"/>
        <v>5161.3737000000001</v>
      </c>
      <c r="CK301" s="90">
        <f t="shared" si="832"/>
        <v>1558.7316000000001</v>
      </c>
      <c r="CL301" s="88">
        <f t="shared" si="833"/>
        <v>22</v>
      </c>
      <c r="CM301" s="88">
        <f t="shared" si="834"/>
        <v>4</v>
      </c>
      <c r="CN301" s="88">
        <f t="shared" si="835"/>
        <v>232</v>
      </c>
      <c r="CO301" s="88">
        <f t="shared" si="836"/>
        <v>371</v>
      </c>
      <c r="CP301" s="88">
        <f t="shared" si="837"/>
        <v>52</v>
      </c>
      <c r="CQ301" s="88">
        <f t="shared" si="838"/>
        <v>214</v>
      </c>
      <c r="CR301" s="88">
        <f t="shared" si="839"/>
        <v>31</v>
      </c>
      <c r="CS301" s="88">
        <f t="shared" si="840"/>
        <v>74</v>
      </c>
      <c r="CT301" s="88">
        <f t="shared" si="841"/>
        <v>539.73680000000002</v>
      </c>
      <c r="CU301" s="88">
        <f t="shared" si="842"/>
        <v>508</v>
      </c>
      <c r="CV301" s="88">
        <f t="shared" si="843"/>
        <v>54</v>
      </c>
      <c r="CW301" s="88">
        <f t="shared" si="844"/>
        <v>77</v>
      </c>
      <c r="CX301" s="88">
        <f t="shared" si="845"/>
        <v>8</v>
      </c>
      <c r="CY301" s="88">
        <f t="shared" si="846"/>
        <v>30</v>
      </c>
      <c r="CZ301" s="88">
        <f t="shared" si="847"/>
        <v>1671.9474</v>
      </c>
      <c r="DA301" s="90">
        <f t="shared" si="848"/>
        <v>1284.1368</v>
      </c>
      <c r="DB301" s="90">
        <f t="shared" si="849"/>
        <v>387.81049999999999</v>
      </c>
      <c r="DC301" s="88">
        <f t="shared" si="850"/>
        <v>0</v>
      </c>
      <c r="DD301" s="88">
        <f t="shared" si="851"/>
        <v>10233.789500000001</v>
      </c>
      <c r="AUV301" s="699">
        <f t="shared" si="758"/>
        <v>6720.11</v>
      </c>
      <c r="AUW301" s="699">
        <f t="shared" si="759"/>
        <v>5161.37</v>
      </c>
      <c r="AUX301" s="699">
        <f t="shared" si="760"/>
        <v>1558.74</v>
      </c>
      <c r="AUY301" s="699">
        <f t="shared" si="761"/>
        <v>22</v>
      </c>
      <c r="AUZ301" s="699">
        <f t="shared" si="778"/>
        <v>34.64</v>
      </c>
      <c r="AVA301" s="699">
        <f t="shared" si="778"/>
        <v>0.82</v>
      </c>
      <c r="AVB301" s="699">
        <f t="shared" si="762"/>
        <v>371</v>
      </c>
      <c r="AVC301" s="699">
        <f t="shared" si="763"/>
        <v>52</v>
      </c>
      <c r="AVD301" s="699">
        <f t="shared" si="764"/>
        <v>214</v>
      </c>
      <c r="AVE301" s="699">
        <f t="shared" si="765"/>
        <v>31</v>
      </c>
      <c r="AVF301" s="699">
        <f t="shared" si="766"/>
        <v>74</v>
      </c>
      <c r="AVG301" s="699">
        <f t="shared" si="767"/>
        <v>539.74</v>
      </c>
      <c r="AVH301" s="699">
        <f t="shared" si="768"/>
        <v>508</v>
      </c>
      <c r="AVI301" s="699">
        <f t="shared" si="769"/>
        <v>54</v>
      </c>
      <c r="AVJ301" s="699">
        <f t="shared" si="770"/>
        <v>77</v>
      </c>
      <c r="AVK301" s="699">
        <f t="shared" si="771"/>
        <v>8</v>
      </c>
      <c r="AVL301" s="699">
        <f t="shared" si="772"/>
        <v>30</v>
      </c>
      <c r="AVM301" s="699">
        <f t="shared" si="773"/>
        <v>1671.95</v>
      </c>
      <c r="AVN301" s="699">
        <f t="shared" si="774"/>
        <v>1284.1400000000001</v>
      </c>
      <c r="AVO301" s="699">
        <f t="shared" si="775"/>
        <v>387.81</v>
      </c>
      <c r="AVP301" s="699">
        <f t="shared" si="776"/>
        <v>0</v>
      </c>
      <c r="AVQ301" s="699">
        <f t="shared" si="777"/>
        <v>10233.790000000001</v>
      </c>
    </row>
    <row r="302" spans="1:108 1244:1265" ht="30" customHeight="1" x14ac:dyDescent="0.25">
      <c r="A302" s="643">
        <v>1</v>
      </c>
      <c r="B302" s="643">
        <v>2</v>
      </c>
      <c r="C302" s="664" t="s">
        <v>16</v>
      </c>
      <c r="D302" s="2"/>
      <c r="E302" s="101" t="s">
        <v>345</v>
      </c>
      <c r="F302" s="643" t="s">
        <v>38</v>
      </c>
      <c r="G302" s="643">
        <v>2</v>
      </c>
      <c r="H302" s="658" t="s">
        <v>8</v>
      </c>
      <c r="I302" s="643">
        <v>3</v>
      </c>
      <c r="J302" s="101" t="s">
        <v>363</v>
      </c>
      <c r="K302" s="643">
        <v>3</v>
      </c>
      <c r="L302" s="683" t="s">
        <v>350</v>
      </c>
      <c r="M302" s="11" t="s">
        <v>300</v>
      </c>
      <c r="N302" s="101" t="s">
        <v>387</v>
      </c>
      <c r="O302" s="643">
        <v>1</v>
      </c>
      <c r="P302" s="632">
        <v>10</v>
      </c>
      <c r="Q302" s="632">
        <v>10</v>
      </c>
      <c r="R302" s="632">
        <v>10</v>
      </c>
      <c r="S302" s="675">
        <f>SUMIF('Территориальный кк'!$A:$A,'2020'!$B302,'Территориальный кк'!D:D)</f>
        <v>1.244</v>
      </c>
      <c r="T302" s="676">
        <f>SUMIF('Территориальный кк'!$A:$A,'2020'!$B302,'Территориальный кк'!E:E)</f>
        <v>2.194</v>
      </c>
      <c r="U302" s="618">
        <f>SUMIFS(Нормативы!G:G,Нормативы!$B:$B,$G302,Нормативы!$D:$D,'2020'!$I302,Нормативы!$F:$F,'2020'!$K302)*O302</f>
        <v>12944</v>
      </c>
      <c r="V302" s="618">
        <f t="shared" si="852"/>
        <v>9941.6</v>
      </c>
      <c r="W302" s="618">
        <f t="shared" si="853"/>
        <v>3002.4</v>
      </c>
      <c r="X302" s="618">
        <f>SUMIFS(Нормативы!J:J,Нормативы!$B:$B,$G302,Нормативы!$D:$D,'2020'!$I302,Нормативы!$F:$F,'2020'!$K302)</f>
        <v>486</v>
      </c>
      <c r="Y302" s="618">
        <f>SUMIFS(Нормативы!K:K,Нормативы!$B:$B,$G302,Нормативы!$D:$D,'2020'!$I302,Нормативы!$F:$F,'2020'!$K302)</f>
        <v>97</v>
      </c>
      <c r="Z302" s="618">
        <f>SUMIFS(Нормативы!L:L,Нормативы!$B:$B,$G302,Нормативы!$D:$D,'2020'!$I302,Нормативы!$F:$F,'2020'!$K302)</f>
        <v>348</v>
      </c>
      <c r="AA302" s="618">
        <f t="shared" si="854"/>
        <v>2031</v>
      </c>
      <c r="AB302" s="618">
        <f>SUMIFS(Нормативы!N:N,Нормативы!$B:$B,$G302,Нормативы!$D:$D,'2020'!$I302,Нормативы!$F:$F,'2020'!$K302)*O302</f>
        <v>52</v>
      </c>
      <c r="AC302" s="618">
        <f>SUMIFS(Нормативы!O:O,Нормативы!$B:$B,$G302,Нормативы!$D:$D,'2020'!$I302,Нормативы!$F:$F,'2020'!$K302)</f>
        <v>1728</v>
      </c>
      <c r="AD302" s="618">
        <f>SUMIFS(Нормативы!P:P,Нормативы!$B:$B,$G302,Нормативы!$D:$D,'2020'!$I302,Нормативы!$F:$F,'2020'!$K302)*O302</f>
        <v>73</v>
      </c>
      <c r="AE302" s="618">
        <f>SUMIFS(Нормативы!Q:Q,Нормативы!$B:$B,$G302,Нормативы!$D:$D,'2020'!$I302,Нормативы!$F:$F,'2020'!$K302)</f>
        <v>178</v>
      </c>
      <c r="AF302" s="618">
        <f>SUMIFS(Нормативы!R:R,Нормативы!$B:$B,$G302,Нормативы!$D:$D,'2020'!$I302,Нормативы!$F:$F,'2020'!$K302)</f>
        <v>275</v>
      </c>
      <c r="AG302" s="618">
        <f>SUMIFS(Нормативы!S:S,Нормативы!$B:$B,$G302,Нормативы!$D:$D,'2020'!$I302,Нормативы!$F:$F,'2020'!$K302)</f>
        <v>580</v>
      </c>
      <c r="AH302" s="618">
        <f>SUMIFS(Нормативы!T:T,Нормативы!$B:$B,$G302,Нормативы!$D:$D,'2020'!$I302,Нормативы!$F:$F,'2020'!$K302)</f>
        <v>54</v>
      </c>
      <c r="AI302" s="618">
        <f>SUMIFS(Нормативы!U:U,Нормативы!$B:$B,$G302,Нормативы!$D:$D,'2020'!$I302,Нормативы!$F:$F,'2020'!$K302)</f>
        <v>77</v>
      </c>
      <c r="AJ302" s="618">
        <f>SUMIFS(Нормативы!V:V,Нормативы!$B:$B,$G302,Нормативы!$D:$D,'2020'!$I302,Нормативы!$F:$F,'2020'!$K302)</f>
        <v>8</v>
      </c>
      <c r="AK302" s="618">
        <f>SUMIFS(Нормативы!W:W,Нормативы!$B:$B,$G302,Нормативы!$D:$D,'2020'!$I302,Нормативы!$F:$F,'2020'!$K302)</f>
        <v>39</v>
      </c>
      <c r="AL302" s="618">
        <f>SUMIFS(Нормативы!X:X,Нормативы!$B:$B,$G302,Нормативы!$D:$D,'2020'!$I302,Нормативы!$F:$F,'2020'!$K302)*O302</f>
        <v>1612</v>
      </c>
      <c r="AM302" s="618">
        <f t="shared" si="855"/>
        <v>1238.0999999999999</v>
      </c>
      <c r="AN302" s="618">
        <f t="shared" si="856"/>
        <v>373.9</v>
      </c>
      <c r="AO302" s="618">
        <f>SUMIFS(Нормативы!AA:AA,Нормативы!$B:$B,$G302,Нормативы!$D:$D,'2020'!$I302,Нормативы!$F:$F,'2020'!$K302)</f>
        <v>0</v>
      </c>
      <c r="AP302" s="619">
        <f t="shared" si="857"/>
        <v>18454</v>
      </c>
      <c r="AQ302" s="413">
        <f t="shared" si="795"/>
        <v>129440</v>
      </c>
      <c r="AR302" s="618">
        <f t="shared" si="858"/>
        <v>99416.3</v>
      </c>
      <c r="AS302" s="618">
        <f t="shared" si="859"/>
        <v>30023.7</v>
      </c>
      <c r="AT302" s="616">
        <f t="shared" si="796"/>
        <v>4860</v>
      </c>
      <c r="AU302" s="616">
        <f t="shared" si="797"/>
        <v>970</v>
      </c>
      <c r="AV302" s="616">
        <f t="shared" si="798"/>
        <v>3480</v>
      </c>
      <c r="AW302" s="616">
        <f t="shared" si="799"/>
        <v>20310</v>
      </c>
      <c r="AX302" s="616">
        <f t="shared" si="800"/>
        <v>520</v>
      </c>
      <c r="AY302" s="616">
        <f t="shared" si="801"/>
        <v>17280</v>
      </c>
      <c r="AZ302" s="616">
        <f t="shared" si="802"/>
        <v>730</v>
      </c>
      <c r="BA302" s="616">
        <f t="shared" si="803"/>
        <v>1780</v>
      </c>
      <c r="BB302" s="616">
        <f t="shared" si="804"/>
        <v>2750</v>
      </c>
      <c r="BC302" s="616">
        <f t="shared" si="805"/>
        <v>5800</v>
      </c>
      <c r="BD302" s="616">
        <f t="shared" si="806"/>
        <v>540</v>
      </c>
      <c r="BE302" s="616">
        <f t="shared" si="807"/>
        <v>770</v>
      </c>
      <c r="BF302" s="616">
        <f t="shared" si="808"/>
        <v>80</v>
      </c>
      <c r="BG302" s="616">
        <f t="shared" si="809"/>
        <v>390</v>
      </c>
      <c r="BH302" s="616">
        <f t="shared" si="810"/>
        <v>16120</v>
      </c>
      <c r="BI302" s="618">
        <f t="shared" si="860"/>
        <v>12381</v>
      </c>
      <c r="BJ302" s="618">
        <f t="shared" si="861"/>
        <v>3739</v>
      </c>
      <c r="BK302" s="616">
        <f t="shared" si="811"/>
        <v>0</v>
      </c>
      <c r="BL302" s="620">
        <f t="shared" si="812"/>
        <v>184540</v>
      </c>
      <c r="BM302" s="616">
        <f t="shared" si="813"/>
        <v>161023</v>
      </c>
      <c r="BN302" s="618">
        <f t="shared" si="814"/>
        <v>123673.60000000001</v>
      </c>
      <c r="BO302" s="618">
        <f t="shared" si="815"/>
        <v>37349.4</v>
      </c>
      <c r="BP302" s="616">
        <f t="shared" si="862"/>
        <v>4860</v>
      </c>
      <c r="BQ302" s="616">
        <f t="shared" si="863"/>
        <v>970</v>
      </c>
      <c r="BR302" s="616">
        <f t="shared" si="864"/>
        <v>3480</v>
      </c>
      <c r="BS302" s="616">
        <f t="shared" si="816"/>
        <v>20310</v>
      </c>
      <c r="BT302" s="616">
        <f t="shared" si="817"/>
        <v>520</v>
      </c>
      <c r="BU302" s="616">
        <f t="shared" si="818"/>
        <v>17280</v>
      </c>
      <c r="BV302" s="616">
        <f t="shared" si="819"/>
        <v>730</v>
      </c>
      <c r="BW302" s="616">
        <f t="shared" si="820"/>
        <v>1780</v>
      </c>
      <c r="BX302" s="616">
        <f t="shared" si="821"/>
        <v>6034</v>
      </c>
      <c r="BY302" s="616">
        <f t="shared" si="822"/>
        <v>5800</v>
      </c>
      <c r="BZ302" s="616">
        <f t="shared" si="823"/>
        <v>540</v>
      </c>
      <c r="CA302" s="616">
        <f t="shared" si="824"/>
        <v>770</v>
      </c>
      <c r="CB302" s="616">
        <f t="shared" si="825"/>
        <v>80</v>
      </c>
      <c r="CC302" s="616">
        <f t="shared" si="826"/>
        <v>390</v>
      </c>
      <c r="CD302" s="616">
        <f t="shared" si="827"/>
        <v>20053</v>
      </c>
      <c r="CE302" s="618">
        <f t="shared" si="865"/>
        <v>15401.7</v>
      </c>
      <c r="CF302" s="618">
        <f t="shared" si="866"/>
        <v>4651.3</v>
      </c>
      <c r="CG302" s="616">
        <f t="shared" si="828"/>
        <v>0</v>
      </c>
      <c r="CH302" s="621">
        <f t="shared" si="829"/>
        <v>223340</v>
      </c>
      <c r="CI302" s="88">
        <f t="shared" si="830"/>
        <v>16102.3</v>
      </c>
      <c r="CJ302" s="90">
        <f t="shared" si="831"/>
        <v>12367.36</v>
      </c>
      <c r="CK302" s="90">
        <f t="shared" si="832"/>
        <v>3734.94</v>
      </c>
      <c r="CL302" s="88">
        <f t="shared" si="833"/>
        <v>486</v>
      </c>
      <c r="CM302" s="88">
        <f t="shared" si="834"/>
        <v>97</v>
      </c>
      <c r="CN302" s="88">
        <f t="shared" si="835"/>
        <v>348</v>
      </c>
      <c r="CO302" s="88">
        <f t="shared" si="836"/>
        <v>2031</v>
      </c>
      <c r="CP302" s="88">
        <f t="shared" si="837"/>
        <v>52</v>
      </c>
      <c r="CQ302" s="88">
        <f t="shared" si="838"/>
        <v>1728</v>
      </c>
      <c r="CR302" s="88">
        <f t="shared" si="839"/>
        <v>73</v>
      </c>
      <c r="CS302" s="88">
        <f t="shared" si="840"/>
        <v>178</v>
      </c>
      <c r="CT302" s="88">
        <f t="shared" si="841"/>
        <v>603.4</v>
      </c>
      <c r="CU302" s="88">
        <f t="shared" si="842"/>
        <v>580</v>
      </c>
      <c r="CV302" s="88">
        <f t="shared" si="843"/>
        <v>54</v>
      </c>
      <c r="CW302" s="88">
        <f t="shared" si="844"/>
        <v>77</v>
      </c>
      <c r="CX302" s="88">
        <f t="shared" si="845"/>
        <v>8</v>
      </c>
      <c r="CY302" s="88">
        <f t="shared" si="846"/>
        <v>39</v>
      </c>
      <c r="CZ302" s="88">
        <f t="shared" si="847"/>
        <v>2005.3</v>
      </c>
      <c r="DA302" s="90">
        <f t="shared" si="848"/>
        <v>1540.17</v>
      </c>
      <c r="DB302" s="90">
        <f t="shared" si="849"/>
        <v>465.13</v>
      </c>
      <c r="DC302" s="88">
        <f t="shared" si="850"/>
        <v>0</v>
      </c>
      <c r="DD302" s="88">
        <f t="shared" si="851"/>
        <v>22334</v>
      </c>
      <c r="AUV302" s="699">
        <f t="shared" si="758"/>
        <v>16102.3</v>
      </c>
      <c r="AUW302" s="699">
        <f t="shared" si="759"/>
        <v>12367.36</v>
      </c>
      <c r="AUX302" s="699">
        <f t="shared" si="760"/>
        <v>3734.94</v>
      </c>
      <c r="AUY302" s="699">
        <f t="shared" si="761"/>
        <v>486</v>
      </c>
      <c r="AUZ302" s="699">
        <f t="shared" si="778"/>
        <v>442.11</v>
      </c>
      <c r="AVA302" s="699">
        <f t="shared" si="778"/>
        <v>0.27</v>
      </c>
      <c r="AVB302" s="699">
        <f t="shared" si="762"/>
        <v>2031</v>
      </c>
      <c r="AVC302" s="699">
        <f t="shared" si="763"/>
        <v>52</v>
      </c>
      <c r="AVD302" s="699">
        <f t="shared" si="764"/>
        <v>1728</v>
      </c>
      <c r="AVE302" s="699">
        <f t="shared" si="765"/>
        <v>73</v>
      </c>
      <c r="AVF302" s="699">
        <f t="shared" si="766"/>
        <v>178</v>
      </c>
      <c r="AVG302" s="699">
        <f t="shared" si="767"/>
        <v>603.4</v>
      </c>
      <c r="AVH302" s="699">
        <f t="shared" si="768"/>
        <v>580</v>
      </c>
      <c r="AVI302" s="699">
        <f t="shared" si="769"/>
        <v>54</v>
      </c>
      <c r="AVJ302" s="699">
        <f t="shared" si="770"/>
        <v>77</v>
      </c>
      <c r="AVK302" s="699">
        <f t="shared" si="771"/>
        <v>8</v>
      </c>
      <c r="AVL302" s="699">
        <f t="shared" si="772"/>
        <v>39</v>
      </c>
      <c r="AVM302" s="699">
        <f t="shared" si="773"/>
        <v>2005.3</v>
      </c>
      <c r="AVN302" s="699">
        <f t="shared" si="774"/>
        <v>1540.17</v>
      </c>
      <c r="AVO302" s="699">
        <f t="shared" si="775"/>
        <v>465.13</v>
      </c>
      <c r="AVP302" s="699">
        <f t="shared" si="776"/>
        <v>0</v>
      </c>
      <c r="AVQ302" s="699">
        <f t="shared" si="777"/>
        <v>22334</v>
      </c>
    </row>
    <row r="303" spans="1:108 1244:1265" ht="30" customHeight="1" x14ac:dyDescent="0.25">
      <c r="A303" s="643">
        <v>1</v>
      </c>
      <c r="B303" s="643">
        <v>8</v>
      </c>
      <c r="C303" s="664" t="s">
        <v>22</v>
      </c>
      <c r="D303" s="2"/>
      <c r="E303" s="101" t="s">
        <v>344</v>
      </c>
      <c r="F303" s="643" t="s">
        <v>31</v>
      </c>
      <c r="G303" s="643">
        <v>1</v>
      </c>
      <c r="H303" s="658" t="s">
        <v>10</v>
      </c>
      <c r="I303" s="643">
        <v>0</v>
      </c>
      <c r="J303" s="101" t="s">
        <v>395</v>
      </c>
      <c r="K303" s="643">
        <v>1</v>
      </c>
      <c r="L303" s="683" t="s">
        <v>349</v>
      </c>
      <c r="M303" s="11" t="s">
        <v>329</v>
      </c>
      <c r="N303" s="101" t="s">
        <v>387</v>
      </c>
      <c r="O303" s="643">
        <v>1</v>
      </c>
      <c r="P303" s="632"/>
      <c r="Q303" s="632"/>
      <c r="R303" s="632"/>
      <c r="S303" s="675">
        <f>SUMIF('Территориальный кк'!$A:$A,'2020'!$B303,'Территориальный кк'!D:D)</f>
        <v>1.504</v>
      </c>
      <c r="T303" s="676">
        <f>SUMIF('Территориальный кк'!$A:$A,'2020'!$B303,'Территориальный кк'!E:E)</f>
        <v>2.4710000000000001</v>
      </c>
      <c r="U303" s="618">
        <f>SUMIFS(Нормативы!G:G,Нормативы!$B:$B,$G303,Нормативы!$D:$D,'2020'!$I303,Нормативы!$F:$F,'2020'!$K303)*O303</f>
        <v>54020</v>
      </c>
      <c r="V303" s="618">
        <f t="shared" si="852"/>
        <v>41490</v>
      </c>
      <c r="W303" s="618">
        <f t="shared" si="853"/>
        <v>12530</v>
      </c>
      <c r="X303" s="618">
        <f>SUMIFS(Нормативы!J:J,Нормативы!$B:$B,$G303,Нормативы!$D:$D,'2020'!$I303,Нормативы!$F:$F,'2020'!$K303)</f>
        <v>220</v>
      </c>
      <c r="Y303" s="618">
        <f>SUMIFS(Нормативы!K:K,Нормативы!$B:$B,$G303,Нормативы!$D:$D,'2020'!$I303,Нормативы!$F:$F,'2020'!$K303)</f>
        <v>44</v>
      </c>
      <c r="Z303" s="618">
        <f>SUMIFS(Нормативы!L:L,Нормативы!$B:$B,$G303,Нормативы!$D:$D,'2020'!$I303,Нормативы!$F:$F,'2020'!$K303)</f>
        <v>2320</v>
      </c>
      <c r="AA303" s="618">
        <f t="shared" si="854"/>
        <v>3710</v>
      </c>
      <c r="AB303" s="618">
        <f>SUMIFS(Нормативы!N:N,Нормативы!$B:$B,$G303,Нормативы!$D:$D,'2020'!$I303,Нормативы!$F:$F,'2020'!$K303)*O303</f>
        <v>520</v>
      </c>
      <c r="AC303" s="618">
        <f>SUMIFS(Нормативы!O:O,Нормативы!$B:$B,$G303,Нормативы!$D:$D,'2020'!$I303,Нормативы!$F:$F,'2020'!$K303)</f>
        <v>2140</v>
      </c>
      <c r="AD303" s="618">
        <f>SUMIFS(Нормативы!P:P,Нормативы!$B:$B,$G303,Нормативы!$D:$D,'2020'!$I303,Нормативы!$F:$F,'2020'!$K303)*O303</f>
        <v>310</v>
      </c>
      <c r="AE303" s="618">
        <f>SUMIFS(Нормативы!Q:Q,Нормативы!$B:$B,$G303,Нормативы!$D:$D,'2020'!$I303,Нормативы!$F:$F,'2020'!$K303)</f>
        <v>740</v>
      </c>
      <c r="AF303" s="618">
        <f>SUMIFS(Нормативы!R:R,Нормативы!$B:$B,$G303,Нормативы!$D:$D,'2020'!$I303,Нормативы!$F:$F,'2020'!$K303)</f>
        <v>2460</v>
      </c>
      <c r="AG303" s="618">
        <f>SUMIFS(Нормативы!S:S,Нормативы!$B:$B,$G303,Нормативы!$D:$D,'2020'!$I303,Нормативы!$F:$F,'2020'!$K303)</f>
        <v>5080</v>
      </c>
      <c r="AH303" s="618">
        <f>SUMIFS(Нормативы!T:T,Нормативы!$B:$B,$G303,Нормативы!$D:$D,'2020'!$I303,Нормативы!$F:$F,'2020'!$K303)</f>
        <v>540</v>
      </c>
      <c r="AI303" s="618">
        <f>SUMIFS(Нормативы!U:U,Нормативы!$B:$B,$G303,Нормативы!$D:$D,'2020'!$I303,Нормативы!$F:$F,'2020'!$K303)</f>
        <v>770</v>
      </c>
      <c r="AJ303" s="618">
        <f>SUMIFS(Нормативы!V:V,Нормативы!$B:$B,$G303,Нормативы!$D:$D,'2020'!$I303,Нормативы!$F:$F,'2020'!$K303)</f>
        <v>80</v>
      </c>
      <c r="AK303" s="618">
        <f>SUMIFS(Нормативы!W:W,Нормативы!$B:$B,$G303,Нормативы!$D:$D,'2020'!$I303,Нормативы!$F:$F,'2020'!$K303)</f>
        <v>300</v>
      </c>
      <c r="AL303" s="618">
        <f>SUMIFS(Нормативы!X:X,Нормативы!$B:$B,$G303,Нормативы!$D:$D,'2020'!$I303,Нормативы!$F:$F,'2020'!$K303)*O303</f>
        <v>13440</v>
      </c>
      <c r="AM303" s="618">
        <f t="shared" si="855"/>
        <v>10322.6</v>
      </c>
      <c r="AN303" s="618">
        <f t="shared" si="856"/>
        <v>3117.4</v>
      </c>
      <c r="AO303" s="618">
        <f>SUMIFS(Нормативы!AA:AA,Нормативы!$B:$B,$G303,Нормативы!$D:$D,'2020'!$I303,Нормативы!$F:$F,'2020'!$K303)</f>
        <v>3520</v>
      </c>
      <c r="AP303" s="619">
        <f t="shared" si="857"/>
        <v>86460</v>
      </c>
      <c r="AQ303" s="413">
        <f t="shared" si="795"/>
        <v>0</v>
      </c>
      <c r="AR303" s="618">
        <f t="shared" si="858"/>
        <v>0</v>
      </c>
      <c r="AS303" s="618">
        <f t="shared" si="859"/>
        <v>0</v>
      </c>
      <c r="AT303" s="616">
        <f t="shared" si="796"/>
        <v>0</v>
      </c>
      <c r="AU303" s="616">
        <f t="shared" si="797"/>
        <v>0</v>
      </c>
      <c r="AV303" s="616">
        <f t="shared" si="798"/>
        <v>0</v>
      </c>
      <c r="AW303" s="616">
        <f t="shared" si="799"/>
        <v>0</v>
      </c>
      <c r="AX303" s="616">
        <f t="shared" si="800"/>
        <v>0</v>
      </c>
      <c r="AY303" s="616">
        <f t="shared" si="801"/>
        <v>0</v>
      </c>
      <c r="AZ303" s="616">
        <f t="shared" si="802"/>
        <v>0</v>
      </c>
      <c r="BA303" s="616">
        <f t="shared" si="803"/>
        <v>0</v>
      </c>
      <c r="BB303" s="616">
        <f t="shared" si="804"/>
        <v>0</v>
      </c>
      <c r="BC303" s="616">
        <f t="shared" si="805"/>
        <v>0</v>
      </c>
      <c r="BD303" s="616">
        <f t="shared" si="806"/>
        <v>0</v>
      </c>
      <c r="BE303" s="616">
        <f t="shared" si="807"/>
        <v>0</v>
      </c>
      <c r="BF303" s="616">
        <f t="shared" si="808"/>
        <v>0</v>
      </c>
      <c r="BG303" s="616">
        <f t="shared" si="809"/>
        <v>0</v>
      </c>
      <c r="BH303" s="616">
        <f t="shared" si="810"/>
        <v>0</v>
      </c>
      <c r="BI303" s="618">
        <f t="shared" si="860"/>
        <v>0</v>
      </c>
      <c r="BJ303" s="618">
        <f t="shared" si="861"/>
        <v>0</v>
      </c>
      <c r="BK303" s="616">
        <f t="shared" si="811"/>
        <v>0</v>
      </c>
      <c r="BL303" s="620">
        <f t="shared" si="812"/>
        <v>0</v>
      </c>
      <c r="BM303" s="616">
        <f t="shared" si="813"/>
        <v>0</v>
      </c>
      <c r="BN303" s="618">
        <f t="shared" si="814"/>
        <v>0</v>
      </c>
      <c r="BO303" s="618">
        <f t="shared" si="815"/>
        <v>0</v>
      </c>
      <c r="BP303" s="616">
        <f t="shared" si="862"/>
        <v>0</v>
      </c>
      <c r="BQ303" s="616">
        <f t="shared" si="863"/>
        <v>0</v>
      </c>
      <c r="BR303" s="616">
        <f t="shared" si="864"/>
        <v>0</v>
      </c>
      <c r="BS303" s="616">
        <f t="shared" si="816"/>
        <v>0</v>
      </c>
      <c r="BT303" s="616">
        <f t="shared" si="817"/>
        <v>0</v>
      </c>
      <c r="BU303" s="616">
        <f t="shared" si="818"/>
        <v>0</v>
      </c>
      <c r="BV303" s="616">
        <f t="shared" si="819"/>
        <v>0</v>
      </c>
      <c r="BW303" s="616">
        <f t="shared" si="820"/>
        <v>0</v>
      </c>
      <c r="BX303" s="616">
        <f t="shared" si="821"/>
        <v>0</v>
      </c>
      <c r="BY303" s="616">
        <f t="shared" si="822"/>
        <v>0</v>
      </c>
      <c r="BZ303" s="616">
        <f t="shared" si="823"/>
        <v>0</v>
      </c>
      <c r="CA303" s="616">
        <f t="shared" si="824"/>
        <v>0</v>
      </c>
      <c r="CB303" s="616">
        <f t="shared" si="825"/>
        <v>0</v>
      </c>
      <c r="CC303" s="616">
        <f t="shared" si="826"/>
        <v>0</v>
      </c>
      <c r="CD303" s="616">
        <f t="shared" si="827"/>
        <v>0</v>
      </c>
      <c r="CE303" s="618">
        <f t="shared" si="865"/>
        <v>0</v>
      </c>
      <c r="CF303" s="618">
        <f t="shared" si="866"/>
        <v>0</v>
      </c>
      <c r="CG303" s="616">
        <f t="shared" si="828"/>
        <v>0</v>
      </c>
      <c r="CH303" s="621">
        <f t="shared" si="829"/>
        <v>0</v>
      </c>
      <c r="CI303" s="88" t="e">
        <f t="shared" si="830"/>
        <v>#DIV/0!</v>
      </c>
      <c r="CJ303" s="90" t="e">
        <f t="shared" si="831"/>
        <v>#DIV/0!</v>
      </c>
      <c r="CK303" s="90" t="e">
        <f t="shared" si="832"/>
        <v>#DIV/0!</v>
      </c>
      <c r="CL303" s="88" t="e">
        <f t="shared" si="833"/>
        <v>#DIV/0!</v>
      </c>
      <c r="CM303" s="88" t="e">
        <f t="shared" si="834"/>
        <v>#DIV/0!</v>
      </c>
      <c r="CN303" s="88" t="e">
        <f t="shared" si="835"/>
        <v>#DIV/0!</v>
      </c>
      <c r="CO303" s="88" t="e">
        <f t="shared" si="836"/>
        <v>#DIV/0!</v>
      </c>
      <c r="CP303" s="88" t="e">
        <f t="shared" si="837"/>
        <v>#DIV/0!</v>
      </c>
      <c r="CQ303" s="88" t="e">
        <f t="shared" si="838"/>
        <v>#DIV/0!</v>
      </c>
      <c r="CR303" s="88" t="e">
        <f t="shared" si="839"/>
        <v>#DIV/0!</v>
      </c>
      <c r="CS303" s="88" t="e">
        <f t="shared" si="840"/>
        <v>#DIV/0!</v>
      </c>
      <c r="CT303" s="88" t="e">
        <f t="shared" si="841"/>
        <v>#DIV/0!</v>
      </c>
      <c r="CU303" s="88" t="e">
        <f t="shared" si="842"/>
        <v>#DIV/0!</v>
      </c>
      <c r="CV303" s="88" t="e">
        <f t="shared" si="843"/>
        <v>#DIV/0!</v>
      </c>
      <c r="CW303" s="88" t="e">
        <f t="shared" si="844"/>
        <v>#DIV/0!</v>
      </c>
      <c r="CX303" s="88" t="e">
        <f t="shared" si="845"/>
        <v>#DIV/0!</v>
      </c>
      <c r="CY303" s="88" t="e">
        <f t="shared" si="846"/>
        <v>#DIV/0!</v>
      </c>
      <c r="CZ303" s="88" t="e">
        <f t="shared" si="847"/>
        <v>#DIV/0!</v>
      </c>
      <c r="DA303" s="90" t="e">
        <f t="shared" si="848"/>
        <v>#DIV/0!</v>
      </c>
      <c r="DB303" s="90" t="e">
        <f t="shared" si="849"/>
        <v>#DIV/0!</v>
      </c>
      <c r="DC303" s="88" t="e">
        <f t="shared" si="850"/>
        <v>#DIV/0!</v>
      </c>
      <c r="DD303" s="88" t="e">
        <f t="shared" si="851"/>
        <v>#DIV/0!</v>
      </c>
      <c r="AUV303" s="699">
        <v>0</v>
      </c>
      <c r="AUW303" s="699">
        <f t="shared" si="759"/>
        <v>0</v>
      </c>
      <c r="AUX303" s="699">
        <f t="shared" si="760"/>
        <v>0</v>
      </c>
      <c r="AUY303" s="699">
        <f t="shared" si="778"/>
        <v>0</v>
      </c>
      <c r="AUZ303" s="699">
        <f t="shared" si="778"/>
        <v>0</v>
      </c>
      <c r="AVA303" s="699">
        <f t="shared" si="778"/>
        <v>0</v>
      </c>
      <c r="AVB303" s="699">
        <f t="shared" si="778"/>
        <v>0</v>
      </c>
      <c r="AVC303" s="697"/>
      <c r="AVD303" s="697"/>
      <c r="AVE303" s="697"/>
      <c r="AVF303" s="697"/>
      <c r="AVG303" s="697"/>
      <c r="AVH303" s="697"/>
      <c r="AVI303" s="697"/>
      <c r="AVJ303" s="697"/>
      <c r="AVK303" s="697"/>
      <c r="AVL303" s="697"/>
      <c r="AVM303" s="697"/>
      <c r="AVN303" s="697"/>
      <c r="AVO303" s="697"/>
      <c r="AVP303" s="697"/>
      <c r="AVQ303" s="697"/>
    </row>
    <row r="304" spans="1:108 1244:1265" ht="30" customHeight="1" x14ac:dyDescent="0.25">
      <c r="A304" s="643">
        <v>1</v>
      </c>
      <c r="B304" s="643">
        <v>8</v>
      </c>
      <c r="C304" s="664" t="s">
        <v>22</v>
      </c>
      <c r="D304" s="2"/>
      <c r="E304" s="101" t="s">
        <v>344</v>
      </c>
      <c r="F304" s="643" t="s">
        <v>31</v>
      </c>
      <c r="G304" s="643">
        <v>1</v>
      </c>
      <c r="H304" s="658" t="s">
        <v>10</v>
      </c>
      <c r="I304" s="643">
        <v>0</v>
      </c>
      <c r="J304" s="101" t="s">
        <v>354</v>
      </c>
      <c r="K304" s="643">
        <v>1</v>
      </c>
      <c r="L304" s="683" t="s">
        <v>349</v>
      </c>
      <c r="M304" s="11" t="s">
        <v>253</v>
      </c>
      <c r="N304" s="101" t="s">
        <v>387</v>
      </c>
      <c r="O304" s="643">
        <v>1</v>
      </c>
      <c r="P304" s="632">
        <v>20</v>
      </c>
      <c r="Q304" s="632">
        <v>20</v>
      </c>
      <c r="R304" s="632">
        <v>20</v>
      </c>
      <c r="S304" s="675">
        <f>SUMIF('Территориальный кк'!$A:$A,'2020'!$B304,'Территориальный кк'!D:D)</f>
        <v>1.504</v>
      </c>
      <c r="T304" s="676">
        <f>SUMIF('Территориальный кк'!$A:$A,'2020'!$B304,'Территориальный кк'!E:E)</f>
        <v>2.4710000000000001</v>
      </c>
      <c r="U304" s="618">
        <f>SUMIFS(Нормативы!G:G,Нормативы!$B:$B,$G304,Нормативы!$D:$D,'2020'!$I304,Нормативы!$F:$F,'2020'!$K304)*O304</f>
        <v>54020</v>
      </c>
      <c r="V304" s="618">
        <f t="shared" si="852"/>
        <v>41490</v>
      </c>
      <c r="W304" s="618">
        <f t="shared" si="853"/>
        <v>12530</v>
      </c>
      <c r="X304" s="618">
        <f>SUMIFS(Нормативы!J:J,Нормативы!$B:$B,$G304,Нормативы!$D:$D,'2020'!$I304,Нормативы!$F:$F,'2020'!$K304)</f>
        <v>220</v>
      </c>
      <c r="Y304" s="618">
        <f>SUMIFS(Нормативы!K:K,Нормативы!$B:$B,$G304,Нормативы!$D:$D,'2020'!$I304,Нормативы!$F:$F,'2020'!$K304)</f>
        <v>44</v>
      </c>
      <c r="Z304" s="618">
        <f>SUMIFS(Нормативы!L:L,Нормативы!$B:$B,$G304,Нормативы!$D:$D,'2020'!$I304,Нормативы!$F:$F,'2020'!$K304)</f>
        <v>2320</v>
      </c>
      <c r="AA304" s="618">
        <f t="shared" si="854"/>
        <v>3710</v>
      </c>
      <c r="AB304" s="618">
        <f>SUMIFS(Нормативы!N:N,Нормативы!$B:$B,$G304,Нормативы!$D:$D,'2020'!$I304,Нормативы!$F:$F,'2020'!$K304)*O304</f>
        <v>520</v>
      </c>
      <c r="AC304" s="618">
        <f>SUMIFS(Нормативы!O:O,Нормативы!$B:$B,$G304,Нормативы!$D:$D,'2020'!$I304,Нормативы!$F:$F,'2020'!$K304)</f>
        <v>2140</v>
      </c>
      <c r="AD304" s="618">
        <f>SUMIFS(Нормативы!P:P,Нормативы!$B:$B,$G304,Нормативы!$D:$D,'2020'!$I304,Нормативы!$F:$F,'2020'!$K304)*O304</f>
        <v>310</v>
      </c>
      <c r="AE304" s="618">
        <f>SUMIFS(Нормативы!Q:Q,Нормативы!$B:$B,$G304,Нормативы!$D:$D,'2020'!$I304,Нормативы!$F:$F,'2020'!$K304)</f>
        <v>740</v>
      </c>
      <c r="AF304" s="618">
        <f>SUMIFS(Нормативы!R:R,Нормативы!$B:$B,$G304,Нормативы!$D:$D,'2020'!$I304,Нормативы!$F:$F,'2020'!$K304)</f>
        <v>2460</v>
      </c>
      <c r="AG304" s="618">
        <f>SUMIFS(Нормативы!S:S,Нормативы!$B:$B,$G304,Нормативы!$D:$D,'2020'!$I304,Нормативы!$F:$F,'2020'!$K304)</f>
        <v>5080</v>
      </c>
      <c r="AH304" s="618">
        <f>SUMIFS(Нормативы!T:T,Нормативы!$B:$B,$G304,Нормативы!$D:$D,'2020'!$I304,Нормативы!$F:$F,'2020'!$K304)</f>
        <v>540</v>
      </c>
      <c r="AI304" s="618">
        <f>SUMIFS(Нормативы!U:U,Нормативы!$B:$B,$G304,Нормативы!$D:$D,'2020'!$I304,Нормативы!$F:$F,'2020'!$K304)</f>
        <v>770</v>
      </c>
      <c r="AJ304" s="618">
        <f>SUMIFS(Нормативы!V:V,Нормативы!$B:$B,$G304,Нормативы!$D:$D,'2020'!$I304,Нормативы!$F:$F,'2020'!$K304)</f>
        <v>80</v>
      </c>
      <c r="AK304" s="618">
        <f>SUMIFS(Нормативы!W:W,Нормативы!$B:$B,$G304,Нормативы!$D:$D,'2020'!$I304,Нормативы!$F:$F,'2020'!$K304)</f>
        <v>300</v>
      </c>
      <c r="AL304" s="618">
        <f>SUMIFS(Нормативы!X:X,Нормативы!$B:$B,$G304,Нормативы!$D:$D,'2020'!$I304,Нормативы!$F:$F,'2020'!$K304)*O304</f>
        <v>13440</v>
      </c>
      <c r="AM304" s="618">
        <f t="shared" si="855"/>
        <v>10322.6</v>
      </c>
      <c r="AN304" s="618">
        <f t="shared" si="856"/>
        <v>3117.4</v>
      </c>
      <c r="AO304" s="618">
        <f>SUMIFS(Нормативы!AA:AA,Нормативы!$B:$B,$G304,Нормативы!$D:$D,'2020'!$I304,Нормативы!$F:$F,'2020'!$K304)</f>
        <v>3520</v>
      </c>
      <c r="AP304" s="619">
        <f t="shared" si="857"/>
        <v>86460</v>
      </c>
      <c r="AQ304" s="413">
        <f t="shared" si="795"/>
        <v>1080400</v>
      </c>
      <c r="AR304" s="618">
        <f t="shared" si="858"/>
        <v>829800.3</v>
      </c>
      <c r="AS304" s="618">
        <f t="shared" si="859"/>
        <v>250599.7</v>
      </c>
      <c r="AT304" s="616">
        <f t="shared" si="796"/>
        <v>4400</v>
      </c>
      <c r="AU304" s="616">
        <f t="shared" si="797"/>
        <v>880</v>
      </c>
      <c r="AV304" s="616">
        <f t="shared" si="798"/>
        <v>46400</v>
      </c>
      <c r="AW304" s="616">
        <f t="shared" si="799"/>
        <v>74200</v>
      </c>
      <c r="AX304" s="616">
        <f t="shared" si="800"/>
        <v>10400</v>
      </c>
      <c r="AY304" s="616">
        <f t="shared" si="801"/>
        <v>42800</v>
      </c>
      <c r="AZ304" s="616">
        <f t="shared" si="802"/>
        <v>6200</v>
      </c>
      <c r="BA304" s="616">
        <f t="shared" si="803"/>
        <v>14800</v>
      </c>
      <c r="BB304" s="616">
        <f t="shared" si="804"/>
        <v>49200</v>
      </c>
      <c r="BC304" s="616">
        <f t="shared" si="805"/>
        <v>101600</v>
      </c>
      <c r="BD304" s="616">
        <f t="shared" si="806"/>
        <v>10800</v>
      </c>
      <c r="BE304" s="616">
        <f t="shared" si="807"/>
        <v>15400</v>
      </c>
      <c r="BF304" s="616">
        <f t="shared" si="808"/>
        <v>1600</v>
      </c>
      <c r="BG304" s="616">
        <f t="shared" si="809"/>
        <v>6000</v>
      </c>
      <c r="BH304" s="616">
        <f t="shared" si="810"/>
        <v>268800</v>
      </c>
      <c r="BI304" s="618">
        <f t="shared" si="860"/>
        <v>206451.6</v>
      </c>
      <c r="BJ304" s="618">
        <f t="shared" si="861"/>
        <v>62348.4</v>
      </c>
      <c r="BK304" s="616">
        <f t="shared" si="811"/>
        <v>70400</v>
      </c>
      <c r="BL304" s="620">
        <f t="shared" si="812"/>
        <v>1729200</v>
      </c>
      <c r="BM304" s="616">
        <f t="shared" si="813"/>
        <v>1624922</v>
      </c>
      <c r="BN304" s="618">
        <f t="shared" si="814"/>
        <v>1248020</v>
      </c>
      <c r="BO304" s="618">
        <f t="shared" si="815"/>
        <v>376902</v>
      </c>
      <c r="BP304" s="616">
        <f t="shared" si="862"/>
        <v>4400</v>
      </c>
      <c r="BQ304" s="616">
        <f t="shared" si="863"/>
        <v>880</v>
      </c>
      <c r="BR304" s="616">
        <f t="shared" si="864"/>
        <v>46400</v>
      </c>
      <c r="BS304" s="616">
        <f t="shared" si="816"/>
        <v>74200</v>
      </c>
      <c r="BT304" s="616">
        <f t="shared" si="817"/>
        <v>10400</v>
      </c>
      <c r="BU304" s="616">
        <f t="shared" si="818"/>
        <v>42800</v>
      </c>
      <c r="BV304" s="616">
        <f t="shared" si="819"/>
        <v>6200</v>
      </c>
      <c r="BW304" s="616">
        <f t="shared" si="820"/>
        <v>14800</v>
      </c>
      <c r="BX304" s="616">
        <f t="shared" si="821"/>
        <v>121573</v>
      </c>
      <c r="BY304" s="616">
        <f t="shared" si="822"/>
        <v>101600</v>
      </c>
      <c r="BZ304" s="616">
        <f t="shared" si="823"/>
        <v>10800</v>
      </c>
      <c r="CA304" s="616">
        <f t="shared" si="824"/>
        <v>15400</v>
      </c>
      <c r="CB304" s="616">
        <f t="shared" si="825"/>
        <v>1600</v>
      </c>
      <c r="CC304" s="616">
        <f t="shared" si="826"/>
        <v>6000</v>
      </c>
      <c r="CD304" s="616">
        <f t="shared" si="827"/>
        <v>404275</v>
      </c>
      <c r="CE304" s="618">
        <f t="shared" si="865"/>
        <v>310503.09999999998</v>
      </c>
      <c r="CF304" s="618">
        <f t="shared" si="866"/>
        <v>93771.9</v>
      </c>
      <c r="CG304" s="616">
        <f t="shared" si="828"/>
        <v>70400</v>
      </c>
      <c r="CH304" s="621">
        <f t="shared" si="829"/>
        <v>2481570</v>
      </c>
      <c r="CI304" s="88">
        <f t="shared" si="830"/>
        <v>81246.100000000006</v>
      </c>
      <c r="CJ304" s="90">
        <f t="shared" si="831"/>
        <v>62401</v>
      </c>
      <c r="CK304" s="90">
        <f t="shared" si="832"/>
        <v>18845.099999999999</v>
      </c>
      <c r="CL304" s="88">
        <f t="shared" si="833"/>
        <v>220</v>
      </c>
      <c r="CM304" s="88">
        <f t="shared" si="834"/>
        <v>44</v>
      </c>
      <c r="CN304" s="88">
        <f t="shared" si="835"/>
        <v>2320</v>
      </c>
      <c r="CO304" s="88">
        <f t="shared" si="836"/>
        <v>3710</v>
      </c>
      <c r="CP304" s="88">
        <f t="shared" si="837"/>
        <v>520</v>
      </c>
      <c r="CQ304" s="88">
        <f t="shared" si="838"/>
        <v>2140</v>
      </c>
      <c r="CR304" s="88">
        <f t="shared" si="839"/>
        <v>310</v>
      </c>
      <c r="CS304" s="88">
        <f t="shared" si="840"/>
        <v>740</v>
      </c>
      <c r="CT304" s="88">
        <f t="shared" si="841"/>
        <v>6078.65</v>
      </c>
      <c r="CU304" s="88">
        <f t="shared" si="842"/>
        <v>5080</v>
      </c>
      <c r="CV304" s="88">
        <f t="shared" si="843"/>
        <v>540</v>
      </c>
      <c r="CW304" s="88">
        <f t="shared" si="844"/>
        <v>770</v>
      </c>
      <c r="CX304" s="88">
        <f t="shared" si="845"/>
        <v>80</v>
      </c>
      <c r="CY304" s="88">
        <f t="shared" si="846"/>
        <v>300</v>
      </c>
      <c r="CZ304" s="88">
        <f t="shared" si="847"/>
        <v>20213.75</v>
      </c>
      <c r="DA304" s="90">
        <f t="shared" si="848"/>
        <v>15525.155000000001</v>
      </c>
      <c r="DB304" s="90">
        <f t="shared" si="849"/>
        <v>4688.5950000000003</v>
      </c>
      <c r="DC304" s="88">
        <f t="shared" si="850"/>
        <v>3520</v>
      </c>
      <c r="DD304" s="88">
        <f t="shared" si="851"/>
        <v>124078.5</v>
      </c>
      <c r="AUV304" s="699">
        <f t="shared" si="758"/>
        <v>81246.100000000006</v>
      </c>
      <c r="AUW304" s="699">
        <f t="shared" si="759"/>
        <v>62401</v>
      </c>
      <c r="AUX304" s="699">
        <f t="shared" si="760"/>
        <v>18845.099999999999</v>
      </c>
      <c r="AUY304" s="699">
        <f t="shared" ref="AUY304:AUY332" si="867">BP304/P304</f>
        <v>220</v>
      </c>
      <c r="AUZ304" s="699">
        <f t="shared" si="778"/>
        <v>356.13</v>
      </c>
      <c r="AVA304" s="699">
        <f t="shared" si="778"/>
        <v>0.86</v>
      </c>
      <c r="AVB304" s="699">
        <f t="shared" ref="AVB304:AVB332" si="868">AVC304+AVD304+AVE304+AVF304</f>
        <v>3710</v>
      </c>
      <c r="AVC304" s="699">
        <f t="shared" ref="AVC304:AVC332" si="869">BT304/P304</f>
        <v>520</v>
      </c>
      <c r="AVD304" s="699">
        <f t="shared" ref="AVD304:AVD332" si="870">BU304/P304</f>
        <v>2140</v>
      </c>
      <c r="AVE304" s="699">
        <f t="shared" ref="AVE304:AVE332" si="871">BV304/P304</f>
        <v>310</v>
      </c>
      <c r="AVF304" s="699">
        <f t="shared" ref="AVF304:AVF332" si="872">BW304/P304</f>
        <v>740</v>
      </c>
      <c r="AVG304" s="699">
        <f t="shared" ref="AVG304:AVG332" si="873">BX304/P304</f>
        <v>6078.65</v>
      </c>
      <c r="AVH304" s="699">
        <f t="shared" ref="AVH304:AVH332" si="874">BY304/P304</f>
        <v>5080</v>
      </c>
      <c r="AVI304" s="699">
        <f t="shared" ref="AVI304:AVI332" si="875">BZ304/P304</f>
        <v>540</v>
      </c>
      <c r="AVJ304" s="699">
        <f t="shared" ref="AVJ304:AVJ332" si="876">CA304/P304</f>
        <v>770</v>
      </c>
      <c r="AVK304" s="699">
        <f t="shared" ref="AVK304:AVK332" si="877">CB304/P304</f>
        <v>80</v>
      </c>
      <c r="AVL304" s="699">
        <f t="shared" ref="AVL304:AVL332" si="878">CC304/P304</f>
        <v>300</v>
      </c>
      <c r="AVM304" s="699">
        <f t="shared" ref="AVM304:AVM332" si="879">CD304/P304</f>
        <v>20213.75</v>
      </c>
      <c r="AVN304" s="699">
        <f t="shared" ref="AVN304:AVN332" si="880">AVM304/1.302</f>
        <v>15525.15</v>
      </c>
      <c r="AVO304" s="699">
        <f t="shared" ref="AVO304:AVO332" si="881">AVM304-AVN304</f>
        <v>4688.6000000000004</v>
      </c>
      <c r="AVP304" s="699">
        <f t="shared" ref="AVP304:AVP332" si="882">CG304/P304</f>
        <v>3520</v>
      </c>
      <c r="AVQ304" s="699">
        <f t="shared" ref="AVQ304:AVQ332" si="883">CH304/P304</f>
        <v>124078.5</v>
      </c>
    </row>
    <row r="305" spans="1:108 1244:1265" ht="30" customHeight="1" x14ac:dyDescent="0.25">
      <c r="A305" s="643">
        <v>1</v>
      </c>
      <c r="B305" s="643">
        <v>8</v>
      </c>
      <c r="C305" s="664" t="s">
        <v>22</v>
      </c>
      <c r="D305" s="2"/>
      <c r="E305" s="101" t="s">
        <v>344</v>
      </c>
      <c r="F305" s="643" t="s">
        <v>31</v>
      </c>
      <c r="G305" s="643">
        <v>1</v>
      </c>
      <c r="H305" s="658" t="s">
        <v>10</v>
      </c>
      <c r="I305" s="643">
        <v>0</v>
      </c>
      <c r="J305" s="101" t="s">
        <v>354</v>
      </c>
      <c r="K305" s="643">
        <v>1</v>
      </c>
      <c r="L305" s="683" t="s">
        <v>349</v>
      </c>
      <c r="M305" s="11" t="s">
        <v>330</v>
      </c>
      <c r="N305" s="101" t="s">
        <v>401</v>
      </c>
      <c r="O305" s="643">
        <v>2</v>
      </c>
      <c r="P305" s="632">
        <v>1</v>
      </c>
      <c r="Q305" s="632">
        <v>1</v>
      </c>
      <c r="R305" s="632">
        <v>1</v>
      </c>
      <c r="S305" s="675">
        <f>SUMIF('Территориальный кк'!$A:$A,'2020'!$B305,'Территориальный кк'!D:D)</f>
        <v>1.504</v>
      </c>
      <c r="T305" s="676">
        <f>SUMIF('Территориальный кк'!$A:$A,'2020'!$B305,'Территориальный кк'!E:E)</f>
        <v>2.4710000000000001</v>
      </c>
      <c r="U305" s="618">
        <f>SUMIFS(Нормативы!G:G,Нормативы!$B:$B,$G305,Нормативы!$D:$D,'2020'!$I305,Нормативы!$F:$F,'2020'!$K305)*O305</f>
        <v>108040</v>
      </c>
      <c r="V305" s="618">
        <f t="shared" si="852"/>
        <v>82980</v>
      </c>
      <c r="W305" s="618">
        <f t="shared" si="853"/>
        <v>25060</v>
      </c>
      <c r="X305" s="618">
        <f>SUMIFS(Нормативы!J:J,Нормативы!$B:$B,$G305,Нормативы!$D:$D,'2020'!$I305,Нормативы!$F:$F,'2020'!$K305)</f>
        <v>220</v>
      </c>
      <c r="Y305" s="618">
        <f>SUMIFS(Нормативы!K:K,Нормативы!$B:$B,$G305,Нормативы!$D:$D,'2020'!$I305,Нормативы!$F:$F,'2020'!$K305)</f>
        <v>44</v>
      </c>
      <c r="Z305" s="618">
        <f>SUMIFS(Нормативы!L:L,Нормативы!$B:$B,$G305,Нормативы!$D:$D,'2020'!$I305,Нормативы!$F:$F,'2020'!$K305)</f>
        <v>2320</v>
      </c>
      <c r="AA305" s="618">
        <f t="shared" si="854"/>
        <v>4540</v>
      </c>
      <c r="AB305" s="618">
        <f>SUMIFS(Нормативы!N:N,Нормативы!$B:$B,$G305,Нормативы!$D:$D,'2020'!$I305,Нормативы!$F:$F,'2020'!$K305)*O305</f>
        <v>1040</v>
      </c>
      <c r="AC305" s="618">
        <f>SUMIFS(Нормативы!O:O,Нормативы!$B:$B,$G305,Нормативы!$D:$D,'2020'!$I305,Нормативы!$F:$F,'2020'!$K305)</f>
        <v>2140</v>
      </c>
      <c r="AD305" s="618">
        <f>SUMIFS(Нормативы!P:P,Нормативы!$B:$B,$G305,Нормативы!$D:$D,'2020'!$I305,Нормативы!$F:$F,'2020'!$K305)*O305</f>
        <v>620</v>
      </c>
      <c r="AE305" s="618">
        <f>SUMIFS(Нормативы!Q:Q,Нормативы!$B:$B,$G305,Нормативы!$D:$D,'2020'!$I305,Нормативы!$F:$F,'2020'!$K305)</f>
        <v>740</v>
      </c>
      <c r="AF305" s="618">
        <f>SUMIFS(Нормативы!R:R,Нормативы!$B:$B,$G305,Нормативы!$D:$D,'2020'!$I305,Нормативы!$F:$F,'2020'!$K305)</f>
        <v>2460</v>
      </c>
      <c r="AG305" s="618">
        <f>SUMIFS(Нормативы!S:S,Нормативы!$B:$B,$G305,Нормативы!$D:$D,'2020'!$I305,Нормативы!$F:$F,'2020'!$K305)</f>
        <v>5080</v>
      </c>
      <c r="AH305" s="618">
        <f>SUMIFS(Нормативы!T:T,Нормативы!$B:$B,$G305,Нормативы!$D:$D,'2020'!$I305,Нормативы!$F:$F,'2020'!$K305)</f>
        <v>540</v>
      </c>
      <c r="AI305" s="618">
        <f>SUMIFS(Нормативы!U:U,Нормативы!$B:$B,$G305,Нормативы!$D:$D,'2020'!$I305,Нормативы!$F:$F,'2020'!$K305)</f>
        <v>770</v>
      </c>
      <c r="AJ305" s="618">
        <f>SUMIFS(Нормативы!V:V,Нормативы!$B:$B,$G305,Нормативы!$D:$D,'2020'!$I305,Нормативы!$F:$F,'2020'!$K305)</f>
        <v>80</v>
      </c>
      <c r="AK305" s="618">
        <f>SUMIFS(Нормативы!W:W,Нормативы!$B:$B,$G305,Нормативы!$D:$D,'2020'!$I305,Нормативы!$F:$F,'2020'!$K305)</f>
        <v>300</v>
      </c>
      <c r="AL305" s="618">
        <f>SUMIFS(Нормативы!X:X,Нормативы!$B:$B,$G305,Нормативы!$D:$D,'2020'!$I305,Нормативы!$F:$F,'2020'!$K305)*O305</f>
        <v>26880</v>
      </c>
      <c r="AM305" s="618">
        <f t="shared" si="855"/>
        <v>20645.2</v>
      </c>
      <c r="AN305" s="618">
        <f t="shared" si="856"/>
        <v>6234.8</v>
      </c>
      <c r="AO305" s="618">
        <f>SUMIFS(Нормативы!AA:AA,Нормативы!$B:$B,$G305,Нормативы!$D:$D,'2020'!$I305,Нормативы!$F:$F,'2020'!$K305)</f>
        <v>3520</v>
      </c>
      <c r="AP305" s="619">
        <f t="shared" si="857"/>
        <v>154750</v>
      </c>
      <c r="AQ305" s="413">
        <f t="shared" si="795"/>
        <v>108040</v>
      </c>
      <c r="AR305" s="618">
        <f t="shared" si="858"/>
        <v>82980</v>
      </c>
      <c r="AS305" s="618">
        <f t="shared" si="859"/>
        <v>25060</v>
      </c>
      <c r="AT305" s="616">
        <f t="shared" si="796"/>
        <v>220</v>
      </c>
      <c r="AU305" s="616">
        <f t="shared" si="797"/>
        <v>44</v>
      </c>
      <c r="AV305" s="616">
        <f t="shared" si="798"/>
        <v>2320</v>
      </c>
      <c r="AW305" s="616">
        <f t="shared" si="799"/>
        <v>4540</v>
      </c>
      <c r="AX305" s="616">
        <f t="shared" si="800"/>
        <v>1040</v>
      </c>
      <c r="AY305" s="616">
        <f t="shared" si="801"/>
        <v>2140</v>
      </c>
      <c r="AZ305" s="616">
        <f t="shared" si="802"/>
        <v>620</v>
      </c>
      <c r="BA305" s="616">
        <f t="shared" si="803"/>
        <v>740</v>
      </c>
      <c r="BB305" s="616">
        <f t="shared" si="804"/>
        <v>2460</v>
      </c>
      <c r="BC305" s="616">
        <f t="shared" si="805"/>
        <v>5080</v>
      </c>
      <c r="BD305" s="616">
        <f t="shared" si="806"/>
        <v>540</v>
      </c>
      <c r="BE305" s="616">
        <f t="shared" si="807"/>
        <v>770</v>
      </c>
      <c r="BF305" s="616">
        <f t="shared" si="808"/>
        <v>80</v>
      </c>
      <c r="BG305" s="616">
        <f t="shared" si="809"/>
        <v>300</v>
      </c>
      <c r="BH305" s="616">
        <f t="shared" si="810"/>
        <v>26880</v>
      </c>
      <c r="BI305" s="618">
        <f t="shared" si="860"/>
        <v>20645.2</v>
      </c>
      <c r="BJ305" s="618">
        <f t="shared" si="861"/>
        <v>6234.8</v>
      </c>
      <c r="BK305" s="616">
        <f t="shared" si="811"/>
        <v>3520</v>
      </c>
      <c r="BL305" s="620">
        <f t="shared" si="812"/>
        <v>154750</v>
      </c>
      <c r="BM305" s="616">
        <f t="shared" si="813"/>
        <v>162492</v>
      </c>
      <c r="BN305" s="618">
        <f t="shared" si="814"/>
        <v>124801.8</v>
      </c>
      <c r="BO305" s="618">
        <f t="shared" si="815"/>
        <v>37690.199999999997</v>
      </c>
      <c r="BP305" s="616">
        <f t="shared" si="862"/>
        <v>220</v>
      </c>
      <c r="BQ305" s="616">
        <f t="shared" si="863"/>
        <v>44</v>
      </c>
      <c r="BR305" s="616">
        <f t="shared" si="864"/>
        <v>2320</v>
      </c>
      <c r="BS305" s="616">
        <f t="shared" si="816"/>
        <v>4540</v>
      </c>
      <c r="BT305" s="616">
        <f t="shared" si="817"/>
        <v>1040</v>
      </c>
      <c r="BU305" s="616">
        <f t="shared" si="818"/>
        <v>2140</v>
      </c>
      <c r="BV305" s="616">
        <f t="shared" si="819"/>
        <v>620</v>
      </c>
      <c r="BW305" s="616">
        <f t="shared" si="820"/>
        <v>740</v>
      </c>
      <c r="BX305" s="616">
        <f t="shared" si="821"/>
        <v>6079</v>
      </c>
      <c r="BY305" s="616">
        <f t="shared" si="822"/>
        <v>5080</v>
      </c>
      <c r="BZ305" s="616">
        <f t="shared" si="823"/>
        <v>540</v>
      </c>
      <c r="CA305" s="616">
        <f t="shared" si="824"/>
        <v>770</v>
      </c>
      <c r="CB305" s="616">
        <f t="shared" si="825"/>
        <v>80</v>
      </c>
      <c r="CC305" s="616">
        <f t="shared" si="826"/>
        <v>300</v>
      </c>
      <c r="CD305" s="616">
        <f t="shared" si="827"/>
        <v>40428</v>
      </c>
      <c r="CE305" s="618">
        <f t="shared" si="865"/>
        <v>31050.7</v>
      </c>
      <c r="CF305" s="618">
        <f t="shared" si="866"/>
        <v>9377.2999999999993</v>
      </c>
      <c r="CG305" s="616">
        <f t="shared" si="828"/>
        <v>3520</v>
      </c>
      <c r="CH305" s="621">
        <f t="shared" si="829"/>
        <v>226369</v>
      </c>
      <c r="CI305" s="88">
        <f t="shared" si="830"/>
        <v>162492</v>
      </c>
      <c r="CJ305" s="90">
        <f t="shared" si="831"/>
        <v>124801.8</v>
      </c>
      <c r="CK305" s="90">
        <f t="shared" si="832"/>
        <v>37690.199999999997</v>
      </c>
      <c r="CL305" s="88">
        <f t="shared" si="833"/>
        <v>220</v>
      </c>
      <c r="CM305" s="88">
        <f t="shared" si="834"/>
        <v>44</v>
      </c>
      <c r="CN305" s="88">
        <f t="shared" si="835"/>
        <v>2320</v>
      </c>
      <c r="CO305" s="88">
        <f t="shared" si="836"/>
        <v>4540</v>
      </c>
      <c r="CP305" s="88">
        <f t="shared" si="837"/>
        <v>1040</v>
      </c>
      <c r="CQ305" s="88">
        <f t="shared" si="838"/>
        <v>2140</v>
      </c>
      <c r="CR305" s="88">
        <f t="shared" si="839"/>
        <v>620</v>
      </c>
      <c r="CS305" s="88">
        <f t="shared" si="840"/>
        <v>740</v>
      </c>
      <c r="CT305" s="88">
        <f t="shared" si="841"/>
        <v>6079</v>
      </c>
      <c r="CU305" s="88">
        <f t="shared" si="842"/>
        <v>5080</v>
      </c>
      <c r="CV305" s="88">
        <f t="shared" si="843"/>
        <v>540</v>
      </c>
      <c r="CW305" s="88">
        <f t="shared" si="844"/>
        <v>770</v>
      </c>
      <c r="CX305" s="88">
        <f t="shared" si="845"/>
        <v>80</v>
      </c>
      <c r="CY305" s="88">
        <f t="shared" si="846"/>
        <v>300</v>
      </c>
      <c r="CZ305" s="88">
        <f t="shared" si="847"/>
        <v>40428</v>
      </c>
      <c r="DA305" s="90">
        <f t="shared" si="848"/>
        <v>31050.7</v>
      </c>
      <c r="DB305" s="90">
        <f t="shared" si="849"/>
        <v>9377.2999999999993</v>
      </c>
      <c r="DC305" s="88">
        <f t="shared" si="850"/>
        <v>3520</v>
      </c>
      <c r="DD305" s="88">
        <f t="shared" si="851"/>
        <v>226369</v>
      </c>
      <c r="AUV305" s="699">
        <f t="shared" si="758"/>
        <v>162492</v>
      </c>
      <c r="AUW305" s="699">
        <f t="shared" si="759"/>
        <v>124801.84</v>
      </c>
      <c r="AUX305" s="699">
        <f t="shared" si="760"/>
        <v>37690.160000000003</v>
      </c>
      <c r="AUY305" s="699">
        <f t="shared" si="867"/>
        <v>220</v>
      </c>
      <c r="AUZ305" s="699">
        <f t="shared" si="778"/>
        <v>17.809999999999999</v>
      </c>
      <c r="AVA305" s="699">
        <f t="shared" si="778"/>
        <v>0.02</v>
      </c>
      <c r="AVB305" s="699">
        <f t="shared" si="868"/>
        <v>4540</v>
      </c>
      <c r="AVC305" s="699">
        <f t="shared" si="869"/>
        <v>1040</v>
      </c>
      <c r="AVD305" s="699">
        <f t="shared" si="870"/>
        <v>2140</v>
      </c>
      <c r="AVE305" s="699">
        <f t="shared" si="871"/>
        <v>620</v>
      </c>
      <c r="AVF305" s="699">
        <f t="shared" si="872"/>
        <v>740</v>
      </c>
      <c r="AVG305" s="699">
        <f t="shared" si="873"/>
        <v>6079</v>
      </c>
      <c r="AVH305" s="699">
        <f t="shared" si="874"/>
        <v>5080</v>
      </c>
      <c r="AVI305" s="699">
        <f t="shared" si="875"/>
        <v>540</v>
      </c>
      <c r="AVJ305" s="699">
        <f t="shared" si="876"/>
        <v>770</v>
      </c>
      <c r="AVK305" s="699">
        <f t="shared" si="877"/>
        <v>80</v>
      </c>
      <c r="AVL305" s="699">
        <f t="shared" si="878"/>
        <v>300</v>
      </c>
      <c r="AVM305" s="699">
        <f t="shared" si="879"/>
        <v>40428</v>
      </c>
      <c r="AVN305" s="699">
        <f t="shared" si="880"/>
        <v>31050.69</v>
      </c>
      <c r="AVO305" s="699">
        <f t="shared" si="881"/>
        <v>9377.31</v>
      </c>
      <c r="AVP305" s="699">
        <f t="shared" si="882"/>
        <v>3520</v>
      </c>
      <c r="AVQ305" s="699">
        <f t="shared" si="883"/>
        <v>226369</v>
      </c>
    </row>
    <row r="306" spans="1:108 1244:1265" s="608" customFormat="1" ht="30" customHeight="1" x14ac:dyDescent="0.25">
      <c r="A306" s="634">
        <v>1</v>
      </c>
      <c r="B306" s="634">
        <v>8</v>
      </c>
      <c r="C306" s="633" t="s">
        <v>22</v>
      </c>
      <c r="D306" s="2"/>
      <c r="E306" s="602" t="s">
        <v>344</v>
      </c>
      <c r="F306" s="634" t="s">
        <v>31</v>
      </c>
      <c r="G306" s="634">
        <v>1</v>
      </c>
      <c r="H306" s="656" t="s">
        <v>10</v>
      </c>
      <c r="I306" s="634">
        <v>0</v>
      </c>
      <c r="J306" s="602" t="s">
        <v>371</v>
      </c>
      <c r="K306" s="634">
        <v>1</v>
      </c>
      <c r="L306" s="681" t="s">
        <v>349</v>
      </c>
      <c r="M306" s="601"/>
      <c r="N306" s="602" t="s">
        <v>401</v>
      </c>
      <c r="O306" s="634">
        <v>2</v>
      </c>
      <c r="P306" s="633">
        <v>1</v>
      </c>
      <c r="Q306" s="633">
        <v>1</v>
      </c>
      <c r="R306" s="633">
        <v>1</v>
      </c>
      <c r="S306" s="671">
        <f>'Территориальный кк'!D11</f>
        <v>1.504</v>
      </c>
      <c r="T306" s="672">
        <f>'Территориальный кк'!E11</f>
        <v>2.4710000000000001</v>
      </c>
      <c r="U306" s="618">
        <f>SUMIFS(Нормативы!G:G,Нормативы!$B:$B,$G306,Нормативы!$D:$D,'2020'!$I306,Нормативы!$F:$F,'2020'!$K306)*O306</f>
        <v>108040</v>
      </c>
      <c r="V306" s="618">
        <f t="shared" ref="V306:V312" si="884">ROUND(U306/1.302,1)</f>
        <v>82980</v>
      </c>
      <c r="W306" s="618">
        <f t="shared" ref="W306:W312" si="885">U306-V306</f>
        <v>25060</v>
      </c>
      <c r="X306" s="618">
        <f>SUMIFS(Нормативы!J:J,Нормативы!$B:$B,$G306,Нормативы!$D:$D,'2020'!$I306,Нормативы!$F:$F,'2020'!$K306)</f>
        <v>220</v>
      </c>
      <c r="Y306" s="618">
        <f>SUMIFS(Нормативы!K:K,Нормативы!$B:$B,$G306,Нормативы!$D:$D,'2020'!$I306,Нормативы!$F:$F,'2020'!$K306)</f>
        <v>44</v>
      </c>
      <c r="Z306" s="618">
        <f>SUMIFS(Нормативы!L:L,Нормативы!$B:$B,$G306,Нормативы!$D:$D,'2020'!$I306,Нормативы!$F:$F,'2020'!$K306)</f>
        <v>2320</v>
      </c>
      <c r="AA306" s="618">
        <f t="shared" ref="AA306:AA312" si="886">AB306+AC306+AD306+AE306</f>
        <v>4540</v>
      </c>
      <c r="AB306" s="618">
        <f>SUMIFS(Нормативы!N:N,Нормативы!$B:$B,$G306,Нормативы!$D:$D,'2020'!$I306,Нормативы!$F:$F,'2020'!$K306)*O306</f>
        <v>1040</v>
      </c>
      <c r="AC306" s="618">
        <f>SUMIFS(Нормативы!O:O,Нормативы!$B:$B,$G306,Нормативы!$D:$D,'2020'!$I306,Нормативы!$F:$F,'2020'!$K306)</f>
        <v>2140</v>
      </c>
      <c r="AD306" s="618">
        <f>SUMIFS(Нормативы!P:P,Нормативы!$B:$B,$G306,Нормативы!$D:$D,'2020'!$I306,Нормативы!$F:$F,'2020'!$K306)*O306</f>
        <v>620</v>
      </c>
      <c r="AE306" s="618">
        <f>SUMIFS(Нормативы!Q:Q,Нормативы!$B:$B,$G306,Нормативы!$D:$D,'2020'!$I306,Нормативы!$F:$F,'2020'!$K306)</f>
        <v>740</v>
      </c>
      <c r="AF306" s="618">
        <f>SUMIFS(Нормативы!R:R,Нормативы!$B:$B,$G306,Нормативы!$D:$D,'2020'!$I306,Нормативы!$F:$F,'2020'!$K306)</f>
        <v>2460</v>
      </c>
      <c r="AG306" s="618">
        <f>SUMIFS(Нормативы!S:S,Нормативы!$B:$B,$G306,Нормативы!$D:$D,'2020'!$I306,Нормативы!$F:$F,'2020'!$K306)</f>
        <v>5080</v>
      </c>
      <c r="AH306" s="618">
        <f>SUMIFS(Нормативы!T:T,Нормативы!$B:$B,$G306,Нормативы!$D:$D,'2020'!$I306,Нормативы!$F:$F,'2020'!$K306)</f>
        <v>540</v>
      </c>
      <c r="AI306" s="618">
        <f>SUMIFS(Нормативы!U:U,Нормативы!$B:$B,$G306,Нормативы!$D:$D,'2020'!$I306,Нормативы!$F:$F,'2020'!$K306)</f>
        <v>770</v>
      </c>
      <c r="AJ306" s="618">
        <f>SUMIFS(Нормативы!V:V,Нормативы!$B:$B,$G306,Нормативы!$D:$D,'2020'!$I306,Нормативы!$F:$F,'2020'!$K306)</f>
        <v>80</v>
      </c>
      <c r="AK306" s="618">
        <f>SUMIFS(Нормативы!W:W,Нормативы!$B:$B,$G306,Нормативы!$D:$D,'2020'!$I306,Нормативы!$F:$F,'2020'!$K306)</f>
        <v>300</v>
      </c>
      <c r="AL306" s="618">
        <f>SUMIFS(Нормативы!X:X,Нормативы!$B:$B,$G306,Нормативы!$D:$D,'2020'!$I306,Нормативы!$F:$F,'2020'!$K306)*O306</f>
        <v>26880</v>
      </c>
      <c r="AM306" s="618">
        <f t="shared" ref="AM306:AM312" si="887">ROUND(AL306/1.302,1)</f>
        <v>20645.2</v>
      </c>
      <c r="AN306" s="618">
        <f t="shared" ref="AN306:AN312" si="888">AL306-AM306</f>
        <v>6234.8</v>
      </c>
      <c r="AO306" s="618">
        <f>SUMIFS(Нормативы!AA:AA,Нормативы!$B:$B,$G306,Нормативы!$D:$D,'2020'!$I306,Нормативы!$F:$F,'2020'!$K306)</f>
        <v>3520</v>
      </c>
      <c r="AP306" s="619">
        <f t="shared" ref="AP306:AP312" si="889">U306+X306+Z306+AA306++AF306+AG306+AH306+AI306+AJ306+AK306+AL306+AO306</f>
        <v>154750</v>
      </c>
      <c r="AQ306" s="611">
        <f t="shared" si="795"/>
        <v>108040</v>
      </c>
      <c r="AR306" s="622">
        <f t="shared" si="858"/>
        <v>82980</v>
      </c>
      <c r="AS306" s="622">
        <f t="shared" si="859"/>
        <v>25060</v>
      </c>
      <c r="AT306" s="614">
        <f t="shared" si="796"/>
        <v>220</v>
      </c>
      <c r="AU306" s="614">
        <f t="shared" si="797"/>
        <v>44</v>
      </c>
      <c r="AV306" s="614">
        <f t="shared" si="798"/>
        <v>2320</v>
      </c>
      <c r="AW306" s="614">
        <f t="shared" si="799"/>
        <v>4540</v>
      </c>
      <c r="AX306" s="614">
        <f t="shared" si="800"/>
        <v>1040</v>
      </c>
      <c r="AY306" s="614">
        <f t="shared" si="801"/>
        <v>2140</v>
      </c>
      <c r="AZ306" s="614">
        <f t="shared" si="802"/>
        <v>620</v>
      </c>
      <c r="BA306" s="614">
        <f t="shared" si="803"/>
        <v>740</v>
      </c>
      <c r="BB306" s="614">
        <f t="shared" si="804"/>
        <v>2460</v>
      </c>
      <c r="BC306" s="614">
        <f t="shared" si="805"/>
        <v>5080</v>
      </c>
      <c r="BD306" s="614">
        <f t="shared" si="806"/>
        <v>540</v>
      </c>
      <c r="BE306" s="614">
        <f t="shared" si="807"/>
        <v>770</v>
      </c>
      <c r="BF306" s="614">
        <f t="shared" si="808"/>
        <v>80</v>
      </c>
      <c r="BG306" s="614">
        <f t="shared" si="809"/>
        <v>300</v>
      </c>
      <c r="BH306" s="614">
        <f t="shared" si="810"/>
        <v>26880</v>
      </c>
      <c r="BI306" s="622">
        <f t="shared" si="860"/>
        <v>20645.2</v>
      </c>
      <c r="BJ306" s="622">
        <f t="shared" si="861"/>
        <v>6234.8</v>
      </c>
      <c r="BK306" s="614">
        <f t="shared" si="811"/>
        <v>3520</v>
      </c>
      <c r="BL306" s="620">
        <f t="shared" si="812"/>
        <v>154750</v>
      </c>
      <c r="BM306" s="614">
        <f t="shared" si="813"/>
        <v>162492</v>
      </c>
      <c r="BN306" s="622">
        <f t="shared" si="814"/>
        <v>124801.8</v>
      </c>
      <c r="BO306" s="622">
        <f t="shared" si="815"/>
        <v>37690.199999999997</v>
      </c>
      <c r="BP306" s="614">
        <f t="shared" si="862"/>
        <v>220</v>
      </c>
      <c r="BQ306" s="614">
        <f t="shared" si="863"/>
        <v>44</v>
      </c>
      <c r="BR306" s="614">
        <f t="shared" si="864"/>
        <v>2320</v>
      </c>
      <c r="BS306" s="614">
        <f t="shared" si="816"/>
        <v>4540</v>
      </c>
      <c r="BT306" s="614">
        <f t="shared" si="817"/>
        <v>1040</v>
      </c>
      <c r="BU306" s="614">
        <f t="shared" si="818"/>
        <v>2140</v>
      </c>
      <c r="BV306" s="614">
        <f t="shared" si="819"/>
        <v>620</v>
      </c>
      <c r="BW306" s="614">
        <f t="shared" si="820"/>
        <v>740</v>
      </c>
      <c r="BX306" s="614">
        <f t="shared" si="821"/>
        <v>6079</v>
      </c>
      <c r="BY306" s="614">
        <f t="shared" si="822"/>
        <v>5080</v>
      </c>
      <c r="BZ306" s="614">
        <f t="shared" si="823"/>
        <v>540</v>
      </c>
      <c r="CA306" s="614">
        <f t="shared" si="824"/>
        <v>770</v>
      </c>
      <c r="CB306" s="614">
        <f t="shared" si="825"/>
        <v>80</v>
      </c>
      <c r="CC306" s="614">
        <f t="shared" si="826"/>
        <v>300</v>
      </c>
      <c r="CD306" s="614">
        <f t="shared" si="827"/>
        <v>40428</v>
      </c>
      <c r="CE306" s="622">
        <f t="shared" si="865"/>
        <v>31050.7</v>
      </c>
      <c r="CF306" s="622">
        <f t="shared" si="866"/>
        <v>9377.2999999999993</v>
      </c>
      <c r="CG306" s="614">
        <f t="shared" si="828"/>
        <v>3520</v>
      </c>
      <c r="CH306" s="621">
        <f t="shared" si="829"/>
        <v>226369</v>
      </c>
      <c r="CI306" s="607"/>
      <c r="CJ306" s="607"/>
      <c r="CK306" s="607"/>
      <c r="CL306" s="607"/>
      <c r="CM306" s="607"/>
      <c r="CN306" s="607"/>
      <c r="CO306" s="607"/>
      <c r="CP306" s="607"/>
      <c r="CQ306" s="607"/>
      <c r="CR306" s="607"/>
      <c r="CS306" s="607"/>
      <c r="CT306" s="607"/>
      <c r="CU306" s="607"/>
      <c r="CV306" s="607"/>
      <c r="CW306" s="607"/>
      <c r="CX306" s="607"/>
      <c r="CY306" s="607"/>
      <c r="CZ306" s="607"/>
      <c r="DA306" s="607"/>
      <c r="DB306" s="607"/>
      <c r="DC306" s="607"/>
      <c r="DD306" s="607"/>
      <c r="AUV306" s="699">
        <f t="shared" si="758"/>
        <v>162492</v>
      </c>
      <c r="AUW306" s="699">
        <f t="shared" si="759"/>
        <v>124801.84</v>
      </c>
      <c r="AUX306" s="699">
        <f t="shared" si="760"/>
        <v>37690.160000000003</v>
      </c>
      <c r="AUY306" s="699">
        <f t="shared" si="867"/>
        <v>220</v>
      </c>
      <c r="AUZ306" s="699">
        <f t="shared" si="778"/>
        <v>17.809999999999999</v>
      </c>
      <c r="AVA306" s="699">
        <f t="shared" si="778"/>
        <v>0.02</v>
      </c>
      <c r="AVB306" s="699">
        <f t="shared" si="868"/>
        <v>4540</v>
      </c>
      <c r="AVC306" s="699">
        <f t="shared" si="869"/>
        <v>1040</v>
      </c>
      <c r="AVD306" s="699">
        <f t="shared" si="870"/>
        <v>2140</v>
      </c>
      <c r="AVE306" s="699">
        <f t="shared" si="871"/>
        <v>620</v>
      </c>
      <c r="AVF306" s="699">
        <f t="shared" si="872"/>
        <v>740</v>
      </c>
      <c r="AVG306" s="699">
        <f t="shared" si="873"/>
        <v>6079</v>
      </c>
      <c r="AVH306" s="699">
        <f t="shared" si="874"/>
        <v>5080</v>
      </c>
      <c r="AVI306" s="699">
        <f t="shared" si="875"/>
        <v>540</v>
      </c>
      <c r="AVJ306" s="699">
        <f t="shared" si="876"/>
        <v>770</v>
      </c>
      <c r="AVK306" s="699">
        <f t="shared" si="877"/>
        <v>80</v>
      </c>
      <c r="AVL306" s="699">
        <f t="shared" si="878"/>
        <v>300</v>
      </c>
      <c r="AVM306" s="699">
        <f t="shared" si="879"/>
        <v>40428</v>
      </c>
      <c r="AVN306" s="699">
        <f t="shared" si="880"/>
        <v>31050.69</v>
      </c>
      <c r="AVO306" s="699">
        <f t="shared" si="881"/>
        <v>9377.31</v>
      </c>
      <c r="AVP306" s="699">
        <f t="shared" si="882"/>
        <v>3520</v>
      </c>
      <c r="AVQ306" s="699">
        <f t="shared" si="883"/>
        <v>226369</v>
      </c>
    </row>
    <row r="307" spans="1:108 1244:1265" s="608" customFormat="1" ht="30" customHeight="1" x14ac:dyDescent="0.25">
      <c r="A307" s="634">
        <v>1</v>
      </c>
      <c r="B307" s="634">
        <v>8</v>
      </c>
      <c r="C307" s="633" t="s">
        <v>22</v>
      </c>
      <c r="D307" s="2"/>
      <c r="E307" s="602" t="s">
        <v>344</v>
      </c>
      <c r="F307" s="634" t="s">
        <v>31</v>
      </c>
      <c r="G307" s="634">
        <v>1</v>
      </c>
      <c r="H307" s="656" t="s">
        <v>10</v>
      </c>
      <c r="I307" s="634">
        <v>0</v>
      </c>
      <c r="J307" s="602" t="s">
        <v>372</v>
      </c>
      <c r="K307" s="634">
        <v>1</v>
      </c>
      <c r="L307" s="681" t="s">
        <v>349</v>
      </c>
      <c r="M307" s="601"/>
      <c r="N307" s="602" t="s">
        <v>401</v>
      </c>
      <c r="O307" s="634">
        <v>2</v>
      </c>
      <c r="P307" s="633">
        <v>1</v>
      </c>
      <c r="Q307" s="633">
        <v>1</v>
      </c>
      <c r="R307" s="633">
        <v>1</v>
      </c>
      <c r="S307" s="671">
        <f>'Территориальный кк'!D11</f>
        <v>1.504</v>
      </c>
      <c r="T307" s="672">
        <f>'Территориальный кк'!E11</f>
        <v>2.4710000000000001</v>
      </c>
      <c r="U307" s="618">
        <f>SUMIFS(Нормативы!G:G,Нормативы!$B:$B,$G307,Нормативы!$D:$D,'2020'!$I307,Нормативы!$F:$F,'2020'!$K307)*O307</f>
        <v>108040</v>
      </c>
      <c r="V307" s="618">
        <f t="shared" si="884"/>
        <v>82980</v>
      </c>
      <c r="W307" s="618">
        <f t="shared" si="885"/>
        <v>25060</v>
      </c>
      <c r="X307" s="618">
        <f>SUMIFS(Нормативы!J:J,Нормативы!$B:$B,$G307,Нормативы!$D:$D,'2020'!$I307,Нормативы!$F:$F,'2020'!$K307)</f>
        <v>220</v>
      </c>
      <c r="Y307" s="618">
        <f>SUMIFS(Нормативы!K:K,Нормативы!$B:$B,$G307,Нормативы!$D:$D,'2020'!$I307,Нормативы!$F:$F,'2020'!$K307)</f>
        <v>44</v>
      </c>
      <c r="Z307" s="618">
        <f>SUMIFS(Нормативы!L:L,Нормативы!$B:$B,$G307,Нормативы!$D:$D,'2020'!$I307,Нормативы!$F:$F,'2020'!$K307)</f>
        <v>2320</v>
      </c>
      <c r="AA307" s="618">
        <f t="shared" si="886"/>
        <v>4540</v>
      </c>
      <c r="AB307" s="618">
        <f>SUMIFS(Нормативы!N:N,Нормативы!$B:$B,$G307,Нормативы!$D:$D,'2020'!$I307,Нормативы!$F:$F,'2020'!$K307)*O307</f>
        <v>1040</v>
      </c>
      <c r="AC307" s="618">
        <f>SUMIFS(Нормативы!O:O,Нормативы!$B:$B,$G307,Нормативы!$D:$D,'2020'!$I307,Нормативы!$F:$F,'2020'!$K307)</f>
        <v>2140</v>
      </c>
      <c r="AD307" s="618">
        <f>SUMIFS(Нормативы!P:P,Нормативы!$B:$B,$G307,Нормативы!$D:$D,'2020'!$I307,Нормативы!$F:$F,'2020'!$K307)*O307</f>
        <v>620</v>
      </c>
      <c r="AE307" s="618">
        <f>SUMIFS(Нормативы!Q:Q,Нормативы!$B:$B,$G307,Нормативы!$D:$D,'2020'!$I307,Нормативы!$F:$F,'2020'!$K307)</f>
        <v>740</v>
      </c>
      <c r="AF307" s="618">
        <f>SUMIFS(Нормативы!R:R,Нормативы!$B:$B,$G307,Нормативы!$D:$D,'2020'!$I307,Нормативы!$F:$F,'2020'!$K307)</f>
        <v>2460</v>
      </c>
      <c r="AG307" s="618">
        <f>SUMIFS(Нормативы!S:S,Нормативы!$B:$B,$G307,Нормативы!$D:$D,'2020'!$I307,Нормативы!$F:$F,'2020'!$K307)</f>
        <v>5080</v>
      </c>
      <c r="AH307" s="618">
        <f>SUMIFS(Нормативы!T:T,Нормативы!$B:$B,$G307,Нормативы!$D:$D,'2020'!$I307,Нормативы!$F:$F,'2020'!$K307)</f>
        <v>540</v>
      </c>
      <c r="AI307" s="618">
        <f>SUMIFS(Нормативы!U:U,Нормативы!$B:$B,$G307,Нормативы!$D:$D,'2020'!$I307,Нормативы!$F:$F,'2020'!$K307)</f>
        <v>770</v>
      </c>
      <c r="AJ307" s="618">
        <f>SUMIFS(Нормативы!V:V,Нормативы!$B:$B,$G307,Нормативы!$D:$D,'2020'!$I307,Нормативы!$F:$F,'2020'!$K307)</f>
        <v>80</v>
      </c>
      <c r="AK307" s="618">
        <f>SUMIFS(Нормативы!W:W,Нормативы!$B:$B,$G307,Нормативы!$D:$D,'2020'!$I307,Нормативы!$F:$F,'2020'!$K307)</f>
        <v>300</v>
      </c>
      <c r="AL307" s="618">
        <f>SUMIFS(Нормативы!X:X,Нормативы!$B:$B,$G307,Нормативы!$D:$D,'2020'!$I307,Нормативы!$F:$F,'2020'!$K307)*O307</f>
        <v>26880</v>
      </c>
      <c r="AM307" s="618">
        <f t="shared" si="887"/>
        <v>20645.2</v>
      </c>
      <c r="AN307" s="618">
        <f t="shared" si="888"/>
        <v>6234.8</v>
      </c>
      <c r="AO307" s="618">
        <f>SUMIFS(Нормативы!AA:AA,Нормативы!$B:$B,$G307,Нормативы!$D:$D,'2020'!$I307,Нормативы!$F:$F,'2020'!$K307)</f>
        <v>3520</v>
      </c>
      <c r="AP307" s="619">
        <f t="shared" si="889"/>
        <v>154750</v>
      </c>
      <c r="AQ307" s="611">
        <f t="shared" si="795"/>
        <v>108040</v>
      </c>
      <c r="AR307" s="622">
        <f t="shared" si="858"/>
        <v>82980</v>
      </c>
      <c r="AS307" s="622">
        <f t="shared" si="859"/>
        <v>25060</v>
      </c>
      <c r="AT307" s="614">
        <f t="shared" si="796"/>
        <v>220</v>
      </c>
      <c r="AU307" s="614">
        <f t="shared" si="797"/>
        <v>44</v>
      </c>
      <c r="AV307" s="614">
        <f t="shared" si="798"/>
        <v>2320</v>
      </c>
      <c r="AW307" s="614">
        <f t="shared" si="799"/>
        <v>4540</v>
      </c>
      <c r="AX307" s="614">
        <f t="shared" si="800"/>
        <v>1040</v>
      </c>
      <c r="AY307" s="614">
        <f t="shared" si="801"/>
        <v>2140</v>
      </c>
      <c r="AZ307" s="614">
        <f t="shared" si="802"/>
        <v>620</v>
      </c>
      <c r="BA307" s="614">
        <f t="shared" si="803"/>
        <v>740</v>
      </c>
      <c r="BB307" s="614">
        <f t="shared" si="804"/>
        <v>2460</v>
      </c>
      <c r="BC307" s="614">
        <f t="shared" si="805"/>
        <v>5080</v>
      </c>
      <c r="BD307" s="614">
        <f t="shared" si="806"/>
        <v>540</v>
      </c>
      <c r="BE307" s="614">
        <f t="shared" si="807"/>
        <v>770</v>
      </c>
      <c r="BF307" s="614">
        <f t="shared" si="808"/>
        <v>80</v>
      </c>
      <c r="BG307" s="614">
        <f t="shared" si="809"/>
        <v>300</v>
      </c>
      <c r="BH307" s="614">
        <f t="shared" si="810"/>
        <v>26880</v>
      </c>
      <c r="BI307" s="622">
        <f t="shared" si="860"/>
        <v>20645.2</v>
      </c>
      <c r="BJ307" s="622">
        <f t="shared" si="861"/>
        <v>6234.8</v>
      </c>
      <c r="BK307" s="614">
        <f t="shared" si="811"/>
        <v>3520</v>
      </c>
      <c r="BL307" s="620">
        <f t="shared" si="812"/>
        <v>154750</v>
      </c>
      <c r="BM307" s="614">
        <f t="shared" si="813"/>
        <v>162492</v>
      </c>
      <c r="BN307" s="622">
        <f t="shared" si="814"/>
        <v>124801.8</v>
      </c>
      <c r="BO307" s="622">
        <f t="shared" si="815"/>
        <v>37690.199999999997</v>
      </c>
      <c r="BP307" s="614">
        <f t="shared" si="862"/>
        <v>220</v>
      </c>
      <c r="BQ307" s="614">
        <f t="shared" si="863"/>
        <v>44</v>
      </c>
      <c r="BR307" s="614">
        <f t="shared" si="864"/>
        <v>2320</v>
      </c>
      <c r="BS307" s="614">
        <f t="shared" si="816"/>
        <v>4540</v>
      </c>
      <c r="BT307" s="614">
        <f t="shared" si="817"/>
        <v>1040</v>
      </c>
      <c r="BU307" s="614">
        <f t="shared" si="818"/>
        <v>2140</v>
      </c>
      <c r="BV307" s="614">
        <f t="shared" si="819"/>
        <v>620</v>
      </c>
      <c r="BW307" s="614">
        <f t="shared" si="820"/>
        <v>740</v>
      </c>
      <c r="BX307" s="614">
        <f t="shared" si="821"/>
        <v>6079</v>
      </c>
      <c r="BY307" s="614">
        <f t="shared" si="822"/>
        <v>5080</v>
      </c>
      <c r="BZ307" s="614">
        <f t="shared" si="823"/>
        <v>540</v>
      </c>
      <c r="CA307" s="614">
        <f t="shared" si="824"/>
        <v>770</v>
      </c>
      <c r="CB307" s="614">
        <f t="shared" si="825"/>
        <v>80</v>
      </c>
      <c r="CC307" s="614">
        <f t="shared" si="826"/>
        <v>300</v>
      </c>
      <c r="CD307" s="614">
        <f t="shared" si="827"/>
        <v>40428</v>
      </c>
      <c r="CE307" s="622">
        <f t="shared" si="865"/>
        <v>31050.7</v>
      </c>
      <c r="CF307" s="622">
        <f t="shared" si="866"/>
        <v>9377.2999999999993</v>
      </c>
      <c r="CG307" s="614">
        <f t="shared" si="828"/>
        <v>3520</v>
      </c>
      <c r="CH307" s="621">
        <f t="shared" si="829"/>
        <v>226369</v>
      </c>
      <c r="CI307" s="607"/>
      <c r="CJ307" s="607"/>
      <c r="CK307" s="607"/>
      <c r="CL307" s="607"/>
      <c r="CM307" s="607"/>
      <c r="CN307" s="607"/>
      <c r="CO307" s="607"/>
      <c r="CP307" s="607"/>
      <c r="CQ307" s="607"/>
      <c r="CR307" s="607"/>
      <c r="CS307" s="607"/>
      <c r="CT307" s="607"/>
      <c r="CU307" s="607"/>
      <c r="CV307" s="607"/>
      <c r="CW307" s="607"/>
      <c r="CX307" s="607"/>
      <c r="CY307" s="607"/>
      <c r="CZ307" s="607"/>
      <c r="DA307" s="607"/>
      <c r="DB307" s="607"/>
      <c r="DC307" s="607"/>
      <c r="DD307" s="607"/>
      <c r="AUV307" s="699">
        <f t="shared" si="758"/>
        <v>162492</v>
      </c>
      <c r="AUW307" s="699">
        <f t="shared" si="759"/>
        <v>124801.84</v>
      </c>
      <c r="AUX307" s="699">
        <f t="shared" si="760"/>
        <v>37690.160000000003</v>
      </c>
      <c r="AUY307" s="699">
        <f t="shared" si="867"/>
        <v>220</v>
      </c>
      <c r="AUZ307" s="699">
        <f t="shared" si="778"/>
        <v>17.809999999999999</v>
      </c>
      <c r="AVA307" s="699">
        <f t="shared" si="778"/>
        <v>0.02</v>
      </c>
      <c r="AVB307" s="699">
        <f t="shared" si="868"/>
        <v>4540</v>
      </c>
      <c r="AVC307" s="699">
        <f t="shared" si="869"/>
        <v>1040</v>
      </c>
      <c r="AVD307" s="699">
        <f t="shared" si="870"/>
        <v>2140</v>
      </c>
      <c r="AVE307" s="699">
        <f t="shared" si="871"/>
        <v>620</v>
      </c>
      <c r="AVF307" s="699">
        <f t="shared" si="872"/>
        <v>740</v>
      </c>
      <c r="AVG307" s="699">
        <f t="shared" si="873"/>
        <v>6079</v>
      </c>
      <c r="AVH307" s="699">
        <f t="shared" si="874"/>
        <v>5080</v>
      </c>
      <c r="AVI307" s="699">
        <f t="shared" si="875"/>
        <v>540</v>
      </c>
      <c r="AVJ307" s="699">
        <f t="shared" si="876"/>
        <v>770</v>
      </c>
      <c r="AVK307" s="699">
        <f t="shared" si="877"/>
        <v>80</v>
      </c>
      <c r="AVL307" s="699">
        <f t="shared" si="878"/>
        <v>300</v>
      </c>
      <c r="AVM307" s="699">
        <f t="shared" si="879"/>
        <v>40428</v>
      </c>
      <c r="AVN307" s="699">
        <f t="shared" si="880"/>
        <v>31050.69</v>
      </c>
      <c r="AVO307" s="699">
        <f t="shared" si="881"/>
        <v>9377.31</v>
      </c>
      <c r="AVP307" s="699">
        <f t="shared" si="882"/>
        <v>3520</v>
      </c>
      <c r="AVQ307" s="699">
        <f t="shared" si="883"/>
        <v>226369</v>
      </c>
    </row>
    <row r="308" spans="1:108 1244:1265" s="608" customFormat="1" ht="30" customHeight="1" x14ac:dyDescent="0.25">
      <c r="A308" s="634">
        <v>1</v>
      </c>
      <c r="B308" s="634">
        <v>8</v>
      </c>
      <c r="C308" s="633" t="s">
        <v>22</v>
      </c>
      <c r="D308" s="2"/>
      <c r="E308" s="602" t="s">
        <v>344</v>
      </c>
      <c r="F308" s="634" t="s">
        <v>31</v>
      </c>
      <c r="G308" s="634">
        <v>1</v>
      </c>
      <c r="H308" s="656" t="s">
        <v>10</v>
      </c>
      <c r="I308" s="634">
        <v>0</v>
      </c>
      <c r="J308" s="602" t="s">
        <v>464</v>
      </c>
      <c r="K308" s="634">
        <v>1</v>
      </c>
      <c r="L308" s="681" t="s">
        <v>349</v>
      </c>
      <c r="M308" s="601"/>
      <c r="N308" s="602" t="s">
        <v>387</v>
      </c>
      <c r="O308" s="634">
        <v>1</v>
      </c>
      <c r="P308" s="633">
        <v>16</v>
      </c>
      <c r="Q308" s="633">
        <v>16</v>
      </c>
      <c r="R308" s="633">
        <v>16</v>
      </c>
      <c r="S308" s="671">
        <f>'Территориальный кк'!D11</f>
        <v>1.504</v>
      </c>
      <c r="T308" s="672">
        <f>'Территориальный кк'!E11</f>
        <v>2.4710000000000001</v>
      </c>
      <c r="U308" s="618">
        <f>SUMIFS(Нормативы!G:G,Нормативы!$B:$B,$G308,Нормативы!$D:$D,'2020'!$I308,Нормативы!$F:$F,'2020'!$K308)*O308</f>
        <v>54020</v>
      </c>
      <c r="V308" s="618">
        <f t="shared" si="884"/>
        <v>41490</v>
      </c>
      <c r="W308" s="618">
        <f t="shared" si="885"/>
        <v>12530</v>
      </c>
      <c r="X308" s="618">
        <f>SUMIFS(Нормативы!J:J,Нормативы!$B:$B,$G308,Нормативы!$D:$D,'2020'!$I308,Нормативы!$F:$F,'2020'!$K308)</f>
        <v>220</v>
      </c>
      <c r="Y308" s="618">
        <f>SUMIFS(Нормативы!K:K,Нормативы!$B:$B,$G308,Нормативы!$D:$D,'2020'!$I308,Нормативы!$F:$F,'2020'!$K308)</f>
        <v>44</v>
      </c>
      <c r="Z308" s="618">
        <f>SUMIFS(Нормативы!L:L,Нормативы!$B:$B,$G308,Нормативы!$D:$D,'2020'!$I308,Нормативы!$F:$F,'2020'!$K308)</f>
        <v>2320</v>
      </c>
      <c r="AA308" s="618">
        <f t="shared" si="886"/>
        <v>3710</v>
      </c>
      <c r="AB308" s="618">
        <f>SUMIFS(Нормативы!N:N,Нормативы!$B:$B,$G308,Нормативы!$D:$D,'2020'!$I308,Нормативы!$F:$F,'2020'!$K308)*O308</f>
        <v>520</v>
      </c>
      <c r="AC308" s="618">
        <f>SUMIFS(Нормативы!O:O,Нормативы!$B:$B,$G308,Нормативы!$D:$D,'2020'!$I308,Нормативы!$F:$F,'2020'!$K308)</f>
        <v>2140</v>
      </c>
      <c r="AD308" s="618">
        <f>SUMIFS(Нормативы!P:P,Нормативы!$B:$B,$G308,Нормативы!$D:$D,'2020'!$I308,Нормативы!$F:$F,'2020'!$K308)*O308</f>
        <v>310</v>
      </c>
      <c r="AE308" s="618">
        <f>SUMIFS(Нормативы!Q:Q,Нормативы!$B:$B,$G308,Нормативы!$D:$D,'2020'!$I308,Нормативы!$F:$F,'2020'!$K308)</f>
        <v>740</v>
      </c>
      <c r="AF308" s="618">
        <f>SUMIFS(Нормативы!R:R,Нормативы!$B:$B,$G308,Нормативы!$D:$D,'2020'!$I308,Нормативы!$F:$F,'2020'!$K308)</f>
        <v>2460</v>
      </c>
      <c r="AG308" s="618">
        <f>SUMIFS(Нормативы!S:S,Нормативы!$B:$B,$G308,Нормативы!$D:$D,'2020'!$I308,Нормативы!$F:$F,'2020'!$K308)</f>
        <v>5080</v>
      </c>
      <c r="AH308" s="618">
        <f>SUMIFS(Нормативы!T:T,Нормативы!$B:$B,$G308,Нормативы!$D:$D,'2020'!$I308,Нормативы!$F:$F,'2020'!$K308)</f>
        <v>540</v>
      </c>
      <c r="AI308" s="618">
        <f>SUMIFS(Нормативы!U:U,Нормативы!$B:$B,$G308,Нормативы!$D:$D,'2020'!$I308,Нормативы!$F:$F,'2020'!$K308)</f>
        <v>770</v>
      </c>
      <c r="AJ308" s="618">
        <f>SUMIFS(Нормативы!V:V,Нормативы!$B:$B,$G308,Нормативы!$D:$D,'2020'!$I308,Нормативы!$F:$F,'2020'!$K308)</f>
        <v>80</v>
      </c>
      <c r="AK308" s="618">
        <f>SUMIFS(Нормативы!W:W,Нормативы!$B:$B,$G308,Нормативы!$D:$D,'2020'!$I308,Нормативы!$F:$F,'2020'!$K308)</f>
        <v>300</v>
      </c>
      <c r="AL308" s="618">
        <f>SUMIFS(Нормативы!X:X,Нормативы!$B:$B,$G308,Нормативы!$D:$D,'2020'!$I308,Нормативы!$F:$F,'2020'!$K308)*O308</f>
        <v>13440</v>
      </c>
      <c r="AM308" s="618">
        <f t="shared" si="887"/>
        <v>10322.6</v>
      </c>
      <c r="AN308" s="618">
        <f t="shared" si="888"/>
        <v>3117.4</v>
      </c>
      <c r="AO308" s="618">
        <f>SUMIFS(Нормативы!AA:AA,Нормативы!$B:$B,$G308,Нормативы!$D:$D,'2020'!$I308,Нормативы!$F:$F,'2020'!$K308)</f>
        <v>3520</v>
      </c>
      <c r="AP308" s="619">
        <f t="shared" si="889"/>
        <v>86460</v>
      </c>
      <c r="AQ308" s="611">
        <f t="shared" si="795"/>
        <v>864320</v>
      </c>
      <c r="AR308" s="622">
        <f t="shared" si="858"/>
        <v>663840.19999999995</v>
      </c>
      <c r="AS308" s="622">
        <f t="shared" si="859"/>
        <v>200479.8</v>
      </c>
      <c r="AT308" s="614">
        <f t="shared" si="796"/>
        <v>3520</v>
      </c>
      <c r="AU308" s="614">
        <f t="shared" si="797"/>
        <v>704</v>
      </c>
      <c r="AV308" s="614">
        <f t="shared" si="798"/>
        <v>37120</v>
      </c>
      <c r="AW308" s="614">
        <f t="shared" si="799"/>
        <v>59360</v>
      </c>
      <c r="AX308" s="614">
        <f t="shared" si="800"/>
        <v>8320</v>
      </c>
      <c r="AY308" s="614">
        <f t="shared" si="801"/>
        <v>34240</v>
      </c>
      <c r="AZ308" s="614">
        <f t="shared" si="802"/>
        <v>4960</v>
      </c>
      <c r="BA308" s="614">
        <f t="shared" si="803"/>
        <v>11840</v>
      </c>
      <c r="BB308" s="614">
        <f t="shared" si="804"/>
        <v>39360</v>
      </c>
      <c r="BC308" s="614">
        <f t="shared" si="805"/>
        <v>81280</v>
      </c>
      <c r="BD308" s="614">
        <f t="shared" si="806"/>
        <v>8640</v>
      </c>
      <c r="BE308" s="614">
        <f t="shared" si="807"/>
        <v>12320</v>
      </c>
      <c r="BF308" s="614">
        <f t="shared" si="808"/>
        <v>1280</v>
      </c>
      <c r="BG308" s="614">
        <f t="shared" si="809"/>
        <v>4800</v>
      </c>
      <c r="BH308" s="614">
        <f t="shared" si="810"/>
        <v>215040</v>
      </c>
      <c r="BI308" s="622">
        <f t="shared" si="860"/>
        <v>165161.29999999999</v>
      </c>
      <c r="BJ308" s="622">
        <f t="shared" si="861"/>
        <v>49878.7</v>
      </c>
      <c r="BK308" s="614">
        <f t="shared" si="811"/>
        <v>56320</v>
      </c>
      <c r="BL308" s="620">
        <f t="shared" si="812"/>
        <v>1383360</v>
      </c>
      <c r="BM308" s="614">
        <f t="shared" si="813"/>
        <v>1299937</v>
      </c>
      <c r="BN308" s="622">
        <f t="shared" si="814"/>
        <v>998415.5</v>
      </c>
      <c r="BO308" s="622">
        <f t="shared" si="815"/>
        <v>301521.5</v>
      </c>
      <c r="BP308" s="614">
        <f t="shared" si="862"/>
        <v>3520</v>
      </c>
      <c r="BQ308" s="614">
        <f t="shared" si="863"/>
        <v>704</v>
      </c>
      <c r="BR308" s="614">
        <f t="shared" si="864"/>
        <v>37120</v>
      </c>
      <c r="BS308" s="614">
        <f t="shared" si="816"/>
        <v>59360</v>
      </c>
      <c r="BT308" s="614">
        <f t="shared" si="817"/>
        <v>8320</v>
      </c>
      <c r="BU308" s="614">
        <f t="shared" si="818"/>
        <v>34240</v>
      </c>
      <c r="BV308" s="614">
        <f t="shared" si="819"/>
        <v>4960</v>
      </c>
      <c r="BW308" s="614">
        <f t="shared" si="820"/>
        <v>11840</v>
      </c>
      <c r="BX308" s="614">
        <f t="shared" si="821"/>
        <v>97259</v>
      </c>
      <c r="BY308" s="614">
        <f t="shared" si="822"/>
        <v>81280</v>
      </c>
      <c r="BZ308" s="614">
        <f t="shared" si="823"/>
        <v>8640</v>
      </c>
      <c r="CA308" s="614">
        <f t="shared" si="824"/>
        <v>12320</v>
      </c>
      <c r="CB308" s="614">
        <f t="shared" si="825"/>
        <v>1280</v>
      </c>
      <c r="CC308" s="614">
        <f t="shared" si="826"/>
        <v>4800</v>
      </c>
      <c r="CD308" s="614">
        <f t="shared" si="827"/>
        <v>323420</v>
      </c>
      <c r="CE308" s="622">
        <f t="shared" si="865"/>
        <v>248402.5</v>
      </c>
      <c r="CF308" s="622">
        <f t="shared" si="866"/>
        <v>75017.5</v>
      </c>
      <c r="CG308" s="614">
        <f t="shared" si="828"/>
        <v>56320</v>
      </c>
      <c r="CH308" s="621">
        <f t="shared" si="829"/>
        <v>1985256</v>
      </c>
      <c r="CI308" s="607"/>
      <c r="CJ308" s="607"/>
      <c r="CK308" s="607"/>
      <c r="CL308" s="607"/>
      <c r="CM308" s="607"/>
      <c r="CN308" s="607"/>
      <c r="CO308" s="607"/>
      <c r="CP308" s="607"/>
      <c r="CQ308" s="607"/>
      <c r="CR308" s="607"/>
      <c r="CS308" s="607"/>
      <c r="CT308" s="607"/>
      <c r="CU308" s="607"/>
      <c r="CV308" s="607"/>
      <c r="CW308" s="607"/>
      <c r="CX308" s="607"/>
      <c r="CY308" s="607"/>
      <c r="CZ308" s="607"/>
      <c r="DA308" s="607"/>
      <c r="DB308" s="607"/>
      <c r="DC308" s="607"/>
      <c r="DD308" s="607"/>
      <c r="AUV308" s="699">
        <f t="shared" si="758"/>
        <v>81246.06</v>
      </c>
      <c r="AUW308" s="699">
        <f t="shared" si="759"/>
        <v>62400.97</v>
      </c>
      <c r="AUX308" s="699">
        <f t="shared" si="760"/>
        <v>18845.09</v>
      </c>
      <c r="AUY308" s="699">
        <f t="shared" si="867"/>
        <v>220</v>
      </c>
      <c r="AUZ308" s="699">
        <f t="shared" si="778"/>
        <v>284.89999999999998</v>
      </c>
      <c r="AVA308" s="699">
        <f t="shared" si="778"/>
        <v>0.69</v>
      </c>
      <c r="AVB308" s="699">
        <f t="shared" si="868"/>
        <v>3710</v>
      </c>
      <c r="AVC308" s="699">
        <f t="shared" si="869"/>
        <v>520</v>
      </c>
      <c r="AVD308" s="699">
        <f t="shared" si="870"/>
        <v>2140</v>
      </c>
      <c r="AVE308" s="699">
        <f t="shared" si="871"/>
        <v>310</v>
      </c>
      <c r="AVF308" s="699">
        <f t="shared" si="872"/>
        <v>740</v>
      </c>
      <c r="AVG308" s="699">
        <f t="shared" si="873"/>
        <v>6078.69</v>
      </c>
      <c r="AVH308" s="699">
        <f t="shared" si="874"/>
        <v>5080</v>
      </c>
      <c r="AVI308" s="699">
        <f t="shared" si="875"/>
        <v>540</v>
      </c>
      <c r="AVJ308" s="699">
        <f t="shared" si="876"/>
        <v>770</v>
      </c>
      <c r="AVK308" s="699">
        <f t="shared" si="877"/>
        <v>80</v>
      </c>
      <c r="AVL308" s="699">
        <f t="shared" si="878"/>
        <v>300</v>
      </c>
      <c r="AVM308" s="699">
        <f t="shared" si="879"/>
        <v>20213.75</v>
      </c>
      <c r="AVN308" s="699">
        <f t="shared" si="880"/>
        <v>15525.15</v>
      </c>
      <c r="AVO308" s="699">
        <f t="shared" si="881"/>
        <v>4688.6000000000004</v>
      </c>
      <c r="AVP308" s="699">
        <f t="shared" si="882"/>
        <v>3520</v>
      </c>
      <c r="AVQ308" s="699">
        <f t="shared" si="883"/>
        <v>124078.5</v>
      </c>
    </row>
    <row r="309" spans="1:108 1244:1265" s="608" customFormat="1" ht="30" customHeight="1" x14ac:dyDescent="0.25">
      <c r="A309" s="634">
        <v>1</v>
      </c>
      <c r="B309" s="634">
        <v>8</v>
      </c>
      <c r="C309" s="633" t="s">
        <v>22</v>
      </c>
      <c r="D309" s="2"/>
      <c r="E309" s="602" t="s">
        <v>345</v>
      </c>
      <c r="F309" s="634" t="s">
        <v>38</v>
      </c>
      <c r="G309" s="634">
        <v>2</v>
      </c>
      <c r="H309" s="656" t="s">
        <v>10</v>
      </c>
      <c r="I309" s="634">
        <v>0</v>
      </c>
      <c r="J309" s="602" t="s">
        <v>466</v>
      </c>
      <c r="K309" s="634">
        <v>1</v>
      </c>
      <c r="L309" s="681" t="s">
        <v>350</v>
      </c>
      <c r="M309" s="601"/>
      <c r="N309" s="602" t="s">
        <v>387</v>
      </c>
      <c r="O309" s="634">
        <v>1</v>
      </c>
      <c r="P309" s="634">
        <v>3</v>
      </c>
      <c r="Q309" s="634">
        <v>3</v>
      </c>
      <c r="R309" s="634">
        <v>3</v>
      </c>
      <c r="S309" s="671">
        <f>'Территориальный кк'!D11</f>
        <v>1.504</v>
      </c>
      <c r="T309" s="672">
        <f>'Территориальный кк'!E11</f>
        <v>2.4710000000000001</v>
      </c>
      <c r="U309" s="618">
        <f>SUMIFS(Нормативы!G:G,Нормативы!$B:$B,$G309,Нормативы!$D:$D,'2020'!$I309,Нормативы!$F:$F,'2020'!$K309)*O309</f>
        <v>59740</v>
      </c>
      <c r="V309" s="618">
        <f t="shared" si="884"/>
        <v>45883.3</v>
      </c>
      <c r="W309" s="618">
        <f t="shared" si="885"/>
        <v>13856.7</v>
      </c>
      <c r="X309" s="618">
        <f>SUMIFS(Нормативы!J:J,Нормативы!$B:$B,$G309,Нормативы!$D:$D,'2020'!$I309,Нормативы!$F:$F,'2020'!$K309)</f>
        <v>220</v>
      </c>
      <c r="Y309" s="618">
        <f>SUMIFS(Нормативы!K:K,Нормативы!$B:$B,$G309,Нормативы!$D:$D,'2020'!$I309,Нормативы!$F:$F,'2020'!$K309)</f>
        <v>44</v>
      </c>
      <c r="Z309" s="618">
        <f>SUMIFS(Нормативы!L:L,Нормативы!$B:$B,$G309,Нормативы!$D:$D,'2020'!$I309,Нормативы!$F:$F,'2020'!$K309)</f>
        <v>2320</v>
      </c>
      <c r="AA309" s="618">
        <f t="shared" si="886"/>
        <v>4350</v>
      </c>
      <c r="AB309" s="618">
        <f>SUMIFS(Нормативы!N:N,Нормативы!$B:$B,$G309,Нормативы!$D:$D,'2020'!$I309,Нормативы!$F:$F,'2020'!$K309)*O309</f>
        <v>520</v>
      </c>
      <c r="AC309" s="618">
        <f>SUMIFS(Нормативы!O:O,Нормативы!$B:$B,$G309,Нормативы!$D:$D,'2020'!$I309,Нормативы!$F:$F,'2020'!$K309)</f>
        <v>2670</v>
      </c>
      <c r="AD309" s="618">
        <f>SUMIFS(Нормативы!P:P,Нормативы!$B:$B,$G309,Нормативы!$D:$D,'2020'!$I309,Нормативы!$F:$F,'2020'!$K309)*O309</f>
        <v>340</v>
      </c>
      <c r="AE309" s="618">
        <f>SUMIFS(Нормативы!Q:Q,Нормативы!$B:$B,$G309,Нормативы!$D:$D,'2020'!$I309,Нормативы!$F:$F,'2020'!$K309)</f>
        <v>820</v>
      </c>
      <c r="AF309" s="618">
        <f>SUMIFS(Нормативы!R:R,Нормативы!$B:$B,$G309,Нормативы!$D:$D,'2020'!$I309,Нормативы!$F:$F,'2020'!$K309)</f>
        <v>2460</v>
      </c>
      <c r="AG309" s="618">
        <f>SUMIFS(Нормативы!S:S,Нормативы!$B:$B,$G309,Нормативы!$D:$D,'2020'!$I309,Нормативы!$F:$F,'2020'!$K309)</f>
        <v>5080</v>
      </c>
      <c r="AH309" s="618">
        <f>SUMIFS(Нормативы!T:T,Нормативы!$B:$B,$G309,Нормативы!$D:$D,'2020'!$I309,Нормативы!$F:$F,'2020'!$K309)</f>
        <v>540</v>
      </c>
      <c r="AI309" s="618">
        <f>SUMIFS(Нормативы!U:U,Нормативы!$B:$B,$G309,Нормативы!$D:$D,'2020'!$I309,Нормативы!$F:$F,'2020'!$K309)</f>
        <v>770</v>
      </c>
      <c r="AJ309" s="618">
        <f>SUMIFS(Нормативы!V:V,Нормативы!$B:$B,$G309,Нормативы!$D:$D,'2020'!$I309,Нормативы!$F:$F,'2020'!$K309)</f>
        <v>80</v>
      </c>
      <c r="AK309" s="618">
        <f>SUMIFS(Нормативы!W:W,Нормативы!$B:$B,$G309,Нормативы!$D:$D,'2020'!$I309,Нормативы!$F:$F,'2020'!$K309)</f>
        <v>120</v>
      </c>
      <c r="AL309" s="618">
        <f>SUMIFS(Нормативы!X:X,Нормативы!$B:$B,$G309,Нормативы!$D:$D,'2020'!$I309,Нормативы!$F:$F,'2020'!$K309)*O309</f>
        <v>13440</v>
      </c>
      <c r="AM309" s="618">
        <f t="shared" si="887"/>
        <v>10322.6</v>
      </c>
      <c r="AN309" s="618">
        <f t="shared" si="888"/>
        <v>3117.4</v>
      </c>
      <c r="AO309" s="618">
        <f>SUMIFS(Нормативы!AA:AA,Нормативы!$B:$B,$G309,Нормативы!$D:$D,'2020'!$I309,Нормативы!$F:$F,'2020'!$K309)</f>
        <v>3520</v>
      </c>
      <c r="AP309" s="619">
        <f t="shared" si="889"/>
        <v>92640</v>
      </c>
      <c r="AQ309" s="611">
        <f t="shared" si="795"/>
        <v>179220</v>
      </c>
      <c r="AR309" s="622">
        <f t="shared" si="858"/>
        <v>137649.79999999999</v>
      </c>
      <c r="AS309" s="622">
        <f t="shared" si="859"/>
        <v>41570.199999999997</v>
      </c>
      <c r="AT309" s="614">
        <f t="shared" si="796"/>
        <v>660</v>
      </c>
      <c r="AU309" s="614">
        <f t="shared" si="797"/>
        <v>132</v>
      </c>
      <c r="AV309" s="614">
        <f t="shared" si="798"/>
        <v>6960</v>
      </c>
      <c r="AW309" s="614">
        <f t="shared" si="799"/>
        <v>13050</v>
      </c>
      <c r="AX309" s="614">
        <f t="shared" si="800"/>
        <v>1560</v>
      </c>
      <c r="AY309" s="614">
        <f t="shared" si="801"/>
        <v>8010</v>
      </c>
      <c r="AZ309" s="614">
        <f t="shared" si="802"/>
        <v>1020</v>
      </c>
      <c r="BA309" s="614">
        <f t="shared" si="803"/>
        <v>2460</v>
      </c>
      <c r="BB309" s="614">
        <f t="shared" si="804"/>
        <v>7380</v>
      </c>
      <c r="BC309" s="614">
        <f t="shared" si="805"/>
        <v>15240</v>
      </c>
      <c r="BD309" s="614">
        <f t="shared" si="806"/>
        <v>1620</v>
      </c>
      <c r="BE309" s="614">
        <f t="shared" si="807"/>
        <v>2310</v>
      </c>
      <c r="BF309" s="614">
        <f t="shared" si="808"/>
        <v>240</v>
      </c>
      <c r="BG309" s="614">
        <f t="shared" si="809"/>
        <v>360</v>
      </c>
      <c r="BH309" s="614">
        <f t="shared" si="810"/>
        <v>40320</v>
      </c>
      <c r="BI309" s="622">
        <f t="shared" si="860"/>
        <v>30967.7</v>
      </c>
      <c r="BJ309" s="622">
        <f t="shared" si="861"/>
        <v>9352.2999999999993</v>
      </c>
      <c r="BK309" s="614">
        <f t="shared" si="811"/>
        <v>10560</v>
      </c>
      <c r="BL309" s="620">
        <f t="shared" si="812"/>
        <v>277920</v>
      </c>
      <c r="BM309" s="614">
        <f t="shared" si="813"/>
        <v>269547</v>
      </c>
      <c r="BN309" s="622">
        <f t="shared" si="814"/>
        <v>207025.3</v>
      </c>
      <c r="BO309" s="622">
        <f t="shared" si="815"/>
        <v>62521.7</v>
      </c>
      <c r="BP309" s="614">
        <f t="shared" si="862"/>
        <v>660</v>
      </c>
      <c r="BQ309" s="614">
        <f t="shared" si="863"/>
        <v>132</v>
      </c>
      <c r="BR309" s="614">
        <f t="shared" si="864"/>
        <v>6960</v>
      </c>
      <c r="BS309" s="614">
        <f t="shared" si="816"/>
        <v>13050</v>
      </c>
      <c r="BT309" s="614">
        <f t="shared" si="817"/>
        <v>1560</v>
      </c>
      <c r="BU309" s="614">
        <f t="shared" si="818"/>
        <v>8010</v>
      </c>
      <c r="BV309" s="614">
        <f t="shared" si="819"/>
        <v>1020</v>
      </c>
      <c r="BW309" s="614">
        <f t="shared" si="820"/>
        <v>2460</v>
      </c>
      <c r="BX309" s="614">
        <f t="shared" si="821"/>
        <v>18236</v>
      </c>
      <c r="BY309" s="614">
        <f t="shared" si="822"/>
        <v>15240</v>
      </c>
      <c r="BZ309" s="614">
        <f t="shared" si="823"/>
        <v>1620</v>
      </c>
      <c r="CA309" s="614">
        <f t="shared" si="824"/>
        <v>2310</v>
      </c>
      <c r="CB309" s="614">
        <f t="shared" si="825"/>
        <v>240</v>
      </c>
      <c r="CC309" s="614">
        <f t="shared" si="826"/>
        <v>360</v>
      </c>
      <c r="CD309" s="614">
        <f t="shared" si="827"/>
        <v>60641</v>
      </c>
      <c r="CE309" s="622">
        <f t="shared" si="865"/>
        <v>46575.3</v>
      </c>
      <c r="CF309" s="622">
        <f t="shared" si="866"/>
        <v>14065.7</v>
      </c>
      <c r="CG309" s="614">
        <f t="shared" si="828"/>
        <v>10560</v>
      </c>
      <c r="CH309" s="621">
        <f t="shared" si="829"/>
        <v>399424</v>
      </c>
      <c r="CI309" s="607"/>
      <c r="CJ309" s="607"/>
      <c r="CK309" s="607"/>
      <c r="CL309" s="607"/>
      <c r="CM309" s="607"/>
      <c r="CN309" s="607"/>
      <c r="CO309" s="607"/>
      <c r="CP309" s="607"/>
      <c r="CQ309" s="607"/>
      <c r="CR309" s="607"/>
      <c r="CS309" s="607"/>
      <c r="CT309" s="607"/>
      <c r="CU309" s="607"/>
      <c r="CV309" s="607"/>
      <c r="CW309" s="607"/>
      <c r="CX309" s="607"/>
      <c r="CY309" s="607"/>
      <c r="CZ309" s="607"/>
      <c r="DA309" s="607"/>
      <c r="DB309" s="607"/>
      <c r="DC309" s="607"/>
      <c r="DD309" s="607"/>
      <c r="AUV309" s="699">
        <f t="shared" si="758"/>
        <v>89849</v>
      </c>
      <c r="AUW309" s="699">
        <f t="shared" si="759"/>
        <v>69008.45</v>
      </c>
      <c r="AUX309" s="699">
        <f t="shared" si="760"/>
        <v>20840.55</v>
      </c>
      <c r="AUY309" s="699">
        <f t="shared" si="867"/>
        <v>220</v>
      </c>
      <c r="AUZ309" s="699">
        <f t="shared" si="778"/>
        <v>53.42</v>
      </c>
      <c r="AVA309" s="699">
        <f t="shared" si="778"/>
        <v>0.12</v>
      </c>
      <c r="AVB309" s="699">
        <f t="shared" si="868"/>
        <v>4350</v>
      </c>
      <c r="AVC309" s="699">
        <f t="shared" si="869"/>
        <v>520</v>
      </c>
      <c r="AVD309" s="699">
        <f t="shared" si="870"/>
        <v>2670</v>
      </c>
      <c r="AVE309" s="699">
        <f t="shared" si="871"/>
        <v>340</v>
      </c>
      <c r="AVF309" s="699">
        <f t="shared" si="872"/>
        <v>820</v>
      </c>
      <c r="AVG309" s="699">
        <f t="shared" si="873"/>
        <v>6078.67</v>
      </c>
      <c r="AVH309" s="699">
        <f t="shared" si="874"/>
        <v>5080</v>
      </c>
      <c r="AVI309" s="699">
        <f t="shared" si="875"/>
        <v>540</v>
      </c>
      <c r="AVJ309" s="699">
        <f t="shared" si="876"/>
        <v>770</v>
      </c>
      <c r="AVK309" s="699">
        <f t="shared" si="877"/>
        <v>80</v>
      </c>
      <c r="AVL309" s="699">
        <f t="shared" si="878"/>
        <v>120</v>
      </c>
      <c r="AVM309" s="699">
        <f t="shared" si="879"/>
        <v>20213.669999999998</v>
      </c>
      <c r="AVN309" s="699">
        <f t="shared" si="880"/>
        <v>15525.09</v>
      </c>
      <c r="AVO309" s="699">
        <f t="shared" si="881"/>
        <v>4688.58</v>
      </c>
      <c r="AVP309" s="699">
        <f t="shared" si="882"/>
        <v>3520</v>
      </c>
      <c r="AVQ309" s="699">
        <f t="shared" si="883"/>
        <v>133141.32999999999</v>
      </c>
    </row>
    <row r="310" spans="1:108 1244:1265" s="608" customFormat="1" ht="30" customHeight="1" x14ac:dyDescent="0.25">
      <c r="A310" s="634">
        <v>1</v>
      </c>
      <c r="B310" s="634">
        <v>8</v>
      </c>
      <c r="C310" s="633" t="s">
        <v>22</v>
      </c>
      <c r="D310" s="2"/>
      <c r="E310" s="602" t="s">
        <v>345</v>
      </c>
      <c r="F310" s="634" t="s">
        <v>38</v>
      </c>
      <c r="G310" s="634">
        <v>2</v>
      </c>
      <c r="H310" s="656" t="s">
        <v>10</v>
      </c>
      <c r="I310" s="634">
        <v>0</v>
      </c>
      <c r="J310" s="602" t="s">
        <v>465</v>
      </c>
      <c r="K310" s="634">
        <v>1</v>
      </c>
      <c r="L310" s="681" t="s">
        <v>350</v>
      </c>
      <c r="M310" s="601"/>
      <c r="N310" s="602" t="s">
        <v>387</v>
      </c>
      <c r="O310" s="634">
        <v>1</v>
      </c>
      <c r="P310" s="633">
        <v>4</v>
      </c>
      <c r="Q310" s="633">
        <v>4</v>
      </c>
      <c r="R310" s="633">
        <v>4</v>
      </c>
      <c r="S310" s="671">
        <f>'Территориальный кк'!D11</f>
        <v>1.504</v>
      </c>
      <c r="T310" s="672">
        <f>'Территориальный кк'!E11</f>
        <v>2.4710000000000001</v>
      </c>
      <c r="U310" s="618">
        <f>SUMIFS(Нормативы!G:G,Нормативы!$B:$B,$G310,Нормативы!$D:$D,'2020'!$I310,Нормативы!$F:$F,'2020'!$K310)*O310</f>
        <v>59740</v>
      </c>
      <c r="V310" s="618">
        <f t="shared" si="884"/>
        <v>45883.3</v>
      </c>
      <c r="W310" s="618">
        <f t="shared" si="885"/>
        <v>13856.7</v>
      </c>
      <c r="X310" s="618">
        <f>SUMIFS(Нормативы!J:J,Нормативы!$B:$B,$G310,Нормативы!$D:$D,'2020'!$I310,Нормативы!$F:$F,'2020'!$K310)</f>
        <v>220</v>
      </c>
      <c r="Y310" s="618">
        <f>SUMIFS(Нормативы!K:K,Нормативы!$B:$B,$G310,Нормативы!$D:$D,'2020'!$I310,Нормативы!$F:$F,'2020'!$K310)</f>
        <v>44</v>
      </c>
      <c r="Z310" s="618">
        <f>SUMIFS(Нормативы!L:L,Нормативы!$B:$B,$G310,Нормативы!$D:$D,'2020'!$I310,Нормативы!$F:$F,'2020'!$K310)</f>
        <v>2320</v>
      </c>
      <c r="AA310" s="618">
        <f t="shared" si="886"/>
        <v>4350</v>
      </c>
      <c r="AB310" s="618">
        <f>SUMIFS(Нормативы!N:N,Нормативы!$B:$B,$G310,Нормативы!$D:$D,'2020'!$I310,Нормативы!$F:$F,'2020'!$K310)*O310</f>
        <v>520</v>
      </c>
      <c r="AC310" s="618">
        <f>SUMIFS(Нормативы!O:O,Нормативы!$B:$B,$G310,Нормативы!$D:$D,'2020'!$I310,Нормативы!$F:$F,'2020'!$K310)</f>
        <v>2670</v>
      </c>
      <c r="AD310" s="618">
        <f>SUMIFS(Нормативы!P:P,Нормативы!$B:$B,$G310,Нормативы!$D:$D,'2020'!$I310,Нормативы!$F:$F,'2020'!$K310)*O310</f>
        <v>340</v>
      </c>
      <c r="AE310" s="618">
        <f>SUMIFS(Нормативы!Q:Q,Нормативы!$B:$B,$G310,Нормативы!$D:$D,'2020'!$I310,Нормативы!$F:$F,'2020'!$K310)</f>
        <v>820</v>
      </c>
      <c r="AF310" s="618">
        <f>SUMIFS(Нормативы!R:R,Нормативы!$B:$B,$G310,Нормативы!$D:$D,'2020'!$I310,Нормативы!$F:$F,'2020'!$K310)</f>
        <v>2460</v>
      </c>
      <c r="AG310" s="618">
        <f>SUMIFS(Нормативы!S:S,Нормативы!$B:$B,$G310,Нормативы!$D:$D,'2020'!$I310,Нормативы!$F:$F,'2020'!$K310)</f>
        <v>5080</v>
      </c>
      <c r="AH310" s="618">
        <f>SUMIFS(Нормативы!T:T,Нормативы!$B:$B,$G310,Нормативы!$D:$D,'2020'!$I310,Нормативы!$F:$F,'2020'!$K310)</f>
        <v>540</v>
      </c>
      <c r="AI310" s="618">
        <f>SUMIFS(Нормативы!U:U,Нормативы!$B:$B,$G310,Нормативы!$D:$D,'2020'!$I310,Нормативы!$F:$F,'2020'!$K310)</f>
        <v>770</v>
      </c>
      <c r="AJ310" s="618">
        <f>SUMIFS(Нормативы!V:V,Нормативы!$B:$B,$G310,Нормативы!$D:$D,'2020'!$I310,Нормативы!$F:$F,'2020'!$K310)</f>
        <v>80</v>
      </c>
      <c r="AK310" s="618">
        <f>SUMIFS(Нормативы!W:W,Нормативы!$B:$B,$G310,Нормативы!$D:$D,'2020'!$I310,Нормативы!$F:$F,'2020'!$K310)</f>
        <v>120</v>
      </c>
      <c r="AL310" s="618">
        <f>SUMIFS(Нормативы!X:X,Нормативы!$B:$B,$G310,Нормативы!$D:$D,'2020'!$I310,Нормативы!$F:$F,'2020'!$K310)*O310</f>
        <v>13440</v>
      </c>
      <c r="AM310" s="618">
        <f t="shared" si="887"/>
        <v>10322.6</v>
      </c>
      <c r="AN310" s="618">
        <f t="shared" si="888"/>
        <v>3117.4</v>
      </c>
      <c r="AO310" s="618">
        <f>SUMIFS(Нормативы!AA:AA,Нормативы!$B:$B,$G310,Нормативы!$D:$D,'2020'!$I310,Нормативы!$F:$F,'2020'!$K310)</f>
        <v>3520</v>
      </c>
      <c r="AP310" s="619">
        <f t="shared" si="889"/>
        <v>92640</v>
      </c>
      <c r="AQ310" s="611">
        <f t="shared" si="795"/>
        <v>238960</v>
      </c>
      <c r="AR310" s="622">
        <f t="shared" si="858"/>
        <v>183533</v>
      </c>
      <c r="AS310" s="622">
        <f t="shared" si="859"/>
        <v>55427</v>
      </c>
      <c r="AT310" s="614">
        <f t="shared" si="796"/>
        <v>880</v>
      </c>
      <c r="AU310" s="614">
        <f t="shared" si="797"/>
        <v>176</v>
      </c>
      <c r="AV310" s="614">
        <f t="shared" si="798"/>
        <v>9280</v>
      </c>
      <c r="AW310" s="614">
        <f t="shared" si="799"/>
        <v>17400</v>
      </c>
      <c r="AX310" s="614">
        <f t="shared" si="800"/>
        <v>2080</v>
      </c>
      <c r="AY310" s="614">
        <f t="shared" si="801"/>
        <v>10680</v>
      </c>
      <c r="AZ310" s="614">
        <f t="shared" si="802"/>
        <v>1360</v>
      </c>
      <c r="BA310" s="614">
        <f t="shared" si="803"/>
        <v>3280</v>
      </c>
      <c r="BB310" s="614">
        <f t="shared" si="804"/>
        <v>9840</v>
      </c>
      <c r="BC310" s="614">
        <f t="shared" si="805"/>
        <v>20320</v>
      </c>
      <c r="BD310" s="614">
        <f t="shared" si="806"/>
        <v>2160</v>
      </c>
      <c r="BE310" s="614">
        <f t="shared" si="807"/>
        <v>3080</v>
      </c>
      <c r="BF310" s="614">
        <f t="shared" si="808"/>
        <v>320</v>
      </c>
      <c r="BG310" s="614">
        <f t="shared" si="809"/>
        <v>480</v>
      </c>
      <c r="BH310" s="614">
        <f t="shared" si="810"/>
        <v>53760</v>
      </c>
      <c r="BI310" s="622">
        <f t="shared" si="860"/>
        <v>41290.300000000003</v>
      </c>
      <c r="BJ310" s="622">
        <f t="shared" si="861"/>
        <v>12469.7</v>
      </c>
      <c r="BK310" s="614">
        <f t="shared" si="811"/>
        <v>14080</v>
      </c>
      <c r="BL310" s="620">
        <f t="shared" si="812"/>
        <v>370560</v>
      </c>
      <c r="BM310" s="614">
        <f t="shared" si="813"/>
        <v>359396</v>
      </c>
      <c r="BN310" s="622">
        <f t="shared" si="814"/>
        <v>276033.8</v>
      </c>
      <c r="BO310" s="622">
        <f t="shared" si="815"/>
        <v>83362.2</v>
      </c>
      <c r="BP310" s="614">
        <f t="shared" si="862"/>
        <v>880</v>
      </c>
      <c r="BQ310" s="614">
        <f t="shared" si="863"/>
        <v>176</v>
      </c>
      <c r="BR310" s="614">
        <f t="shared" si="864"/>
        <v>9280</v>
      </c>
      <c r="BS310" s="614">
        <f t="shared" si="816"/>
        <v>17400</v>
      </c>
      <c r="BT310" s="614">
        <f t="shared" si="817"/>
        <v>2080</v>
      </c>
      <c r="BU310" s="614">
        <f t="shared" si="818"/>
        <v>10680</v>
      </c>
      <c r="BV310" s="614">
        <f t="shared" si="819"/>
        <v>1360</v>
      </c>
      <c r="BW310" s="614">
        <f t="shared" si="820"/>
        <v>3280</v>
      </c>
      <c r="BX310" s="614">
        <f t="shared" si="821"/>
        <v>24315</v>
      </c>
      <c r="BY310" s="614">
        <f t="shared" si="822"/>
        <v>20320</v>
      </c>
      <c r="BZ310" s="614">
        <f t="shared" si="823"/>
        <v>2160</v>
      </c>
      <c r="CA310" s="614">
        <f t="shared" si="824"/>
        <v>3080</v>
      </c>
      <c r="CB310" s="614">
        <f t="shared" si="825"/>
        <v>320</v>
      </c>
      <c r="CC310" s="614">
        <f t="shared" si="826"/>
        <v>480</v>
      </c>
      <c r="CD310" s="614">
        <f t="shared" si="827"/>
        <v>80855</v>
      </c>
      <c r="CE310" s="622">
        <f t="shared" si="865"/>
        <v>62100.6</v>
      </c>
      <c r="CF310" s="622">
        <f t="shared" si="866"/>
        <v>18754.400000000001</v>
      </c>
      <c r="CG310" s="614">
        <f t="shared" si="828"/>
        <v>14080</v>
      </c>
      <c r="CH310" s="621">
        <f t="shared" si="829"/>
        <v>532566</v>
      </c>
      <c r="CI310" s="607"/>
      <c r="CJ310" s="607"/>
      <c r="CK310" s="607"/>
      <c r="CL310" s="607"/>
      <c r="CM310" s="607"/>
      <c r="CN310" s="607"/>
      <c r="CO310" s="607"/>
      <c r="CP310" s="607"/>
      <c r="CQ310" s="607"/>
      <c r="CR310" s="607"/>
      <c r="CS310" s="607"/>
      <c r="CT310" s="607"/>
      <c r="CU310" s="607"/>
      <c r="CV310" s="607"/>
      <c r="CW310" s="607"/>
      <c r="CX310" s="607"/>
      <c r="CY310" s="607"/>
      <c r="CZ310" s="607"/>
      <c r="DA310" s="607"/>
      <c r="DB310" s="607"/>
      <c r="DC310" s="607"/>
      <c r="DD310" s="607"/>
      <c r="AUV310" s="699">
        <f t="shared" si="758"/>
        <v>89849</v>
      </c>
      <c r="AUW310" s="699">
        <f t="shared" si="759"/>
        <v>69008.45</v>
      </c>
      <c r="AUX310" s="699">
        <f t="shared" si="760"/>
        <v>20840.55</v>
      </c>
      <c r="AUY310" s="699">
        <f t="shared" si="867"/>
        <v>220</v>
      </c>
      <c r="AUZ310" s="699">
        <f t="shared" si="778"/>
        <v>71.23</v>
      </c>
      <c r="AVA310" s="699">
        <f t="shared" si="778"/>
        <v>0.16</v>
      </c>
      <c r="AVB310" s="699">
        <f t="shared" si="868"/>
        <v>4350</v>
      </c>
      <c r="AVC310" s="699">
        <f t="shared" si="869"/>
        <v>520</v>
      </c>
      <c r="AVD310" s="699">
        <f t="shared" si="870"/>
        <v>2670</v>
      </c>
      <c r="AVE310" s="699">
        <f t="shared" si="871"/>
        <v>340</v>
      </c>
      <c r="AVF310" s="699">
        <f t="shared" si="872"/>
        <v>820</v>
      </c>
      <c r="AVG310" s="699">
        <f t="shared" si="873"/>
        <v>6078.75</v>
      </c>
      <c r="AVH310" s="699">
        <f t="shared" si="874"/>
        <v>5080</v>
      </c>
      <c r="AVI310" s="699">
        <f t="shared" si="875"/>
        <v>540</v>
      </c>
      <c r="AVJ310" s="699">
        <f t="shared" si="876"/>
        <v>770</v>
      </c>
      <c r="AVK310" s="699">
        <f t="shared" si="877"/>
        <v>80</v>
      </c>
      <c r="AVL310" s="699">
        <f t="shared" si="878"/>
        <v>120</v>
      </c>
      <c r="AVM310" s="699">
        <f t="shared" si="879"/>
        <v>20213.75</v>
      </c>
      <c r="AVN310" s="699">
        <f t="shared" si="880"/>
        <v>15525.15</v>
      </c>
      <c r="AVO310" s="699">
        <f t="shared" si="881"/>
        <v>4688.6000000000004</v>
      </c>
      <c r="AVP310" s="699">
        <f t="shared" si="882"/>
        <v>3520</v>
      </c>
      <c r="AVQ310" s="699">
        <f t="shared" si="883"/>
        <v>133141.5</v>
      </c>
    </row>
    <row r="311" spans="1:108 1244:1265" s="608" customFormat="1" ht="30" customHeight="1" x14ac:dyDescent="0.25">
      <c r="A311" s="634">
        <v>1</v>
      </c>
      <c r="B311" s="634">
        <v>8</v>
      </c>
      <c r="C311" s="633" t="s">
        <v>22</v>
      </c>
      <c r="D311" s="2"/>
      <c r="E311" s="602" t="s">
        <v>344</v>
      </c>
      <c r="F311" s="634" t="s">
        <v>31</v>
      </c>
      <c r="G311" s="634">
        <v>1</v>
      </c>
      <c r="H311" s="656" t="s">
        <v>8</v>
      </c>
      <c r="I311" s="634">
        <v>3</v>
      </c>
      <c r="J311" s="602" t="s">
        <v>356</v>
      </c>
      <c r="K311" s="634">
        <v>3</v>
      </c>
      <c r="L311" s="681" t="s">
        <v>349</v>
      </c>
      <c r="M311" s="601"/>
      <c r="N311" s="602" t="s">
        <v>401</v>
      </c>
      <c r="O311" s="634">
        <v>2</v>
      </c>
      <c r="P311" s="633">
        <v>1</v>
      </c>
      <c r="Q311" s="633">
        <v>1</v>
      </c>
      <c r="R311" s="633">
        <v>1</v>
      </c>
      <c r="S311" s="671">
        <f>'Территориальный кк'!D11</f>
        <v>1.504</v>
      </c>
      <c r="T311" s="672">
        <f>'Территориальный кк'!E11</f>
        <v>2.4710000000000001</v>
      </c>
      <c r="U311" s="618">
        <f>SUMIFS(Нормативы!G:G,Нормативы!$B:$B,$G311,Нормативы!$D:$D,'2020'!$I311,Нормативы!$F:$F,'2020'!$K311)*O311</f>
        <v>12838</v>
      </c>
      <c r="V311" s="618">
        <f t="shared" si="884"/>
        <v>9860.2000000000007</v>
      </c>
      <c r="W311" s="618">
        <f t="shared" si="885"/>
        <v>2977.8</v>
      </c>
      <c r="X311" s="618">
        <f>SUMIFS(Нормативы!J:J,Нормативы!$B:$B,$G311,Нормативы!$D:$D,'2020'!$I311,Нормативы!$F:$F,'2020'!$K311)</f>
        <v>883</v>
      </c>
      <c r="Y311" s="618">
        <f>SUMIFS(Нормативы!K:K,Нормативы!$B:$B,$G311,Нормативы!$D:$D,'2020'!$I311,Нормативы!$F:$F,'2020'!$K311)</f>
        <v>177</v>
      </c>
      <c r="Z311" s="618">
        <f>SUMIFS(Нормативы!L:L,Нормативы!$B:$B,$G311,Нормативы!$D:$D,'2020'!$I311,Нормативы!$F:$F,'2020'!$K311)</f>
        <v>811</v>
      </c>
      <c r="AA311" s="618">
        <f t="shared" si="886"/>
        <v>1993</v>
      </c>
      <c r="AB311" s="618">
        <f>SUMIFS(Нормативы!N:N,Нормативы!$B:$B,$G311,Нормативы!$D:$D,'2020'!$I311,Нормативы!$F:$F,'2020'!$K311)*O311</f>
        <v>104</v>
      </c>
      <c r="AC311" s="618">
        <f>SUMIFS(Нормативы!O:O,Нормативы!$B:$B,$G311,Нормативы!$D:$D,'2020'!$I311,Нормативы!$F:$F,'2020'!$K311)</f>
        <v>1729</v>
      </c>
      <c r="AD311" s="618">
        <f>SUMIFS(Нормативы!P:P,Нормативы!$B:$B,$G311,Нормативы!$D:$D,'2020'!$I311,Нормативы!$F:$F,'2020'!$K311)*O311</f>
        <v>72</v>
      </c>
      <c r="AE311" s="618">
        <f>SUMIFS(Нормативы!Q:Q,Нормативы!$B:$B,$G311,Нормативы!$D:$D,'2020'!$I311,Нормативы!$F:$F,'2020'!$K311)</f>
        <v>88</v>
      </c>
      <c r="AF311" s="618">
        <f>SUMIFS(Нормативы!R:R,Нормативы!$B:$B,$G311,Нормативы!$D:$D,'2020'!$I311,Нормативы!$F:$F,'2020'!$K311)</f>
        <v>268</v>
      </c>
      <c r="AG311" s="618">
        <f>SUMIFS(Нормативы!S:S,Нормативы!$B:$B,$G311,Нормативы!$D:$D,'2020'!$I311,Нормативы!$F:$F,'2020'!$K311)</f>
        <v>580</v>
      </c>
      <c r="AH311" s="618">
        <f>SUMIFS(Нормативы!T:T,Нормативы!$B:$B,$G311,Нормативы!$D:$D,'2020'!$I311,Нормативы!$F:$F,'2020'!$K311)</f>
        <v>54</v>
      </c>
      <c r="AI311" s="618">
        <f>SUMIFS(Нормативы!U:U,Нормативы!$B:$B,$G311,Нормативы!$D:$D,'2020'!$I311,Нормативы!$F:$F,'2020'!$K311)</f>
        <v>77</v>
      </c>
      <c r="AJ311" s="618">
        <f>SUMIFS(Нормативы!V:V,Нормативы!$B:$B,$G311,Нормативы!$D:$D,'2020'!$I311,Нормативы!$F:$F,'2020'!$K311)</f>
        <v>8</v>
      </c>
      <c r="AK311" s="618">
        <f>SUMIFS(Нормативы!W:W,Нормативы!$B:$B,$G311,Нормативы!$D:$D,'2020'!$I311,Нормативы!$F:$F,'2020'!$K311)</f>
        <v>105</v>
      </c>
      <c r="AL311" s="618">
        <f>SUMIFS(Нормативы!X:X,Нормативы!$B:$B,$G311,Нормативы!$D:$D,'2020'!$I311,Нормативы!$F:$F,'2020'!$K311)*O311</f>
        <v>3224</v>
      </c>
      <c r="AM311" s="618">
        <f t="shared" si="887"/>
        <v>2476.1999999999998</v>
      </c>
      <c r="AN311" s="618">
        <f t="shared" si="888"/>
        <v>747.8</v>
      </c>
      <c r="AO311" s="618">
        <f>SUMIFS(Нормативы!AA:AA,Нормативы!$B:$B,$G311,Нормативы!$D:$D,'2020'!$I311,Нормативы!$F:$F,'2020'!$K311)</f>
        <v>0</v>
      </c>
      <c r="AP311" s="619">
        <f t="shared" si="889"/>
        <v>20841</v>
      </c>
      <c r="AQ311" s="611">
        <f t="shared" si="795"/>
        <v>12838</v>
      </c>
      <c r="AR311" s="622">
        <f t="shared" si="858"/>
        <v>9860.2000000000007</v>
      </c>
      <c r="AS311" s="622">
        <f t="shared" si="859"/>
        <v>2977.8</v>
      </c>
      <c r="AT311" s="614">
        <f t="shared" si="796"/>
        <v>883</v>
      </c>
      <c r="AU311" s="614">
        <f t="shared" si="797"/>
        <v>177</v>
      </c>
      <c r="AV311" s="614">
        <f t="shared" si="798"/>
        <v>811</v>
      </c>
      <c r="AW311" s="614">
        <f t="shared" si="799"/>
        <v>1993</v>
      </c>
      <c r="AX311" s="614">
        <f t="shared" si="800"/>
        <v>104</v>
      </c>
      <c r="AY311" s="614">
        <f t="shared" si="801"/>
        <v>1729</v>
      </c>
      <c r="AZ311" s="614">
        <f t="shared" si="802"/>
        <v>72</v>
      </c>
      <c r="BA311" s="614">
        <f t="shared" si="803"/>
        <v>88</v>
      </c>
      <c r="BB311" s="614">
        <f t="shared" si="804"/>
        <v>268</v>
      </c>
      <c r="BC311" s="614">
        <f t="shared" si="805"/>
        <v>580</v>
      </c>
      <c r="BD311" s="614">
        <f t="shared" si="806"/>
        <v>54</v>
      </c>
      <c r="BE311" s="614">
        <f t="shared" si="807"/>
        <v>77</v>
      </c>
      <c r="BF311" s="614">
        <f t="shared" si="808"/>
        <v>8</v>
      </c>
      <c r="BG311" s="614">
        <f t="shared" si="809"/>
        <v>105</v>
      </c>
      <c r="BH311" s="614">
        <f t="shared" si="810"/>
        <v>3224</v>
      </c>
      <c r="BI311" s="622">
        <f t="shared" si="860"/>
        <v>2476.1999999999998</v>
      </c>
      <c r="BJ311" s="622">
        <f t="shared" si="861"/>
        <v>747.8</v>
      </c>
      <c r="BK311" s="614">
        <f t="shared" si="811"/>
        <v>0</v>
      </c>
      <c r="BL311" s="620">
        <f t="shared" si="812"/>
        <v>20841</v>
      </c>
      <c r="BM311" s="614">
        <f t="shared" si="813"/>
        <v>19308</v>
      </c>
      <c r="BN311" s="622">
        <f t="shared" si="814"/>
        <v>14829.5</v>
      </c>
      <c r="BO311" s="622">
        <f t="shared" si="815"/>
        <v>4478.5</v>
      </c>
      <c r="BP311" s="614">
        <f t="shared" si="862"/>
        <v>883</v>
      </c>
      <c r="BQ311" s="614">
        <f t="shared" si="863"/>
        <v>177</v>
      </c>
      <c r="BR311" s="614">
        <f t="shared" si="864"/>
        <v>811</v>
      </c>
      <c r="BS311" s="614">
        <f t="shared" si="816"/>
        <v>1993</v>
      </c>
      <c r="BT311" s="614">
        <f t="shared" si="817"/>
        <v>104</v>
      </c>
      <c r="BU311" s="614">
        <f t="shared" si="818"/>
        <v>1729</v>
      </c>
      <c r="BV311" s="614">
        <f t="shared" si="819"/>
        <v>72</v>
      </c>
      <c r="BW311" s="614">
        <f t="shared" si="820"/>
        <v>88</v>
      </c>
      <c r="BX311" s="614">
        <f t="shared" si="821"/>
        <v>662</v>
      </c>
      <c r="BY311" s="614">
        <f t="shared" si="822"/>
        <v>580</v>
      </c>
      <c r="BZ311" s="614">
        <f t="shared" si="823"/>
        <v>54</v>
      </c>
      <c r="CA311" s="614">
        <f t="shared" si="824"/>
        <v>77</v>
      </c>
      <c r="CB311" s="614">
        <f t="shared" si="825"/>
        <v>8</v>
      </c>
      <c r="CC311" s="614">
        <f t="shared" si="826"/>
        <v>105</v>
      </c>
      <c r="CD311" s="614">
        <f t="shared" si="827"/>
        <v>4849</v>
      </c>
      <c r="CE311" s="622">
        <f t="shared" si="865"/>
        <v>3724.3</v>
      </c>
      <c r="CF311" s="622">
        <f t="shared" si="866"/>
        <v>1124.7</v>
      </c>
      <c r="CG311" s="614">
        <f t="shared" si="828"/>
        <v>0</v>
      </c>
      <c r="CH311" s="621">
        <f t="shared" si="829"/>
        <v>29330</v>
      </c>
      <c r="CI311" s="607"/>
      <c r="CJ311" s="607"/>
      <c r="CK311" s="607"/>
      <c r="CL311" s="607"/>
      <c r="CM311" s="607"/>
      <c r="CN311" s="607"/>
      <c r="CO311" s="607"/>
      <c r="CP311" s="607"/>
      <c r="CQ311" s="607"/>
      <c r="CR311" s="607"/>
      <c r="CS311" s="607"/>
      <c r="CT311" s="607"/>
      <c r="CU311" s="607"/>
      <c r="CV311" s="607"/>
      <c r="CW311" s="607"/>
      <c r="CX311" s="607"/>
      <c r="CY311" s="607"/>
      <c r="CZ311" s="607"/>
      <c r="DA311" s="607"/>
      <c r="DB311" s="607"/>
      <c r="DC311" s="607"/>
      <c r="DD311" s="607"/>
      <c r="AUV311" s="699">
        <f t="shared" si="758"/>
        <v>19308</v>
      </c>
      <c r="AUW311" s="699">
        <f t="shared" si="759"/>
        <v>14829.49</v>
      </c>
      <c r="AUX311" s="699">
        <f t="shared" si="760"/>
        <v>4478.51</v>
      </c>
      <c r="AUY311" s="699">
        <f t="shared" si="867"/>
        <v>883</v>
      </c>
      <c r="AUZ311" s="699">
        <f t="shared" si="778"/>
        <v>71.63</v>
      </c>
      <c r="AVA311" s="699">
        <f t="shared" si="778"/>
        <v>0.06</v>
      </c>
      <c r="AVB311" s="699">
        <f t="shared" si="868"/>
        <v>1993</v>
      </c>
      <c r="AVC311" s="699">
        <f t="shared" si="869"/>
        <v>104</v>
      </c>
      <c r="AVD311" s="699">
        <f t="shared" si="870"/>
        <v>1729</v>
      </c>
      <c r="AVE311" s="699">
        <f t="shared" si="871"/>
        <v>72</v>
      </c>
      <c r="AVF311" s="699">
        <f t="shared" si="872"/>
        <v>88</v>
      </c>
      <c r="AVG311" s="699">
        <f t="shared" si="873"/>
        <v>662</v>
      </c>
      <c r="AVH311" s="699">
        <f t="shared" si="874"/>
        <v>580</v>
      </c>
      <c r="AVI311" s="699">
        <f t="shared" si="875"/>
        <v>54</v>
      </c>
      <c r="AVJ311" s="699">
        <f t="shared" si="876"/>
        <v>77</v>
      </c>
      <c r="AVK311" s="699">
        <f t="shared" si="877"/>
        <v>8</v>
      </c>
      <c r="AVL311" s="699">
        <f t="shared" si="878"/>
        <v>105</v>
      </c>
      <c r="AVM311" s="699">
        <f t="shared" si="879"/>
        <v>4849</v>
      </c>
      <c r="AVN311" s="699">
        <f t="shared" si="880"/>
        <v>3724.27</v>
      </c>
      <c r="AVO311" s="699">
        <f t="shared" si="881"/>
        <v>1124.73</v>
      </c>
      <c r="AVP311" s="699">
        <f t="shared" si="882"/>
        <v>0</v>
      </c>
      <c r="AVQ311" s="699">
        <f t="shared" si="883"/>
        <v>29330</v>
      </c>
    </row>
    <row r="312" spans="1:108 1244:1265" s="608" customFormat="1" ht="30" customHeight="1" x14ac:dyDescent="0.25">
      <c r="A312" s="634">
        <v>1</v>
      </c>
      <c r="B312" s="634">
        <v>8</v>
      </c>
      <c r="C312" s="633" t="s">
        <v>22</v>
      </c>
      <c r="D312" s="2"/>
      <c r="E312" s="602" t="s">
        <v>345</v>
      </c>
      <c r="F312" s="634" t="s">
        <v>38</v>
      </c>
      <c r="G312" s="634">
        <v>2</v>
      </c>
      <c r="H312" s="656" t="s">
        <v>8</v>
      </c>
      <c r="I312" s="634">
        <v>3</v>
      </c>
      <c r="J312" s="602" t="s">
        <v>361</v>
      </c>
      <c r="K312" s="634">
        <v>3</v>
      </c>
      <c r="L312" s="681" t="s">
        <v>350</v>
      </c>
      <c r="M312" s="601"/>
      <c r="N312" s="602" t="s">
        <v>387</v>
      </c>
      <c r="O312" s="634">
        <v>1</v>
      </c>
      <c r="P312" s="633">
        <v>17</v>
      </c>
      <c r="Q312" s="633">
        <v>17</v>
      </c>
      <c r="R312" s="633">
        <v>17</v>
      </c>
      <c r="S312" s="671">
        <f>'Территориальный кк'!D11</f>
        <v>1.504</v>
      </c>
      <c r="T312" s="672">
        <f>'Территориальный кк'!E11</f>
        <v>2.4710000000000001</v>
      </c>
      <c r="U312" s="618">
        <f>SUMIFS(Нормативы!G:G,Нормативы!$B:$B,$G312,Нормативы!$D:$D,'2020'!$I312,Нормативы!$F:$F,'2020'!$K312)*O312</f>
        <v>12944</v>
      </c>
      <c r="V312" s="618">
        <f t="shared" si="884"/>
        <v>9941.6</v>
      </c>
      <c r="W312" s="618">
        <f t="shared" si="885"/>
        <v>3002.4</v>
      </c>
      <c r="X312" s="618">
        <f>SUMIFS(Нормативы!J:J,Нормативы!$B:$B,$G312,Нормативы!$D:$D,'2020'!$I312,Нормативы!$F:$F,'2020'!$K312)</f>
        <v>486</v>
      </c>
      <c r="Y312" s="618">
        <f>SUMIFS(Нормативы!K:K,Нормативы!$B:$B,$G312,Нормативы!$D:$D,'2020'!$I312,Нормативы!$F:$F,'2020'!$K312)</f>
        <v>97</v>
      </c>
      <c r="Z312" s="618">
        <f>SUMIFS(Нормативы!L:L,Нормативы!$B:$B,$G312,Нормативы!$D:$D,'2020'!$I312,Нормативы!$F:$F,'2020'!$K312)</f>
        <v>348</v>
      </c>
      <c r="AA312" s="618">
        <f t="shared" si="886"/>
        <v>2031</v>
      </c>
      <c r="AB312" s="618">
        <f>SUMIFS(Нормативы!N:N,Нормативы!$B:$B,$G312,Нормативы!$D:$D,'2020'!$I312,Нормативы!$F:$F,'2020'!$K312)*O312</f>
        <v>52</v>
      </c>
      <c r="AC312" s="618">
        <f>SUMIFS(Нормативы!O:O,Нормативы!$B:$B,$G312,Нормативы!$D:$D,'2020'!$I312,Нормативы!$F:$F,'2020'!$K312)</f>
        <v>1728</v>
      </c>
      <c r="AD312" s="618">
        <f>SUMIFS(Нормативы!P:P,Нормативы!$B:$B,$G312,Нормативы!$D:$D,'2020'!$I312,Нормативы!$F:$F,'2020'!$K312)*O312</f>
        <v>73</v>
      </c>
      <c r="AE312" s="618">
        <f>SUMIFS(Нормативы!Q:Q,Нормативы!$B:$B,$G312,Нормативы!$D:$D,'2020'!$I312,Нормативы!$F:$F,'2020'!$K312)</f>
        <v>178</v>
      </c>
      <c r="AF312" s="618">
        <f>SUMIFS(Нормативы!R:R,Нормативы!$B:$B,$G312,Нормативы!$D:$D,'2020'!$I312,Нормативы!$F:$F,'2020'!$K312)</f>
        <v>275</v>
      </c>
      <c r="AG312" s="618">
        <f>SUMIFS(Нормативы!S:S,Нормативы!$B:$B,$G312,Нормативы!$D:$D,'2020'!$I312,Нормативы!$F:$F,'2020'!$K312)</f>
        <v>580</v>
      </c>
      <c r="AH312" s="618">
        <f>SUMIFS(Нормативы!T:T,Нормативы!$B:$B,$G312,Нормативы!$D:$D,'2020'!$I312,Нормативы!$F:$F,'2020'!$K312)</f>
        <v>54</v>
      </c>
      <c r="AI312" s="618">
        <f>SUMIFS(Нормативы!U:U,Нормативы!$B:$B,$G312,Нормативы!$D:$D,'2020'!$I312,Нормативы!$F:$F,'2020'!$K312)</f>
        <v>77</v>
      </c>
      <c r="AJ312" s="618">
        <f>SUMIFS(Нормативы!V:V,Нормативы!$B:$B,$G312,Нормативы!$D:$D,'2020'!$I312,Нормативы!$F:$F,'2020'!$K312)</f>
        <v>8</v>
      </c>
      <c r="AK312" s="618">
        <f>SUMIFS(Нормативы!W:W,Нормативы!$B:$B,$G312,Нормативы!$D:$D,'2020'!$I312,Нормативы!$F:$F,'2020'!$K312)</f>
        <v>39</v>
      </c>
      <c r="AL312" s="618">
        <f>SUMIFS(Нормативы!X:X,Нормативы!$B:$B,$G312,Нормативы!$D:$D,'2020'!$I312,Нормативы!$F:$F,'2020'!$K312)*O312</f>
        <v>1612</v>
      </c>
      <c r="AM312" s="618">
        <f t="shared" si="887"/>
        <v>1238.0999999999999</v>
      </c>
      <c r="AN312" s="618">
        <f t="shared" si="888"/>
        <v>373.9</v>
      </c>
      <c r="AO312" s="618">
        <f>SUMIFS(Нормативы!AA:AA,Нормативы!$B:$B,$G312,Нормативы!$D:$D,'2020'!$I312,Нормативы!$F:$F,'2020'!$K312)</f>
        <v>0</v>
      </c>
      <c r="AP312" s="619">
        <f t="shared" si="889"/>
        <v>18454</v>
      </c>
      <c r="AQ312" s="611">
        <f t="shared" si="795"/>
        <v>220048</v>
      </c>
      <c r="AR312" s="622">
        <f t="shared" si="858"/>
        <v>169007.7</v>
      </c>
      <c r="AS312" s="622">
        <f t="shared" si="859"/>
        <v>51040.3</v>
      </c>
      <c r="AT312" s="614">
        <f t="shared" si="796"/>
        <v>8262</v>
      </c>
      <c r="AU312" s="614">
        <f t="shared" si="797"/>
        <v>1649</v>
      </c>
      <c r="AV312" s="614">
        <f t="shared" si="798"/>
        <v>5916</v>
      </c>
      <c r="AW312" s="614">
        <f t="shared" si="799"/>
        <v>34527</v>
      </c>
      <c r="AX312" s="614">
        <f t="shared" si="800"/>
        <v>884</v>
      </c>
      <c r="AY312" s="614">
        <f t="shared" si="801"/>
        <v>29376</v>
      </c>
      <c r="AZ312" s="614">
        <f t="shared" si="802"/>
        <v>1241</v>
      </c>
      <c r="BA312" s="614">
        <f t="shared" si="803"/>
        <v>3026</v>
      </c>
      <c r="BB312" s="614">
        <f t="shared" si="804"/>
        <v>4675</v>
      </c>
      <c r="BC312" s="614">
        <f t="shared" si="805"/>
        <v>9860</v>
      </c>
      <c r="BD312" s="614">
        <f t="shared" si="806"/>
        <v>918</v>
      </c>
      <c r="BE312" s="614">
        <f t="shared" si="807"/>
        <v>1309</v>
      </c>
      <c r="BF312" s="614">
        <f t="shared" si="808"/>
        <v>136</v>
      </c>
      <c r="BG312" s="614">
        <f t="shared" si="809"/>
        <v>663</v>
      </c>
      <c r="BH312" s="614">
        <f t="shared" si="810"/>
        <v>27404</v>
      </c>
      <c r="BI312" s="622">
        <f t="shared" si="860"/>
        <v>21047.599999999999</v>
      </c>
      <c r="BJ312" s="622">
        <f t="shared" si="861"/>
        <v>6356.4</v>
      </c>
      <c r="BK312" s="614">
        <f t="shared" si="811"/>
        <v>0</v>
      </c>
      <c r="BL312" s="620">
        <f t="shared" si="812"/>
        <v>313718</v>
      </c>
      <c r="BM312" s="614">
        <f t="shared" si="813"/>
        <v>330952</v>
      </c>
      <c r="BN312" s="622">
        <f t="shared" si="814"/>
        <v>254187.4</v>
      </c>
      <c r="BO312" s="622">
        <f t="shared" si="815"/>
        <v>76764.600000000006</v>
      </c>
      <c r="BP312" s="614">
        <f t="shared" si="862"/>
        <v>8262</v>
      </c>
      <c r="BQ312" s="614">
        <f t="shared" si="863"/>
        <v>1649</v>
      </c>
      <c r="BR312" s="614">
        <f t="shared" si="864"/>
        <v>5916</v>
      </c>
      <c r="BS312" s="614">
        <f t="shared" si="816"/>
        <v>34527</v>
      </c>
      <c r="BT312" s="614">
        <f t="shared" si="817"/>
        <v>884</v>
      </c>
      <c r="BU312" s="614">
        <f t="shared" si="818"/>
        <v>29376</v>
      </c>
      <c r="BV312" s="614">
        <f t="shared" si="819"/>
        <v>1241</v>
      </c>
      <c r="BW312" s="614">
        <f t="shared" si="820"/>
        <v>3026</v>
      </c>
      <c r="BX312" s="614">
        <f t="shared" si="821"/>
        <v>11552</v>
      </c>
      <c r="BY312" s="614">
        <f t="shared" si="822"/>
        <v>9860</v>
      </c>
      <c r="BZ312" s="614">
        <f t="shared" si="823"/>
        <v>918</v>
      </c>
      <c r="CA312" s="614">
        <f t="shared" si="824"/>
        <v>1309</v>
      </c>
      <c r="CB312" s="614">
        <f t="shared" si="825"/>
        <v>136</v>
      </c>
      <c r="CC312" s="614">
        <f t="shared" si="826"/>
        <v>663</v>
      </c>
      <c r="CD312" s="614">
        <f t="shared" si="827"/>
        <v>41216</v>
      </c>
      <c r="CE312" s="622">
        <f t="shared" si="865"/>
        <v>31655.9</v>
      </c>
      <c r="CF312" s="622">
        <f t="shared" si="866"/>
        <v>9560.1</v>
      </c>
      <c r="CG312" s="614">
        <f t="shared" si="828"/>
        <v>0</v>
      </c>
      <c r="CH312" s="621">
        <f t="shared" si="829"/>
        <v>445311</v>
      </c>
      <c r="CI312" s="607"/>
      <c r="CJ312" s="607"/>
      <c r="CK312" s="607"/>
      <c r="CL312" s="607"/>
      <c r="CM312" s="607"/>
      <c r="CN312" s="607"/>
      <c r="CO312" s="607"/>
      <c r="CP312" s="607"/>
      <c r="CQ312" s="607"/>
      <c r="CR312" s="607"/>
      <c r="CS312" s="607"/>
      <c r="CT312" s="607"/>
      <c r="CU312" s="607"/>
      <c r="CV312" s="607"/>
      <c r="CW312" s="607"/>
      <c r="CX312" s="607"/>
      <c r="CY312" s="607"/>
      <c r="CZ312" s="607"/>
      <c r="DA312" s="607"/>
      <c r="DB312" s="607"/>
      <c r="DC312" s="607"/>
      <c r="DD312" s="607"/>
      <c r="AUV312" s="699">
        <f t="shared" si="758"/>
        <v>19467.759999999998</v>
      </c>
      <c r="AUW312" s="699">
        <f t="shared" si="759"/>
        <v>14952.2</v>
      </c>
      <c r="AUX312" s="699">
        <f t="shared" si="760"/>
        <v>4515.5600000000004</v>
      </c>
      <c r="AUY312" s="699">
        <f t="shared" si="867"/>
        <v>486</v>
      </c>
      <c r="AUZ312" s="699">
        <f t="shared" si="778"/>
        <v>667.34</v>
      </c>
      <c r="AVA312" s="699">
        <f t="shared" si="778"/>
        <v>0.46</v>
      </c>
      <c r="AVB312" s="699">
        <f t="shared" si="868"/>
        <v>2031</v>
      </c>
      <c r="AVC312" s="699">
        <f t="shared" si="869"/>
        <v>52</v>
      </c>
      <c r="AVD312" s="699">
        <f t="shared" si="870"/>
        <v>1728</v>
      </c>
      <c r="AVE312" s="699">
        <f t="shared" si="871"/>
        <v>73</v>
      </c>
      <c r="AVF312" s="699">
        <f t="shared" si="872"/>
        <v>178</v>
      </c>
      <c r="AVG312" s="699">
        <f t="shared" si="873"/>
        <v>679.53</v>
      </c>
      <c r="AVH312" s="699">
        <f t="shared" si="874"/>
        <v>580</v>
      </c>
      <c r="AVI312" s="699">
        <f t="shared" si="875"/>
        <v>54</v>
      </c>
      <c r="AVJ312" s="699">
        <f t="shared" si="876"/>
        <v>77</v>
      </c>
      <c r="AVK312" s="699">
        <f t="shared" si="877"/>
        <v>8</v>
      </c>
      <c r="AVL312" s="699">
        <f t="shared" si="878"/>
        <v>39</v>
      </c>
      <c r="AVM312" s="699">
        <f t="shared" si="879"/>
        <v>2424.4699999999998</v>
      </c>
      <c r="AVN312" s="699">
        <f t="shared" si="880"/>
        <v>1862.11</v>
      </c>
      <c r="AVO312" s="699">
        <f t="shared" si="881"/>
        <v>562.36</v>
      </c>
      <c r="AVP312" s="699">
        <f t="shared" si="882"/>
        <v>0</v>
      </c>
      <c r="AVQ312" s="699">
        <f t="shared" si="883"/>
        <v>26194.76</v>
      </c>
    </row>
    <row r="313" spans="1:108 1244:1265" ht="30" customHeight="1" x14ac:dyDescent="0.25">
      <c r="A313" s="643">
        <v>1</v>
      </c>
      <c r="B313" s="643">
        <v>8</v>
      </c>
      <c r="C313" s="664" t="s">
        <v>22</v>
      </c>
      <c r="D313" s="2"/>
      <c r="E313" s="101" t="s">
        <v>344</v>
      </c>
      <c r="F313" s="643" t="s">
        <v>31</v>
      </c>
      <c r="G313" s="643">
        <v>1</v>
      </c>
      <c r="H313" s="658" t="s">
        <v>10</v>
      </c>
      <c r="I313" s="643">
        <v>0</v>
      </c>
      <c r="J313" s="101" t="s">
        <v>371</v>
      </c>
      <c r="K313" s="643">
        <v>1</v>
      </c>
      <c r="L313" s="683" t="s">
        <v>349</v>
      </c>
      <c r="M313" s="11" t="s">
        <v>312</v>
      </c>
      <c r="N313" s="101" t="s">
        <v>387</v>
      </c>
      <c r="O313" s="643">
        <v>1</v>
      </c>
      <c r="P313" s="632">
        <v>20</v>
      </c>
      <c r="Q313" s="632">
        <v>20</v>
      </c>
      <c r="R313" s="632">
        <v>20</v>
      </c>
      <c r="S313" s="675">
        <f>SUMIF('Территориальный кк'!$A:$A,'2020'!$B313,'Территориальный кк'!D:D)</f>
        <v>1.504</v>
      </c>
      <c r="T313" s="676">
        <f>SUMIF('Территориальный кк'!$A:$A,'2020'!$B313,'Территориальный кк'!E:E)</f>
        <v>2.4710000000000001</v>
      </c>
      <c r="U313" s="618">
        <f>SUMIFS(Нормативы!G:G,Нормативы!$B:$B,$G313,Нормативы!$D:$D,'2020'!$I313,Нормативы!$F:$F,'2020'!$K313)*O313</f>
        <v>54020</v>
      </c>
      <c r="V313" s="618">
        <f t="shared" si="852"/>
        <v>41490</v>
      </c>
      <c r="W313" s="618">
        <f t="shared" si="853"/>
        <v>12530</v>
      </c>
      <c r="X313" s="618">
        <f>SUMIFS(Нормативы!J:J,Нормативы!$B:$B,$G313,Нормативы!$D:$D,'2020'!$I313,Нормативы!$F:$F,'2020'!$K313)</f>
        <v>220</v>
      </c>
      <c r="Y313" s="618">
        <f>SUMIFS(Нормативы!K:K,Нормативы!$B:$B,$G313,Нормативы!$D:$D,'2020'!$I313,Нормативы!$F:$F,'2020'!$K313)</f>
        <v>44</v>
      </c>
      <c r="Z313" s="618">
        <f>SUMIFS(Нормативы!L:L,Нормативы!$B:$B,$G313,Нормативы!$D:$D,'2020'!$I313,Нормативы!$F:$F,'2020'!$K313)</f>
        <v>2320</v>
      </c>
      <c r="AA313" s="618">
        <f t="shared" si="854"/>
        <v>3710</v>
      </c>
      <c r="AB313" s="618">
        <f>SUMIFS(Нормативы!N:N,Нормативы!$B:$B,$G313,Нормативы!$D:$D,'2020'!$I313,Нормативы!$F:$F,'2020'!$K313)*O313</f>
        <v>520</v>
      </c>
      <c r="AC313" s="618">
        <f>SUMIFS(Нормативы!O:O,Нормативы!$B:$B,$G313,Нормативы!$D:$D,'2020'!$I313,Нормативы!$F:$F,'2020'!$K313)</f>
        <v>2140</v>
      </c>
      <c r="AD313" s="618">
        <f>SUMIFS(Нормативы!P:P,Нормативы!$B:$B,$G313,Нормативы!$D:$D,'2020'!$I313,Нормативы!$F:$F,'2020'!$K313)*O313</f>
        <v>310</v>
      </c>
      <c r="AE313" s="618">
        <f>SUMIFS(Нормативы!Q:Q,Нормативы!$B:$B,$G313,Нормативы!$D:$D,'2020'!$I313,Нормативы!$F:$F,'2020'!$K313)</f>
        <v>740</v>
      </c>
      <c r="AF313" s="618">
        <f>SUMIFS(Нормативы!R:R,Нормативы!$B:$B,$G313,Нормативы!$D:$D,'2020'!$I313,Нормативы!$F:$F,'2020'!$K313)</f>
        <v>2460</v>
      </c>
      <c r="AG313" s="618">
        <f>SUMIFS(Нормативы!S:S,Нормативы!$B:$B,$G313,Нормативы!$D:$D,'2020'!$I313,Нормативы!$F:$F,'2020'!$K313)</f>
        <v>5080</v>
      </c>
      <c r="AH313" s="618">
        <f>SUMIFS(Нормативы!T:T,Нормативы!$B:$B,$G313,Нормативы!$D:$D,'2020'!$I313,Нормативы!$F:$F,'2020'!$K313)</f>
        <v>540</v>
      </c>
      <c r="AI313" s="618">
        <f>SUMIFS(Нормативы!U:U,Нормативы!$B:$B,$G313,Нормативы!$D:$D,'2020'!$I313,Нормативы!$F:$F,'2020'!$K313)</f>
        <v>770</v>
      </c>
      <c r="AJ313" s="618">
        <f>SUMIFS(Нормативы!V:V,Нормативы!$B:$B,$G313,Нормативы!$D:$D,'2020'!$I313,Нормативы!$F:$F,'2020'!$K313)</f>
        <v>80</v>
      </c>
      <c r="AK313" s="618">
        <f>SUMIFS(Нормативы!W:W,Нормативы!$B:$B,$G313,Нормативы!$D:$D,'2020'!$I313,Нормативы!$F:$F,'2020'!$K313)</f>
        <v>300</v>
      </c>
      <c r="AL313" s="618">
        <f>SUMIFS(Нормативы!X:X,Нормативы!$B:$B,$G313,Нормативы!$D:$D,'2020'!$I313,Нормативы!$F:$F,'2020'!$K313)*O313</f>
        <v>13440</v>
      </c>
      <c r="AM313" s="618">
        <f t="shared" si="855"/>
        <v>10322.6</v>
      </c>
      <c r="AN313" s="618">
        <f t="shared" si="856"/>
        <v>3117.4</v>
      </c>
      <c r="AO313" s="618">
        <f>SUMIFS(Нормативы!AA:AA,Нормативы!$B:$B,$G313,Нормативы!$D:$D,'2020'!$I313,Нормативы!$F:$F,'2020'!$K313)</f>
        <v>3520</v>
      </c>
      <c r="AP313" s="619">
        <f t="shared" si="857"/>
        <v>86460</v>
      </c>
      <c r="AQ313" s="413">
        <f t="shared" si="795"/>
        <v>1080400</v>
      </c>
      <c r="AR313" s="618">
        <f t="shared" si="858"/>
        <v>829800.3</v>
      </c>
      <c r="AS313" s="618">
        <f t="shared" si="859"/>
        <v>250599.7</v>
      </c>
      <c r="AT313" s="616">
        <f t="shared" si="796"/>
        <v>4400</v>
      </c>
      <c r="AU313" s="616">
        <f t="shared" si="797"/>
        <v>880</v>
      </c>
      <c r="AV313" s="616">
        <f t="shared" si="798"/>
        <v>46400</v>
      </c>
      <c r="AW313" s="616">
        <f t="shared" si="799"/>
        <v>74200</v>
      </c>
      <c r="AX313" s="616">
        <f t="shared" si="800"/>
        <v>10400</v>
      </c>
      <c r="AY313" s="616">
        <f t="shared" si="801"/>
        <v>42800</v>
      </c>
      <c r="AZ313" s="616">
        <f t="shared" si="802"/>
        <v>6200</v>
      </c>
      <c r="BA313" s="616">
        <f t="shared" si="803"/>
        <v>14800</v>
      </c>
      <c r="BB313" s="616">
        <f t="shared" si="804"/>
        <v>49200</v>
      </c>
      <c r="BC313" s="616">
        <f t="shared" si="805"/>
        <v>101600</v>
      </c>
      <c r="BD313" s="616">
        <f t="shared" si="806"/>
        <v>10800</v>
      </c>
      <c r="BE313" s="616">
        <f t="shared" si="807"/>
        <v>15400</v>
      </c>
      <c r="BF313" s="616">
        <f t="shared" si="808"/>
        <v>1600</v>
      </c>
      <c r="BG313" s="616">
        <f t="shared" si="809"/>
        <v>6000</v>
      </c>
      <c r="BH313" s="616">
        <f t="shared" si="810"/>
        <v>268800</v>
      </c>
      <c r="BI313" s="618">
        <f t="shared" si="860"/>
        <v>206451.6</v>
      </c>
      <c r="BJ313" s="618">
        <f t="shared" si="861"/>
        <v>62348.4</v>
      </c>
      <c r="BK313" s="616">
        <f t="shared" si="811"/>
        <v>70400</v>
      </c>
      <c r="BL313" s="620">
        <f t="shared" si="812"/>
        <v>1729200</v>
      </c>
      <c r="BM313" s="616">
        <f t="shared" si="813"/>
        <v>1624922</v>
      </c>
      <c r="BN313" s="618">
        <f t="shared" si="814"/>
        <v>1248020</v>
      </c>
      <c r="BO313" s="618">
        <f t="shared" si="815"/>
        <v>376902</v>
      </c>
      <c r="BP313" s="616">
        <f t="shared" si="862"/>
        <v>4400</v>
      </c>
      <c r="BQ313" s="616">
        <f t="shared" si="863"/>
        <v>880</v>
      </c>
      <c r="BR313" s="616">
        <f t="shared" si="864"/>
        <v>46400</v>
      </c>
      <c r="BS313" s="616">
        <f t="shared" si="816"/>
        <v>74200</v>
      </c>
      <c r="BT313" s="616">
        <f t="shared" si="817"/>
        <v>10400</v>
      </c>
      <c r="BU313" s="616">
        <f t="shared" si="818"/>
        <v>42800</v>
      </c>
      <c r="BV313" s="616">
        <f t="shared" si="819"/>
        <v>6200</v>
      </c>
      <c r="BW313" s="616">
        <f t="shared" si="820"/>
        <v>14800</v>
      </c>
      <c r="BX313" s="616">
        <f t="shared" si="821"/>
        <v>121573</v>
      </c>
      <c r="BY313" s="616">
        <f t="shared" si="822"/>
        <v>101600</v>
      </c>
      <c r="BZ313" s="616">
        <f t="shared" si="823"/>
        <v>10800</v>
      </c>
      <c r="CA313" s="616">
        <f t="shared" si="824"/>
        <v>15400</v>
      </c>
      <c r="CB313" s="616">
        <f t="shared" si="825"/>
        <v>1600</v>
      </c>
      <c r="CC313" s="616">
        <f t="shared" si="826"/>
        <v>6000</v>
      </c>
      <c r="CD313" s="616">
        <f t="shared" si="827"/>
        <v>404275</v>
      </c>
      <c r="CE313" s="618">
        <f t="shared" si="865"/>
        <v>310503.09999999998</v>
      </c>
      <c r="CF313" s="618">
        <f t="shared" si="866"/>
        <v>93771.9</v>
      </c>
      <c r="CG313" s="616">
        <f t="shared" si="828"/>
        <v>70400</v>
      </c>
      <c r="CH313" s="621">
        <f t="shared" si="829"/>
        <v>2481570</v>
      </c>
      <c r="CI313" s="88">
        <f t="shared" si="830"/>
        <v>81246.100000000006</v>
      </c>
      <c r="CJ313" s="90">
        <f t="shared" si="831"/>
        <v>62401</v>
      </c>
      <c r="CK313" s="90">
        <f t="shared" si="832"/>
        <v>18845.099999999999</v>
      </c>
      <c r="CL313" s="88">
        <f t="shared" si="833"/>
        <v>220</v>
      </c>
      <c r="CM313" s="88">
        <f t="shared" si="834"/>
        <v>44</v>
      </c>
      <c r="CN313" s="88">
        <f t="shared" si="835"/>
        <v>2320</v>
      </c>
      <c r="CO313" s="88">
        <f t="shared" si="836"/>
        <v>3710</v>
      </c>
      <c r="CP313" s="88">
        <f t="shared" si="837"/>
        <v>520</v>
      </c>
      <c r="CQ313" s="88">
        <f t="shared" si="838"/>
        <v>2140</v>
      </c>
      <c r="CR313" s="88">
        <f t="shared" si="839"/>
        <v>310</v>
      </c>
      <c r="CS313" s="88">
        <f t="shared" si="840"/>
        <v>740</v>
      </c>
      <c r="CT313" s="88">
        <f t="shared" si="841"/>
        <v>6078.65</v>
      </c>
      <c r="CU313" s="88">
        <f t="shared" si="842"/>
        <v>5080</v>
      </c>
      <c r="CV313" s="88">
        <f t="shared" si="843"/>
        <v>540</v>
      </c>
      <c r="CW313" s="88">
        <f t="shared" si="844"/>
        <v>770</v>
      </c>
      <c r="CX313" s="88">
        <f t="shared" si="845"/>
        <v>80</v>
      </c>
      <c r="CY313" s="88">
        <f t="shared" si="846"/>
        <v>300</v>
      </c>
      <c r="CZ313" s="88">
        <f t="shared" si="847"/>
        <v>20213.75</v>
      </c>
      <c r="DA313" s="90">
        <f t="shared" si="848"/>
        <v>15525.155000000001</v>
      </c>
      <c r="DB313" s="90">
        <f t="shared" si="849"/>
        <v>4688.5950000000003</v>
      </c>
      <c r="DC313" s="88">
        <f t="shared" si="850"/>
        <v>3520</v>
      </c>
      <c r="DD313" s="88">
        <f t="shared" si="851"/>
        <v>124078.5</v>
      </c>
      <c r="AUV313" s="699">
        <f t="shared" si="758"/>
        <v>81246.100000000006</v>
      </c>
      <c r="AUW313" s="699">
        <f t="shared" si="759"/>
        <v>62401</v>
      </c>
      <c r="AUX313" s="699">
        <f t="shared" si="760"/>
        <v>18845.099999999999</v>
      </c>
      <c r="AUY313" s="699">
        <f t="shared" si="867"/>
        <v>220</v>
      </c>
      <c r="AUZ313" s="699">
        <f t="shared" si="778"/>
        <v>356.13</v>
      </c>
      <c r="AVA313" s="699">
        <f t="shared" si="778"/>
        <v>0.86</v>
      </c>
      <c r="AVB313" s="699">
        <f t="shared" si="868"/>
        <v>3710</v>
      </c>
      <c r="AVC313" s="699">
        <f t="shared" si="869"/>
        <v>520</v>
      </c>
      <c r="AVD313" s="699">
        <f t="shared" si="870"/>
        <v>2140</v>
      </c>
      <c r="AVE313" s="699">
        <f t="shared" si="871"/>
        <v>310</v>
      </c>
      <c r="AVF313" s="699">
        <f t="shared" si="872"/>
        <v>740</v>
      </c>
      <c r="AVG313" s="699">
        <f t="shared" si="873"/>
        <v>6078.65</v>
      </c>
      <c r="AVH313" s="699">
        <f t="shared" si="874"/>
        <v>5080</v>
      </c>
      <c r="AVI313" s="699">
        <f t="shared" si="875"/>
        <v>540</v>
      </c>
      <c r="AVJ313" s="699">
        <f t="shared" si="876"/>
        <v>770</v>
      </c>
      <c r="AVK313" s="699">
        <f t="shared" si="877"/>
        <v>80</v>
      </c>
      <c r="AVL313" s="699">
        <f t="shared" si="878"/>
        <v>300</v>
      </c>
      <c r="AVM313" s="699">
        <f t="shared" si="879"/>
        <v>20213.75</v>
      </c>
      <c r="AVN313" s="699">
        <f t="shared" si="880"/>
        <v>15525.15</v>
      </c>
      <c r="AVO313" s="699">
        <f t="shared" si="881"/>
        <v>4688.6000000000004</v>
      </c>
      <c r="AVP313" s="699">
        <f t="shared" si="882"/>
        <v>3520</v>
      </c>
      <c r="AVQ313" s="699">
        <f t="shared" si="883"/>
        <v>124078.5</v>
      </c>
    </row>
    <row r="314" spans="1:108 1244:1265" ht="30" customHeight="1" x14ac:dyDescent="0.25">
      <c r="A314" s="643">
        <v>1</v>
      </c>
      <c r="B314" s="643">
        <v>8</v>
      </c>
      <c r="C314" s="664" t="s">
        <v>22</v>
      </c>
      <c r="D314" s="2"/>
      <c r="E314" s="101" t="s">
        <v>344</v>
      </c>
      <c r="F314" s="643" t="s">
        <v>31</v>
      </c>
      <c r="G314" s="643">
        <v>1</v>
      </c>
      <c r="H314" s="658" t="s">
        <v>10</v>
      </c>
      <c r="I314" s="643">
        <v>0</v>
      </c>
      <c r="J314" s="101" t="s">
        <v>372</v>
      </c>
      <c r="K314" s="643">
        <v>1</v>
      </c>
      <c r="L314" s="683" t="s">
        <v>349</v>
      </c>
      <c r="M314" s="11" t="s">
        <v>331</v>
      </c>
      <c r="N314" s="101" t="s">
        <v>387</v>
      </c>
      <c r="O314" s="643">
        <v>1</v>
      </c>
      <c r="P314" s="632">
        <v>19</v>
      </c>
      <c r="Q314" s="632">
        <v>19</v>
      </c>
      <c r="R314" s="632">
        <v>19</v>
      </c>
      <c r="S314" s="675">
        <f>SUMIF('Территориальный кк'!$A:$A,'2020'!$B314,'Территориальный кк'!D:D)</f>
        <v>1.504</v>
      </c>
      <c r="T314" s="676">
        <f>SUMIF('Территориальный кк'!$A:$A,'2020'!$B314,'Территориальный кк'!E:E)</f>
        <v>2.4710000000000001</v>
      </c>
      <c r="U314" s="618">
        <f>SUMIFS(Нормативы!G:G,Нормативы!$B:$B,$G314,Нормативы!$D:$D,'2020'!$I314,Нормативы!$F:$F,'2020'!$K314)*O314</f>
        <v>54020</v>
      </c>
      <c r="V314" s="618">
        <f t="shared" si="852"/>
        <v>41490</v>
      </c>
      <c r="W314" s="618">
        <f t="shared" si="853"/>
        <v>12530</v>
      </c>
      <c r="X314" s="618">
        <f>SUMIFS(Нормативы!J:J,Нормативы!$B:$B,$G314,Нормативы!$D:$D,'2020'!$I314,Нормативы!$F:$F,'2020'!$K314)</f>
        <v>220</v>
      </c>
      <c r="Y314" s="618">
        <f>SUMIFS(Нормативы!K:K,Нормативы!$B:$B,$G314,Нормативы!$D:$D,'2020'!$I314,Нормативы!$F:$F,'2020'!$K314)</f>
        <v>44</v>
      </c>
      <c r="Z314" s="618">
        <f>SUMIFS(Нормативы!L:L,Нормативы!$B:$B,$G314,Нормативы!$D:$D,'2020'!$I314,Нормативы!$F:$F,'2020'!$K314)</f>
        <v>2320</v>
      </c>
      <c r="AA314" s="618">
        <f t="shared" si="854"/>
        <v>3710</v>
      </c>
      <c r="AB314" s="618">
        <f>SUMIFS(Нормативы!N:N,Нормативы!$B:$B,$G314,Нормативы!$D:$D,'2020'!$I314,Нормативы!$F:$F,'2020'!$K314)*O314</f>
        <v>520</v>
      </c>
      <c r="AC314" s="618">
        <f>SUMIFS(Нормативы!O:O,Нормативы!$B:$B,$G314,Нормативы!$D:$D,'2020'!$I314,Нормативы!$F:$F,'2020'!$K314)</f>
        <v>2140</v>
      </c>
      <c r="AD314" s="618">
        <f>SUMIFS(Нормативы!P:P,Нормативы!$B:$B,$G314,Нормативы!$D:$D,'2020'!$I314,Нормативы!$F:$F,'2020'!$K314)*O314</f>
        <v>310</v>
      </c>
      <c r="AE314" s="618">
        <f>SUMIFS(Нормативы!Q:Q,Нормативы!$B:$B,$G314,Нормативы!$D:$D,'2020'!$I314,Нормативы!$F:$F,'2020'!$K314)</f>
        <v>740</v>
      </c>
      <c r="AF314" s="618">
        <f>SUMIFS(Нормативы!R:R,Нормативы!$B:$B,$G314,Нормативы!$D:$D,'2020'!$I314,Нормативы!$F:$F,'2020'!$K314)</f>
        <v>2460</v>
      </c>
      <c r="AG314" s="618">
        <f>SUMIFS(Нормативы!S:S,Нормативы!$B:$B,$G314,Нормативы!$D:$D,'2020'!$I314,Нормативы!$F:$F,'2020'!$K314)</f>
        <v>5080</v>
      </c>
      <c r="AH314" s="618">
        <f>SUMIFS(Нормативы!T:T,Нормативы!$B:$B,$G314,Нормативы!$D:$D,'2020'!$I314,Нормативы!$F:$F,'2020'!$K314)</f>
        <v>540</v>
      </c>
      <c r="AI314" s="618">
        <f>SUMIFS(Нормативы!U:U,Нормативы!$B:$B,$G314,Нормативы!$D:$D,'2020'!$I314,Нормативы!$F:$F,'2020'!$K314)</f>
        <v>770</v>
      </c>
      <c r="AJ314" s="618">
        <f>SUMIFS(Нормативы!V:V,Нормативы!$B:$B,$G314,Нормативы!$D:$D,'2020'!$I314,Нормативы!$F:$F,'2020'!$K314)</f>
        <v>80</v>
      </c>
      <c r="AK314" s="618">
        <f>SUMIFS(Нормативы!W:W,Нормативы!$B:$B,$G314,Нормативы!$D:$D,'2020'!$I314,Нормативы!$F:$F,'2020'!$K314)</f>
        <v>300</v>
      </c>
      <c r="AL314" s="618">
        <f>SUMIFS(Нормативы!X:X,Нормативы!$B:$B,$G314,Нормативы!$D:$D,'2020'!$I314,Нормативы!$F:$F,'2020'!$K314)*O314</f>
        <v>13440</v>
      </c>
      <c r="AM314" s="618">
        <f t="shared" si="855"/>
        <v>10322.6</v>
      </c>
      <c r="AN314" s="618">
        <f t="shared" si="856"/>
        <v>3117.4</v>
      </c>
      <c r="AO314" s="618">
        <f>SUMIFS(Нормативы!AA:AA,Нормативы!$B:$B,$G314,Нормативы!$D:$D,'2020'!$I314,Нормативы!$F:$F,'2020'!$K314)</f>
        <v>3520</v>
      </c>
      <c r="AP314" s="619">
        <f t="shared" si="857"/>
        <v>86460</v>
      </c>
      <c r="AQ314" s="413">
        <f t="shared" si="795"/>
        <v>1026380</v>
      </c>
      <c r="AR314" s="618">
        <f t="shared" si="858"/>
        <v>788310.3</v>
      </c>
      <c r="AS314" s="618">
        <f t="shared" si="859"/>
        <v>238069.7</v>
      </c>
      <c r="AT314" s="616">
        <f t="shared" si="796"/>
        <v>4180</v>
      </c>
      <c r="AU314" s="616">
        <f t="shared" si="797"/>
        <v>836</v>
      </c>
      <c r="AV314" s="616">
        <f t="shared" si="798"/>
        <v>44080</v>
      </c>
      <c r="AW314" s="616">
        <f t="shared" si="799"/>
        <v>70490</v>
      </c>
      <c r="AX314" s="616">
        <f t="shared" si="800"/>
        <v>9880</v>
      </c>
      <c r="AY314" s="616">
        <f t="shared" si="801"/>
        <v>40660</v>
      </c>
      <c r="AZ314" s="616">
        <f t="shared" si="802"/>
        <v>5890</v>
      </c>
      <c r="BA314" s="616">
        <f t="shared" si="803"/>
        <v>14060</v>
      </c>
      <c r="BB314" s="616">
        <f t="shared" si="804"/>
        <v>46740</v>
      </c>
      <c r="BC314" s="616">
        <f t="shared" si="805"/>
        <v>96520</v>
      </c>
      <c r="BD314" s="616">
        <f t="shared" si="806"/>
        <v>10260</v>
      </c>
      <c r="BE314" s="616">
        <f t="shared" si="807"/>
        <v>14630</v>
      </c>
      <c r="BF314" s="616">
        <f t="shared" si="808"/>
        <v>1520</v>
      </c>
      <c r="BG314" s="616">
        <f t="shared" si="809"/>
        <v>5700</v>
      </c>
      <c r="BH314" s="616">
        <f t="shared" si="810"/>
        <v>255360</v>
      </c>
      <c r="BI314" s="618">
        <f t="shared" si="860"/>
        <v>196129</v>
      </c>
      <c r="BJ314" s="618">
        <f t="shared" si="861"/>
        <v>59231</v>
      </c>
      <c r="BK314" s="616">
        <f t="shared" si="811"/>
        <v>66880</v>
      </c>
      <c r="BL314" s="620">
        <f t="shared" si="812"/>
        <v>1642740</v>
      </c>
      <c r="BM314" s="616">
        <f t="shared" si="813"/>
        <v>1543676</v>
      </c>
      <c r="BN314" s="618">
        <f t="shared" si="814"/>
        <v>1185619</v>
      </c>
      <c r="BO314" s="618">
        <f t="shared" si="815"/>
        <v>358057</v>
      </c>
      <c r="BP314" s="616">
        <f t="shared" si="862"/>
        <v>4180</v>
      </c>
      <c r="BQ314" s="616">
        <f t="shared" si="863"/>
        <v>836</v>
      </c>
      <c r="BR314" s="616">
        <f t="shared" si="864"/>
        <v>44080</v>
      </c>
      <c r="BS314" s="616">
        <f t="shared" si="816"/>
        <v>70490</v>
      </c>
      <c r="BT314" s="616">
        <f t="shared" si="817"/>
        <v>9880</v>
      </c>
      <c r="BU314" s="616">
        <f t="shared" si="818"/>
        <v>40660</v>
      </c>
      <c r="BV314" s="616">
        <f t="shared" si="819"/>
        <v>5890</v>
      </c>
      <c r="BW314" s="616">
        <f t="shared" si="820"/>
        <v>14060</v>
      </c>
      <c r="BX314" s="616">
        <f t="shared" si="821"/>
        <v>115495</v>
      </c>
      <c r="BY314" s="616">
        <f t="shared" si="822"/>
        <v>96520</v>
      </c>
      <c r="BZ314" s="616">
        <f t="shared" si="823"/>
        <v>10260</v>
      </c>
      <c r="CA314" s="616">
        <f t="shared" si="824"/>
        <v>14630</v>
      </c>
      <c r="CB314" s="616">
        <f t="shared" si="825"/>
        <v>1520</v>
      </c>
      <c r="CC314" s="616">
        <f t="shared" si="826"/>
        <v>5700</v>
      </c>
      <c r="CD314" s="616">
        <f t="shared" si="827"/>
        <v>384061</v>
      </c>
      <c r="CE314" s="618">
        <f t="shared" si="865"/>
        <v>294977.7</v>
      </c>
      <c r="CF314" s="618">
        <f t="shared" si="866"/>
        <v>89083.3</v>
      </c>
      <c r="CG314" s="616">
        <f t="shared" si="828"/>
        <v>66880</v>
      </c>
      <c r="CH314" s="621">
        <f t="shared" si="829"/>
        <v>2357492</v>
      </c>
      <c r="CI314" s="88">
        <f t="shared" si="830"/>
        <v>81246.105299999996</v>
      </c>
      <c r="CJ314" s="90">
        <f t="shared" si="831"/>
        <v>62401</v>
      </c>
      <c r="CK314" s="90">
        <f t="shared" si="832"/>
        <v>18845.105299999999</v>
      </c>
      <c r="CL314" s="88">
        <f t="shared" si="833"/>
        <v>220</v>
      </c>
      <c r="CM314" s="88">
        <f t="shared" si="834"/>
        <v>44</v>
      </c>
      <c r="CN314" s="88">
        <f t="shared" si="835"/>
        <v>2320</v>
      </c>
      <c r="CO314" s="88">
        <f t="shared" si="836"/>
        <v>3710</v>
      </c>
      <c r="CP314" s="88">
        <f t="shared" si="837"/>
        <v>520</v>
      </c>
      <c r="CQ314" s="88">
        <f t="shared" si="838"/>
        <v>2140</v>
      </c>
      <c r="CR314" s="88">
        <f t="shared" si="839"/>
        <v>310</v>
      </c>
      <c r="CS314" s="88">
        <f t="shared" si="840"/>
        <v>740</v>
      </c>
      <c r="CT314" s="88">
        <f t="shared" si="841"/>
        <v>6078.6841999999997</v>
      </c>
      <c r="CU314" s="88">
        <f t="shared" si="842"/>
        <v>5080</v>
      </c>
      <c r="CV314" s="88">
        <f t="shared" si="843"/>
        <v>540</v>
      </c>
      <c r="CW314" s="88">
        <f t="shared" si="844"/>
        <v>770</v>
      </c>
      <c r="CX314" s="88">
        <f t="shared" si="845"/>
        <v>80</v>
      </c>
      <c r="CY314" s="88">
        <f t="shared" si="846"/>
        <v>300</v>
      </c>
      <c r="CZ314" s="88">
        <f t="shared" si="847"/>
        <v>20213.736799999999</v>
      </c>
      <c r="DA314" s="90">
        <f t="shared" si="848"/>
        <v>15525.142099999999</v>
      </c>
      <c r="DB314" s="90">
        <f t="shared" si="849"/>
        <v>4688.5946999999996</v>
      </c>
      <c r="DC314" s="88">
        <f t="shared" si="850"/>
        <v>3520</v>
      </c>
      <c r="DD314" s="88">
        <f t="shared" si="851"/>
        <v>124078.5263</v>
      </c>
      <c r="AUV314" s="699">
        <f t="shared" si="758"/>
        <v>81246.11</v>
      </c>
      <c r="AUW314" s="699">
        <f t="shared" si="759"/>
        <v>62401.01</v>
      </c>
      <c r="AUX314" s="699">
        <f t="shared" si="760"/>
        <v>18845.099999999999</v>
      </c>
      <c r="AUY314" s="699">
        <f t="shared" si="867"/>
        <v>220</v>
      </c>
      <c r="AUZ314" s="699">
        <f t="shared" si="778"/>
        <v>338.32</v>
      </c>
      <c r="AVA314" s="699">
        <f t="shared" si="778"/>
        <v>0.82</v>
      </c>
      <c r="AVB314" s="699">
        <f t="shared" si="868"/>
        <v>3710</v>
      </c>
      <c r="AVC314" s="699">
        <f t="shared" si="869"/>
        <v>520</v>
      </c>
      <c r="AVD314" s="699">
        <f t="shared" si="870"/>
        <v>2140</v>
      </c>
      <c r="AVE314" s="699">
        <f t="shared" si="871"/>
        <v>310</v>
      </c>
      <c r="AVF314" s="699">
        <f t="shared" si="872"/>
        <v>740</v>
      </c>
      <c r="AVG314" s="699">
        <f t="shared" si="873"/>
        <v>6078.68</v>
      </c>
      <c r="AVH314" s="699">
        <f t="shared" si="874"/>
        <v>5080</v>
      </c>
      <c r="AVI314" s="699">
        <f t="shared" si="875"/>
        <v>540</v>
      </c>
      <c r="AVJ314" s="699">
        <f t="shared" si="876"/>
        <v>770</v>
      </c>
      <c r="AVK314" s="699">
        <f t="shared" si="877"/>
        <v>80</v>
      </c>
      <c r="AVL314" s="699">
        <f t="shared" si="878"/>
        <v>300</v>
      </c>
      <c r="AVM314" s="699">
        <f t="shared" si="879"/>
        <v>20213.740000000002</v>
      </c>
      <c r="AVN314" s="699">
        <f t="shared" si="880"/>
        <v>15525.15</v>
      </c>
      <c r="AVO314" s="699">
        <f t="shared" si="881"/>
        <v>4688.59</v>
      </c>
      <c r="AVP314" s="699">
        <f t="shared" si="882"/>
        <v>3520</v>
      </c>
      <c r="AVQ314" s="699">
        <f t="shared" si="883"/>
        <v>124078.53</v>
      </c>
    </row>
    <row r="315" spans="1:108 1244:1265" ht="30" customHeight="1" x14ac:dyDescent="0.25">
      <c r="A315" s="643">
        <v>1</v>
      </c>
      <c r="B315" s="643">
        <v>8</v>
      </c>
      <c r="C315" s="664" t="s">
        <v>22</v>
      </c>
      <c r="D315" s="2"/>
      <c r="E315" s="101" t="s">
        <v>344</v>
      </c>
      <c r="F315" s="643" t="s">
        <v>31</v>
      </c>
      <c r="G315" s="643">
        <v>1</v>
      </c>
      <c r="H315" s="658" t="s">
        <v>10</v>
      </c>
      <c r="I315" s="643">
        <v>0</v>
      </c>
      <c r="J315" s="101" t="s">
        <v>356</v>
      </c>
      <c r="K315" s="643">
        <v>3</v>
      </c>
      <c r="L315" s="683" t="s">
        <v>349</v>
      </c>
      <c r="M315" s="11" t="s">
        <v>255</v>
      </c>
      <c r="N315" s="101" t="s">
        <v>387</v>
      </c>
      <c r="O315" s="643">
        <v>1</v>
      </c>
      <c r="P315" s="632">
        <v>1033</v>
      </c>
      <c r="Q315" s="632">
        <v>1033</v>
      </c>
      <c r="R315" s="632">
        <v>1033</v>
      </c>
      <c r="S315" s="675">
        <f>SUMIF('Территориальный кк'!$A:$A,'2020'!$B315,'Территориальный кк'!D:D)</f>
        <v>1.504</v>
      </c>
      <c r="T315" s="676">
        <f>SUMIF('Территориальный кк'!$A:$A,'2020'!$B315,'Территориальный кк'!E:E)</f>
        <v>2.4710000000000001</v>
      </c>
      <c r="U315" s="618">
        <f>SUMIFS(Нормативы!G:G,Нормативы!$B:$B,$G315,Нормативы!$D:$D,'2020'!$I315,Нормативы!$F:$F,'2020'!$K315)*O315</f>
        <v>64190</v>
      </c>
      <c r="V315" s="618">
        <f t="shared" si="852"/>
        <v>49301.1</v>
      </c>
      <c r="W315" s="618">
        <f t="shared" si="853"/>
        <v>14888.9</v>
      </c>
      <c r="X315" s="618">
        <f>SUMIFS(Нормативы!J:J,Нормативы!$B:$B,$G315,Нормативы!$D:$D,'2020'!$I315,Нормативы!$F:$F,'2020'!$K315)</f>
        <v>8830</v>
      </c>
      <c r="Y315" s="618">
        <f>SUMIFS(Нормативы!K:K,Нормативы!$B:$B,$G315,Нормативы!$D:$D,'2020'!$I315,Нормативы!$F:$F,'2020'!$K315)</f>
        <v>1766</v>
      </c>
      <c r="Z315" s="618">
        <f>SUMIFS(Нормативы!L:L,Нормативы!$B:$B,$G315,Нормативы!$D:$D,'2020'!$I315,Нормативы!$F:$F,'2020'!$K315)</f>
        <v>8110</v>
      </c>
      <c r="AA315" s="618">
        <f t="shared" si="854"/>
        <v>19050</v>
      </c>
      <c r="AB315" s="618">
        <f>SUMIFS(Нормативы!N:N,Нормативы!$B:$B,$G315,Нормативы!$D:$D,'2020'!$I315,Нормативы!$F:$F,'2020'!$K315)*O315</f>
        <v>520</v>
      </c>
      <c r="AC315" s="618">
        <f>SUMIFS(Нормативы!O:O,Нормативы!$B:$B,$G315,Нормативы!$D:$D,'2020'!$I315,Нормативы!$F:$F,'2020'!$K315)</f>
        <v>17290</v>
      </c>
      <c r="AD315" s="618">
        <f>SUMIFS(Нормативы!P:P,Нормативы!$B:$B,$G315,Нормативы!$D:$D,'2020'!$I315,Нормативы!$F:$F,'2020'!$K315)*O315</f>
        <v>360</v>
      </c>
      <c r="AE315" s="618">
        <f>SUMIFS(Нормативы!Q:Q,Нормативы!$B:$B,$G315,Нормативы!$D:$D,'2020'!$I315,Нормативы!$F:$F,'2020'!$K315)</f>
        <v>880</v>
      </c>
      <c r="AF315" s="618">
        <f>SUMIFS(Нормативы!R:R,Нормативы!$B:$B,$G315,Нормативы!$D:$D,'2020'!$I315,Нормативы!$F:$F,'2020'!$K315)</f>
        <v>2680</v>
      </c>
      <c r="AG315" s="618">
        <f>SUMIFS(Нормативы!S:S,Нормативы!$B:$B,$G315,Нормативы!$D:$D,'2020'!$I315,Нормативы!$F:$F,'2020'!$K315)</f>
        <v>5800</v>
      </c>
      <c r="AH315" s="618">
        <f>SUMIFS(Нормативы!T:T,Нормативы!$B:$B,$G315,Нормативы!$D:$D,'2020'!$I315,Нормативы!$F:$F,'2020'!$K315)</f>
        <v>540</v>
      </c>
      <c r="AI315" s="618">
        <f>SUMIFS(Нормативы!U:U,Нормативы!$B:$B,$G315,Нормативы!$D:$D,'2020'!$I315,Нормативы!$F:$F,'2020'!$K315)</f>
        <v>770</v>
      </c>
      <c r="AJ315" s="618">
        <f>SUMIFS(Нормативы!V:V,Нормативы!$B:$B,$G315,Нормативы!$D:$D,'2020'!$I315,Нормативы!$F:$F,'2020'!$K315)</f>
        <v>80</v>
      </c>
      <c r="AK315" s="618">
        <f>SUMIFS(Нормативы!W:W,Нормативы!$B:$B,$G315,Нормативы!$D:$D,'2020'!$I315,Нормативы!$F:$F,'2020'!$K315)</f>
        <v>1050</v>
      </c>
      <c r="AL315" s="618">
        <f>SUMIFS(Нормативы!X:X,Нормативы!$B:$B,$G315,Нормативы!$D:$D,'2020'!$I315,Нормативы!$F:$F,'2020'!$K315)*O315</f>
        <v>16120</v>
      </c>
      <c r="AM315" s="618">
        <f t="shared" si="855"/>
        <v>12381</v>
      </c>
      <c r="AN315" s="618">
        <f t="shared" si="856"/>
        <v>3739</v>
      </c>
      <c r="AO315" s="618">
        <f>SUMIFS(Нормативы!AA:AA,Нормативы!$B:$B,$G315,Нормативы!$D:$D,'2020'!$I315,Нормативы!$F:$F,'2020'!$K315)</f>
        <v>3520</v>
      </c>
      <c r="AP315" s="619">
        <f t="shared" si="857"/>
        <v>130740</v>
      </c>
      <c r="AQ315" s="413">
        <f t="shared" si="795"/>
        <v>66308270</v>
      </c>
      <c r="AR315" s="618">
        <f t="shared" si="858"/>
        <v>50928010.799999997</v>
      </c>
      <c r="AS315" s="618">
        <f t="shared" si="859"/>
        <v>15380259.199999999</v>
      </c>
      <c r="AT315" s="616">
        <f t="shared" si="796"/>
        <v>9121390</v>
      </c>
      <c r="AU315" s="616">
        <f t="shared" si="797"/>
        <v>1824278</v>
      </c>
      <c r="AV315" s="616">
        <f t="shared" si="798"/>
        <v>8377630</v>
      </c>
      <c r="AW315" s="616">
        <f t="shared" si="799"/>
        <v>19678650</v>
      </c>
      <c r="AX315" s="616">
        <f t="shared" si="800"/>
        <v>537160</v>
      </c>
      <c r="AY315" s="616">
        <f t="shared" si="801"/>
        <v>17860570</v>
      </c>
      <c r="AZ315" s="616">
        <f t="shared" si="802"/>
        <v>371880</v>
      </c>
      <c r="BA315" s="616">
        <f t="shared" si="803"/>
        <v>909040</v>
      </c>
      <c r="BB315" s="616">
        <f t="shared" si="804"/>
        <v>2768440</v>
      </c>
      <c r="BC315" s="616">
        <f t="shared" si="805"/>
        <v>5991400</v>
      </c>
      <c r="BD315" s="616">
        <f t="shared" si="806"/>
        <v>557820</v>
      </c>
      <c r="BE315" s="616">
        <f t="shared" si="807"/>
        <v>795410</v>
      </c>
      <c r="BF315" s="616">
        <f t="shared" si="808"/>
        <v>82640</v>
      </c>
      <c r="BG315" s="616">
        <f t="shared" si="809"/>
        <v>1084650</v>
      </c>
      <c r="BH315" s="616">
        <f t="shared" si="810"/>
        <v>16651960</v>
      </c>
      <c r="BI315" s="618">
        <f t="shared" si="860"/>
        <v>12789523.800000001</v>
      </c>
      <c r="BJ315" s="618">
        <f t="shared" si="861"/>
        <v>3862436.2</v>
      </c>
      <c r="BK315" s="616">
        <f t="shared" si="811"/>
        <v>3636160</v>
      </c>
      <c r="BL315" s="620">
        <f t="shared" si="812"/>
        <v>135054420</v>
      </c>
      <c r="BM315" s="616">
        <f t="shared" si="813"/>
        <v>99727638</v>
      </c>
      <c r="BN315" s="618">
        <f t="shared" si="814"/>
        <v>76595728.099999994</v>
      </c>
      <c r="BO315" s="618">
        <f t="shared" si="815"/>
        <v>23131909.899999999</v>
      </c>
      <c r="BP315" s="616">
        <f t="shared" si="862"/>
        <v>9121390</v>
      </c>
      <c r="BQ315" s="616">
        <f t="shared" si="863"/>
        <v>1824278</v>
      </c>
      <c r="BR315" s="616">
        <f t="shared" si="864"/>
        <v>8377630</v>
      </c>
      <c r="BS315" s="616">
        <f t="shared" si="816"/>
        <v>19678650</v>
      </c>
      <c r="BT315" s="616">
        <f t="shared" si="817"/>
        <v>537160</v>
      </c>
      <c r="BU315" s="616">
        <f t="shared" si="818"/>
        <v>17860570</v>
      </c>
      <c r="BV315" s="616">
        <f t="shared" si="819"/>
        <v>371880</v>
      </c>
      <c r="BW315" s="616">
        <f t="shared" si="820"/>
        <v>909040</v>
      </c>
      <c r="BX315" s="616">
        <f t="shared" si="821"/>
        <v>6840815</v>
      </c>
      <c r="BY315" s="616">
        <f t="shared" si="822"/>
        <v>5991400</v>
      </c>
      <c r="BZ315" s="616">
        <f t="shared" si="823"/>
        <v>557820</v>
      </c>
      <c r="CA315" s="616">
        <f t="shared" si="824"/>
        <v>795410</v>
      </c>
      <c r="CB315" s="616">
        <f t="shared" si="825"/>
        <v>82640</v>
      </c>
      <c r="CC315" s="616">
        <f t="shared" si="826"/>
        <v>1084650</v>
      </c>
      <c r="CD315" s="616">
        <f t="shared" si="827"/>
        <v>25044548</v>
      </c>
      <c r="CE315" s="618">
        <f t="shared" si="865"/>
        <v>19235443.899999999</v>
      </c>
      <c r="CF315" s="618">
        <f t="shared" si="866"/>
        <v>5809104.0999999996</v>
      </c>
      <c r="CG315" s="616">
        <f t="shared" si="828"/>
        <v>3636160</v>
      </c>
      <c r="CH315" s="621">
        <f t="shared" si="829"/>
        <v>180938751</v>
      </c>
      <c r="CI315" s="88">
        <f t="shared" si="830"/>
        <v>96541.759900000005</v>
      </c>
      <c r="CJ315" s="90">
        <f t="shared" si="831"/>
        <v>74148.8171</v>
      </c>
      <c r="CK315" s="90">
        <f t="shared" si="832"/>
        <v>22392.942800000001</v>
      </c>
      <c r="CL315" s="88">
        <f t="shared" si="833"/>
        <v>8830</v>
      </c>
      <c r="CM315" s="88">
        <f t="shared" si="834"/>
        <v>1766</v>
      </c>
      <c r="CN315" s="88">
        <f t="shared" si="835"/>
        <v>8110</v>
      </c>
      <c r="CO315" s="88">
        <f t="shared" si="836"/>
        <v>19050</v>
      </c>
      <c r="CP315" s="88">
        <f t="shared" si="837"/>
        <v>520</v>
      </c>
      <c r="CQ315" s="88">
        <f t="shared" si="838"/>
        <v>17290</v>
      </c>
      <c r="CR315" s="88">
        <f t="shared" si="839"/>
        <v>360</v>
      </c>
      <c r="CS315" s="88">
        <f t="shared" si="840"/>
        <v>880</v>
      </c>
      <c r="CT315" s="88">
        <f t="shared" si="841"/>
        <v>6622.2798000000003</v>
      </c>
      <c r="CU315" s="88">
        <f t="shared" si="842"/>
        <v>5800</v>
      </c>
      <c r="CV315" s="88">
        <f t="shared" si="843"/>
        <v>540</v>
      </c>
      <c r="CW315" s="88">
        <f t="shared" si="844"/>
        <v>770</v>
      </c>
      <c r="CX315" s="88">
        <f t="shared" si="845"/>
        <v>80</v>
      </c>
      <c r="CY315" s="88">
        <f t="shared" si="846"/>
        <v>1050</v>
      </c>
      <c r="CZ315" s="88">
        <f t="shared" si="847"/>
        <v>24244.480200000002</v>
      </c>
      <c r="DA315" s="90">
        <f t="shared" si="848"/>
        <v>18620.952499999999</v>
      </c>
      <c r="DB315" s="90">
        <f t="shared" si="849"/>
        <v>5623.5276999999996</v>
      </c>
      <c r="DC315" s="88">
        <f t="shared" si="850"/>
        <v>3520</v>
      </c>
      <c r="DD315" s="88">
        <f t="shared" si="851"/>
        <v>175158.51980000001</v>
      </c>
      <c r="AUV315" s="699">
        <f t="shared" si="758"/>
        <v>96541.759999999995</v>
      </c>
      <c r="AUW315" s="699">
        <f t="shared" si="759"/>
        <v>74148.820000000007</v>
      </c>
      <c r="AUX315" s="699">
        <f t="shared" si="760"/>
        <v>22392.94</v>
      </c>
      <c r="AUY315" s="699">
        <f t="shared" si="867"/>
        <v>8830</v>
      </c>
      <c r="AUZ315" s="699">
        <f t="shared" si="778"/>
        <v>738275.19</v>
      </c>
      <c r="AVA315" s="699">
        <f t="shared" si="778"/>
        <v>130.51</v>
      </c>
      <c r="AVB315" s="699">
        <f t="shared" si="868"/>
        <v>19050</v>
      </c>
      <c r="AVC315" s="699">
        <f t="shared" si="869"/>
        <v>520</v>
      </c>
      <c r="AVD315" s="699">
        <f t="shared" si="870"/>
        <v>17290</v>
      </c>
      <c r="AVE315" s="699">
        <f t="shared" si="871"/>
        <v>360</v>
      </c>
      <c r="AVF315" s="699">
        <f t="shared" si="872"/>
        <v>880</v>
      </c>
      <c r="AVG315" s="699">
        <f t="shared" si="873"/>
        <v>6622.28</v>
      </c>
      <c r="AVH315" s="699">
        <f t="shared" si="874"/>
        <v>5800</v>
      </c>
      <c r="AVI315" s="699">
        <f t="shared" si="875"/>
        <v>540</v>
      </c>
      <c r="AVJ315" s="699">
        <f t="shared" si="876"/>
        <v>770</v>
      </c>
      <c r="AVK315" s="699">
        <f t="shared" si="877"/>
        <v>80</v>
      </c>
      <c r="AVL315" s="699">
        <f t="shared" si="878"/>
        <v>1050</v>
      </c>
      <c r="AVM315" s="699">
        <f t="shared" si="879"/>
        <v>24244.48</v>
      </c>
      <c r="AVN315" s="699">
        <f t="shared" si="880"/>
        <v>18620.95</v>
      </c>
      <c r="AVO315" s="699">
        <f t="shared" si="881"/>
        <v>5623.53</v>
      </c>
      <c r="AVP315" s="699">
        <f t="shared" si="882"/>
        <v>3520</v>
      </c>
      <c r="AVQ315" s="699">
        <f t="shared" si="883"/>
        <v>175158.52</v>
      </c>
    </row>
    <row r="316" spans="1:108 1244:1265" ht="30" customHeight="1" x14ac:dyDescent="0.25">
      <c r="A316" s="643">
        <v>1</v>
      </c>
      <c r="B316" s="643">
        <v>8</v>
      </c>
      <c r="C316" s="664" t="s">
        <v>22</v>
      </c>
      <c r="D316" s="2"/>
      <c r="E316" s="101" t="s">
        <v>344</v>
      </c>
      <c r="F316" s="643" t="s">
        <v>31</v>
      </c>
      <c r="G316" s="643">
        <v>1</v>
      </c>
      <c r="H316" s="658" t="s">
        <v>10</v>
      </c>
      <c r="I316" s="643">
        <v>0</v>
      </c>
      <c r="J316" s="101" t="s">
        <v>356</v>
      </c>
      <c r="K316" s="643">
        <v>3</v>
      </c>
      <c r="L316" s="683" t="s">
        <v>349</v>
      </c>
      <c r="M316" s="11" t="s">
        <v>256</v>
      </c>
      <c r="N316" s="101" t="s">
        <v>401</v>
      </c>
      <c r="O316" s="643">
        <v>2</v>
      </c>
      <c r="P316" s="632">
        <v>11</v>
      </c>
      <c r="Q316" s="632">
        <v>11</v>
      </c>
      <c r="R316" s="632">
        <v>11</v>
      </c>
      <c r="S316" s="675">
        <f>SUMIF('Территориальный кк'!$A:$A,'2020'!$B316,'Территориальный кк'!D:D)</f>
        <v>1.504</v>
      </c>
      <c r="T316" s="676">
        <f>SUMIF('Территориальный кк'!$A:$A,'2020'!$B316,'Территориальный кк'!E:E)</f>
        <v>2.4710000000000001</v>
      </c>
      <c r="U316" s="618">
        <f>SUMIFS(Нормативы!G:G,Нормативы!$B:$B,$G316,Нормативы!$D:$D,'2020'!$I316,Нормативы!$F:$F,'2020'!$K316)*O316</f>
        <v>128380</v>
      </c>
      <c r="V316" s="618">
        <f t="shared" si="852"/>
        <v>98602.2</v>
      </c>
      <c r="W316" s="618">
        <f t="shared" si="853"/>
        <v>29777.8</v>
      </c>
      <c r="X316" s="618">
        <f>SUMIFS(Нормативы!J:J,Нормативы!$B:$B,$G316,Нормативы!$D:$D,'2020'!$I316,Нормативы!$F:$F,'2020'!$K316)</f>
        <v>8830</v>
      </c>
      <c r="Y316" s="618">
        <f>SUMIFS(Нормативы!K:K,Нормативы!$B:$B,$G316,Нормативы!$D:$D,'2020'!$I316,Нормативы!$F:$F,'2020'!$K316)</f>
        <v>1766</v>
      </c>
      <c r="Z316" s="618">
        <f>SUMIFS(Нормативы!L:L,Нормативы!$B:$B,$G316,Нормативы!$D:$D,'2020'!$I316,Нормативы!$F:$F,'2020'!$K316)</f>
        <v>8110</v>
      </c>
      <c r="AA316" s="618">
        <f t="shared" si="854"/>
        <v>19930</v>
      </c>
      <c r="AB316" s="618">
        <f>SUMIFS(Нормативы!N:N,Нормативы!$B:$B,$G316,Нормативы!$D:$D,'2020'!$I316,Нормативы!$F:$F,'2020'!$K316)*O316</f>
        <v>1040</v>
      </c>
      <c r="AC316" s="618">
        <f>SUMIFS(Нормативы!O:O,Нормативы!$B:$B,$G316,Нормативы!$D:$D,'2020'!$I316,Нормативы!$F:$F,'2020'!$K316)</f>
        <v>17290</v>
      </c>
      <c r="AD316" s="618">
        <f>SUMIFS(Нормативы!P:P,Нормативы!$B:$B,$G316,Нормативы!$D:$D,'2020'!$I316,Нормативы!$F:$F,'2020'!$K316)*O316</f>
        <v>720</v>
      </c>
      <c r="AE316" s="618">
        <f>SUMIFS(Нормативы!Q:Q,Нормативы!$B:$B,$G316,Нормативы!$D:$D,'2020'!$I316,Нормативы!$F:$F,'2020'!$K316)</f>
        <v>880</v>
      </c>
      <c r="AF316" s="618">
        <f>SUMIFS(Нормативы!R:R,Нормативы!$B:$B,$G316,Нормативы!$D:$D,'2020'!$I316,Нормативы!$F:$F,'2020'!$K316)</f>
        <v>2680</v>
      </c>
      <c r="AG316" s="618">
        <f>SUMIFS(Нормативы!S:S,Нормативы!$B:$B,$G316,Нормативы!$D:$D,'2020'!$I316,Нормативы!$F:$F,'2020'!$K316)</f>
        <v>5800</v>
      </c>
      <c r="AH316" s="618">
        <f>SUMIFS(Нормативы!T:T,Нормативы!$B:$B,$G316,Нормативы!$D:$D,'2020'!$I316,Нормативы!$F:$F,'2020'!$K316)</f>
        <v>540</v>
      </c>
      <c r="AI316" s="618">
        <f>SUMIFS(Нормативы!U:U,Нормативы!$B:$B,$G316,Нормативы!$D:$D,'2020'!$I316,Нормативы!$F:$F,'2020'!$K316)</f>
        <v>770</v>
      </c>
      <c r="AJ316" s="618">
        <f>SUMIFS(Нормативы!V:V,Нормативы!$B:$B,$G316,Нормативы!$D:$D,'2020'!$I316,Нормативы!$F:$F,'2020'!$K316)</f>
        <v>80</v>
      </c>
      <c r="AK316" s="618">
        <f>SUMIFS(Нормативы!W:W,Нормативы!$B:$B,$G316,Нормативы!$D:$D,'2020'!$I316,Нормативы!$F:$F,'2020'!$K316)</f>
        <v>1050</v>
      </c>
      <c r="AL316" s="618">
        <f>SUMIFS(Нормативы!X:X,Нормативы!$B:$B,$G316,Нормативы!$D:$D,'2020'!$I316,Нормативы!$F:$F,'2020'!$K316)*O316</f>
        <v>32240</v>
      </c>
      <c r="AM316" s="618">
        <f t="shared" si="855"/>
        <v>24761.9</v>
      </c>
      <c r="AN316" s="618">
        <f t="shared" si="856"/>
        <v>7478.1</v>
      </c>
      <c r="AO316" s="618">
        <f>SUMIFS(Нормативы!AA:AA,Нормативы!$B:$B,$G316,Нормативы!$D:$D,'2020'!$I316,Нормативы!$F:$F,'2020'!$K316)</f>
        <v>3520</v>
      </c>
      <c r="AP316" s="619">
        <f t="shared" si="857"/>
        <v>211930</v>
      </c>
      <c r="AQ316" s="413">
        <f t="shared" si="795"/>
        <v>1412180</v>
      </c>
      <c r="AR316" s="618">
        <f t="shared" si="858"/>
        <v>1084623.7</v>
      </c>
      <c r="AS316" s="618">
        <f t="shared" si="859"/>
        <v>327556.3</v>
      </c>
      <c r="AT316" s="616">
        <f t="shared" si="796"/>
        <v>97130</v>
      </c>
      <c r="AU316" s="616">
        <f t="shared" si="797"/>
        <v>19426</v>
      </c>
      <c r="AV316" s="616">
        <f t="shared" si="798"/>
        <v>89210</v>
      </c>
      <c r="AW316" s="616">
        <f t="shared" si="799"/>
        <v>219230</v>
      </c>
      <c r="AX316" s="616">
        <f t="shared" si="800"/>
        <v>11440</v>
      </c>
      <c r="AY316" s="616">
        <f t="shared" si="801"/>
        <v>190190</v>
      </c>
      <c r="AZ316" s="616">
        <f t="shared" si="802"/>
        <v>7920</v>
      </c>
      <c r="BA316" s="616">
        <f t="shared" si="803"/>
        <v>9680</v>
      </c>
      <c r="BB316" s="616">
        <f t="shared" si="804"/>
        <v>29480</v>
      </c>
      <c r="BC316" s="616">
        <f t="shared" si="805"/>
        <v>63800</v>
      </c>
      <c r="BD316" s="616">
        <f t="shared" si="806"/>
        <v>5940</v>
      </c>
      <c r="BE316" s="616">
        <f t="shared" si="807"/>
        <v>8470</v>
      </c>
      <c r="BF316" s="616">
        <f t="shared" si="808"/>
        <v>880</v>
      </c>
      <c r="BG316" s="616">
        <f t="shared" si="809"/>
        <v>11550</v>
      </c>
      <c r="BH316" s="616">
        <f t="shared" si="810"/>
        <v>354640</v>
      </c>
      <c r="BI316" s="618">
        <f t="shared" si="860"/>
        <v>272381</v>
      </c>
      <c r="BJ316" s="618">
        <f t="shared" si="861"/>
        <v>82259</v>
      </c>
      <c r="BK316" s="616">
        <f t="shared" si="811"/>
        <v>38720</v>
      </c>
      <c r="BL316" s="620">
        <f t="shared" si="812"/>
        <v>2331230</v>
      </c>
      <c r="BM316" s="616">
        <f t="shared" si="813"/>
        <v>2123919</v>
      </c>
      <c r="BN316" s="618">
        <f t="shared" si="814"/>
        <v>1631274.2</v>
      </c>
      <c r="BO316" s="618">
        <f t="shared" si="815"/>
        <v>492644.8</v>
      </c>
      <c r="BP316" s="616">
        <f t="shared" si="862"/>
        <v>97130</v>
      </c>
      <c r="BQ316" s="616">
        <f t="shared" si="863"/>
        <v>19426</v>
      </c>
      <c r="BR316" s="616">
        <f t="shared" si="864"/>
        <v>89210</v>
      </c>
      <c r="BS316" s="616">
        <f t="shared" si="816"/>
        <v>219230</v>
      </c>
      <c r="BT316" s="616">
        <f t="shared" si="817"/>
        <v>11440</v>
      </c>
      <c r="BU316" s="616">
        <f t="shared" si="818"/>
        <v>190190</v>
      </c>
      <c r="BV316" s="616">
        <f t="shared" si="819"/>
        <v>7920</v>
      </c>
      <c r="BW316" s="616">
        <f t="shared" si="820"/>
        <v>9680</v>
      </c>
      <c r="BX316" s="616">
        <f t="shared" si="821"/>
        <v>72845</v>
      </c>
      <c r="BY316" s="616">
        <f t="shared" si="822"/>
        <v>63800</v>
      </c>
      <c r="BZ316" s="616">
        <f t="shared" si="823"/>
        <v>5940</v>
      </c>
      <c r="CA316" s="616">
        <f t="shared" si="824"/>
        <v>8470</v>
      </c>
      <c r="CB316" s="616">
        <f t="shared" si="825"/>
        <v>880</v>
      </c>
      <c r="CC316" s="616">
        <f t="shared" si="826"/>
        <v>11550</v>
      </c>
      <c r="CD316" s="616">
        <f t="shared" si="827"/>
        <v>533379</v>
      </c>
      <c r="CE316" s="618">
        <f t="shared" si="865"/>
        <v>409661.3</v>
      </c>
      <c r="CF316" s="618">
        <f t="shared" si="866"/>
        <v>123717.7</v>
      </c>
      <c r="CG316" s="616">
        <f t="shared" si="828"/>
        <v>38720</v>
      </c>
      <c r="CH316" s="621">
        <f t="shared" si="829"/>
        <v>3265073</v>
      </c>
      <c r="CI316" s="88">
        <f t="shared" si="830"/>
        <v>193083.54550000001</v>
      </c>
      <c r="CJ316" s="90">
        <f t="shared" si="831"/>
        <v>148297.6545</v>
      </c>
      <c r="CK316" s="90">
        <f t="shared" si="832"/>
        <v>44785.890899999999</v>
      </c>
      <c r="CL316" s="88">
        <f t="shared" si="833"/>
        <v>8830</v>
      </c>
      <c r="CM316" s="88">
        <f t="shared" si="834"/>
        <v>1766</v>
      </c>
      <c r="CN316" s="88">
        <f t="shared" si="835"/>
        <v>8110</v>
      </c>
      <c r="CO316" s="88">
        <f t="shared" si="836"/>
        <v>19930</v>
      </c>
      <c r="CP316" s="88">
        <f t="shared" si="837"/>
        <v>1040</v>
      </c>
      <c r="CQ316" s="88">
        <f t="shared" si="838"/>
        <v>17290</v>
      </c>
      <c r="CR316" s="88">
        <f t="shared" si="839"/>
        <v>720</v>
      </c>
      <c r="CS316" s="88">
        <f t="shared" si="840"/>
        <v>880</v>
      </c>
      <c r="CT316" s="88">
        <f t="shared" si="841"/>
        <v>6622.2727000000004</v>
      </c>
      <c r="CU316" s="88">
        <f t="shared" si="842"/>
        <v>5800</v>
      </c>
      <c r="CV316" s="88">
        <f t="shared" si="843"/>
        <v>540</v>
      </c>
      <c r="CW316" s="88">
        <f t="shared" si="844"/>
        <v>770</v>
      </c>
      <c r="CX316" s="88">
        <f t="shared" si="845"/>
        <v>80</v>
      </c>
      <c r="CY316" s="88">
        <f t="shared" si="846"/>
        <v>1050</v>
      </c>
      <c r="CZ316" s="88">
        <f t="shared" si="847"/>
        <v>48489</v>
      </c>
      <c r="DA316" s="90">
        <f t="shared" si="848"/>
        <v>37241.936399999999</v>
      </c>
      <c r="DB316" s="90">
        <f t="shared" si="849"/>
        <v>11247.063599999999</v>
      </c>
      <c r="DC316" s="88">
        <f t="shared" si="850"/>
        <v>3520</v>
      </c>
      <c r="DD316" s="88">
        <f t="shared" si="851"/>
        <v>296824.81819999998</v>
      </c>
      <c r="AUV316" s="699">
        <f t="shared" si="758"/>
        <v>193083.55</v>
      </c>
      <c r="AUW316" s="699">
        <f t="shared" si="759"/>
        <v>148297.66</v>
      </c>
      <c r="AUX316" s="699">
        <f t="shared" si="760"/>
        <v>44785.89</v>
      </c>
      <c r="AUY316" s="699">
        <f t="shared" si="867"/>
        <v>8830</v>
      </c>
      <c r="AUZ316" s="699">
        <f t="shared" si="778"/>
        <v>7861.59</v>
      </c>
      <c r="AVA316" s="699">
        <f t="shared" si="778"/>
        <v>0.69</v>
      </c>
      <c r="AVB316" s="699">
        <f t="shared" si="868"/>
        <v>19930</v>
      </c>
      <c r="AVC316" s="699">
        <f t="shared" si="869"/>
        <v>1040</v>
      </c>
      <c r="AVD316" s="699">
        <f t="shared" si="870"/>
        <v>17290</v>
      </c>
      <c r="AVE316" s="699">
        <f t="shared" si="871"/>
        <v>720</v>
      </c>
      <c r="AVF316" s="699">
        <f t="shared" si="872"/>
        <v>880</v>
      </c>
      <c r="AVG316" s="699">
        <f t="shared" si="873"/>
        <v>6622.27</v>
      </c>
      <c r="AVH316" s="699">
        <f t="shared" si="874"/>
        <v>5800</v>
      </c>
      <c r="AVI316" s="699">
        <f t="shared" si="875"/>
        <v>540</v>
      </c>
      <c r="AVJ316" s="699">
        <f t="shared" si="876"/>
        <v>770</v>
      </c>
      <c r="AVK316" s="699">
        <f t="shared" si="877"/>
        <v>80</v>
      </c>
      <c r="AVL316" s="699">
        <f t="shared" si="878"/>
        <v>1050</v>
      </c>
      <c r="AVM316" s="699">
        <f t="shared" si="879"/>
        <v>48489</v>
      </c>
      <c r="AVN316" s="699">
        <f t="shared" si="880"/>
        <v>37241.94</v>
      </c>
      <c r="AVO316" s="699">
        <f t="shared" si="881"/>
        <v>11247.06</v>
      </c>
      <c r="AVP316" s="699">
        <f t="shared" si="882"/>
        <v>3520</v>
      </c>
      <c r="AVQ316" s="699">
        <f t="shared" si="883"/>
        <v>296824.82</v>
      </c>
    </row>
    <row r="317" spans="1:108 1244:1265" ht="30" customHeight="1" x14ac:dyDescent="0.25">
      <c r="A317" s="643">
        <v>1</v>
      </c>
      <c r="B317" s="643">
        <v>8</v>
      </c>
      <c r="C317" s="664" t="s">
        <v>22</v>
      </c>
      <c r="D317" s="2"/>
      <c r="E317" s="101" t="s">
        <v>344</v>
      </c>
      <c r="F317" s="643" t="s">
        <v>31</v>
      </c>
      <c r="G317" s="643">
        <v>1</v>
      </c>
      <c r="H317" s="658" t="s">
        <v>8</v>
      </c>
      <c r="I317" s="643">
        <v>3</v>
      </c>
      <c r="J317" s="101" t="s">
        <v>356</v>
      </c>
      <c r="K317" s="643">
        <v>3</v>
      </c>
      <c r="L317" s="683" t="s">
        <v>349</v>
      </c>
      <c r="M317" s="11" t="s">
        <v>257</v>
      </c>
      <c r="N317" s="101" t="s">
        <v>387</v>
      </c>
      <c r="O317" s="643">
        <v>1</v>
      </c>
      <c r="P317" s="632">
        <v>118</v>
      </c>
      <c r="Q317" s="632">
        <v>118</v>
      </c>
      <c r="R317" s="632">
        <v>118</v>
      </c>
      <c r="S317" s="675">
        <f>SUMIF('Территориальный кк'!$A:$A,'2020'!$B317,'Территориальный кк'!D:D)</f>
        <v>1.504</v>
      </c>
      <c r="T317" s="676">
        <f>SUMIF('Территориальный кк'!$A:$A,'2020'!$B317,'Территориальный кк'!E:E)</f>
        <v>2.4710000000000001</v>
      </c>
      <c r="U317" s="618">
        <f>SUMIFS(Нормативы!G:G,Нормативы!$B:$B,$G317,Нормативы!$D:$D,'2020'!$I317,Нормативы!$F:$F,'2020'!$K317)*O317</f>
        <v>6419</v>
      </c>
      <c r="V317" s="618">
        <f t="shared" si="852"/>
        <v>4930.1000000000004</v>
      </c>
      <c r="W317" s="618">
        <f t="shared" si="853"/>
        <v>1488.9</v>
      </c>
      <c r="X317" s="618">
        <f>SUMIFS(Нормативы!J:J,Нормативы!$B:$B,$G317,Нормативы!$D:$D,'2020'!$I317,Нормативы!$F:$F,'2020'!$K317)</f>
        <v>883</v>
      </c>
      <c r="Y317" s="618">
        <f>SUMIFS(Нормативы!K:K,Нормативы!$B:$B,$G317,Нормативы!$D:$D,'2020'!$I317,Нормативы!$F:$F,'2020'!$K317)</f>
        <v>177</v>
      </c>
      <c r="Z317" s="618">
        <f>SUMIFS(Нормативы!L:L,Нормативы!$B:$B,$G317,Нормативы!$D:$D,'2020'!$I317,Нормативы!$F:$F,'2020'!$K317)</f>
        <v>811</v>
      </c>
      <c r="AA317" s="618">
        <f t="shared" si="854"/>
        <v>1905</v>
      </c>
      <c r="AB317" s="618">
        <f>SUMIFS(Нормативы!N:N,Нормативы!$B:$B,$G317,Нормативы!$D:$D,'2020'!$I317,Нормативы!$F:$F,'2020'!$K317)*O317</f>
        <v>52</v>
      </c>
      <c r="AC317" s="618">
        <f>SUMIFS(Нормативы!O:O,Нормативы!$B:$B,$G317,Нормативы!$D:$D,'2020'!$I317,Нормативы!$F:$F,'2020'!$K317)</f>
        <v>1729</v>
      </c>
      <c r="AD317" s="618">
        <f>SUMIFS(Нормативы!P:P,Нормативы!$B:$B,$G317,Нормативы!$D:$D,'2020'!$I317,Нормативы!$F:$F,'2020'!$K317)*O317</f>
        <v>36</v>
      </c>
      <c r="AE317" s="618">
        <f>SUMIFS(Нормативы!Q:Q,Нормативы!$B:$B,$G317,Нормативы!$D:$D,'2020'!$I317,Нормативы!$F:$F,'2020'!$K317)</f>
        <v>88</v>
      </c>
      <c r="AF317" s="618">
        <f>SUMIFS(Нормативы!R:R,Нормативы!$B:$B,$G317,Нормативы!$D:$D,'2020'!$I317,Нормативы!$F:$F,'2020'!$K317)</f>
        <v>268</v>
      </c>
      <c r="AG317" s="618">
        <f>SUMIFS(Нормативы!S:S,Нормативы!$B:$B,$G317,Нормативы!$D:$D,'2020'!$I317,Нормативы!$F:$F,'2020'!$K317)</f>
        <v>580</v>
      </c>
      <c r="AH317" s="618">
        <f>SUMIFS(Нормативы!T:T,Нормативы!$B:$B,$G317,Нормативы!$D:$D,'2020'!$I317,Нормативы!$F:$F,'2020'!$K317)</f>
        <v>54</v>
      </c>
      <c r="AI317" s="618">
        <f>SUMIFS(Нормативы!U:U,Нормативы!$B:$B,$G317,Нормативы!$D:$D,'2020'!$I317,Нормативы!$F:$F,'2020'!$K317)</f>
        <v>77</v>
      </c>
      <c r="AJ317" s="618">
        <f>SUMIFS(Нормативы!V:V,Нормативы!$B:$B,$G317,Нормативы!$D:$D,'2020'!$I317,Нормативы!$F:$F,'2020'!$K317)</f>
        <v>8</v>
      </c>
      <c r="AK317" s="618">
        <f>SUMIFS(Нормативы!W:W,Нормативы!$B:$B,$G317,Нормативы!$D:$D,'2020'!$I317,Нормативы!$F:$F,'2020'!$K317)</f>
        <v>105</v>
      </c>
      <c r="AL317" s="618">
        <f>SUMIFS(Нормативы!X:X,Нормативы!$B:$B,$G317,Нормативы!$D:$D,'2020'!$I317,Нормативы!$F:$F,'2020'!$K317)*O317</f>
        <v>1612</v>
      </c>
      <c r="AM317" s="618">
        <f t="shared" si="855"/>
        <v>1238.0999999999999</v>
      </c>
      <c r="AN317" s="618">
        <f t="shared" si="856"/>
        <v>373.9</v>
      </c>
      <c r="AO317" s="618">
        <f>SUMIFS(Нормативы!AA:AA,Нормативы!$B:$B,$G317,Нормативы!$D:$D,'2020'!$I317,Нормативы!$F:$F,'2020'!$K317)</f>
        <v>0</v>
      </c>
      <c r="AP317" s="619">
        <f t="shared" si="857"/>
        <v>12722</v>
      </c>
      <c r="AQ317" s="413">
        <f t="shared" si="795"/>
        <v>757442</v>
      </c>
      <c r="AR317" s="618">
        <f t="shared" si="858"/>
        <v>581752.69999999995</v>
      </c>
      <c r="AS317" s="618">
        <f t="shared" si="859"/>
        <v>175689.3</v>
      </c>
      <c r="AT317" s="616">
        <f t="shared" si="796"/>
        <v>104194</v>
      </c>
      <c r="AU317" s="616">
        <f t="shared" si="797"/>
        <v>20886</v>
      </c>
      <c r="AV317" s="616">
        <f t="shared" si="798"/>
        <v>95698</v>
      </c>
      <c r="AW317" s="616">
        <f t="shared" si="799"/>
        <v>224790</v>
      </c>
      <c r="AX317" s="616">
        <f t="shared" si="800"/>
        <v>6136</v>
      </c>
      <c r="AY317" s="616">
        <f t="shared" si="801"/>
        <v>204022</v>
      </c>
      <c r="AZ317" s="616">
        <f t="shared" si="802"/>
        <v>4248</v>
      </c>
      <c r="BA317" s="616">
        <f t="shared" si="803"/>
        <v>10384</v>
      </c>
      <c r="BB317" s="616">
        <f t="shared" si="804"/>
        <v>31624</v>
      </c>
      <c r="BC317" s="616">
        <f t="shared" si="805"/>
        <v>68440</v>
      </c>
      <c r="BD317" s="616">
        <f t="shared" si="806"/>
        <v>6372</v>
      </c>
      <c r="BE317" s="616">
        <f t="shared" si="807"/>
        <v>9086</v>
      </c>
      <c r="BF317" s="616">
        <f t="shared" si="808"/>
        <v>944</v>
      </c>
      <c r="BG317" s="616">
        <f t="shared" si="809"/>
        <v>12390</v>
      </c>
      <c r="BH317" s="616">
        <f t="shared" si="810"/>
        <v>190216</v>
      </c>
      <c r="BI317" s="618">
        <f t="shared" si="860"/>
        <v>146095.20000000001</v>
      </c>
      <c r="BJ317" s="618">
        <f t="shared" si="861"/>
        <v>44120.800000000003</v>
      </c>
      <c r="BK317" s="616">
        <f t="shared" si="811"/>
        <v>0</v>
      </c>
      <c r="BL317" s="620">
        <f t="shared" si="812"/>
        <v>1501196</v>
      </c>
      <c r="BM317" s="616">
        <f t="shared" si="813"/>
        <v>1139193</v>
      </c>
      <c r="BN317" s="618">
        <f t="shared" si="814"/>
        <v>874956.2</v>
      </c>
      <c r="BO317" s="618">
        <f t="shared" si="815"/>
        <v>264236.79999999999</v>
      </c>
      <c r="BP317" s="616">
        <f t="shared" si="862"/>
        <v>104194</v>
      </c>
      <c r="BQ317" s="616">
        <f t="shared" si="863"/>
        <v>20886</v>
      </c>
      <c r="BR317" s="616">
        <f t="shared" si="864"/>
        <v>95698</v>
      </c>
      <c r="BS317" s="616">
        <f t="shared" si="816"/>
        <v>224790</v>
      </c>
      <c r="BT317" s="616">
        <f t="shared" si="817"/>
        <v>6136</v>
      </c>
      <c r="BU317" s="616">
        <f t="shared" si="818"/>
        <v>204022</v>
      </c>
      <c r="BV317" s="616">
        <f t="shared" si="819"/>
        <v>4248</v>
      </c>
      <c r="BW317" s="616">
        <f t="shared" si="820"/>
        <v>10384</v>
      </c>
      <c r="BX317" s="616">
        <f t="shared" si="821"/>
        <v>78143</v>
      </c>
      <c r="BY317" s="616">
        <f t="shared" si="822"/>
        <v>68440</v>
      </c>
      <c r="BZ317" s="616">
        <f t="shared" si="823"/>
        <v>6372</v>
      </c>
      <c r="CA317" s="616">
        <f t="shared" si="824"/>
        <v>9086</v>
      </c>
      <c r="CB317" s="616">
        <f t="shared" si="825"/>
        <v>944</v>
      </c>
      <c r="CC317" s="616">
        <f t="shared" si="826"/>
        <v>12390</v>
      </c>
      <c r="CD317" s="616">
        <f t="shared" si="827"/>
        <v>286085</v>
      </c>
      <c r="CE317" s="618">
        <f t="shared" si="865"/>
        <v>219727.3</v>
      </c>
      <c r="CF317" s="618">
        <f t="shared" si="866"/>
        <v>66357.7</v>
      </c>
      <c r="CG317" s="616">
        <f t="shared" si="828"/>
        <v>0</v>
      </c>
      <c r="CH317" s="621">
        <f t="shared" si="829"/>
        <v>2025335</v>
      </c>
      <c r="CI317" s="88">
        <f t="shared" si="830"/>
        <v>9654.1779999999999</v>
      </c>
      <c r="CJ317" s="90">
        <f t="shared" si="831"/>
        <v>7414.8831</v>
      </c>
      <c r="CK317" s="90">
        <f t="shared" si="832"/>
        <v>2239.2948999999999</v>
      </c>
      <c r="CL317" s="88">
        <f t="shared" si="833"/>
        <v>883</v>
      </c>
      <c r="CM317" s="88">
        <f t="shared" si="834"/>
        <v>177</v>
      </c>
      <c r="CN317" s="88">
        <f t="shared" si="835"/>
        <v>811</v>
      </c>
      <c r="CO317" s="88">
        <f t="shared" si="836"/>
        <v>1905</v>
      </c>
      <c r="CP317" s="88">
        <f t="shared" si="837"/>
        <v>52</v>
      </c>
      <c r="CQ317" s="88">
        <f t="shared" si="838"/>
        <v>1729</v>
      </c>
      <c r="CR317" s="88">
        <f t="shared" si="839"/>
        <v>36</v>
      </c>
      <c r="CS317" s="88">
        <f t="shared" si="840"/>
        <v>88</v>
      </c>
      <c r="CT317" s="88">
        <f t="shared" si="841"/>
        <v>662.22879999999998</v>
      </c>
      <c r="CU317" s="88">
        <f t="shared" si="842"/>
        <v>580</v>
      </c>
      <c r="CV317" s="88">
        <f t="shared" si="843"/>
        <v>54</v>
      </c>
      <c r="CW317" s="88">
        <f t="shared" si="844"/>
        <v>77</v>
      </c>
      <c r="CX317" s="88">
        <f t="shared" si="845"/>
        <v>8</v>
      </c>
      <c r="CY317" s="88">
        <f t="shared" si="846"/>
        <v>105</v>
      </c>
      <c r="CZ317" s="88">
        <f t="shared" si="847"/>
        <v>2424.4492</v>
      </c>
      <c r="DA317" s="90">
        <f t="shared" si="848"/>
        <v>1862.0958000000001</v>
      </c>
      <c r="DB317" s="90">
        <f t="shared" si="849"/>
        <v>562.35339999999997</v>
      </c>
      <c r="DC317" s="88">
        <f t="shared" si="850"/>
        <v>0</v>
      </c>
      <c r="DD317" s="88">
        <f t="shared" si="851"/>
        <v>17163.855899999999</v>
      </c>
      <c r="AUV317" s="699">
        <f t="shared" si="758"/>
        <v>9654.18</v>
      </c>
      <c r="AUW317" s="699">
        <f t="shared" si="759"/>
        <v>7414.88</v>
      </c>
      <c r="AUX317" s="699">
        <f t="shared" si="760"/>
        <v>2239.3000000000002</v>
      </c>
      <c r="AUY317" s="699">
        <f t="shared" si="867"/>
        <v>883</v>
      </c>
      <c r="AUZ317" s="699">
        <f t="shared" si="778"/>
        <v>8452.4500000000007</v>
      </c>
      <c r="AVA317" s="699">
        <f t="shared" si="778"/>
        <v>14.91</v>
      </c>
      <c r="AVB317" s="699">
        <f t="shared" si="868"/>
        <v>1905</v>
      </c>
      <c r="AVC317" s="699">
        <f t="shared" si="869"/>
        <v>52</v>
      </c>
      <c r="AVD317" s="699">
        <f t="shared" si="870"/>
        <v>1729</v>
      </c>
      <c r="AVE317" s="699">
        <f t="shared" si="871"/>
        <v>36</v>
      </c>
      <c r="AVF317" s="699">
        <f t="shared" si="872"/>
        <v>88</v>
      </c>
      <c r="AVG317" s="699">
        <f t="shared" si="873"/>
        <v>662.23</v>
      </c>
      <c r="AVH317" s="699">
        <f t="shared" si="874"/>
        <v>580</v>
      </c>
      <c r="AVI317" s="699">
        <f t="shared" si="875"/>
        <v>54</v>
      </c>
      <c r="AVJ317" s="699">
        <f t="shared" si="876"/>
        <v>77</v>
      </c>
      <c r="AVK317" s="699">
        <f t="shared" si="877"/>
        <v>8</v>
      </c>
      <c r="AVL317" s="699">
        <f t="shared" si="878"/>
        <v>105</v>
      </c>
      <c r="AVM317" s="699">
        <f t="shared" si="879"/>
        <v>2424.4499999999998</v>
      </c>
      <c r="AVN317" s="699">
        <f t="shared" si="880"/>
        <v>1862.1</v>
      </c>
      <c r="AVO317" s="699">
        <f t="shared" si="881"/>
        <v>562.35</v>
      </c>
      <c r="AVP317" s="699">
        <f t="shared" si="882"/>
        <v>0</v>
      </c>
      <c r="AVQ317" s="699">
        <f t="shared" si="883"/>
        <v>17163.86</v>
      </c>
    </row>
    <row r="318" spans="1:108 1244:1265" ht="30" customHeight="1" x14ac:dyDescent="0.25">
      <c r="A318" s="643">
        <v>1</v>
      </c>
      <c r="B318" s="643">
        <v>8</v>
      </c>
      <c r="C318" s="664" t="s">
        <v>22</v>
      </c>
      <c r="D318" s="2"/>
      <c r="E318" s="101" t="s">
        <v>344</v>
      </c>
      <c r="F318" s="643" t="s">
        <v>31</v>
      </c>
      <c r="G318" s="643">
        <v>1</v>
      </c>
      <c r="H318" s="658" t="s">
        <v>10</v>
      </c>
      <c r="I318" s="643">
        <v>0</v>
      </c>
      <c r="J318" s="101" t="s">
        <v>357</v>
      </c>
      <c r="K318" s="643">
        <v>3</v>
      </c>
      <c r="L318" s="683" t="s">
        <v>349</v>
      </c>
      <c r="M318" s="11" t="s">
        <v>258</v>
      </c>
      <c r="N318" s="101" t="s">
        <v>387</v>
      </c>
      <c r="O318" s="643">
        <v>1</v>
      </c>
      <c r="P318" s="632">
        <v>81</v>
      </c>
      <c r="Q318" s="632">
        <v>81</v>
      </c>
      <c r="R318" s="632">
        <v>81</v>
      </c>
      <c r="S318" s="675">
        <f>SUMIF('Территориальный кк'!$A:$A,'2020'!$B318,'Территориальный кк'!D:D)</f>
        <v>1.504</v>
      </c>
      <c r="T318" s="676">
        <f>SUMIF('Территориальный кк'!$A:$A,'2020'!$B318,'Территориальный кк'!E:E)</f>
        <v>2.4710000000000001</v>
      </c>
      <c r="U318" s="618">
        <f>SUMIFS(Нормативы!G:G,Нормативы!$B:$B,$G318,Нормативы!$D:$D,'2020'!$I318,Нормативы!$F:$F,'2020'!$K318)*O318</f>
        <v>64190</v>
      </c>
      <c r="V318" s="618">
        <f t="shared" si="852"/>
        <v>49301.1</v>
      </c>
      <c r="W318" s="618">
        <f t="shared" si="853"/>
        <v>14888.9</v>
      </c>
      <c r="X318" s="618">
        <f>SUMIFS(Нормативы!J:J,Нормативы!$B:$B,$G318,Нормативы!$D:$D,'2020'!$I318,Нормативы!$F:$F,'2020'!$K318)</f>
        <v>8830</v>
      </c>
      <c r="Y318" s="618">
        <f>SUMIFS(Нормативы!K:K,Нормативы!$B:$B,$G318,Нормативы!$D:$D,'2020'!$I318,Нормативы!$F:$F,'2020'!$K318)</f>
        <v>1766</v>
      </c>
      <c r="Z318" s="618">
        <f>SUMIFS(Нормативы!L:L,Нормативы!$B:$B,$G318,Нормативы!$D:$D,'2020'!$I318,Нормативы!$F:$F,'2020'!$K318)</f>
        <v>8110</v>
      </c>
      <c r="AA318" s="618">
        <f t="shared" si="854"/>
        <v>19050</v>
      </c>
      <c r="AB318" s="618">
        <f>SUMIFS(Нормативы!N:N,Нормативы!$B:$B,$G318,Нормативы!$D:$D,'2020'!$I318,Нормативы!$F:$F,'2020'!$K318)*O318</f>
        <v>520</v>
      </c>
      <c r="AC318" s="618">
        <f>SUMIFS(Нормативы!O:O,Нормативы!$B:$B,$G318,Нормативы!$D:$D,'2020'!$I318,Нормативы!$F:$F,'2020'!$K318)</f>
        <v>17290</v>
      </c>
      <c r="AD318" s="618">
        <f>SUMIFS(Нормативы!P:P,Нормативы!$B:$B,$G318,Нормативы!$D:$D,'2020'!$I318,Нормативы!$F:$F,'2020'!$K318)*O318</f>
        <v>360</v>
      </c>
      <c r="AE318" s="618">
        <f>SUMIFS(Нормативы!Q:Q,Нормативы!$B:$B,$G318,Нормативы!$D:$D,'2020'!$I318,Нормативы!$F:$F,'2020'!$K318)</f>
        <v>880</v>
      </c>
      <c r="AF318" s="618">
        <f>SUMIFS(Нормативы!R:R,Нормативы!$B:$B,$G318,Нормативы!$D:$D,'2020'!$I318,Нормативы!$F:$F,'2020'!$K318)</f>
        <v>2680</v>
      </c>
      <c r="AG318" s="618">
        <f>SUMIFS(Нормативы!S:S,Нормативы!$B:$B,$G318,Нормативы!$D:$D,'2020'!$I318,Нормативы!$F:$F,'2020'!$K318)</f>
        <v>5800</v>
      </c>
      <c r="AH318" s="618">
        <f>SUMIFS(Нормативы!T:T,Нормативы!$B:$B,$G318,Нормативы!$D:$D,'2020'!$I318,Нормативы!$F:$F,'2020'!$K318)</f>
        <v>540</v>
      </c>
      <c r="AI318" s="618">
        <f>SUMIFS(Нормативы!U:U,Нормативы!$B:$B,$G318,Нормативы!$D:$D,'2020'!$I318,Нормативы!$F:$F,'2020'!$K318)</f>
        <v>770</v>
      </c>
      <c r="AJ318" s="618">
        <f>SUMIFS(Нормативы!V:V,Нормативы!$B:$B,$G318,Нормативы!$D:$D,'2020'!$I318,Нормативы!$F:$F,'2020'!$K318)</f>
        <v>80</v>
      </c>
      <c r="AK318" s="618">
        <f>SUMIFS(Нормативы!W:W,Нормативы!$B:$B,$G318,Нормативы!$D:$D,'2020'!$I318,Нормативы!$F:$F,'2020'!$K318)</f>
        <v>1050</v>
      </c>
      <c r="AL318" s="618">
        <f>SUMIFS(Нормативы!X:X,Нормативы!$B:$B,$G318,Нормативы!$D:$D,'2020'!$I318,Нормативы!$F:$F,'2020'!$K318)*O318</f>
        <v>16120</v>
      </c>
      <c r="AM318" s="618">
        <f t="shared" si="855"/>
        <v>12381</v>
      </c>
      <c r="AN318" s="618">
        <f t="shared" si="856"/>
        <v>3739</v>
      </c>
      <c r="AO318" s="618">
        <f>SUMIFS(Нормативы!AA:AA,Нормативы!$B:$B,$G318,Нормативы!$D:$D,'2020'!$I318,Нормативы!$F:$F,'2020'!$K318)</f>
        <v>3520</v>
      </c>
      <c r="AP318" s="619">
        <f t="shared" si="857"/>
        <v>130740</v>
      </c>
      <c r="AQ318" s="413">
        <f t="shared" si="795"/>
        <v>5199390</v>
      </c>
      <c r="AR318" s="618">
        <f t="shared" si="858"/>
        <v>3993387.1</v>
      </c>
      <c r="AS318" s="618">
        <f t="shared" si="859"/>
        <v>1206002.8999999999</v>
      </c>
      <c r="AT318" s="616">
        <f t="shared" si="796"/>
        <v>715230</v>
      </c>
      <c r="AU318" s="616">
        <f t="shared" si="797"/>
        <v>143046</v>
      </c>
      <c r="AV318" s="616">
        <f t="shared" si="798"/>
        <v>656910</v>
      </c>
      <c r="AW318" s="616">
        <f t="shared" si="799"/>
        <v>1543050</v>
      </c>
      <c r="AX318" s="616">
        <f t="shared" si="800"/>
        <v>42120</v>
      </c>
      <c r="AY318" s="616">
        <f t="shared" si="801"/>
        <v>1400490</v>
      </c>
      <c r="AZ318" s="616">
        <f t="shared" si="802"/>
        <v>29160</v>
      </c>
      <c r="BA318" s="616">
        <f t="shared" si="803"/>
        <v>71280</v>
      </c>
      <c r="BB318" s="616">
        <f t="shared" si="804"/>
        <v>217080</v>
      </c>
      <c r="BC318" s="616">
        <f t="shared" si="805"/>
        <v>469800</v>
      </c>
      <c r="BD318" s="616">
        <f t="shared" si="806"/>
        <v>43740</v>
      </c>
      <c r="BE318" s="616">
        <f t="shared" si="807"/>
        <v>62370</v>
      </c>
      <c r="BF318" s="616">
        <f t="shared" si="808"/>
        <v>6480</v>
      </c>
      <c r="BG318" s="616">
        <f t="shared" si="809"/>
        <v>85050</v>
      </c>
      <c r="BH318" s="616">
        <f t="shared" si="810"/>
        <v>1305720</v>
      </c>
      <c r="BI318" s="618">
        <f t="shared" si="860"/>
        <v>1002857.1</v>
      </c>
      <c r="BJ318" s="618">
        <f t="shared" si="861"/>
        <v>302862.90000000002</v>
      </c>
      <c r="BK318" s="616">
        <f t="shared" si="811"/>
        <v>285120</v>
      </c>
      <c r="BL318" s="620">
        <f t="shared" si="812"/>
        <v>10589940</v>
      </c>
      <c r="BM318" s="616">
        <f t="shared" si="813"/>
        <v>7819883</v>
      </c>
      <c r="BN318" s="618">
        <f t="shared" si="814"/>
        <v>6006054.5</v>
      </c>
      <c r="BO318" s="618">
        <f t="shared" si="815"/>
        <v>1813828.5</v>
      </c>
      <c r="BP318" s="616">
        <f t="shared" si="862"/>
        <v>715230</v>
      </c>
      <c r="BQ318" s="616">
        <f t="shared" si="863"/>
        <v>143046</v>
      </c>
      <c r="BR318" s="616">
        <f t="shared" si="864"/>
        <v>656910</v>
      </c>
      <c r="BS318" s="616">
        <f t="shared" si="816"/>
        <v>1543050</v>
      </c>
      <c r="BT318" s="616">
        <f t="shared" si="817"/>
        <v>42120</v>
      </c>
      <c r="BU318" s="616">
        <f t="shared" si="818"/>
        <v>1400490</v>
      </c>
      <c r="BV318" s="616">
        <f t="shared" si="819"/>
        <v>29160</v>
      </c>
      <c r="BW318" s="616">
        <f t="shared" si="820"/>
        <v>71280</v>
      </c>
      <c r="BX318" s="616">
        <f t="shared" si="821"/>
        <v>536405</v>
      </c>
      <c r="BY318" s="616">
        <f t="shared" si="822"/>
        <v>469800</v>
      </c>
      <c r="BZ318" s="616">
        <f t="shared" si="823"/>
        <v>43740</v>
      </c>
      <c r="CA318" s="616">
        <f t="shared" si="824"/>
        <v>62370</v>
      </c>
      <c r="CB318" s="616">
        <f t="shared" si="825"/>
        <v>6480</v>
      </c>
      <c r="CC318" s="616">
        <f t="shared" si="826"/>
        <v>85050</v>
      </c>
      <c r="CD318" s="616">
        <f t="shared" si="827"/>
        <v>1963803</v>
      </c>
      <c r="CE318" s="618">
        <f t="shared" si="865"/>
        <v>1508297.2</v>
      </c>
      <c r="CF318" s="618">
        <f t="shared" si="866"/>
        <v>455505.8</v>
      </c>
      <c r="CG318" s="616">
        <f t="shared" si="828"/>
        <v>285120</v>
      </c>
      <c r="CH318" s="621">
        <f t="shared" si="829"/>
        <v>14187841</v>
      </c>
      <c r="CI318" s="88">
        <f t="shared" si="830"/>
        <v>96541.765400000004</v>
      </c>
      <c r="CJ318" s="90">
        <f t="shared" si="831"/>
        <v>74148.820999999996</v>
      </c>
      <c r="CK318" s="90">
        <f t="shared" si="832"/>
        <v>22392.9444</v>
      </c>
      <c r="CL318" s="88">
        <f t="shared" si="833"/>
        <v>8830</v>
      </c>
      <c r="CM318" s="88">
        <f t="shared" si="834"/>
        <v>1766</v>
      </c>
      <c r="CN318" s="88">
        <f t="shared" si="835"/>
        <v>8110</v>
      </c>
      <c r="CO318" s="88">
        <f t="shared" si="836"/>
        <v>19050</v>
      </c>
      <c r="CP318" s="88">
        <f t="shared" si="837"/>
        <v>520</v>
      </c>
      <c r="CQ318" s="88">
        <f t="shared" si="838"/>
        <v>17290</v>
      </c>
      <c r="CR318" s="88">
        <f t="shared" si="839"/>
        <v>360</v>
      </c>
      <c r="CS318" s="88">
        <f t="shared" si="840"/>
        <v>880</v>
      </c>
      <c r="CT318" s="88">
        <f t="shared" si="841"/>
        <v>6622.2839999999997</v>
      </c>
      <c r="CU318" s="88">
        <f t="shared" si="842"/>
        <v>5800</v>
      </c>
      <c r="CV318" s="88">
        <f t="shared" si="843"/>
        <v>540</v>
      </c>
      <c r="CW318" s="88">
        <f t="shared" si="844"/>
        <v>770</v>
      </c>
      <c r="CX318" s="88">
        <f t="shared" si="845"/>
        <v>80</v>
      </c>
      <c r="CY318" s="88">
        <f t="shared" si="846"/>
        <v>1050</v>
      </c>
      <c r="CZ318" s="88">
        <f t="shared" si="847"/>
        <v>24244.481500000002</v>
      </c>
      <c r="DA318" s="90">
        <f t="shared" si="848"/>
        <v>18620.953099999999</v>
      </c>
      <c r="DB318" s="90">
        <f t="shared" si="849"/>
        <v>5623.5284000000001</v>
      </c>
      <c r="DC318" s="88">
        <f t="shared" si="850"/>
        <v>3520</v>
      </c>
      <c r="DD318" s="88">
        <f t="shared" si="851"/>
        <v>175158.53090000001</v>
      </c>
      <c r="AUV318" s="699">
        <f t="shared" si="758"/>
        <v>96541.77</v>
      </c>
      <c r="AUW318" s="699">
        <f t="shared" si="759"/>
        <v>74148.820000000007</v>
      </c>
      <c r="AUX318" s="699">
        <f t="shared" si="760"/>
        <v>22392.95</v>
      </c>
      <c r="AUY318" s="699">
        <f t="shared" si="867"/>
        <v>8830</v>
      </c>
      <c r="AUZ318" s="699">
        <f t="shared" si="778"/>
        <v>57889.919999999998</v>
      </c>
      <c r="AVA318" s="699">
        <f t="shared" si="778"/>
        <v>10.23</v>
      </c>
      <c r="AVB318" s="699">
        <f t="shared" si="868"/>
        <v>19050</v>
      </c>
      <c r="AVC318" s="699">
        <f t="shared" si="869"/>
        <v>520</v>
      </c>
      <c r="AVD318" s="699">
        <f t="shared" si="870"/>
        <v>17290</v>
      </c>
      <c r="AVE318" s="699">
        <f t="shared" si="871"/>
        <v>360</v>
      </c>
      <c r="AVF318" s="699">
        <f t="shared" si="872"/>
        <v>880</v>
      </c>
      <c r="AVG318" s="699">
        <f t="shared" si="873"/>
        <v>6622.28</v>
      </c>
      <c r="AVH318" s="699">
        <f t="shared" si="874"/>
        <v>5800</v>
      </c>
      <c r="AVI318" s="699">
        <f t="shared" si="875"/>
        <v>540</v>
      </c>
      <c r="AVJ318" s="699">
        <f t="shared" si="876"/>
        <v>770</v>
      </c>
      <c r="AVK318" s="699">
        <f t="shared" si="877"/>
        <v>80</v>
      </c>
      <c r="AVL318" s="699">
        <f t="shared" si="878"/>
        <v>1050</v>
      </c>
      <c r="AVM318" s="699">
        <f t="shared" si="879"/>
        <v>24244.48</v>
      </c>
      <c r="AVN318" s="699">
        <f t="shared" si="880"/>
        <v>18620.95</v>
      </c>
      <c r="AVO318" s="699">
        <f t="shared" si="881"/>
        <v>5623.53</v>
      </c>
      <c r="AVP318" s="699">
        <f t="shared" si="882"/>
        <v>3520</v>
      </c>
      <c r="AVQ318" s="699">
        <f t="shared" si="883"/>
        <v>175158.53</v>
      </c>
    </row>
    <row r="319" spans="1:108 1244:1265" ht="30" customHeight="1" x14ac:dyDescent="0.25">
      <c r="A319" s="643">
        <v>1</v>
      </c>
      <c r="B319" s="643">
        <v>8</v>
      </c>
      <c r="C319" s="664" t="s">
        <v>22</v>
      </c>
      <c r="D319" s="2"/>
      <c r="E319" s="101" t="s">
        <v>344</v>
      </c>
      <c r="F319" s="643" t="s">
        <v>31</v>
      </c>
      <c r="G319" s="643">
        <v>1</v>
      </c>
      <c r="H319" s="658" t="s">
        <v>10</v>
      </c>
      <c r="I319" s="643">
        <v>0</v>
      </c>
      <c r="J319" s="101" t="s">
        <v>357</v>
      </c>
      <c r="K319" s="643">
        <v>3</v>
      </c>
      <c r="L319" s="683" t="s">
        <v>349</v>
      </c>
      <c r="M319" s="11" t="s">
        <v>259</v>
      </c>
      <c r="N319" s="101" t="s">
        <v>401</v>
      </c>
      <c r="O319" s="643">
        <v>2</v>
      </c>
      <c r="P319" s="632">
        <v>4</v>
      </c>
      <c r="Q319" s="632">
        <v>4</v>
      </c>
      <c r="R319" s="632">
        <v>4</v>
      </c>
      <c r="S319" s="675">
        <f>SUMIF('Территориальный кк'!$A:$A,'2020'!$B319,'Территориальный кк'!D:D)</f>
        <v>1.504</v>
      </c>
      <c r="T319" s="676">
        <f>SUMIF('Территориальный кк'!$A:$A,'2020'!$B319,'Территориальный кк'!E:E)</f>
        <v>2.4710000000000001</v>
      </c>
      <c r="U319" s="618">
        <f>SUMIFS(Нормативы!G:G,Нормативы!$B:$B,$G319,Нормативы!$D:$D,'2020'!$I319,Нормативы!$F:$F,'2020'!$K319)*O319</f>
        <v>128380</v>
      </c>
      <c r="V319" s="618">
        <f t="shared" si="852"/>
        <v>98602.2</v>
      </c>
      <c r="W319" s="618">
        <f t="shared" si="853"/>
        <v>29777.8</v>
      </c>
      <c r="X319" s="618">
        <f>SUMIFS(Нормативы!J:J,Нормативы!$B:$B,$G319,Нормативы!$D:$D,'2020'!$I319,Нормативы!$F:$F,'2020'!$K319)</f>
        <v>8830</v>
      </c>
      <c r="Y319" s="618">
        <f>SUMIFS(Нормативы!K:K,Нормативы!$B:$B,$G319,Нормативы!$D:$D,'2020'!$I319,Нормативы!$F:$F,'2020'!$K319)</f>
        <v>1766</v>
      </c>
      <c r="Z319" s="618">
        <f>SUMIFS(Нормативы!L:L,Нормативы!$B:$B,$G319,Нормативы!$D:$D,'2020'!$I319,Нормативы!$F:$F,'2020'!$K319)</f>
        <v>8110</v>
      </c>
      <c r="AA319" s="618">
        <f t="shared" si="854"/>
        <v>19930</v>
      </c>
      <c r="AB319" s="618">
        <f>SUMIFS(Нормативы!N:N,Нормативы!$B:$B,$G319,Нормативы!$D:$D,'2020'!$I319,Нормативы!$F:$F,'2020'!$K319)*O319</f>
        <v>1040</v>
      </c>
      <c r="AC319" s="618">
        <f>SUMIFS(Нормативы!O:O,Нормативы!$B:$B,$G319,Нормативы!$D:$D,'2020'!$I319,Нормативы!$F:$F,'2020'!$K319)</f>
        <v>17290</v>
      </c>
      <c r="AD319" s="618">
        <f>SUMIFS(Нормативы!P:P,Нормативы!$B:$B,$G319,Нормативы!$D:$D,'2020'!$I319,Нормативы!$F:$F,'2020'!$K319)*O319</f>
        <v>720</v>
      </c>
      <c r="AE319" s="618">
        <f>SUMIFS(Нормативы!Q:Q,Нормативы!$B:$B,$G319,Нормативы!$D:$D,'2020'!$I319,Нормативы!$F:$F,'2020'!$K319)</f>
        <v>880</v>
      </c>
      <c r="AF319" s="618">
        <f>SUMIFS(Нормативы!R:R,Нормативы!$B:$B,$G319,Нормативы!$D:$D,'2020'!$I319,Нормативы!$F:$F,'2020'!$K319)</f>
        <v>2680</v>
      </c>
      <c r="AG319" s="618">
        <f>SUMIFS(Нормативы!S:S,Нормативы!$B:$B,$G319,Нормативы!$D:$D,'2020'!$I319,Нормативы!$F:$F,'2020'!$K319)</f>
        <v>5800</v>
      </c>
      <c r="AH319" s="618">
        <f>SUMIFS(Нормативы!T:T,Нормативы!$B:$B,$G319,Нормативы!$D:$D,'2020'!$I319,Нормативы!$F:$F,'2020'!$K319)</f>
        <v>540</v>
      </c>
      <c r="AI319" s="618">
        <f>SUMIFS(Нормативы!U:U,Нормативы!$B:$B,$G319,Нормативы!$D:$D,'2020'!$I319,Нормативы!$F:$F,'2020'!$K319)</f>
        <v>770</v>
      </c>
      <c r="AJ319" s="618">
        <f>SUMIFS(Нормативы!V:V,Нормативы!$B:$B,$G319,Нормативы!$D:$D,'2020'!$I319,Нормативы!$F:$F,'2020'!$K319)</f>
        <v>80</v>
      </c>
      <c r="AK319" s="618">
        <f>SUMIFS(Нормативы!W:W,Нормативы!$B:$B,$G319,Нормативы!$D:$D,'2020'!$I319,Нормативы!$F:$F,'2020'!$K319)</f>
        <v>1050</v>
      </c>
      <c r="AL319" s="618">
        <f>SUMIFS(Нормативы!X:X,Нормативы!$B:$B,$G319,Нормативы!$D:$D,'2020'!$I319,Нормативы!$F:$F,'2020'!$K319)*O319</f>
        <v>32240</v>
      </c>
      <c r="AM319" s="618">
        <f t="shared" si="855"/>
        <v>24761.9</v>
      </c>
      <c r="AN319" s="618">
        <f t="shared" si="856"/>
        <v>7478.1</v>
      </c>
      <c r="AO319" s="618">
        <f>SUMIFS(Нормативы!AA:AA,Нормативы!$B:$B,$G319,Нормативы!$D:$D,'2020'!$I319,Нормативы!$F:$F,'2020'!$K319)</f>
        <v>3520</v>
      </c>
      <c r="AP319" s="619">
        <f t="shared" si="857"/>
        <v>211930</v>
      </c>
      <c r="AQ319" s="413">
        <f t="shared" si="795"/>
        <v>513520</v>
      </c>
      <c r="AR319" s="618">
        <f t="shared" si="858"/>
        <v>394408.6</v>
      </c>
      <c r="AS319" s="618">
        <f t="shared" si="859"/>
        <v>119111.4</v>
      </c>
      <c r="AT319" s="616">
        <f t="shared" si="796"/>
        <v>35320</v>
      </c>
      <c r="AU319" s="616">
        <f t="shared" si="797"/>
        <v>7064</v>
      </c>
      <c r="AV319" s="616">
        <f t="shared" si="798"/>
        <v>32440</v>
      </c>
      <c r="AW319" s="616">
        <f t="shared" si="799"/>
        <v>79720</v>
      </c>
      <c r="AX319" s="616">
        <f t="shared" si="800"/>
        <v>4160</v>
      </c>
      <c r="AY319" s="616">
        <f t="shared" si="801"/>
        <v>69160</v>
      </c>
      <c r="AZ319" s="616">
        <f t="shared" si="802"/>
        <v>2880</v>
      </c>
      <c r="BA319" s="616">
        <f t="shared" si="803"/>
        <v>3520</v>
      </c>
      <c r="BB319" s="616">
        <f t="shared" si="804"/>
        <v>10720</v>
      </c>
      <c r="BC319" s="616">
        <f t="shared" si="805"/>
        <v>23200</v>
      </c>
      <c r="BD319" s="616">
        <f t="shared" si="806"/>
        <v>2160</v>
      </c>
      <c r="BE319" s="616">
        <f t="shared" si="807"/>
        <v>3080</v>
      </c>
      <c r="BF319" s="616">
        <f t="shared" si="808"/>
        <v>320</v>
      </c>
      <c r="BG319" s="616">
        <f t="shared" si="809"/>
        <v>4200</v>
      </c>
      <c r="BH319" s="616">
        <f t="shared" si="810"/>
        <v>128960</v>
      </c>
      <c r="BI319" s="618">
        <f t="shared" si="860"/>
        <v>99047.6</v>
      </c>
      <c r="BJ319" s="618">
        <f t="shared" si="861"/>
        <v>29912.400000000001</v>
      </c>
      <c r="BK319" s="616">
        <f t="shared" si="811"/>
        <v>14080</v>
      </c>
      <c r="BL319" s="620">
        <f t="shared" si="812"/>
        <v>847720</v>
      </c>
      <c r="BM319" s="616">
        <f t="shared" si="813"/>
        <v>772334</v>
      </c>
      <c r="BN319" s="618">
        <f t="shared" si="814"/>
        <v>593190.5</v>
      </c>
      <c r="BO319" s="618">
        <f t="shared" si="815"/>
        <v>179143.5</v>
      </c>
      <c r="BP319" s="616">
        <f t="shared" si="862"/>
        <v>35320</v>
      </c>
      <c r="BQ319" s="616">
        <f t="shared" si="863"/>
        <v>7064</v>
      </c>
      <c r="BR319" s="616">
        <f t="shared" si="864"/>
        <v>32440</v>
      </c>
      <c r="BS319" s="616">
        <f t="shared" si="816"/>
        <v>79720</v>
      </c>
      <c r="BT319" s="616">
        <f t="shared" si="817"/>
        <v>4160</v>
      </c>
      <c r="BU319" s="616">
        <f t="shared" si="818"/>
        <v>69160</v>
      </c>
      <c r="BV319" s="616">
        <f t="shared" si="819"/>
        <v>2880</v>
      </c>
      <c r="BW319" s="616">
        <f t="shared" si="820"/>
        <v>3520</v>
      </c>
      <c r="BX319" s="616">
        <f t="shared" si="821"/>
        <v>26489</v>
      </c>
      <c r="BY319" s="616">
        <f t="shared" si="822"/>
        <v>23200</v>
      </c>
      <c r="BZ319" s="616">
        <f t="shared" si="823"/>
        <v>2160</v>
      </c>
      <c r="CA319" s="616">
        <f t="shared" si="824"/>
        <v>3080</v>
      </c>
      <c r="CB319" s="616">
        <f t="shared" si="825"/>
        <v>320</v>
      </c>
      <c r="CC319" s="616">
        <f t="shared" si="826"/>
        <v>4200</v>
      </c>
      <c r="CD319" s="616">
        <f t="shared" si="827"/>
        <v>193956</v>
      </c>
      <c r="CE319" s="618">
        <f t="shared" si="865"/>
        <v>148967.70000000001</v>
      </c>
      <c r="CF319" s="618">
        <f t="shared" si="866"/>
        <v>44988.3</v>
      </c>
      <c r="CG319" s="616">
        <f t="shared" si="828"/>
        <v>14080</v>
      </c>
      <c r="CH319" s="621">
        <f t="shared" si="829"/>
        <v>1187299</v>
      </c>
      <c r="CI319" s="88">
        <f t="shared" si="830"/>
        <v>193083.5</v>
      </c>
      <c r="CJ319" s="90">
        <f t="shared" si="831"/>
        <v>148297.625</v>
      </c>
      <c r="CK319" s="90">
        <f t="shared" si="832"/>
        <v>44785.875</v>
      </c>
      <c r="CL319" s="88">
        <f t="shared" si="833"/>
        <v>8830</v>
      </c>
      <c r="CM319" s="88">
        <f t="shared" si="834"/>
        <v>1766</v>
      </c>
      <c r="CN319" s="88">
        <f t="shared" si="835"/>
        <v>8110</v>
      </c>
      <c r="CO319" s="88">
        <f t="shared" si="836"/>
        <v>19930</v>
      </c>
      <c r="CP319" s="88">
        <f t="shared" si="837"/>
        <v>1040</v>
      </c>
      <c r="CQ319" s="88">
        <f t="shared" si="838"/>
        <v>17290</v>
      </c>
      <c r="CR319" s="88">
        <f t="shared" si="839"/>
        <v>720</v>
      </c>
      <c r="CS319" s="88">
        <f t="shared" si="840"/>
        <v>880</v>
      </c>
      <c r="CT319" s="88">
        <f t="shared" si="841"/>
        <v>6622.25</v>
      </c>
      <c r="CU319" s="88">
        <f t="shared" si="842"/>
        <v>5800</v>
      </c>
      <c r="CV319" s="88">
        <f t="shared" si="843"/>
        <v>540</v>
      </c>
      <c r="CW319" s="88">
        <f t="shared" si="844"/>
        <v>770</v>
      </c>
      <c r="CX319" s="88">
        <f t="shared" si="845"/>
        <v>80</v>
      </c>
      <c r="CY319" s="88">
        <f t="shared" si="846"/>
        <v>1050</v>
      </c>
      <c r="CZ319" s="88">
        <f t="shared" si="847"/>
        <v>48489</v>
      </c>
      <c r="DA319" s="90">
        <f t="shared" si="848"/>
        <v>37241.925000000003</v>
      </c>
      <c r="DB319" s="90">
        <f t="shared" si="849"/>
        <v>11247.075000000001</v>
      </c>
      <c r="DC319" s="88">
        <f t="shared" si="850"/>
        <v>3520</v>
      </c>
      <c r="DD319" s="88">
        <f t="shared" si="851"/>
        <v>296824.75</v>
      </c>
      <c r="AUV319" s="699">
        <f t="shared" si="758"/>
        <v>193083.5</v>
      </c>
      <c r="AUW319" s="699">
        <f t="shared" si="759"/>
        <v>148297.62</v>
      </c>
      <c r="AUX319" s="699">
        <f t="shared" si="760"/>
        <v>44785.88</v>
      </c>
      <c r="AUY319" s="699">
        <f t="shared" si="867"/>
        <v>8830</v>
      </c>
      <c r="AUZ319" s="699">
        <f t="shared" si="778"/>
        <v>2858.76</v>
      </c>
      <c r="AVA319" s="699">
        <f t="shared" si="778"/>
        <v>0.25</v>
      </c>
      <c r="AVB319" s="699">
        <f t="shared" si="868"/>
        <v>19930</v>
      </c>
      <c r="AVC319" s="699">
        <f t="shared" si="869"/>
        <v>1040</v>
      </c>
      <c r="AVD319" s="699">
        <f t="shared" si="870"/>
        <v>17290</v>
      </c>
      <c r="AVE319" s="699">
        <f t="shared" si="871"/>
        <v>720</v>
      </c>
      <c r="AVF319" s="699">
        <f t="shared" si="872"/>
        <v>880</v>
      </c>
      <c r="AVG319" s="699">
        <f t="shared" si="873"/>
        <v>6622.25</v>
      </c>
      <c r="AVH319" s="699">
        <f t="shared" si="874"/>
        <v>5800</v>
      </c>
      <c r="AVI319" s="699">
        <f t="shared" si="875"/>
        <v>540</v>
      </c>
      <c r="AVJ319" s="699">
        <f t="shared" si="876"/>
        <v>770</v>
      </c>
      <c r="AVK319" s="699">
        <f t="shared" si="877"/>
        <v>80</v>
      </c>
      <c r="AVL319" s="699">
        <f t="shared" si="878"/>
        <v>1050</v>
      </c>
      <c r="AVM319" s="699">
        <f t="shared" si="879"/>
        <v>48489</v>
      </c>
      <c r="AVN319" s="699">
        <f t="shared" si="880"/>
        <v>37241.94</v>
      </c>
      <c r="AVO319" s="699">
        <f t="shared" si="881"/>
        <v>11247.06</v>
      </c>
      <c r="AVP319" s="699">
        <f t="shared" si="882"/>
        <v>3520</v>
      </c>
      <c r="AVQ319" s="699">
        <f t="shared" si="883"/>
        <v>296824.75</v>
      </c>
    </row>
    <row r="320" spans="1:108 1244:1265" ht="30" customHeight="1" x14ac:dyDescent="0.25">
      <c r="A320" s="643">
        <v>1</v>
      </c>
      <c r="B320" s="643">
        <v>8</v>
      </c>
      <c r="C320" s="664" t="s">
        <v>22</v>
      </c>
      <c r="D320" s="2"/>
      <c r="E320" s="101" t="s">
        <v>344</v>
      </c>
      <c r="F320" s="643" t="s">
        <v>31</v>
      </c>
      <c r="G320" s="643">
        <v>1</v>
      </c>
      <c r="H320" s="658" t="s">
        <v>8</v>
      </c>
      <c r="I320" s="643">
        <v>3</v>
      </c>
      <c r="J320" s="101" t="s">
        <v>357</v>
      </c>
      <c r="K320" s="643">
        <v>3</v>
      </c>
      <c r="L320" s="683" t="s">
        <v>349</v>
      </c>
      <c r="M320" s="11" t="s">
        <v>260</v>
      </c>
      <c r="N320" s="101" t="s">
        <v>387</v>
      </c>
      <c r="O320" s="643">
        <v>1</v>
      </c>
      <c r="P320" s="632">
        <v>27</v>
      </c>
      <c r="Q320" s="632">
        <v>27</v>
      </c>
      <c r="R320" s="632">
        <v>27</v>
      </c>
      <c r="S320" s="675">
        <f>SUMIF('Территориальный кк'!$A:$A,'2020'!$B320,'Территориальный кк'!D:D)</f>
        <v>1.504</v>
      </c>
      <c r="T320" s="676">
        <f>SUMIF('Территориальный кк'!$A:$A,'2020'!$B320,'Территориальный кк'!E:E)</f>
        <v>2.4710000000000001</v>
      </c>
      <c r="U320" s="618">
        <f>SUMIFS(Нормативы!G:G,Нормативы!$B:$B,$G320,Нормативы!$D:$D,'2020'!$I320,Нормативы!$F:$F,'2020'!$K320)*O320</f>
        <v>6419</v>
      </c>
      <c r="V320" s="618">
        <f t="shared" si="852"/>
        <v>4930.1000000000004</v>
      </c>
      <c r="W320" s="618">
        <f t="shared" si="853"/>
        <v>1488.9</v>
      </c>
      <c r="X320" s="618">
        <f>SUMIFS(Нормативы!J:J,Нормативы!$B:$B,$G320,Нормативы!$D:$D,'2020'!$I320,Нормативы!$F:$F,'2020'!$K320)</f>
        <v>883</v>
      </c>
      <c r="Y320" s="618">
        <f>SUMIFS(Нормативы!K:K,Нормативы!$B:$B,$G320,Нормативы!$D:$D,'2020'!$I320,Нормативы!$F:$F,'2020'!$K320)</f>
        <v>177</v>
      </c>
      <c r="Z320" s="618">
        <f>SUMIFS(Нормативы!L:L,Нормативы!$B:$B,$G320,Нормативы!$D:$D,'2020'!$I320,Нормативы!$F:$F,'2020'!$K320)</f>
        <v>811</v>
      </c>
      <c r="AA320" s="618">
        <f t="shared" si="854"/>
        <v>1905</v>
      </c>
      <c r="AB320" s="618">
        <f>SUMIFS(Нормативы!N:N,Нормативы!$B:$B,$G320,Нормативы!$D:$D,'2020'!$I320,Нормативы!$F:$F,'2020'!$K320)*O320</f>
        <v>52</v>
      </c>
      <c r="AC320" s="618">
        <f>SUMIFS(Нормативы!O:O,Нормативы!$B:$B,$G320,Нормативы!$D:$D,'2020'!$I320,Нормативы!$F:$F,'2020'!$K320)</f>
        <v>1729</v>
      </c>
      <c r="AD320" s="618">
        <f>SUMIFS(Нормативы!P:P,Нормативы!$B:$B,$G320,Нормативы!$D:$D,'2020'!$I320,Нормативы!$F:$F,'2020'!$K320)*O320</f>
        <v>36</v>
      </c>
      <c r="AE320" s="618">
        <f>SUMIFS(Нормативы!Q:Q,Нормативы!$B:$B,$G320,Нормативы!$D:$D,'2020'!$I320,Нормативы!$F:$F,'2020'!$K320)</f>
        <v>88</v>
      </c>
      <c r="AF320" s="618">
        <f>SUMIFS(Нормативы!R:R,Нормативы!$B:$B,$G320,Нормативы!$D:$D,'2020'!$I320,Нормативы!$F:$F,'2020'!$K320)</f>
        <v>268</v>
      </c>
      <c r="AG320" s="618">
        <f>SUMIFS(Нормативы!S:S,Нормативы!$B:$B,$G320,Нормативы!$D:$D,'2020'!$I320,Нормативы!$F:$F,'2020'!$K320)</f>
        <v>580</v>
      </c>
      <c r="AH320" s="618">
        <f>SUMIFS(Нормативы!T:T,Нормативы!$B:$B,$G320,Нормативы!$D:$D,'2020'!$I320,Нормативы!$F:$F,'2020'!$K320)</f>
        <v>54</v>
      </c>
      <c r="AI320" s="618">
        <f>SUMIFS(Нормативы!U:U,Нормативы!$B:$B,$G320,Нормативы!$D:$D,'2020'!$I320,Нормативы!$F:$F,'2020'!$K320)</f>
        <v>77</v>
      </c>
      <c r="AJ320" s="618">
        <f>SUMIFS(Нормативы!V:V,Нормативы!$B:$B,$G320,Нормативы!$D:$D,'2020'!$I320,Нормативы!$F:$F,'2020'!$K320)</f>
        <v>8</v>
      </c>
      <c r="AK320" s="618">
        <f>SUMIFS(Нормативы!W:W,Нормативы!$B:$B,$G320,Нормативы!$D:$D,'2020'!$I320,Нормативы!$F:$F,'2020'!$K320)</f>
        <v>105</v>
      </c>
      <c r="AL320" s="618">
        <f>SUMIFS(Нормативы!X:X,Нормативы!$B:$B,$G320,Нормативы!$D:$D,'2020'!$I320,Нормативы!$F:$F,'2020'!$K320)*O320</f>
        <v>1612</v>
      </c>
      <c r="AM320" s="618">
        <f t="shared" si="855"/>
        <v>1238.0999999999999</v>
      </c>
      <c r="AN320" s="618">
        <f t="shared" si="856"/>
        <v>373.9</v>
      </c>
      <c r="AO320" s="618">
        <f>SUMIFS(Нормативы!AA:AA,Нормативы!$B:$B,$G320,Нормативы!$D:$D,'2020'!$I320,Нормативы!$F:$F,'2020'!$K320)</f>
        <v>0</v>
      </c>
      <c r="AP320" s="619">
        <f t="shared" si="857"/>
        <v>12722</v>
      </c>
      <c r="AQ320" s="413">
        <f t="shared" si="795"/>
        <v>173313</v>
      </c>
      <c r="AR320" s="618">
        <f t="shared" si="858"/>
        <v>133112.9</v>
      </c>
      <c r="AS320" s="618">
        <f t="shared" si="859"/>
        <v>40200.1</v>
      </c>
      <c r="AT320" s="616">
        <f t="shared" si="796"/>
        <v>23841</v>
      </c>
      <c r="AU320" s="616">
        <f t="shared" si="797"/>
        <v>4779</v>
      </c>
      <c r="AV320" s="616">
        <f t="shared" si="798"/>
        <v>21897</v>
      </c>
      <c r="AW320" s="616">
        <f t="shared" si="799"/>
        <v>51435</v>
      </c>
      <c r="AX320" s="616">
        <f t="shared" si="800"/>
        <v>1404</v>
      </c>
      <c r="AY320" s="616">
        <f t="shared" si="801"/>
        <v>46683</v>
      </c>
      <c r="AZ320" s="616">
        <f t="shared" si="802"/>
        <v>972</v>
      </c>
      <c r="BA320" s="616">
        <f t="shared" si="803"/>
        <v>2376</v>
      </c>
      <c r="BB320" s="616">
        <f t="shared" si="804"/>
        <v>7236</v>
      </c>
      <c r="BC320" s="616">
        <f t="shared" si="805"/>
        <v>15660</v>
      </c>
      <c r="BD320" s="616">
        <f t="shared" si="806"/>
        <v>1458</v>
      </c>
      <c r="BE320" s="616">
        <f t="shared" si="807"/>
        <v>2079</v>
      </c>
      <c r="BF320" s="616">
        <f t="shared" si="808"/>
        <v>216</v>
      </c>
      <c r="BG320" s="616">
        <f t="shared" si="809"/>
        <v>2835</v>
      </c>
      <c r="BH320" s="616">
        <f t="shared" si="810"/>
        <v>43524</v>
      </c>
      <c r="BI320" s="618">
        <f t="shared" si="860"/>
        <v>33428.6</v>
      </c>
      <c r="BJ320" s="618">
        <f t="shared" si="861"/>
        <v>10095.4</v>
      </c>
      <c r="BK320" s="616">
        <f t="shared" si="811"/>
        <v>0</v>
      </c>
      <c r="BL320" s="620">
        <f t="shared" si="812"/>
        <v>343494</v>
      </c>
      <c r="BM320" s="616">
        <f t="shared" si="813"/>
        <v>260663</v>
      </c>
      <c r="BN320" s="618">
        <f t="shared" si="814"/>
        <v>200202</v>
      </c>
      <c r="BO320" s="618">
        <f t="shared" si="815"/>
        <v>60461</v>
      </c>
      <c r="BP320" s="616">
        <f t="shared" si="862"/>
        <v>23841</v>
      </c>
      <c r="BQ320" s="616">
        <f t="shared" si="863"/>
        <v>4779</v>
      </c>
      <c r="BR320" s="616">
        <f t="shared" si="864"/>
        <v>21897</v>
      </c>
      <c r="BS320" s="616">
        <f t="shared" si="816"/>
        <v>51435</v>
      </c>
      <c r="BT320" s="616">
        <f t="shared" si="817"/>
        <v>1404</v>
      </c>
      <c r="BU320" s="616">
        <f t="shared" si="818"/>
        <v>46683</v>
      </c>
      <c r="BV320" s="616">
        <f t="shared" si="819"/>
        <v>972</v>
      </c>
      <c r="BW320" s="616">
        <f t="shared" si="820"/>
        <v>2376</v>
      </c>
      <c r="BX320" s="616">
        <f t="shared" si="821"/>
        <v>17880</v>
      </c>
      <c r="BY320" s="616">
        <f t="shared" si="822"/>
        <v>15660</v>
      </c>
      <c r="BZ320" s="616">
        <f t="shared" si="823"/>
        <v>1458</v>
      </c>
      <c r="CA320" s="616">
        <f t="shared" si="824"/>
        <v>2079</v>
      </c>
      <c r="CB320" s="616">
        <f t="shared" si="825"/>
        <v>216</v>
      </c>
      <c r="CC320" s="616">
        <f t="shared" si="826"/>
        <v>2835</v>
      </c>
      <c r="CD320" s="616">
        <f t="shared" si="827"/>
        <v>65460</v>
      </c>
      <c r="CE320" s="618">
        <f t="shared" si="865"/>
        <v>50276.5</v>
      </c>
      <c r="CF320" s="618">
        <f t="shared" si="866"/>
        <v>15183.5</v>
      </c>
      <c r="CG320" s="616">
        <f t="shared" si="828"/>
        <v>0</v>
      </c>
      <c r="CH320" s="621">
        <f t="shared" si="829"/>
        <v>463424</v>
      </c>
      <c r="CI320" s="88">
        <f t="shared" si="830"/>
        <v>9654.1851999999999</v>
      </c>
      <c r="CJ320" s="90">
        <f t="shared" si="831"/>
        <v>7414.8888999999999</v>
      </c>
      <c r="CK320" s="90">
        <f t="shared" si="832"/>
        <v>2239.2963</v>
      </c>
      <c r="CL320" s="88">
        <f t="shared" si="833"/>
        <v>883</v>
      </c>
      <c r="CM320" s="88">
        <f t="shared" si="834"/>
        <v>177</v>
      </c>
      <c r="CN320" s="88">
        <f t="shared" si="835"/>
        <v>811</v>
      </c>
      <c r="CO320" s="88">
        <f t="shared" si="836"/>
        <v>1905</v>
      </c>
      <c r="CP320" s="88">
        <f t="shared" si="837"/>
        <v>52</v>
      </c>
      <c r="CQ320" s="88">
        <f t="shared" si="838"/>
        <v>1729</v>
      </c>
      <c r="CR320" s="88">
        <f t="shared" si="839"/>
        <v>36</v>
      </c>
      <c r="CS320" s="88">
        <f t="shared" si="840"/>
        <v>88</v>
      </c>
      <c r="CT320" s="88">
        <f t="shared" si="841"/>
        <v>662.22220000000004</v>
      </c>
      <c r="CU320" s="88">
        <f t="shared" si="842"/>
        <v>580</v>
      </c>
      <c r="CV320" s="88">
        <f t="shared" si="843"/>
        <v>54</v>
      </c>
      <c r="CW320" s="88">
        <f t="shared" si="844"/>
        <v>77</v>
      </c>
      <c r="CX320" s="88">
        <f t="shared" si="845"/>
        <v>8</v>
      </c>
      <c r="CY320" s="88">
        <f t="shared" si="846"/>
        <v>105</v>
      </c>
      <c r="CZ320" s="88">
        <f t="shared" si="847"/>
        <v>2424.4443999999999</v>
      </c>
      <c r="DA320" s="90">
        <f t="shared" si="848"/>
        <v>1862.0925999999999</v>
      </c>
      <c r="DB320" s="90">
        <f t="shared" si="849"/>
        <v>562.3519</v>
      </c>
      <c r="DC320" s="88">
        <f t="shared" si="850"/>
        <v>0</v>
      </c>
      <c r="DD320" s="88">
        <f t="shared" si="851"/>
        <v>17163.851900000001</v>
      </c>
      <c r="AUV320" s="699">
        <f t="shared" si="758"/>
        <v>9654.19</v>
      </c>
      <c r="AUW320" s="699">
        <f t="shared" si="759"/>
        <v>7414.89</v>
      </c>
      <c r="AUX320" s="699">
        <f t="shared" si="760"/>
        <v>2239.3000000000002</v>
      </c>
      <c r="AUY320" s="699">
        <f t="shared" si="867"/>
        <v>883</v>
      </c>
      <c r="AUZ320" s="699">
        <f t="shared" si="778"/>
        <v>1934.03</v>
      </c>
      <c r="AVA320" s="699">
        <f t="shared" si="778"/>
        <v>3.41</v>
      </c>
      <c r="AVB320" s="699">
        <f t="shared" si="868"/>
        <v>1905</v>
      </c>
      <c r="AVC320" s="699">
        <f t="shared" si="869"/>
        <v>52</v>
      </c>
      <c r="AVD320" s="699">
        <f t="shared" si="870"/>
        <v>1729</v>
      </c>
      <c r="AVE320" s="699">
        <f t="shared" si="871"/>
        <v>36</v>
      </c>
      <c r="AVF320" s="699">
        <f t="shared" si="872"/>
        <v>88</v>
      </c>
      <c r="AVG320" s="699">
        <f t="shared" si="873"/>
        <v>662.22</v>
      </c>
      <c r="AVH320" s="699">
        <f t="shared" si="874"/>
        <v>580</v>
      </c>
      <c r="AVI320" s="699">
        <f t="shared" si="875"/>
        <v>54</v>
      </c>
      <c r="AVJ320" s="699">
        <f t="shared" si="876"/>
        <v>77</v>
      </c>
      <c r="AVK320" s="699">
        <f t="shared" si="877"/>
        <v>8</v>
      </c>
      <c r="AVL320" s="699">
        <f t="shared" si="878"/>
        <v>105</v>
      </c>
      <c r="AVM320" s="699">
        <f t="shared" si="879"/>
        <v>2424.44</v>
      </c>
      <c r="AVN320" s="699">
        <f t="shared" si="880"/>
        <v>1862.09</v>
      </c>
      <c r="AVO320" s="699">
        <f t="shared" si="881"/>
        <v>562.35</v>
      </c>
      <c r="AVP320" s="699">
        <f t="shared" si="882"/>
        <v>0</v>
      </c>
      <c r="AVQ320" s="699">
        <f t="shared" si="883"/>
        <v>17163.849999999999</v>
      </c>
    </row>
    <row r="321" spans="1:108 1244:1265" ht="30" customHeight="1" x14ac:dyDescent="0.25">
      <c r="A321" s="643">
        <v>1</v>
      </c>
      <c r="B321" s="643">
        <v>8</v>
      </c>
      <c r="C321" s="664" t="s">
        <v>22</v>
      </c>
      <c r="D321" s="2"/>
      <c r="E321" s="101" t="s">
        <v>344</v>
      </c>
      <c r="F321" s="643" t="s">
        <v>31</v>
      </c>
      <c r="G321" s="643">
        <v>1</v>
      </c>
      <c r="H321" s="658" t="s">
        <v>8</v>
      </c>
      <c r="I321" s="643">
        <v>3</v>
      </c>
      <c r="J321" s="101" t="s">
        <v>357</v>
      </c>
      <c r="K321" s="643">
        <v>3</v>
      </c>
      <c r="L321" s="683" t="s">
        <v>349</v>
      </c>
      <c r="M321" s="11" t="s">
        <v>261</v>
      </c>
      <c r="N321" s="101" t="s">
        <v>401</v>
      </c>
      <c r="O321" s="643">
        <v>2</v>
      </c>
      <c r="P321" s="632">
        <v>1</v>
      </c>
      <c r="Q321" s="632">
        <v>1</v>
      </c>
      <c r="R321" s="632">
        <v>1</v>
      </c>
      <c r="S321" s="675">
        <f>SUMIF('Территориальный кк'!$A:$A,'2020'!$B321,'Территориальный кк'!D:D)</f>
        <v>1.504</v>
      </c>
      <c r="T321" s="676">
        <f>SUMIF('Территориальный кк'!$A:$A,'2020'!$B321,'Территориальный кк'!E:E)</f>
        <v>2.4710000000000001</v>
      </c>
      <c r="U321" s="618">
        <f>SUMIFS(Нормативы!G:G,Нормативы!$B:$B,$G321,Нормативы!$D:$D,'2020'!$I321,Нормативы!$F:$F,'2020'!$K321)*O321</f>
        <v>12838</v>
      </c>
      <c r="V321" s="618">
        <f t="shared" si="852"/>
        <v>9860.2000000000007</v>
      </c>
      <c r="W321" s="618">
        <f t="shared" si="853"/>
        <v>2977.8</v>
      </c>
      <c r="X321" s="618">
        <f>SUMIFS(Нормативы!J:J,Нормативы!$B:$B,$G321,Нормативы!$D:$D,'2020'!$I321,Нормативы!$F:$F,'2020'!$K321)</f>
        <v>883</v>
      </c>
      <c r="Y321" s="618">
        <f>SUMIFS(Нормативы!K:K,Нормативы!$B:$B,$G321,Нормативы!$D:$D,'2020'!$I321,Нормативы!$F:$F,'2020'!$K321)</f>
        <v>177</v>
      </c>
      <c r="Z321" s="618">
        <f>SUMIFS(Нормативы!L:L,Нормативы!$B:$B,$G321,Нормативы!$D:$D,'2020'!$I321,Нормативы!$F:$F,'2020'!$K321)</f>
        <v>811</v>
      </c>
      <c r="AA321" s="618">
        <f t="shared" si="854"/>
        <v>1993</v>
      </c>
      <c r="AB321" s="618">
        <f>SUMIFS(Нормативы!N:N,Нормативы!$B:$B,$G321,Нормативы!$D:$D,'2020'!$I321,Нормативы!$F:$F,'2020'!$K321)*O321</f>
        <v>104</v>
      </c>
      <c r="AC321" s="618">
        <f>SUMIFS(Нормативы!O:O,Нормативы!$B:$B,$G321,Нормативы!$D:$D,'2020'!$I321,Нормативы!$F:$F,'2020'!$K321)</f>
        <v>1729</v>
      </c>
      <c r="AD321" s="618">
        <f>SUMIFS(Нормативы!P:P,Нормативы!$B:$B,$G321,Нормативы!$D:$D,'2020'!$I321,Нормативы!$F:$F,'2020'!$K321)*O321</f>
        <v>72</v>
      </c>
      <c r="AE321" s="618">
        <f>SUMIFS(Нормативы!Q:Q,Нормативы!$B:$B,$G321,Нормативы!$D:$D,'2020'!$I321,Нормативы!$F:$F,'2020'!$K321)</f>
        <v>88</v>
      </c>
      <c r="AF321" s="618">
        <f>SUMIFS(Нормативы!R:R,Нормативы!$B:$B,$G321,Нормативы!$D:$D,'2020'!$I321,Нормативы!$F:$F,'2020'!$K321)</f>
        <v>268</v>
      </c>
      <c r="AG321" s="618">
        <f>SUMIFS(Нормативы!S:S,Нормативы!$B:$B,$G321,Нормативы!$D:$D,'2020'!$I321,Нормативы!$F:$F,'2020'!$K321)</f>
        <v>580</v>
      </c>
      <c r="AH321" s="618">
        <f>SUMIFS(Нормативы!T:T,Нормативы!$B:$B,$G321,Нормативы!$D:$D,'2020'!$I321,Нормативы!$F:$F,'2020'!$K321)</f>
        <v>54</v>
      </c>
      <c r="AI321" s="618">
        <f>SUMIFS(Нормативы!U:U,Нормативы!$B:$B,$G321,Нормативы!$D:$D,'2020'!$I321,Нормативы!$F:$F,'2020'!$K321)</f>
        <v>77</v>
      </c>
      <c r="AJ321" s="618">
        <f>SUMIFS(Нормативы!V:V,Нормативы!$B:$B,$G321,Нормативы!$D:$D,'2020'!$I321,Нормативы!$F:$F,'2020'!$K321)</f>
        <v>8</v>
      </c>
      <c r="AK321" s="618">
        <f>SUMIFS(Нормативы!W:W,Нормативы!$B:$B,$G321,Нормативы!$D:$D,'2020'!$I321,Нормативы!$F:$F,'2020'!$K321)</f>
        <v>105</v>
      </c>
      <c r="AL321" s="618">
        <f>SUMIFS(Нормативы!X:X,Нормативы!$B:$B,$G321,Нормативы!$D:$D,'2020'!$I321,Нормативы!$F:$F,'2020'!$K321)*O321</f>
        <v>3224</v>
      </c>
      <c r="AM321" s="618">
        <f t="shared" si="855"/>
        <v>2476.1999999999998</v>
      </c>
      <c r="AN321" s="618">
        <f t="shared" si="856"/>
        <v>747.8</v>
      </c>
      <c r="AO321" s="618">
        <f>SUMIFS(Нормативы!AA:AA,Нормативы!$B:$B,$G321,Нормативы!$D:$D,'2020'!$I321,Нормативы!$F:$F,'2020'!$K321)</f>
        <v>0</v>
      </c>
      <c r="AP321" s="619">
        <f t="shared" si="857"/>
        <v>20841</v>
      </c>
      <c r="AQ321" s="413">
        <f t="shared" si="795"/>
        <v>12838</v>
      </c>
      <c r="AR321" s="618">
        <f t="shared" si="858"/>
        <v>9860.2000000000007</v>
      </c>
      <c r="AS321" s="618">
        <f t="shared" si="859"/>
        <v>2977.8</v>
      </c>
      <c r="AT321" s="616">
        <f t="shared" si="796"/>
        <v>883</v>
      </c>
      <c r="AU321" s="616">
        <f t="shared" si="797"/>
        <v>177</v>
      </c>
      <c r="AV321" s="616">
        <f t="shared" si="798"/>
        <v>811</v>
      </c>
      <c r="AW321" s="616">
        <f t="shared" si="799"/>
        <v>1993</v>
      </c>
      <c r="AX321" s="616">
        <f t="shared" si="800"/>
        <v>104</v>
      </c>
      <c r="AY321" s="616">
        <f t="shared" si="801"/>
        <v>1729</v>
      </c>
      <c r="AZ321" s="616">
        <f t="shared" si="802"/>
        <v>72</v>
      </c>
      <c r="BA321" s="616">
        <f t="shared" si="803"/>
        <v>88</v>
      </c>
      <c r="BB321" s="616">
        <f t="shared" si="804"/>
        <v>268</v>
      </c>
      <c r="BC321" s="616">
        <f t="shared" si="805"/>
        <v>580</v>
      </c>
      <c r="BD321" s="616">
        <f t="shared" si="806"/>
        <v>54</v>
      </c>
      <c r="BE321" s="616">
        <f t="shared" si="807"/>
        <v>77</v>
      </c>
      <c r="BF321" s="616">
        <f t="shared" si="808"/>
        <v>8</v>
      </c>
      <c r="BG321" s="616">
        <f t="shared" si="809"/>
        <v>105</v>
      </c>
      <c r="BH321" s="616">
        <f t="shared" si="810"/>
        <v>3224</v>
      </c>
      <c r="BI321" s="618">
        <f t="shared" si="860"/>
        <v>2476.1999999999998</v>
      </c>
      <c r="BJ321" s="618">
        <f t="shared" si="861"/>
        <v>747.8</v>
      </c>
      <c r="BK321" s="616">
        <f t="shared" si="811"/>
        <v>0</v>
      </c>
      <c r="BL321" s="620">
        <f t="shared" si="812"/>
        <v>20841</v>
      </c>
      <c r="BM321" s="616">
        <f t="shared" si="813"/>
        <v>19308</v>
      </c>
      <c r="BN321" s="618">
        <f t="shared" si="814"/>
        <v>14829.5</v>
      </c>
      <c r="BO321" s="618">
        <f t="shared" si="815"/>
        <v>4478.5</v>
      </c>
      <c r="BP321" s="616">
        <f t="shared" si="862"/>
        <v>883</v>
      </c>
      <c r="BQ321" s="616">
        <f t="shared" si="863"/>
        <v>177</v>
      </c>
      <c r="BR321" s="616">
        <f t="shared" si="864"/>
        <v>811</v>
      </c>
      <c r="BS321" s="616">
        <f t="shared" si="816"/>
        <v>1993</v>
      </c>
      <c r="BT321" s="616">
        <f t="shared" si="817"/>
        <v>104</v>
      </c>
      <c r="BU321" s="616">
        <f t="shared" si="818"/>
        <v>1729</v>
      </c>
      <c r="BV321" s="616">
        <f t="shared" si="819"/>
        <v>72</v>
      </c>
      <c r="BW321" s="616">
        <f t="shared" si="820"/>
        <v>88</v>
      </c>
      <c r="BX321" s="616">
        <f t="shared" si="821"/>
        <v>662</v>
      </c>
      <c r="BY321" s="616">
        <f t="shared" si="822"/>
        <v>580</v>
      </c>
      <c r="BZ321" s="616">
        <f t="shared" si="823"/>
        <v>54</v>
      </c>
      <c r="CA321" s="616">
        <f t="shared" si="824"/>
        <v>77</v>
      </c>
      <c r="CB321" s="616">
        <f t="shared" si="825"/>
        <v>8</v>
      </c>
      <c r="CC321" s="616">
        <f t="shared" si="826"/>
        <v>105</v>
      </c>
      <c r="CD321" s="616">
        <f t="shared" si="827"/>
        <v>4849</v>
      </c>
      <c r="CE321" s="618">
        <f t="shared" si="865"/>
        <v>3724.3</v>
      </c>
      <c r="CF321" s="618">
        <f t="shared" si="866"/>
        <v>1124.7</v>
      </c>
      <c r="CG321" s="616">
        <f t="shared" si="828"/>
        <v>0</v>
      </c>
      <c r="CH321" s="621">
        <f t="shared" si="829"/>
        <v>29330</v>
      </c>
      <c r="CI321" s="88">
        <f t="shared" si="830"/>
        <v>19308</v>
      </c>
      <c r="CJ321" s="90">
        <f t="shared" si="831"/>
        <v>14829.5</v>
      </c>
      <c r="CK321" s="90">
        <f t="shared" si="832"/>
        <v>4478.5</v>
      </c>
      <c r="CL321" s="88">
        <f t="shared" si="833"/>
        <v>883</v>
      </c>
      <c r="CM321" s="88">
        <f t="shared" si="834"/>
        <v>177</v>
      </c>
      <c r="CN321" s="88">
        <f t="shared" si="835"/>
        <v>811</v>
      </c>
      <c r="CO321" s="88">
        <f t="shared" si="836"/>
        <v>1993</v>
      </c>
      <c r="CP321" s="88">
        <f t="shared" si="837"/>
        <v>104</v>
      </c>
      <c r="CQ321" s="88">
        <f t="shared" si="838"/>
        <v>1729</v>
      </c>
      <c r="CR321" s="88">
        <f t="shared" si="839"/>
        <v>72</v>
      </c>
      <c r="CS321" s="88">
        <f t="shared" si="840"/>
        <v>88</v>
      </c>
      <c r="CT321" s="88">
        <f t="shared" si="841"/>
        <v>662</v>
      </c>
      <c r="CU321" s="88">
        <f t="shared" si="842"/>
        <v>580</v>
      </c>
      <c r="CV321" s="88">
        <f t="shared" si="843"/>
        <v>54</v>
      </c>
      <c r="CW321" s="88">
        <f t="shared" si="844"/>
        <v>77</v>
      </c>
      <c r="CX321" s="88">
        <f t="shared" si="845"/>
        <v>8</v>
      </c>
      <c r="CY321" s="88">
        <f t="shared" si="846"/>
        <v>105</v>
      </c>
      <c r="CZ321" s="88">
        <f t="shared" si="847"/>
        <v>4849</v>
      </c>
      <c r="DA321" s="90">
        <f t="shared" si="848"/>
        <v>3724.3</v>
      </c>
      <c r="DB321" s="90">
        <f t="shared" si="849"/>
        <v>1124.7</v>
      </c>
      <c r="DC321" s="88">
        <f t="shared" si="850"/>
        <v>0</v>
      </c>
      <c r="DD321" s="88">
        <f t="shared" si="851"/>
        <v>29330</v>
      </c>
      <c r="AUV321" s="699">
        <f t="shared" si="758"/>
        <v>19308</v>
      </c>
      <c r="AUW321" s="699">
        <f t="shared" si="759"/>
        <v>14829.49</v>
      </c>
      <c r="AUX321" s="699">
        <f t="shared" si="760"/>
        <v>4478.51</v>
      </c>
      <c r="AUY321" s="699">
        <f t="shared" si="867"/>
        <v>883</v>
      </c>
      <c r="AUZ321" s="699">
        <f t="shared" si="778"/>
        <v>71.63</v>
      </c>
      <c r="AVA321" s="699">
        <f t="shared" si="778"/>
        <v>0.06</v>
      </c>
      <c r="AVB321" s="699">
        <f t="shared" si="868"/>
        <v>1993</v>
      </c>
      <c r="AVC321" s="699">
        <f t="shared" si="869"/>
        <v>104</v>
      </c>
      <c r="AVD321" s="699">
        <f t="shared" si="870"/>
        <v>1729</v>
      </c>
      <c r="AVE321" s="699">
        <f t="shared" si="871"/>
        <v>72</v>
      </c>
      <c r="AVF321" s="699">
        <f t="shared" si="872"/>
        <v>88</v>
      </c>
      <c r="AVG321" s="699">
        <f t="shared" si="873"/>
        <v>662</v>
      </c>
      <c r="AVH321" s="699">
        <f t="shared" si="874"/>
        <v>580</v>
      </c>
      <c r="AVI321" s="699">
        <f t="shared" si="875"/>
        <v>54</v>
      </c>
      <c r="AVJ321" s="699">
        <f t="shared" si="876"/>
        <v>77</v>
      </c>
      <c r="AVK321" s="699">
        <f t="shared" si="877"/>
        <v>8</v>
      </c>
      <c r="AVL321" s="699">
        <f t="shared" si="878"/>
        <v>105</v>
      </c>
      <c r="AVM321" s="699">
        <f t="shared" si="879"/>
        <v>4849</v>
      </c>
      <c r="AVN321" s="699">
        <f t="shared" si="880"/>
        <v>3724.27</v>
      </c>
      <c r="AVO321" s="699">
        <f t="shared" si="881"/>
        <v>1124.73</v>
      </c>
      <c r="AVP321" s="699">
        <f t="shared" si="882"/>
        <v>0</v>
      </c>
      <c r="AVQ321" s="699">
        <f t="shared" si="883"/>
        <v>29330</v>
      </c>
    </row>
    <row r="322" spans="1:108 1244:1265" ht="30" customHeight="1" x14ac:dyDescent="0.25">
      <c r="A322" s="643">
        <v>1</v>
      </c>
      <c r="B322" s="643">
        <v>8</v>
      </c>
      <c r="C322" s="664" t="s">
        <v>22</v>
      </c>
      <c r="D322" s="2"/>
      <c r="E322" s="101" t="s">
        <v>344</v>
      </c>
      <c r="F322" s="643" t="s">
        <v>31</v>
      </c>
      <c r="G322" s="643">
        <v>1</v>
      </c>
      <c r="H322" s="658" t="s">
        <v>10</v>
      </c>
      <c r="I322" s="643">
        <v>0</v>
      </c>
      <c r="J322" s="101" t="s">
        <v>373</v>
      </c>
      <c r="K322" s="643">
        <v>3</v>
      </c>
      <c r="L322" s="683" t="s">
        <v>349</v>
      </c>
      <c r="M322" s="11" t="s">
        <v>281</v>
      </c>
      <c r="N322" s="101" t="s">
        <v>387</v>
      </c>
      <c r="O322" s="643">
        <v>1</v>
      </c>
      <c r="P322" s="632">
        <v>66</v>
      </c>
      <c r="Q322" s="632">
        <v>66</v>
      </c>
      <c r="R322" s="632">
        <v>66</v>
      </c>
      <c r="S322" s="675">
        <f>SUMIF('Территориальный кк'!$A:$A,'2020'!$B322,'Территориальный кк'!D:D)</f>
        <v>1.504</v>
      </c>
      <c r="T322" s="676">
        <f>SUMIF('Территориальный кк'!$A:$A,'2020'!$B322,'Территориальный кк'!E:E)</f>
        <v>2.4710000000000001</v>
      </c>
      <c r="U322" s="618">
        <f>SUMIFS(Нормативы!G:G,Нормативы!$B:$B,$G322,Нормативы!$D:$D,'2020'!$I322,Нормативы!$F:$F,'2020'!$K322)*O322</f>
        <v>64190</v>
      </c>
      <c r="V322" s="618">
        <f t="shared" si="852"/>
        <v>49301.1</v>
      </c>
      <c r="W322" s="618">
        <f t="shared" si="853"/>
        <v>14888.9</v>
      </c>
      <c r="X322" s="618">
        <f>SUMIFS(Нормативы!J:J,Нормативы!$B:$B,$G322,Нормативы!$D:$D,'2020'!$I322,Нормативы!$F:$F,'2020'!$K322)</f>
        <v>8830</v>
      </c>
      <c r="Y322" s="618">
        <f>SUMIFS(Нормативы!K:K,Нормативы!$B:$B,$G322,Нормативы!$D:$D,'2020'!$I322,Нормативы!$F:$F,'2020'!$K322)</f>
        <v>1766</v>
      </c>
      <c r="Z322" s="618">
        <f>SUMIFS(Нормативы!L:L,Нормативы!$B:$B,$G322,Нормативы!$D:$D,'2020'!$I322,Нормативы!$F:$F,'2020'!$K322)</f>
        <v>8110</v>
      </c>
      <c r="AA322" s="618">
        <f t="shared" si="854"/>
        <v>19050</v>
      </c>
      <c r="AB322" s="618">
        <f>SUMIFS(Нормативы!N:N,Нормативы!$B:$B,$G322,Нормативы!$D:$D,'2020'!$I322,Нормативы!$F:$F,'2020'!$K322)*O322</f>
        <v>520</v>
      </c>
      <c r="AC322" s="618">
        <f>SUMIFS(Нормативы!O:O,Нормативы!$B:$B,$G322,Нормативы!$D:$D,'2020'!$I322,Нормативы!$F:$F,'2020'!$K322)</f>
        <v>17290</v>
      </c>
      <c r="AD322" s="618">
        <f>SUMIFS(Нормативы!P:P,Нормативы!$B:$B,$G322,Нормативы!$D:$D,'2020'!$I322,Нормативы!$F:$F,'2020'!$K322)*O322</f>
        <v>360</v>
      </c>
      <c r="AE322" s="618">
        <f>SUMIFS(Нормативы!Q:Q,Нормативы!$B:$B,$G322,Нормативы!$D:$D,'2020'!$I322,Нормативы!$F:$F,'2020'!$K322)</f>
        <v>880</v>
      </c>
      <c r="AF322" s="618">
        <f>SUMIFS(Нормативы!R:R,Нормативы!$B:$B,$G322,Нормативы!$D:$D,'2020'!$I322,Нормативы!$F:$F,'2020'!$K322)</f>
        <v>2680</v>
      </c>
      <c r="AG322" s="618">
        <f>SUMIFS(Нормативы!S:S,Нормативы!$B:$B,$G322,Нормативы!$D:$D,'2020'!$I322,Нормативы!$F:$F,'2020'!$K322)</f>
        <v>5800</v>
      </c>
      <c r="AH322" s="618">
        <f>SUMIFS(Нормативы!T:T,Нормативы!$B:$B,$G322,Нормативы!$D:$D,'2020'!$I322,Нормативы!$F:$F,'2020'!$K322)</f>
        <v>540</v>
      </c>
      <c r="AI322" s="618">
        <f>SUMIFS(Нормативы!U:U,Нормативы!$B:$B,$G322,Нормативы!$D:$D,'2020'!$I322,Нормативы!$F:$F,'2020'!$K322)</f>
        <v>770</v>
      </c>
      <c r="AJ322" s="618">
        <f>SUMIFS(Нормативы!V:V,Нормативы!$B:$B,$G322,Нормативы!$D:$D,'2020'!$I322,Нормативы!$F:$F,'2020'!$K322)</f>
        <v>80</v>
      </c>
      <c r="AK322" s="618">
        <f>SUMIFS(Нормативы!W:W,Нормативы!$B:$B,$G322,Нормативы!$D:$D,'2020'!$I322,Нормативы!$F:$F,'2020'!$K322)</f>
        <v>1050</v>
      </c>
      <c r="AL322" s="618">
        <f>SUMIFS(Нормативы!X:X,Нормативы!$B:$B,$G322,Нормативы!$D:$D,'2020'!$I322,Нормативы!$F:$F,'2020'!$K322)*O322</f>
        <v>16120</v>
      </c>
      <c r="AM322" s="618">
        <f t="shared" si="855"/>
        <v>12381</v>
      </c>
      <c r="AN322" s="618">
        <f t="shared" si="856"/>
        <v>3739</v>
      </c>
      <c r="AO322" s="618">
        <f>SUMIFS(Нормативы!AA:AA,Нормативы!$B:$B,$G322,Нормативы!$D:$D,'2020'!$I322,Нормативы!$F:$F,'2020'!$K322)</f>
        <v>3520</v>
      </c>
      <c r="AP322" s="619">
        <f t="shared" si="857"/>
        <v>130740</v>
      </c>
      <c r="AQ322" s="413">
        <f t="shared" si="795"/>
        <v>4236540</v>
      </c>
      <c r="AR322" s="618">
        <f t="shared" si="858"/>
        <v>3253871</v>
      </c>
      <c r="AS322" s="618">
        <f t="shared" si="859"/>
        <v>982669</v>
      </c>
      <c r="AT322" s="616">
        <f t="shared" si="796"/>
        <v>582780</v>
      </c>
      <c r="AU322" s="616">
        <f t="shared" si="797"/>
        <v>116556</v>
      </c>
      <c r="AV322" s="616">
        <f t="shared" si="798"/>
        <v>535260</v>
      </c>
      <c r="AW322" s="616">
        <f t="shared" si="799"/>
        <v>1257300</v>
      </c>
      <c r="AX322" s="616">
        <f t="shared" si="800"/>
        <v>34320</v>
      </c>
      <c r="AY322" s="616">
        <f t="shared" si="801"/>
        <v>1141140</v>
      </c>
      <c r="AZ322" s="616">
        <f t="shared" si="802"/>
        <v>23760</v>
      </c>
      <c r="BA322" s="616">
        <f t="shared" si="803"/>
        <v>58080</v>
      </c>
      <c r="BB322" s="616">
        <f t="shared" si="804"/>
        <v>176880</v>
      </c>
      <c r="BC322" s="616">
        <f t="shared" si="805"/>
        <v>382800</v>
      </c>
      <c r="BD322" s="616">
        <f t="shared" si="806"/>
        <v>35640</v>
      </c>
      <c r="BE322" s="616">
        <f t="shared" si="807"/>
        <v>50820</v>
      </c>
      <c r="BF322" s="616">
        <f t="shared" si="808"/>
        <v>5280</v>
      </c>
      <c r="BG322" s="616">
        <f t="shared" si="809"/>
        <v>69300</v>
      </c>
      <c r="BH322" s="616">
        <f t="shared" si="810"/>
        <v>1063920</v>
      </c>
      <c r="BI322" s="618">
        <f t="shared" si="860"/>
        <v>817142.9</v>
      </c>
      <c r="BJ322" s="618">
        <f t="shared" si="861"/>
        <v>246777.1</v>
      </c>
      <c r="BK322" s="616">
        <f t="shared" si="811"/>
        <v>232320</v>
      </c>
      <c r="BL322" s="620">
        <f t="shared" si="812"/>
        <v>8628840</v>
      </c>
      <c r="BM322" s="616">
        <f t="shared" si="813"/>
        <v>6371756</v>
      </c>
      <c r="BN322" s="618">
        <f t="shared" si="814"/>
        <v>4893821.8</v>
      </c>
      <c r="BO322" s="618">
        <f t="shared" si="815"/>
        <v>1477934.2</v>
      </c>
      <c r="BP322" s="616">
        <f t="shared" si="862"/>
        <v>582780</v>
      </c>
      <c r="BQ322" s="616">
        <f t="shared" si="863"/>
        <v>116556</v>
      </c>
      <c r="BR322" s="616">
        <f t="shared" si="864"/>
        <v>535260</v>
      </c>
      <c r="BS322" s="616">
        <f t="shared" si="816"/>
        <v>1257300</v>
      </c>
      <c r="BT322" s="616">
        <f t="shared" si="817"/>
        <v>34320</v>
      </c>
      <c r="BU322" s="616">
        <f t="shared" si="818"/>
        <v>1141140</v>
      </c>
      <c r="BV322" s="616">
        <f t="shared" si="819"/>
        <v>23760</v>
      </c>
      <c r="BW322" s="616">
        <f t="shared" si="820"/>
        <v>58080</v>
      </c>
      <c r="BX322" s="616">
        <f t="shared" si="821"/>
        <v>437070</v>
      </c>
      <c r="BY322" s="616">
        <f t="shared" si="822"/>
        <v>382800</v>
      </c>
      <c r="BZ322" s="616">
        <f t="shared" si="823"/>
        <v>35640</v>
      </c>
      <c r="CA322" s="616">
        <f t="shared" si="824"/>
        <v>50820</v>
      </c>
      <c r="CB322" s="616">
        <f t="shared" si="825"/>
        <v>5280</v>
      </c>
      <c r="CC322" s="616">
        <f t="shared" si="826"/>
        <v>69300</v>
      </c>
      <c r="CD322" s="616">
        <f t="shared" si="827"/>
        <v>1600136</v>
      </c>
      <c r="CE322" s="618">
        <f t="shared" si="865"/>
        <v>1228983.1000000001</v>
      </c>
      <c r="CF322" s="618">
        <f t="shared" si="866"/>
        <v>371152.9</v>
      </c>
      <c r="CG322" s="616">
        <f t="shared" si="828"/>
        <v>232320</v>
      </c>
      <c r="CH322" s="621">
        <f t="shared" si="829"/>
        <v>11560462</v>
      </c>
      <c r="CI322" s="88">
        <f t="shared" si="830"/>
        <v>96541.757599999997</v>
      </c>
      <c r="CJ322" s="90">
        <f t="shared" si="831"/>
        <v>74148.815199999997</v>
      </c>
      <c r="CK322" s="90">
        <f t="shared" si="832"/>
        <v>22392.9424</v>
      </c>
      <c r="CL322" s="88">
        <f t="shared" si="833"/>
        <v>8830</v>
      </c>
      <c r="CM322" s="88">
        <f t="shared" si="834"/>
        <v>1766</v>
      </c>
      <c r="CN322" s="88">
        <f t="shared" si="835"/>
        <v>8110</v>
      </c>
      <c r="CO322" s="88">
        <f t="shared" si="836"/>
        <v>19050</v>
      </c>
      <c r="CP322" s="88">
        <f t="shared" si="837"/>
        <v>520</v>
      </c>
      <c r="CQ322" s="88">
        <f t="shared" si="838"/>
        <v>17290</v>
      </c>
      <c r="CR322" s="88">
        <f t="shared" si="839"/>
        <v>360</v>
      </c>
      <c r="CS322" s="88">
        <f t="shared" si="840"/>
        <v>880</v>
      </c>
      <c r="CT322" s="88">
        <f t="shared" si="841"/>
        <v>6622.2727000000004</v>
      </c>
      <c r="CU322" s="88">
        <f t="shared" si="842"/>
        <v>5800</v>
      </c>
      <c r="CV322" s="88">
        <f t="shared" si="843"/>
        <v>540</v>
      </c>
      <c r="CW322" s="88">
        <f t="shared" si="844"/>
        <v>770</v>
      </c>
      <c r="CX322" s="88">
        <f t="shared" si="845"/>
        <v>80</v>
      </c>
      <c r="CY322" s="88">
        <f t="shared" si="846"/>
        <v>1050</v>
      </c>
      <c r="CZ322" s="88">
        <f t="shared" si="847"/>
        <v>24244.484799999998</v>
      </c>
      <c r="DA322" s="90">
        <f t="shared" si="848"/>
        <v>18620.956099999999</v>
      </c>
      <c r="DB322" s="90">
        <f t="shared" si="849"/>
        <v>5623.5288</v>
      </c>
      <c r="DC322" s="88">
        <f t="shared" si="850"/>
        <v>3520</v>
      </c>
      <c r="DD322" s="88">
        <f t="shared" si="851"/>
        <v>175158.51519999999</v>
      </c>
      <c r="AUV322" s="699">
        <f t="shared" si="758"/>
        <v>96541.759999999995</v>
      </c>
      <c r="AUW322" s="699">
        <f t="shared" si="759"/>
        <v>74148.820000000007</v>
      </c>
      <c r="AUX322" s="699">
        <f t="shared" si="760"/>
        <v>22392.94</v>
      </c>
      <c r="AUY322" s="699">
        <f t="shared" si="867"/>
        <v>8830</v>
      </c>
      <c r="AUZ322" s="699">
        <f t="shared" si="778"/>
        <v>47169.57</v>
      </c>
      <c r="AVA322" s="699">
        <f t="shared" si="778"/>
        <v>8.34</v>
      </c>
      <c r="AVB322" s="699">
        <f t="shared" si="868"/>
        <v>19050</v>
      </c>
      <c r="AVC322" s="699">
        <f t="shared" si="869"/>
        <v>520</v>
      </c>
      <c r="AVD322" s="699">
        <f t="shared" si="870"/>
        <v>17290</v>
      </c>
      <c r="AVE322" s="699">
        <f t="shared" si="871"/>
        <v>360</v>
      </c>
      <c r="AVF322" s="699">
        <f t="shared" si="872"/>
        <v>880</v>
      </c>
      <c r="AVG322" s="699">
        <f t="shared" si="873"/>
        <v>6622.27</v>
      </c>
      <c r="AVH322" s="699">
        <f t="shared" si="874"/>
        <v>5800</v>
      </c>
      <c r="AVI322" s="699">
        <f t="shared" si="875"/>
        <v>540</v>
      </c>
      <c r="AVJ322" s="699">
        <f t="shared" si="876"/>
        <v>770</v>
      </c>
      <c r="AVK322" s="699">
        <f t="shared" si="877"/>
        <v>80</v>
      </c>
      <c r="AVL322" s="699">
        <f t="shared" si="878"/>
        <v>1050</v>
      </c>
      <c r="AVM322" s="699">
        <f t="shared" si="879"/>
        <v>24244.48</v>
      </c>
      <c r="AVN322" s="699">
        <f t="shared" si="880"/>
        <v>18620.95</v>
      </c>
      <c r="AVO322" s="699">
        <f t="shared" si="881"/>
        <v>5623.53</v>
      </c>
      <c r="AVP322" s="699">
        <f t="shared" si="882"/>
        <v>3520</v>
      </c>
      <c r="AVQ322" s="699">
        <f t="shared" si="883"/>
        <v>175158.52</v>
      </c>
    </row>
    <row r="323" spans="1:108 1244:1265" ht="30" customHeight="1" x14ac:dyDescent="0.25">
      <c r="A323" s="643">
        <v>1</v>
      </c>
      <c r="B323" s="643">
        <v>8</v>
      </c>
      <c r="C323" s="664" t="s">
        <v>22</v>
      </c>
      <c r="D323" s="2"/>
      <c r="E323" s="101" t="s">
        <v>344</v>
      </c>
      <c r="F323" s="643" t="s">
        <v>31</v>
      </c>
      <c r="G323" s="643">
        <v>1</v>
      </c>
      <c r="H323" s="658" t="s">
        <v>10</v>
      </c>
      <c r="I323" s="643">
        <v>0</v>
      </c>
      <c r="J323" s="101" t="s">
        <v>358</v>
      </c>
      <c r="K323" s="643">
        <v>1</v>
      </c>
      <c r="L323" s="683" t="s">
        <v>349</v>
      </c>
      <c r="M323" s="11" t="s">
        <v>262</v>
      </c>
      <c r="N323" s="101" t="s">
        <v>387</v>
      </c>
      <c r="O323" s="643">
        <v>1</v>
      </c>
      <c r="P323" s="632">
        <v>14</v>
      </c>
      <c r="Q323" s="632">
        <v>14</v>
      </c>
      <c r="R323" s="632">
        <v>14</v>
      </c>
      <c r="S323" s="675">
        <f>SUMIF('Территориальный кк'!$A:$A,'2020'!$B323,'Территориальный кк'!D:D)</f>
        <v>1.504</v>
      </c>
      <c r="T323" s="676">
        <f>SUMIF('Территориальный кк'!$A:$A,'2020'!$B323,'Территориальный кк'!E:E)</f>
        <v>2.4710000000000001</v>
      </c>
      <c r="U323" s="618">
        <f>SUMIFS(Нормативы!G:G,Нормативы!$B:$B,$G323,Нормативы!$D:$D,'2020'!$I323,Нормативы!$F:$F,'2020'!$K323)*O323</f>
        <v>54020</v>
      </c>
      <c r="V323" s="618">
        <f t="shared" si="852"/>
        <v>41490</v>
      </c>
      <c r="W323" s="618">
        <f t="shared" si="853"/>
        <v>12530</v>
      </c>
      <c r="X323" s="618">
        <f>SUMIFS(Нормативы!J:J,Нормативы!$B:$B,$G323,Нормативы!$D:$D,'2020'!$I323,Нормативы!$F:$F,'2020'!$K323)</f>
        <v>220</v>
      </c>
      <c r="Y323" s="618">
        <f>SUMIFS(Нормативы!K:K,Нормативы!$B:$B,$G323,Нормативы!$D:$D,'2020'!$I323,Нормативы!$F:$F,'2020'!$K323)</f>
        <v>44</v>
      </c>
      <c r="Z323" s="618">
        <f>SUMIFS(Нормативы!L:L,Нормативы!$B:$B,$G323,Нормативы!$D:$D,'2020'!$I323,Нормативы!$F:$F,'2020'!$K323)</f>
        <v>2320</v>
      </c>
      <c r="AA323" s="618">
        <f t="shared" si="854"/>
        <v>3710</v>
      </c>
      <c r="AB323" s="618">
        <f>SUMIFS(Нормативы!N:N,Нормативы!$B:$B,$G323,Нормативы!$D:$D,'2020'!$I323,Нормативы!$F:$F,'2020'!$K323)*O323</f>
        <v>520</v>
      </c>
      <c r="AC323" s="618">
        <f>SUMIFS(Нормативы!O:O,Нормативы!$B:$B,$G323,Нормативы!$D:$D,'2020'!$I323,Нормативы!$F:$F,'2020'!$K323)</f>
        <v>2140</v>
      </c>
      <c r="AD323" s="618">
        <f>SUMIFS(Нормативы!P:P,Нормативы!$B:$B,$G323,Нормативы!$D:$D,'2020'!$I323,Нормативы!$F:$F,'2020'!$K323)*O323</f>
        <v>310</v>
      </c>
      <c r="AE323" s="618">
        <f>SUMIFS(Нормативы!Q:Q,Нормативы!$B:$B,$G323,Нормативы!$D:$D,'2020'!$I323,Нормативы!$F:$F,'2020'!$K323)</f>
        <v>740</v>
      </c>
      <c r="AF323" s="618">
        <f>SUMIFS(Нормативы!R:R,Нормативы!$B:$B,$G323,Нормативы!$D:$D,'2020'!$I323,Нормативы!$F:$F,'2020'!$K323)</f>
        <v>2460</v>
      </c>
      <c r="AG323" s="618">
        <f>SUMIFS(Нормативы!S:S,Нормативы!$B:$B,$G323,Нормативы!$D:$D,'2020'!$I323,Нормативы!$F:$F,'2020'!$K323)</f>
        <v>5080</v>
      </c>
      <c r="AH323" s="618">
        <f>SUMIFS(Нормативы!T:T,Нормативы!$B:$B,$G323,Нормативы!$D:$D,'2020'!$I323,Нормативы!$F:$F,'2020'!$K323)</f>
        <v>540</v>
      </c>
      <c r="AI323" s="618">
        <f>SUMIFS(Нормативы!U:U,Нормативы!$B:$B,$G323,Нормативы!$D:$D,'2020'!$I323,Нормативы!$F:$F,'2020'!$K323)</f>
        <v>770</v>
      </c>
      <c r="AJ323" s="618">
        <f>SUMIFS(Нормативы!V:V,Нормативы!$B:$B,$G323,Нормативы!$D:$D,'2020'!$I323,Нормативы!$F:$F,'2020'!$K323)</f>
        <v>80</v>
      </c>
      <c r="AK323" s="618">
        <f>SUMIFS(Нормативы!W:W,Нормативы!$B:$B,$G323,Нормативы!$D:$D,'2020'!$I323,Нормативы!$F:$F,'2020'!$K323)</f>
        <v>300</v>
      </c>
      <c r="AL323" s="618">
        <f>SUMIFS(Нормативы!X:X,Нормативы!$B:$B,$G323,Нормативы!$D:$D,'2020'!$I323,Нормативы!$F:$F,'2020'!$K323)*O323</f>
        <v>13440</v>
      </c>
      <c r="AM323" s="618">
        <f t="shared" si="855"/>
        <v>10322.6</v>
      </c>
      <c r="AN323" s="618">
        <f t="shared" si="856"/>
        <v>3117.4</v>
      </c>
      <c r="AO323" s="618">
        <f>SUMIFS(Нормативы!AA:AA,Нормативы!$B:$B,$G323,Нормативы!$D:$D,'2020'!$I323,Нормативы!$F:$F,'2020'!$K323)</f>
        <v>3520</v>
      </c>
      <c r="AP323" s="619">
        <f t="shared" si="857"/>
        <v>86460</v>
      </c>
      <c r="AQ323" s="413">
        <f t="shared" si="795"/>
        <v>756280</v>
      </c>
      <c r="AR323" s="618">
        <f t="shared" si="858"/>
        <v>580860.19999999995</v>
      </c>
      <c r="AS323" s="618">
        <f t="shared" si="859"/>
        <v>175419.8</v>
      </c>
      <c r="AT323" s="616">
        <f t="shared" si="796"/>
        <v>3080</v>
      </c>
      <c r="AU323" s="616">
        <f t="shared" si="797"/>
        <v>616</v>
      </c>
      <c r="AV323" s="616">
        <f t="shared" si="798"/>
        <v>32480</v>
      </c>
      <c r="AW323" s="616">
        <f t="shared" si="799"/>
        <v>51940</v>
      </c>
      <c r="AX323" s="616">
        <f t="shared" si="800"/>
        <v>7280</v>
      </c>
      <c r="AY323" s="616">
        <f t="shared" si="801"/>
        <v>29960</v>
      </c>
      <c r="AZ323" s="616">
        <f t="shared" si="802"/>
        <v>4340</v>
      </c>
      <c r="BA323" s="616">
        <f t="shared" si="803"/>
        <v>10360</v>
      </c>
      <c r="BB323" s="616">
        <f t="shared" si="804"/>
        <v>34440</v>
      </c>
      <c r="BC323" s="616">
        <f t="shared" si="805"/>
        <v>71120</v>
      </c>
      <c r="BD323" s="616">
        <f t="shared" si="806"/>
        <v>7560</v>
      </c>
      <c r="BE323" s="616">
        <f t="shared" si="807"/>
        <v>10780</v>
      </c>
      <c r="BF323" s="616">
        <f t="shared" si="808"/>
        <v>1120</v>
      </c>
      <c r="BG323" s="616">
        <f t="shared" si="809"/>
        <v>4200</v>
      </c>
      <c r="BH323" s="616">
        <f t="shared" si="810"/>
        <v>188160</v>
      </c>
      <c r="BI323" s="618">
        <f t="shared" si="860"/>
        <v>144516.1</v>
      </c>
      <c r="BJ323" s="618">
        <f t="shared" si="861"/>
        <v>43643.9</v>
      </c>
      <c r="BK323" s="616">
        <f t="shared" si="811"/>
        <v>49280</v>
      </c>
      <c r="BL323" s="620">
        <f t="shared" si="812"/>
        <v>1210440</v>
      </c>
      <c r="BM323" s="616">
        <f t="shared" si="813"/>
        <v>1137445</v>
      </c>
      <c r="BN323" s="618">
        <f t="shared" si="814"/>
        <v>873613.7</v>
      </c>
      <c r="BO323" s="618">
        <f t="shared" si="815"/>
        <v>263831.3</v>
      </c>
      <c r="BP323" s="616">
        <f t="shared" si="862"/>
        <v>3080</v>
      </c>
      <c r="BQ323" s="616">
        <f t="shared" si="863"/>
        <v>616</v>
      </c>
      <c r="BR323" s="616">
        <f t="shared" si="864"/>
        <v>32480</v>
      </c>
      <c r="BS323" s="616">
        <f t="shared" si="816"/>
        <v>51940</v>
      </c>
      <c r="BT323" s="616">
        <f t="shared" si="817"/>
        <v>7280</v>
      </c>
      <c r="BU323" s="616">
        <f t="shared" si="818"/>
        <v>29960</v>
      </c>
      <c r="BV323" s="616">
        <f t="shared" si="819"/>
        <v>4340</v>
      </c>
      <c r="BW323" s="616">
        <f t="shared" si="820"/>
        <v>10360</v>
      </c>
      <c r="BX323" s="616">
        <f t="shared" si="821"/>
        <v>85101</v>
      </c>
      <c r="BY323" s="616">
        <f t="shared" si="822"/>
        <v>71120</v>
      </c>
      <c r="BZ323" s="616">
        <f t="shared" si="823"/>
        <v>7560</v>
      </c>
      <c r="CA323" s="616">
        <f t="shared" si="824"/>
        <v>10780</v>
      </c>
      <c r="CB323" s="616">
        <f t="shared" si="825"/>
        <v>1120</v>
      </c>
      <c r="CC323" s="616">
        <f t="shared" si="826"/>
        <v>4200</v>
      </c>
      <c r="CD323" s="616">
        <f t="shared" si="827"/>
        <v>282993</v>
      </c>
      <c r="CE323" s="618">
        <f t="shared" si="865"/>
        <v>217352.5</v>
      </c>
      <c r="CF323" s="618">
        <f t="shared" si="866"/>
        <v>65640.5</v>
      </c>
      <c r="CG323" s="616">
        <f t="shared" si="828"/>
        <v>49280</v>
      </c>
      <c r="CH323" s="621">
        <f t="shared" si="829"/>
        <v>1737099</v>
      </c>
      <c r="CI323" s="88">
        <f t="shared" si="830"/>
        <v>81246.071400000001</v>
      </c>
      <c r="CJ323" s="90">
        <f t="shared" si="831"/>
        <v>62400.978600000002</v>
      </c>
      <c r="CK323" s="90">
        <f t="shared" si="832"/>
        <v>18845.0929</v>
      </c>
      <c r="CL323" s="88">
        <f t="shared" si="833"/>
        <v>220</v>
      </c>
      <c r="CM323" s="88">
        <f t="shared" si="834"/>
        <v>44</v>
      </c>
      <c r="CN323" s="88">
        <f t="shared" si="835"/>
        <v>2320</v>
      </c>
      <c r="CO323" s="88">
        <f t="shared" si="836"/>
        <v>3710</v>
      </c>
      <c r="CP323" s="88">
        <f t="shared" si="837"/>
        <v>520</v>
      </c>
      <c r="CQ323" s="88">
        <f t="shared" si="838"/>
        <v>2140</v>
      </c>
      <c r="CR323" s="88">
        <f t="shared" si="839"/>
        <v>310</v>
      </c>
      <c r="CS323" s="88">
        <f t="shared" si="840"/>
        <v>740</v>
      </c>
      <c r="CT323" s="88">
        <f t="shared" si="841"/>
        <v>6078.6428999999998</v>
      </c>
      <c r="CU323" s="88">
        <f t="shared" si="842"/>
        <v>5080</v>
      </c>
      <c r="CV323" s="88">
        <f t="shared" si="843"/>
        <v>540</v>
      </c>
      <c r="CW323" s="88">
        <f t="shared" si="844"/>
        <v>770</v>
      </c>
      <c r="CX323" s="88">
        <f t="shared" si="845"/>
        <v>80</v>
      </c>
      <c r="CY323" s="88">
        <f t="shared" si="846"/>
        <v>300</v>
      </c>
      <c r="CZ323" s="88">
        <f t="shared" si="847"/>
        <v>20213.7857</v>
      </c>
      <c r="DA323" s="90">
        <f t="shared" si="848"/>
        <v>15525.178599999999</v>
      </c>
      <c r="DB323" s="90">
        <f t="shared" si="849"/>
        <v>4688.6071000000002</v>
      </c>
      <c r="DC323" s="88">
        <f t="shared" si="850"/>
        <v>3520</v>
      </c>
      <c r="DD323" s="88">
        <f t="shared" si="851"/>
        <v>124078.5</v>
      </c>
      <c r="AUV323" s="699">
        <f t="shared" si="758"/>
        <v>81246.070000000007</v>
      </c>
      <c r="AUW323" s="699">
        <f t="shared" si="759"/>
        <v>62400.98</v>
      </c>
      <c r="AUX323" s="699">
        <f t="shared" si="760"/>
        <v>18845.09</v>
      </c>
      <c r="AUY323" s="699">
        <f t="shared" si="867"/>
        <v>220</v>
      </c>
      <c r="AUZ323" s="699">
        <f t="shared" si="778"/>
        <v>249.29</v>
      </c>
      <c r="AVA323" s="699">
        <f t="shared" si="778"/>
        <v>0.6</v>
      </c>
      <c r="AVB323" s="699">
        <f t="shared" si="868"/>
        <v>3710</v>
      </c>
      <c r="AVC323" s="699">
        <f t="shared" si="869"/>
        <v>520</v>
      </c>
      <c r="AVD323" s="699">
        <f t="shared" si="870"/>
        <v>2140</v>
      </c>
      <c r="AVE323" s="699">
        <f t="shared" si="871"/>
        <v>310</v>
      </c>
      <c r="AVF323" s="699">
        <f t="shared" si="872"/>
        <v>740</v>
      </c>
      <c r="AVG323" s="699">
        <f t="shared" si="873"/>
        <v>6078.64</v>
      </c>
      <c r="AVH323" s="699">
        <f t="shared" si="874"/>
        <v>5080</v>
      </c>
      <c r="AVI323" s="699">
        <f t="shared" si="875"/>
        <v>540</v>
      </c>
      <c r="AVJ323" s="699">
        <f t="shared" si="876"/>
        <v>770</v>
      </c>
      <c r="AVK323" s="699">
        <f t="shared" si="877"/>
        <v>80</v>
      </c>
      <c r="AVL323" s="699">
        <f t="shared" si="878"/>
        <v>300</v>
      </c>
      <c r="AVM323" s="699">
        <f t="shared" si="879"/>
        <v>20213.79</v>
      </c>
      <c r="AVN323" s="699">
        <f t="shared" si="880"/>
        <v>15525.18</v>
      </c>
      <c r="AVO323" s="699">
        <f t="shared" si="881"/>
        <v>4688.6099999999997</v>
      </c>
      <c r="AVP323" s="699">
        <f t="shared" si="882"/>
        <v>3520</v>
      </c>
      <c r="AVQ323" s="699">
        <f t="shared" si="883"/>
        <v>124078.5</v>
      </c>
    </row>
    <row r="324" spans="1:108 1244:1265" ht="30" customHeight="1" x14ac:dyDescent="0.25">
      <c r="A324" s="643">
        <v>1</v>
      </c>
      <c r="B324" s="643">
        <v>8</v>
      </c>
      <c r="C324" s="664" t="s">
        <v>22</v>
      </c>
      <c r="D324" s="2"/>
      <c r="E324" s="101" t="s">
        <v>344</v>
      </c>
      <c r="F324" s="643" t="s">
        <v>31</v>
      </c>
      <c r="G324" s="643">
        <v>1</v>
      </c>
      <c r="H324" s="658" t="s">
        <v>10</v>
      </c>
      <c r="I324" s="643">
        <v>0</v>
      </c>
      <c r="J324" s="101" t="s">
        <v>359</v>
      </c>
      <c r="K324" s="643">
        <v>1</v>
      </c>
      <c r="L324" s="683" t="s">
        <v>349</v>
      </c>
      <c r="M324" s="11" t="s">
        <v>263</v>
      </c>
      <c r="N324" s="101" t="s">
        <v>387</v>
      </c>
      <c r="O324" s="643">
        <v>1</v>
      </c>
      <c r="P324" s="632">
        <v>23</v>
      </c>
      <c r="Q324" s="632">
        <v>23</v>
      </c>
      <c r="R324" s="632">
        <v>23</v>
      </c>
      <c r="S324" s="675">
        <f>SUMIF('Территориальный кк'!$A:$A,'2020'!$B324,'Территориальный кк'!D:D)</f>
        <v>1.504</v>
      </c>
      <c r="T324" s="676">
        <f>SUMIF('Территориальный кк'!$A:$A,'2020'!$B324,'Территориальный кк'!E:E)</f>
        <v>2.4710000000000001</v>
      </c>
      <c r="U324" s="618">
        <f>SUMIFS(Нормативы!G:G,Нормативы!$B:$B,$G324,Нормативы!$D:$D,'2020'!$I324,Нормативы!$F:$F,'2020'!$K324)*O324</f>
        <v>54020</v>
      </c>
      <c r="V324" s="618">
        <f t="shared" si="852"/>
        <v>41490</v>
      </c>
      <c r="W324" s="618">
        <f t="shared" si="853"/>
        <v>12530</v>
      </c>
      <c r="X324" s="618">
        <f>SUMIFS(Нормативы!J:J,Нормативы!$B:$B,$G324,Нормативы!$D:$D,'2020'!$I324,Нормативы!$F:$F,'2020'!$K324)</f>
        <v>220</v>
      </c>
      <c r="Y324" s="618">
        <f>SUMIFS(Нормативы!K:K,Нормативы!$B:$B,$G324,Нормативы!$D:$D,'2020'!$I324,Нормативы!$F:$F,'2020'!$K324)</f>
        <v>44</v>
      </c>
      <c r="Z324" s="618">
        <f>SUMIFS(Нормативы!L:L,Нормативы!$B:$B,$G324,Нормативы!$D:$D,'2020'!$I324,Нормативы!$F:$F,'2020'!$K324)</f>
        <v>2320</v>
      </c>
      <c r="AA324" s="618">
        <f t="shared" si="854"/>
        <v>3710</v>
      </c>
      <c r="AB324" s="618">
        <f>SUMIFS(Нормативы!N:N,Нормативы!$B:$B,$G324,Нормативы!$D:$D,'2020'!$I324,Нормативы!$F:$F,'2020'!$K324)*O324</f>
        <v>520</v>
      </c>
      <c r="AC324" s="618">
        <f>SUMIFS(Нормативы!O:O,Нормативы!$B:$B,$G324,Нормативы!$D:$D,'2020'!$I324,Нормативы!$F:$F,'2020'!$K324)</f>
        <v>2140</v>
      </c>
      <c r="AD324" s="618">
        <f>SUMIFS(Нормативы!P:P,Нормативы!$B:$B,$G324,Нормативы!$D:$D,'2020'!$I324,Нормативы!$F:$F,'2020'!$K324)*O324</f>
        <v>310</v>
      </c>
      <c r="AE324" s="618">
        <f>SUMIFS(Нормативы!Q:Q,Нормативы!$B:$B,$G324,Нормативы!$D:$D,'2020'!$I324,Нормативы!$F:$F,'2020'!$K324)</f>
        <v>740</v>
      </c>
      <c r="AF324" s="618">
        <f>SUMIFS(Нормативы!R:R,Нормативы!$B:$B,$G324,Нормативы!$D:$D,'2020'!$I324,Нормативы!$F:$F,'2020'!$K324)</f>
        <v>2460</v>
      </c>
      <c r="AG324" s="618">
        <f>SUMIFS(Нормативы!S:S,Нормативы!$B:$B,$G324,Нормативы!$D:$D,'2020'!$I324,Нормативы!$F:$F,'2020'!$K324)</f>
        <v>5080</v>
      </c>
      <c r="AH324" s="618">
        <f>SUMIFS(Нормативы!T:T,Нормативы!$B:$B,$G324,Нормативы!$D:$D,'2020'!$I324,Нормативы!$F:$F,'2020'!$K324)</f>
        <v>540</v>
      </c>
      <c r="AI324" s="618">
        <f>SUMIFS(Нормативы!U:U,Нормативы!$B:$B,$G324,Нормативы!$D:$D,'2020'!$I324,Нормативы!$F:$F,'2020'!$K324)</f>
        <v>770</v>
      </c>
      <c r="AJ324" s="618">
        <f>SUMIFS(Нормативы!V:V,Нормативы!$B:$B,$G324,Нормативы!$D:$D,'2020'!$I324,Нормативы!$F:$F,'2020'!$K324)</f>
        <v>80</v>
      </c>
      <c r="AK324" s="618">
        <f>SUMIFS(Нормативы!W:W,Нормативы!$B:$B,$G324,Нормативы!$D:$D,'2020'!$I324,Нормативы!$F:$F,'2020'!$K324)</f>
        <v>300</v>
      </c>
      <c r="AL324" s="618">
        <f>SUMIFS(Нормативы!X:X,Нормативы!$B:$B,$G324,Нормативы!$D:$D,'2020'!$I324,Нормативы!$F:$F,'2020'!$K324)*O324</f>
        <v>13440</v>
      </c>
      <c r="AM324" s="618">
        <f t="shared" si="855"/>
        <v>10322.6</v>
      </c>
      <c r="AN324" s="618">
        <f t="shared" si="856"/>
        <v>3117.4</v>
      </c>
      <c r="AO324" s="618">
        <f>SUMIFS(Нормативы!AA:AA,Нормативы!$B:$B,$G324,Нормативы!$D:$D,'2020'!$I324,Нормативы!$F:$F,'2020'!$K324)</f>
        <v>3520</v>
      </c>
      <c r="AP324" s="619">
        <f t="shared" si="857"/>
        <v>86460</v>
      </c>
      <c r="AQ324" s="413">
        <f t="shared" si="795"/>
        <v>1242460</v>
      </c>
      <c r="AR324" s="618">
        <f t="shared" si="858"/>
        <v>954270.4</v>
      </c>
      <c r="AS324" s="618">
        <f t="shared" si="859"/>
        <v>288189.59999999998</v>
      </c>
      <c r="AT324" s="616">
        <f t="shared" si="796"/>
        <v>5060</v>
      </c>
      <c r="AU324" s="616">
        <f t="shared" si="797"/>
        <v>1012</v>
      </c>
      <c r="AV324" s="616">
        <f t="shared" si="798"/>
        <v>53360</v>
      </c>
      <c r="AW324" s="616">
        <f t="shared" si="799"/>
        <v>85330</v>
      </c>
      <c r="AX324" s="616">
        <f t="shared" si="800"/>
        <v>11960</v>
      </c>
      <c r="AY324" s="616">
        <f t="shared" si="801"/>
        <v>49220</v>
      </c>
      <c r="AZ324" s="616">
        <f t="shared" si="802"/>
        <v>7130</v>
      </c>
      <c r="BA324" s="616">
        <f t="shared" si="803"/>
        <v>17020</v>
      </c>
      <c r="BB324" s="616">
        <f t="shared" si="804"/>
        <v>56580</v>
      </c>
      <c r="BC324" s="616">
        <f t="shared" si="805"/>
        <v>116840</v>
      </c>
      <c r="BD324" s="616">
        <f t="shared" si="806"/>
        <v>12420</v>
      </c>
      <c r="BE324" s="616">
        <f t="shared" si="807"/>
        <v>17710</v>
      </c>
      <c r="BF324" s="616">
        <f t="shared" si="808"/>
        <v>1840</v>
      </c>
      <c r="BG324" s="616">
        <f t="shared" si="809"/>
        <v>6900</v>
      </c>
      <c r="BH324" s="616">
        <f t="shared" si="810"/>
        <v>309120</v>
      </c>
      <c r="BI324" s="618">
        <f t="shared" si="860"/>
        <v>237419.4</v>
      </c>
      <c r="BJ324" s="618">
        <f t="shared" si="861"/>
        <v>71700.600000000006</v>
      </c>
      <c r="BK324" s="616">
        <f t="shared" si="811"/>
        <v>80960</v>
      </c>
      <c r="BL324" s="620">
        <f t="shared" si="812"/>
        <v>1988580</v>
      </c>
      <c r="BM324" s="616">
        <f t="shared" si="813"/>
        <v>1868660</v>
      </c>
      <c r="BN324" s="618">
        <f t="shared" si="814"/>
        <v>1435222.7</v>
      </c>
      <c r="BO324" s="618">
        <f t="shared" si="815"/>
        <v>433437.3</v>
      </c>
      <c r="BP324" s="616">
        <f t="shared" si="862"/>
        <v>5060</v>
      </c>
      <c r="BQ324" s="616">
        <f t="shared" si="863"/>
        <v>1012</v>
      </c>
      <c r="BR324" s="616">
        <f t="shared" si="864"/>
        <v>53360</v>
      </c>
      <c r="BS324" s="616">
        <f t="shared" si="816"/>
        <v>85330</v>
      </c>
      <c r="BT324" s="616">
        <f t="shared" si="817"/>
        <v>11960</v>
      </c>
      <c r="BU324" s="616">
        <f t="shared" si="818"/>
        <v>49220</v>
      </c>
      <c r="BV324" s="616">
        <f t="shared" si="819"/>
        <v>7130</v>
      </c>
      <c r="BW324" s="616">
        <f t="shared" si="820"/>
        <v>17020</v>
      </c>
      <c r="BX324" s="616">
        <f t="shared" si="821"/>
        <v>139809</v>
      </c>
      <c r="BY324" s="616">
        <f t="shared" si="822"/>
        <v>116840</v>
      </c>
      <c r="BZ324" s="616">
        <f t="shared" si="823"/>
        <v>12420</v>
      </c>
      <c r="CA324" s="616">
        <f t="shared" si="824"/>
        <v>17710</v>
      </c>
      <c r="CB324" s="616">
        <f t="shared" si="825"/>
        <v>1840</v>
      </c>
      <c r="CC324" s="616">
        <f t="shared" si="826"/>
        <v>6900</v>
      </c>
      <c r="CD324" s="616">
        <f t="shared" si="827"/>
        <v>464916</v>
      </c>
      <c r="CE324" s="618">
        <f t="shared" si="865"/>
        <v>357078.3</v>
      </c>
      <c r="CF324" s="618">
        <f t="shared" si="866"/>
        <v>107837.7</v>
      </c>
      <c r="CG324" s="616">
        <f t="shared" si="828"/>
        <v>80960</v>
      </c>
      <c r="CH324" s="621">
        <f t="shared" si="829"/>
        <v>2853805</v>
      </c>
      <c r="CI324" s="88">
        <f t="shared" si="830"/>
        <v>81246.087</v>
      </c>
      <c r="CJ324" s="90">
        <f t="shared" si="831"/>
        <v>62400.987000000001</v>
      </c>
      <c r="CK324" s="90">
        <f t="shared" si="832"/>
        <v>18845.099999999999</v>
      </c>
      <c r="CL324" s="88">
        <f t="shared" si="833"/>
        <v>220</v>
      </c>
      <c r="CM324" s="88">
        <f t="shared" si="834"/>
        <v>44</v>
      </c>
      <c r="CN324" s="88">
        <f t="shared" si="835"/>
        <v>2320</v>
      </c>
      <c r="CO324" s="88">
        <f t="shared" si="836"/>
        <v>3710</v>
      </c>
      <c r="CP324" s="88">
        <f t="shared" si="837"/>
        <v>520</v>
      </c>
      <c r="CQ324" s="88">
        <f t="shared" si="838"/>
        <v>2140</v>
      </c>
      <c r="CR324" s="88">
        <f t="shared" si="839"/>
        <v>310</v>
      </c>
      <c r="CS324" s="88">
        <f t="shared" si="840"/>
        <v>740</v>
      </c>
      <c r="CT324" s="88">
        <f t="shared" si="841"/>
        <v>6078.6522000000004</v>
      </c>
      <c r="CU324" s="88">
        <f t="shared" si="842"/>
        <v>5080</v>
      </c>
      <c r="CV324" s="88">
        <f t="shared" si="843"/>
        <v>540</v>
      </c>
      <c r="CW324" s="88">
        <f t="shared" si="844"/>
        <v>770</v>
      </c>
      <c r="CX324" s="88">
        <f t="shared" si="845"/>
        <v>80</v>
      </c>
      <c r="CY324" s="88">
        <f t="shared" si="846"/>
        <v>300</v>
      </c>
      <c r="CZ324" s="88">
        <f t="shared" si="847"/>
        <v>20213.739099999999</v>
      </c>
      <c r="DA324" s="90">
        <f t="shared" si="848"/>
        <v>15525.1435</v>
      </c>
      <c r="DB324" s="90">
        <f t="shared" si="849"/>
        <v>4688.5956999999999</v>
      </c>
      <c r="DC324" s="88">
        <f t="shared" si="850"/>
        <v>3520</v>
      </c>
      <c r="DD324" s="88">
        <f t="shared" si="851"/>
        <v>124078.4783</v>
      </c>
      <c r="AUV324" s="699">
        <f t="shared" si="758"/>
        <v>81246.09</v>
      </c>
      <c r="AUW324" s="699">
        <f t="shared" si="759"/>
        <v>62400.99</v>
      </c>
      <c r="AUX324" s="699">
        <f t="shared" si="760"/>
        <v>18845.099999999999</v>
      </c>
      <c r="AUY324" s="699">
        <f t="shared" si="867"/>
        <v>220</v>
      </c>
      <c r="AUZ324" s="699">
        <f t="shared" si="778"/>
        <v>409.55</v>
      </c>
      <c r="AVA324" s="699">
        <f t="shared" si="778"/>
        <v>0.99</v>
      </c>
      <c r="AVB324" s="699">
        <f t="shared" si="868"/>
        <v>3710</v>
      </c>
      <c r="AVC324" s="699">
        <f t="shared" si="869"/>
        <v>520</v>
      </c>
      <c r="AVD324" s="699">
        <f t="shared" si="870"/>
        <v>2140</v>
      </c>
      <c r="AVE324" s="699">
        <f t="shared" si="871"/>
        <v>310</v>
      </c>
      <c r="AVF324" s="699">
        <f t="shared" si="872"/>
        <v>740</v>
      </c>
      <c r="AVG324" s="699">
        <f t="shared" si="873"/>
        <v>6078.65</v>
      </c>
      <c r="AVH324" s="699">
        <f t="shared" si="874"/>
        <v>5080</v>
      </c>
      <c r="AVI324" s="699">
        <f t="shared" si="875"/>
        <v>540</v>
      </c>
      <c r="AVJ324" s="699">
        <f t="shared" si="876"/>
        <v>770</v>
      </c>
      <c r="AVK324" s="699">
        <f t="shared" si="877"/>
        <v>80</v>
      </c>
      <c r="AVL324" s="699">
        <f t="shared" si="878"/>
        <v>300</v>
      </c>
      <c r="AVM324" s="699">
        <f t="shared" si="879"/>
        <v>20213.740000000002</v>
      </c>
      <c r="AVN324" s="699">
        <f t="shared" si="880"/>
        <v>15525.15</v>
      </c>
      <c r="AVO324" s="699">
        <f t="shared" si="881"/>
        <v>4688.59</v>
      </c>
      <c r="AVP324" s="699">
        <f t="shared" si="882"/>
        <v>3520</v>
      </c>
      <c r="AVQ324" s="699">
        <f t="shared" si="883"/>
        <v>124078.48</v>
      </c>
    </row>
    <row r="325" spans="1:108 1244:1265" ht="30" customHeight="1" x14ac:dyDescent="0.25">
      <c r="A325" s="643">
        <v>1</v>
      </c>
      <c r="B325" s="643">
        <v>8</v>
      </c>
      <c r="C325" s="664" t="s">
        <v>22</v>
      </c>
      <c r="D325" s="2"/>
      <c r="E325" s="101" t="s">
        <v>344</v>
      </c>
      <c r="F325" s="643" t="s">
        <v>31</v>
      </c>
      <c r="G325" s="643">
        <v>1</v>
      </c>
      <c r="H325" s="658" t="s">
        <v>10</v>
      </c>
      <c r="I325" s="643">
        <v>0</v>
      </c>
      <c r="J325" s="101" t="s">
        <v>360</v>
      </c>
      <c r="K325" s="643">
        <v>3</v>
      </c>
      <c r="L325" s="683" t="s">
        <v>349</v>
      </c>
      <c r="M325" s="11" t="s">
        <v>265</v>
      </c>
      <c r="N325" s="101" t="s">
        <v>387</v>
      </c>
      <c r="O325" s="643">
        <v>1</v>
      </c>
      <c r="P325" s="632">
        <v>671</v>
      </c>
      <c r="Q325" s="632">
        <v>671</v>
      </c>
      <c r="R325" s="632">
        <v>671</v>
      </c>
      <c r="S325" s="675">
        <f>SUMIF('Территориальный кк'!$A:$A,'2020'!$B325,'Территориальный кк'!D:D)</f>
        <v>1.504</v>
      </c>
      <c r="T325" s="676">
        <f>SUMIF('Территориальный кк'!$A:$A,'2020'!$B325,'Территориальный кк'!E:E)</f>
        <v>2.4710000000000001</v>
      </c>
      <c r="U325" s="618">
        <f>SUMIFS(Нормативы!G:G,Нормативы!$B:$B,$G325,Нормативы!$D:$D,'2020'!$I325,Нормативы!$F:$F,'2020'!$K325)*O325</f>
        <v>64190</v>
      </c>
      <c r="V325" s="618">
        <f t="shared" si="852"/>
        <v>49301.1</v>
      </c>
      <c r="W325" s="618">
        <f t="shared" si="853"/>
        <v>14888.9</v>
      </c>
      <c r="X325" s="618">
        <f>SUMIFS(Нормативы!J:J,Нормативы!$B:$B,$G325,Нормативы!$D:$D,'2020'!$I325,Нормативы!$F:$F,'2020'!$K325)</f>
        <v>8830</v>
      </c>
      <c r="Y325" s="618">
        <f>SUMIFS(Нормативы!K:K,Нормативы!$B:$B,$G325,Нормативы!$D:$D,'2020'!$I325,Нормативы!$F:$F,'2020'!$K325)</f>
        <v>1766</v>
      </c>
      <c r="Z325" s="618">
        <f>SUMIFS(Нормативы!L:L,Нормативы!$B:$B,$G325,Нормативы!$D:$D,'2020'!$I325,Нормативы!$F:$F,'2020'!$K325)</f>
        <v>8110</v>
      </c>
      <c r="AA325" s="618">
        <f t="shared" si="854"/>
        <v>19050</v>
      </c>
      <c r="AB325" s="618">
        <f>SUMIFS(Нормативы!N:N,Нормативы!$B:$B,$G325,Нормативы!$D:$D,'2020'!$I325,Нормативы!$F:$F,'2020'!$K325)*O325</f>
        <v>520</v>
      </c>
      <c r="AC325" s="618">
        <f>SUMIFS(Нормативы!O:O,Нормативы!$B:$B,$G325,Нормативы!$D:$D,'2020'!$I325,Нормативы!$F:$F,'2020'!$K325)</f>
        <v>17290</v>
      </c>
      <c r="AD325" s="618">
        <f>SUMIFS(Нормативы!P:P,Нормативы!$B:$B,$G325,Нормативы!$D:$D,'2020'!$I325,Нормативы!$F:$F,'2020'!$K325)*O325</f>
        <v>360</v>
      </c>
      <c r="AE325" s="618">
        <f>SUMIFS(Нормативы!Q:Q,Нормативы!$B:$B,$G325,Нормативы!$D:$D,'2020'!$I325,Нормативы!$F:$F,'2020'!$K325)</f>
        <v>880</v>
      </c>
      <c r="AF325" s="618">
        <f>SUMIFS(Нормативы!R:R,Нормативы!$B:$B,$G325,Нормативы!$D:$D,'2020'!$I325,Нормативы!$F:$F,'2020'!$K325)</f>
        <v>2680</v>
      </c>
      <c r="AG325" s="618">
        <f>SUMIFS(Нормативы!S:S,Нормативы!$B:$B,$G325,Нормативы!$D:$D,'2020'!$I325,Нормативы!$F:$F,'2020'!$K325)</f>
        <v>5800</v>
      </c>
      <c r="AH325" s="618">
        <f>SUMIFS(Нормативы!T:T,Нормативы!$B:$B,$G325,Нормативы!$D:$D,'2020'!$I325,Нормативы!$F:$F,'2020'!$K325)</f>
        <v>540</v>
      </c>
      <c r="AI325" s="618">
        <f>SUMIFS(Нормативы!U:U,Нормативы!$B:$B,$G325,Нормативы!$D:$D,'2020'!$I325,Нормативы!$F:$F,'2020'!$K325)</f>
        <v>770</v>
      </c>
      <c r="AJ325" s="618">
        <f>SUMIFS(Нормативы!V:V,Нормативы!$B:$B,$G325,Нормативы!$D:$D,'2020'!$I325,Нормативы!$F:$F,'2020'!$K325)</f>
        <v>80</v>
      </c>
      <c r="AK325" s="618">
        <f>SUMIFS(Нормативы!W:W,Нормативы!$B:$B,$G325,Нормативы!$D:$D,'2020'!$I325,Нормативы!$F:$F,'2020'!$K325)</f>
        <v>1050</v>
      </c>
      <c r="AL325" s="618">
        <f>SUMIFS(Нормативы!X:X,Нормативы!$B:$B,$G325,Нормативы!$D:$D,'2020'!$I325,Нормативы!$F:$F,'2020'!$K325)*O325</f>
        <v>16120</v>
      </c>
      <c r="AM325" s="618">
        <f t="shared" si="855"/>
        <v>12381</v>
      </c>
      <c r="AN325" s="618">
        <f t="shared" si="856"/>
        <v>3739</v>
      </c>
      <c r="AO325" s="618">
        <f>SUMIFS(Нормативы!AA:AA,Нормативы!$B:$B,$G325,Нормативы!$D:$D,'2020'!$I325,Нормативы!$F:$F,'2020'!$K325)</f>
        <v>3520</v>
      </c>
      <c r="AP325" s="619">
        <f t="shared" si="857"/>
        <v>130740</v>
      </c>
      <c r="AQ325" s="413">
        <f t="shared" si="795"/>
        <v>43071490</v>
      </c>
      <c r="AR325" s="618">
        <f t="shared" si="858"/>
        <v>33081021.5</v>
      </c>
      <c r="AS325" s="618">
        <f t="shared" si="859"/>
        <v>9990468.5</v>
      </c>
      <c r="AT325" s="616">
        <f t="shared" si="796"/>
        <v>5924930</v>
      </c>
      <c r="AU325" s="616">
        <f t="shared" si="797"/>
        <v>1184986</v>
      </c>
      <c r="AV325" s="616">
        <f t="shared" si="798"/>
        <v>5441810</v>
      </c>
      <c r="AW325" s="616">
        <f t="shared" si="799"/>
        <v>12782550</v>
      </c>
      <c r="AX325" s="616">
        <f t="shared" si="800"/>
        <v>348920</v>
      </c>
      <c r="AY325" s="616">
        <f t="shared" si="801"/>
        <v>11601590</v>
      </c>
      <c r="AZ325" s="616">
        <f t="shared" si="802"/>
        <v>241560</v>
      </c>
      <c r="BA325" s="616">
        <f t="shared" si="803"/>
        <v>590480</v>
      </c>
      <c r="BB325" s="616">
        <f t="shared" si="804"/>
        <v>1798280</v>
      </c>
      <c r="BC325" s="616">
        <f t="shared" si="805"/>
        <v>3891800</v>
      </c>
      <c r="BD325" s="616">
        <f t="shared" si="806"/>
        <v>362340</v>
      </c>
      <c r="BE325" s="616">
        <f t="shared" si="807"/>
        <v>516670</v>
      </c>
      <c r="BF325" s="616">
        <f t="shared" si="808"/>
        <v>53680</v>
      </c>
      <c r="BG325" s="616">
        <f t="shared" si="809"/>
        <v>704550</v>
      </c>
      <c r="BH325" s="616">
        <f t="shared" si="810"/>
        <v>10816520</v>
      </c>
      <c r="BI325" s="618">
        <f t="shared" si="860"/>
        <v>8307619</v>
      </c>
      <c r="BJ325" s="618">
        <f t="shared" si="861"/>
        <v>2508901</v>
      </c>
      <c r="BK325" s="616">
        <f t="shared" si="811"/>
        <v>2361920</v>
      </c>
      <c r="BL325" s="620">
        <f t="shared" si="812"/>
        <v>87726540</v>
      </c>
      <c r="BM325" s="616">
        <f t="shared" si="813"/>
        <v>64779521</v>
      </c>
      <c r="BN325" s="618">
        <f t="shared" si="814"/>
        <v>49753856.399999999</v>
      </c>
      <c r="BO325" s="618">
        <f t="shared" si="815"/>
        <v>15025664.6</v>
      </c>
      <c r="BP325" s="616">
        <f t="shared" si="862"/>
        <v>5924930</v>
      </c>
      <c r="BQ325" s="616">
        <f t="shared" si="863"/>
        <v>1184986</v>
      </c>
      <c r="BR325" s="616">
        <f t="shared" si="864"/>
        <v>5441810</v>
      </c>
      <c r="BS325" s="616">
        <f t="shared" si="816"/>
        <v>12782550</v>
      </c>
      <c r="BT325" s="616">
        <f t="shared" si="817"/>
        <v>348920</v>
      </c>
      <c r="BU325" s="616">
        <f t="shared" si="818"/>
        <v>11601590</v>
      </c>
      <c r="BV325" s="616">
        <f t="shared" si="819"/>
        <v>241560</v>
      </c>
      <c r="BW325" s="616">
        <f t="shared" si="820"/>
        <v>590480</v>
      </c>
      <c r="BX325" s="616">
        <f t="shared" si="821"/>
        <v>4443550</v>
      </c>
      <c r="BY325" s="616">
        <f t="shared" si="822"/>
        <v>3891800</v>
      </c>
      <c r="BZ325" s="616">
        <f t="shared" si="823"/>
        <v>362340</v>
      </c>
      <c r="CA325" s="616">
        <f t="shared" si="824"/>
        <v>516670</v>
      </c>
      <c r="CB325" s="616">
        <f t="shared" si="825"/>
        <v>53680</v>
      </c>
      <c r="CC325" s="616">
        <f t="shared" si="826"/>
        <v>704550</v>
      </c>
      <c r="CD325" s="616">
        <f t="shared" si="827"/>
        <v>16268046</v>
      </c>
      <c r="CE325" s="618">
        <f t="shared" si="865"/>
        <v>12494659</v>
      </c>
      <c r="CF325" s="618">
        <f t="shared" si="866"/>
        <v>3773387</v>
      </c>
      <c r="CG325" s="616">
        <f t="shared" si="828"/>
        <v>2361920</v>
      </c>
      <c r="CH325" s="621">
        <f t="shared" si="829"/>
        <v>117531367</v>
      </c>
      <c r="CI325" s="88">
        <f t="shared" si="830"/>
        <v>96541.7601</v>
      </c>
      <c r="CJ325" s="90">
        <f t="shared" si="831"/>
        <v>74148.817299999995</v>
      </c>
      <c r="CK325" s="90">
        <f t="shared" si="832"/>
        <v>22392.942800000001</v>
      </c>
      <c r="CL325" s="88">
        <f t="shared" si="833"/>
        <v>8830</v>
      </c>
      <c r="CM325" s="88">
        <f t="shared" si="834"/>
        <v>1766</v>
      </c>
      <c r="CN325" s="88">
        <f t="shared" si="835"/>
        <v>8110</v>
      </c>
      <c r="CO325" s="88">
        <f t="shared" si="836"/>
        <v>19050</v>
      </c>
      <c r="CP325" s="88">
        <f t="shared" si="837"/>
        <v>520</v>
      </c>
      <c r="CQ325" s="88">
        <f t="shared" si="838"/>
        <v>17290</v>
      </c>
      <c r="CR325" s="88">
        <f t="shared" si="839"/>
        <v>360</v>
      </c>
      <c r="CS325" s="88">
        <f t="shared" si="840"/>
        <v>880</v>
      </c>
      <c r="CT325" s="88">
        <f t="shared" si="841"/>
        <v>6622.2802000000001</v>
      </c>
      <c r="CU325" s="88">
        <f t="shared" si="842"/>
        <v>5800</v>
      </c>
      <c r="CV325" s="88">
        <f t="shared" si="843"/>
        <v>540</v>
      </c>
      <c r="CW325" s="88">
        <f t="shared" si="844"/>
        <v>770</v>
      </c>
      <c r="CX325" s="88">
        <f t="shared" si="845"/>
        <v>80</v>
      </c>
      <c r="CY325" s="88">
        <f t="shared" si="846"/>
        <v>1050</v>
      </c>
      <c r="CZ325" s="88">
        <f t="shared" si="847"/>
        <v>24244.479899999998</v>
      </c>
      <c r="DA325" s="90">
        <f t="shared" si="848"/>
        <v>18620.952300000001</v>
      </c>
      <c r="DB325" s="90">
        <f t="shared" si="849"/>
        <v>5623.5276000000003</v>
      </c>
      <c r="DC325" s="88">
        <f t="shared" si="850"/>
        <v>3520</v>
      </c>
      <c r="DD325" s="88">
        <f t="shared" si="851"/>
        <v>175158.52009999999</v>
      </c>
      <c r="AUV325" s="699">
        <f t="shared" si="758"/>
        <v>96541.759999999995</v>
      </c>
      <c r="AUW325" s="699">
        <f t="shared" si="759"/>
        <v>74148.820000000007</v>
      </c>
      <c r="AUX325" s="699">
        <f t="shared" si="760"/>
        <v>22392.94</v>
      </c>
      <c r="AUY325" s="699">
        <f t="shared" si="867"/>
        <v>8830</v>
      </c>
      <c r="AUZ325" s="699">
        <f t="shared" si="778"/>
        <v>479557.26</v>
      </c>
      <c r="AVA325" s="699">
        <f t="shared" si="778"/>
        <v>84.78</v>
      </c>
      <c r="AVB325" s="699">
        <f t="shared" si="868"/>
        <v>19050</v>
      </c>
      <c r="AVC325" s="699">
        <f t="shared" si="869"/>
        <v>520</v>
      </c>
      <c r="AVD325" s="699">
        <f t="shared" si="870"/>
        <v>17290</v>
      </c>
      <c r="AVE325" s="699">
        <f t="shared" si="871"/>
        <v>360</v>
      </c>
      <c r="AVF325" s="699">
        <f t="shared" si="872"/>
        <v>880</v>
      </c>
      <c r="AVG325" s="699">
        <f t="shared" si="873"/>
        <v>6622.28</v>
      </c>
      <c r="AVH325" s="699">
        <f t="shared" si="874"/>
        <v>5800</v>
      </c>
      <c r="AVI325" s="699">
        <f t="shared" si="875"/>
        <v>540</v>
      </c>
      <c r="AVJ325" s="699">
        <f t="shared" si="876"/>
        <v>770</v>
      </c>
      <c r="AVK325" s="699">
        <f t="shared" si="877"/>
        <v>80</v>
      </c>
      <c r="AVL325" s="699">
        <f t="shared" si="878"/>
        <v>1050</v>
      </c>
      <c r="AVM325" s="699">
        <f t="shared" si="879"/>
        <v>24244.48</v>
      </c>
      <c r="AVN325" s="699">
        <f t="shared" si="880"/>
        <v>18620.95</v>
      </c>
      <c r="AVO325" s="699">
        <f t="shared" si="881"/>
        <v>5623.53</v>
      </c>
      <c r="AVP325" s="699">
        <f t="shared" si="882"/>
        <v>3520</v>
      </c>
      <c r="AVQ325" s="699">
        <f t="shared" si="883"/>
        <v>175158.52</v>
      </c>
    </row>
    <row r="326" spans="1:108 1244:1265" ht="30" customHeight="1" x14ac:dyDescent="0.25">
      <c r="A326" s="643">
        <v>1</v>
      </c>
      <c r="B326" s="643">
        <v>8</v>
      </c>
      <c r="C326" s="664" t="s">
        <v>22</v>
      </c>
      <c r="D326" s="2"/>
      <c r="E326" s="101" t="s">
        <v>344</v>
      </c>
      <c r="F326" s="643" t="s">
        <v>31</v>
      </c>
      <c r="G326" s="643">
        <v>1</v>
      </c>
      <c r="H326" s="658" t="s">
        <v>8</v>
      </c>
      <c r="I326" s="643">
        <v>3</v>
      </c>
      <c r="J326" s="101" t="s">
        <v>360</v>
      </c>
      <c r="K326" s="643">
        <v>3</v>
      </c>
      <c r="L326" s="683" t="s">
        <v>349</v>
      </c>
      <c r="M326" s="11" t="s">
        <v>266</v>
      </c>
      <c r="N326" s="101" t="s">
        <v>387</v>
      </c>
      <c r="O326" s="643">
        <v>1</v>
      </c>
      <c r="P326" s="632">
        <v>68</v>
      </c>
      <c r="Q326" s="632">
        <v>68</v>
      </c>
      <c r="R326" s="632">
        <v>68</v>
      </c>
      <c r="S326" s="675">
        <f>SUMIF('Территориальный кк'!$A:$A,'2020'!$B326,'Территориальный кк'!D:D)</f>
        <v>1.504</v>
      </c>
      <c r="T326" s="676">
        <f>SUMIF('Территориальный кк'!$A:$A,'2020'!$B326,'Территориальный кк'!E:E)</f>
        <v>2.4710000000000001</v>
      </c>
      <c r="U326" s="618">
        <f>SUMIFS(Нормативы!G:G,Нормативы!$B:$B,$G326,Нормативы!$D:$D,'2020'!$I326,Нормативы!$F:$F,'2020'!$K326)*O326</f>
        <v>6419</v>
      </c>
      <c r="V326" s="618">
        <f t="shared" si="852"/>
        <v>4930.1000000000004</v>
      </c>
      <c r="W326" s="618">
        <f t="shared" si="853"/>
        <v>1488.9</v>
      </c>
      <c r="X326" s="618">
        <f>SUMIFS(Нормативы!J:J,Нормативы!$B:$B,$G326,Нормативы!$D:$D,'2020'!$I326,Нормативы!$F:$F,'2020'!$K326)</f>
        <v>883</v>
      </c>
      <c r="Y326" s="618">
        <f>SUMIFS(Нормативы!K:K,Нормативы!$B:$B,$G326,Нормативы!$D:$D,'2020'!$I326,Нормативы!$F:$F,'2020'!$K326)</f>
        <v>177</v>
      </c>
      <c r="Z326" s="618">
        <f>SUMIFS(Нормативы!L:L,Нормативы!$B:$B,$G326,Нормативы!$D:$D,'2020'!$I326,Нормативы!$F:$F,'2020'!$K326)</f>
        <v>811</v>
      </c>
      <c r="AA326" s="618">
        <f t="shared" si="854"/>
        <v>1905</v>
      </c>
      <c r="AB326" s="618">
        <f>SUMIFS(Нормативы!N:N,Нормативы!$B:$B,$G326,Нормативы!$D:$D,'2020'!$I326,Нормативы!$F:$F,'2020'!$K326)*O326</f>
        <v>52</v>
      </c>
      <c r="AC326" s="618">
        <f>SUMIFS(Нормативы!O:O,Нормативы!$B:$B,$G326,Нормативы!$D:$D,'2020'!$I326,Нормативы!$F:$F,'2020'!$K326)</f>
        <v>1729</v>
      </c>
      <c r="AD326" s="618">
        <f>SUMIFS(Нормативы!P:P,Нормативы!$B:$B,$G326,Нормативы!$D:$D,'2020'!$I326,Нормативы!$F:$F,'2020'!$K326)*O326</f>
        <v>36</v>
      </c>
      <c r="AE326" s="618">
        <f>SUMIFS(Нормативы!Q:Q,Нормативы!$B:$B,$G326,Нормативы!$D:$D,'2020'!$I326,Нормативы!$F:$F,'2020'!$K326)</f>
        <v>88</v>
      </c>
      <c r="AF326" s="618">
        <f>SUMIFS(Нормативы!R:R,Нормативы!$B:$B,$G326,Нормативы!$D:$D,'2020'!$I326,Нормативы!$F:$F,'2020'!$K326)</f>
        <v>268</v>
      </c>
      <c r="AG326" s="618">
        <f>SUMIFS(Нормативы!S:S,Нормативы!$B:$B,$G326,Нормативы!$D:$D,'2020'!$I326,Нормативы!$F:$F,'2020'!$K326)</f>
        <v>580</v>
      </c>
      <c r="AH326" s="618">
        <f>SUMIFS(Нормативы!T:T,Нормативы!$B:$B,$G326,Нормативы!$D:$D,'2020'!$I326,Нормативы!$F:$F,'2020'!$K326)</f>
        <v>54</v>
      </c>
      <c r="AI326" s="618">
        <f>SUMIFS(Нормативы!U:U,Нормативы!$B:$B,$G326,Нормативы!$D:$D,'2020'!$I326,Нормативы!$F:$F,'2020'!$K326)</f>
        <v>77</v>
      </c>
      <c r="AJ326" s="618">
        <f>SUMIFS(Нормативы!V:V,Нормативы!$B:$B,$G326,Нормативы!$D:$D,'2020'!$I326,Нормативы!$F:$F,'2020'!$K326)</f>
        <v>8</v>
      </c>
      <c r="AK326" s="618">
        <f>SUMIFS(Нормативы!W:W,Нормативы!$B:$B,$G326,Нормативы!$D:$D,'2020'!$I326,Нормативы!$F:$F,'2020'!$K326)</f>
        <v>105</v>
      </c>
      <c r="AL326" s="618">
        <f>SUMIFS(Нормативы!X:X,Нормативы!$B:$B,$G326,Нормативы!$D:$D,'2020'!$I326,Нормативы!$F:$F,'2020'!$K326)*O326</f>
        <v>1612</v>
      </c>
      <c r="AM326" s="618">
        <f t="shared" si="855"/>
        <v>1238.0999999999999</v>
      </c>
      <c r="AN326" s="618">
        <f t="shared" si="856"/>
        <v>373.9</v>
      </c>
      <c r="AO326" s="618">
        <f>SUMIFS(Нормативы!AA:AA,Нормативы!$B:$B,$G326,Нормативы!$D:$D,'2020'!$I326,Нормативы!$F:$F,'2020'!$K326)</f>
        <v>0</v>
      </c>
      <c r="AP326" s="619">
        <f t="shared" si="857"/>
        <v>12722</v>
      </c>
      <c r="AQ326" s="413">
        <f t="shared" si="795"/>
        <v>436492</v>
      </c>
      <c r="AR326" s="618">
        <f t="shared" si="858"/>
        <v>335247.3</v>
      </c>
      <c r="AS326" s="618">
        <f t="shared" si="859"/>
        <v>101244.7</v>
      </c>
      <c r="AT326" s="616">
        <f t="shared" si="796"/>
        <v>60044</v>
      </c>
      <c r="AU326" s="616">
        <f t="shared" si="797"/>
        <v>12036</v>
      </c>
      <c r="AV326" s="616">
        <f t="shared" si="798"/>
        <v>55148</v>
      </c>
      <c r="AW326" s="616">
        <f t="shared" si="799"/>
        <v>129540</v>
      </c>
      <c r="AX326" s="616">
        <f t="shared" si="800"/>
        <v>3536</v>
      </c>
      <c r="AY326" s="616">
        <f t="shared" si="801"/>
        <v>117572</v>
      </c>
      <c r="AZ326" s="616">
        <f t="shared" si="802"/>
        <v>2448</v>
      </c>
      <c r="BA326" s="616">
        <f t="shared" si="803"/>
        <v>5984</v>
      </c>
      <c r="BB326" s="616">
        <f t="shared" si="804"/>
        <v>18224</v>
      </c>
      <c r="BC326" s="616">
        <f t="shared" si="805"/>
        <v>39440</v>
      </c>
      <c r="BD326" s="616">
        <f t="shared" si="806"/>
        <v>3672</v>
      </c>
      <c r="BE326" s="616">
        <f t="shared" si="807"/>
        <v>5236</v>
      </c>
      <c r="BF326" s="616">
        <f t="shared" si="808"/>
        <v>544</v>
      </c>
      <c r="BG326" s="616">
        <f t="shared" si="809"/>
        <v>7140</v>
      </c>
      <c r="BH326" s="616">
        <f t="shared" si="810"/>
        <v>109616</v>
      </c>
      <c r="BI326" s="618">
        <f t="shared" si="860"/>
        <v>84190.5</v>
      </c>
      <c r="BJ326" s="618">
        <f t="shared" si="861"/>
        <v>25425.5</v>
      </c>
      <c r="BK326" s="616">
        <f t="shared" si="811"/>
        <v>0</v>
      </c>
      <c r="BL326" s="620">
        <f t="shared" si="812"/>
        <v>865096</v>
      </c>
      <c r="BM326" s="616">
        <f t="shared" si="813"/>
        <v>656484</v>
      </c>
      <c r="BN326" s="618">
        <f t="shared" si="814"/>
        <v>504212</v>
      </c>
      <c r="BO326" s="618">
        <f t="shared" si="815"/>
        <v>152272</v>
      </c>
      <c r="BP326" s="616">
        <f t="shared" si="862"/>
        <v>60044</v>
      </c>
      <c r="BQ326" s="616">
        <f t="shared" si="863"/>
        <v>12036</v>
      </c>
      <c r="BR326" s="616">
        <f t="shared" si="864"/>
        <v>55148</v>
      </c>
      <c r="BS326" s="616">
        <f t="shared" si="816"/>
        <v>129540</v>
      </c>
      <c r="BT326" s="616">
        <f t="shared" si="817"/>
        <v>3536</v>
      </c>
      <c r="BU326" s="616">
        <f t="shared" si="818"/>
        <v>117572</v>
      </c>
      <c r="BV326" s="616">
        <f t="shared" si="819"/>
        <v>2448</v>
      </c>
      <c r="BW326" s="616">
        <f t="shared" si="820"/>
        <v>5984</v>
      </c>
      <c r="BX326" s="616">
        <f t="shared" si="821"/>
        <v>45032</v>
      </c>
      <c r="BY326" s="616">
        <f t="shared" si="822"/>
        <v>39440</v>
      </c>
      <c r="BZ326" s="616">
        <f t="shared" si="823"/>
        <v>3672</v>
      </c>
      <c r="CA326" s="616">
        <f t="shared" si="824"/>
        <v>5236</v>
      </c>
      <c r="CB326" s="616">
        <f t="shared" si="825"/>
        <v>544</v>
      </c>
      <c r="CC326" s="616">
        <f t="shared" si="826"/>
        <v>7140</v>
      </c>
      <c r="CD326" s="616">
        <f t="shared" si="827"/>
        <v>164862</v>
      </c>
      <c r="CE326" s="618">
        <f t="shared" si="865"/>
        <v>126622.1</v>
      </c>
      <c r="CF326" s="618">
        <f t="shared" si="866"/>
        <v>38239.9</v>
      </c>
      <c r="CG326" s="616">
        <f t="shared" si="828"/>
        <v>0</v>
      </c>
      <c r="CH326" s="621">
        <f t="shared" si="829"/>
        <v>1167142</v>
      </c>
      <c r="CI326" s="88">
        <f t="shared" si="830"/>
        <v>9654.1764999999996</v>
      </c>
      <c r="CJ326" s="90">
        <f t="shared" si="831"/>
        <v>7414.8824000000004</v>
      </c>
      <c r="CK326" s="90">
        <f t="shared" si="832"/>
        <v>2239.2941000000001</v>
      </c>
      <c r="CL326" s="88">
        <f t="shared" si="833"/>
        <v>883</v>
      </c>
      <c r="CM326" s="88">
        <f t="shared" si="834"/>
        <v>177</v>
      </c>
      <c r="CN326" s="88">
        <f t="shared" si="835"/>
        <v>811</v>
      </c>
      <c r="CO326" s="88">
        <f t="shared" si="836"/>
        <v>1905</v>
      </c>
      <c r="CP326" s="88">
        <f t="shared" si="837"/>
        <v>52</v>
      </c>
      <c r="CQ326" s="88">
        <f t="shared" si="838"/>
        <v>1729</v>
      </c>
      <c r="CR326" s="88">
        <f t="shared" si="839"/>
        <v>36</v>
      </c>
      <c r="CS326" s="88">
        <f t="shared" si="840"/>
        <v>88</v>
      </c>
      <c r="CT326" s="88">
        <f t="shared" si="841"/>
        <v>662.23530000000005</v>
      </c>
      <c r="CU326" s="88">
        <f t="shared" si="842"/>
        <v>580</v>
      </c>
      <c r="CV326" s="88">
        <f t="shared" si="843"/>
        <v>54</v>
      </c>
      <c r="CW326" s="88">
        <f t="shared" si="844"/>
        <v>77</v>
      </c>
      <c r="CX326" s="88">
        <f t="shared" si="845"/>
        <v>8</v>
      </c>
      <c r="CY326" s="88">
        <f t="shared" si="846"/>
        <v>105</v>
      </c>
      <c r="CZ326" s="88">
        <f t="shared" si="847"/>
        <v>2424.4412000000002</v>
      </c>
      <c r="DA326" s="90">
        <f t="shared" si="848"/>
        <v>1862.0897</v>
      </c>
      <c r="DB326" s="90">
        <f t="shared" si="849"/>
        <v>562.35149999999999</v>
      </c>
      <c r="DC326" s="88">
        <f t="shared" si="850"/>
        <v>0</v>
      </c>
      <c r="DD326" s="88">
        <f t="shared" si="851"/>
        <v>17163.852900000002</v>
      </c>
      <c r="AUV326" s="699">
        <f t="shared" ref="AUV326:AUV390" si="890">BM326/P326</f>
        <v>9654.18</v>
      </c>
      <c r="AUW326" s="699">
        <f t="shared" ref="AUW326:AUW390" si="891">AUV326/1.302</f>
        <v>7414.88</v>
      </c>
      <c r="AUX326" s="699">
        <f t="shared" ref="AUX326:AUX390" si="892">AUV326-AUW326</f>
        <v>2239.3000000000002</v>
      </c>
      <c r="AUY326" s="699">
        <f t="shared" si="867"/>
        <v>883</v>
      </c>
      <c r="AUZ326" s="699">
        <f t="shared" si="778"/>
        <v>4870.8999999999996</v>
      </c>
      <c r="AVA326" s="699">
        <f t="shared" si="778"/>
        <v>8.59</v>
      </c>
      <c r="AVB326" s="699">
        <f t="shared" si="868"/>
        <v>1905</v>
      </c>
      <c r="AVC326" s="699">
        <f t="shared" si="869"/>
        <v>52</v>
      </c>
      <c r="AVD326" s="699">
        <f t="shared" si="870"/>
        <v>1729</v>
      </c>
      <c r="AVE326" s="699">
        <f t="shared" si="871"/>
        <v>36</v>
      </c>
      <c r="AVF326" s="699">
        <f t="shared" si="872"/>
        <v>88</v>
      </c>
      <c r="AVG326" s="699">
        <f t="shared" si="873"/>
        <v>662.24</v>
      </c>
      <c r="AVH326" s="699">
        <f t="shared" si="874"/>
        <v>580</v>
      </c>
      <c r="AVI326" s="699">
        <f t="shared" si="875"/>
        <v>54</v>
      </c>
      <c r="AVJ326" s="699">
        <f t="shared" si="876"/>
        <v>77</v>
      </c>
      <c r="AVK326" s="699">
        <f t="shared" si="877"/>
        <v>8</v>
      </c>
      <c r="AVL326" s="699">
        <f t="shared" si="878"/>
        <v>105</v>
      </c>
      <c r="AVM326" s="699">
        <f t="shared" si="879"/>
        <v>2424.44</v>
      </c>
      <c r="AVN326" s="699">
        <f t="shared" si="880"/>
        <v>1862.09</v>
      </c>
      <c r="AVO326" s="699">
        <f t="shared" si="881"/>
        <v>562.35</v>
      </c>
      <c r="AVP326" s="699">
        <f t="shared" si="882"/>
        <v>0</v>
      </c>
      <c r="AVQ326" s="699">
        <f t="shared" si="883"/>
        <v>17163.849999999999</v>
      </c>
    </row>
    <row r="327" spans="1:108 1244:1265" ht="30" customHeight="1" x14ac:dyDescent="0.25">
      <c r="A327" s="643">
        <v>1</v>
      </c>
      <c r="B327" s="643">
        <v>8</v>
      </c>
      <c r="C327" s="664" t="s">
        <v>22</v>
      </c>
      <c r="D327" s="2"/>
      <c r="E327" s="101" t="s">
        <v>345</v>
      </c>
      <c r="F327" s="643" t="s">
        <v>38</v>
      </c>
      <c r="G327" s="643">
        <v>2</v>
      </c>
      <c r="H327" s="658" t="s">
        <v>10</v>
      </c>
      <c r="I327" s="643">
        <v>0</v>
      </c>
      <c r="J327" s="101" t="s">
        <v>361</v>
      </c>
      <c r="K327" s="643">
        <v>3</v>
      </c>
      <c r="L327" s="683" t="s">
        <v>350</v>
      </c>
      <c r="M327" s="11" t="s">
        <v>267</v>
      </c>
      <c r="N327" s="101" t="s">
        <v>387</v>
      </c>
      <c r="O327" s="643">
        <v>1</v>
      </c>
      <c r="P327" s="632">
        <v>35</v>
      </c>
      <c r="Q327" s="632">
        <v>35</v>
      </c>
      <c r="R327" s="632">
        <v>35</v>
      </c>
      <c r="S327" s="675">
        <f>SUMIF('Территориальный кк'!$A:$A,'2020'!$B327,'Территориальный кк'!D:D)</f>
        <v>1.504</v>
      </c>
      <c r="T327" s="676">
        <f>SUMIF('Территориальный кк'!$A:$A,'2020'!$B327,'Территориальный кк'!E:E)</f>
        <v>2.4710000000000001</v>
      </c>
      <c r="U327" s="618">
        <f>SUMIFS(Нормативы!G:G,Нормативы!$B:$B,$G327,Нормативы!$D:$D,'2020'!$I327,Нормативы!$F:$F,'2020'!$K327)*O327</f>
        <v>70600</v>
      </c>
      <c r="V327" s="618">
        <f t="shared" si="852"/>
        <v>54224.3</v>
      </c>
      <c r="W327" s="618">
        <f t="shared" si="853"/>
        <v>16375.7</v>
      </c>
      <c r="X327" s="618">
        <f>SUMIFS(Нормативы!J:J,Нормативы!$B:$B,$G327,Нормативы!$D:$D,'2020'!$I327,Нормативы!$F:$F,'2020'!$K327)</f>
        <v>8860</v>
      </c>
      <c r="Y327" s="618">
        <f>SUMIFS(Нормативы!K:K,Нормативы!$B:$B,$G327,Нормативы!$D:$D,'2020'!$I327,Нормативы!$F:$F,'2020'!$K327)</f>
        <v>0</v>
      </c>
      <c r="Z327" s="618">
        <f>SUMIFS(Нормативы!L:L,Нормативы!$B:$B,$G327,Нормативы!$D:$D,'2020'!$I327,Нормативы!$F:$F,'2020'!$K327)</f>
        <v>8110</v>
      </c>
      <c r="AA327" s="618">
        <f t="shared" si="854"/>
        <v>21610</v>
      </c>
      <c r="AB327" s="618">
        <f>SUMIFS(Нормативы!N:N,Нормативы!$B:$B,$G327,Нормативы!$D:$D,'2020'!$I327,Нормативы!$F:$F,'2020'!$K327)*O327</f>
        <v>520</v>
      </c>
      <c r="AC327" s="618">
        <f>SUMIFS(Нормативы!O:O,Нормативы!$B:$B,$G327,Нормативы!$D:$D,'2020'!$I327,Нормативы!$F:$F,'2020'!$K327)</f>
        <v>19720</v>
      </c>
      <c r="AD327" s="618">
        <f>SUMIFS(Нормативы!P:P,Нормативы!$B:$B,$G327,Нормативы!$D:$D,'2020'!$I327,Нормативы!$F:$F,'2020'!$K327)*O327</f>
        <v>400</v>
      </c>
      <c r="AE327" s="618">
        <f>SUMIFS(Нормативы!Q:Q,Нормативы!$B:$B,$G327,Нормативы!$D:$D,'2020'!$I327,Нормативы!$F:$F,'2020'!$K327)</f>
        <v>970</v>
      </c>
      <c r="AF327" s="618">
        <f>SUMIFS(Нормативы!R:R,Нормативы!$B:$B,$G327,Нормативы!$D:$D,'2020'!$I327,Нормативы!$F:$F,'2020'!$K327)</f>
        <v>2680</v>
      </c>
      <c r="AG327" s="618">
        <f>SUMIFS(Нормативы!S:S,Нормативы!$B:$B,$G327,Нормативы!$D:$D,'2020'!$I327,Нормативы!$F:$F,'2020'!$K327)</f>
        <v>5800</v>
      </c>
      <c r="AH327" s="618">
        <f>SUMIFS(Нормативы!T:T,Нормативы!$B:$B,$G327,Нормативы!$D:$D,'2020'!$I327,Нормативы!$F:$F,'2020'!$K327)</f>
        <v>540</v>
      </c>
      <c r="AI327" s="618">
        <f>SUMIFS(Нормативы!U:U,Нормативы!$B:$B,$G327,Нормативы!$D:$D,'2020'!$I327,Нормативы!$F:$F,'2020'!$K327)</f>
        <v>770</v>
      </c>
      <c r="AJ327" s="618">
        <f>SUMIFS(Нормативы!V:V,Нормативы!$B:$B,$G327,Нормативы!$D:$D,'2020'!$I327,Нормативы!$F:$F,'2020'!$K327)</f>
        <v>80</v>
      </c>
      <c r="AK327" s="618">
        <f>SUMIFS(Нормативы!W:W,Нормативы!$B:$B,$G327,Нормативы!$D:$D,'2020'!$I327,Нормативы!$F:$F,'2020'!$K327)</f>
        <v>330</v>
      </c>
      <c r="AL327" s="618">
        <f>SUMIFS(Нормативы!X:X,Нормативы!$B:$B,$G327,Нормативы!$D:$D,'2020'!$I327,Нормативы!$F:$F,'2020'!$K327)*O327</f>
        <v>16120</v>
      </c>
      <c r="AM327" s="618">
        <f t="shared" si="855"/>
        <v>12381</v>
      </c>
      <c r="AN327" s="618">
        <f t="shared" si="856"/>
        <v>3739</v>
      </c>
      <c r="AO327" s="618">
        <f>SUMIFS(Нормативы!AA:AA,Нормативы!$B:$B,$G327,Нормативы!$D:$D,'2020'!$I327,Нормативы!$F:$F,'2020'!$K327)</f>
        <v>3520</v>
      </c>
      <c r="AP327" s="619">
        <f t="shared" si="857"/>
        <v>139020</v>
      </c>
      <c r="AQ327" s="413">
        <f t="shared" si="795"/>
        <v>2471000</v>
      </c>
      <c r="AR327" s="618">
        <f t="shared" si="858"/>
        <v>1897849.5</v>
      </c>
      <c r="AS327" s="618">
        <f t="shared" si="859"/>
        <v>573150.5</v>
      </c>
      <c r="AT327" s="616">
        <f t="shared" si="796"/>
        <v>310100</v>
      </c>
      <c r="AU327" s="616">
        <f t="shared" si="797"/>
        <v>0</v>
      </c>
      <c r="AV327" s="616">
        <f t="shared" si="798"/>
        <v>283850</v>
      </c>
      <c r="AW327" s="616">
        <f t="shared" si="799"/>
        <v>756350</v>
      </c>
      <c r="AX327" s="616">
        <f t="shared" si="800"/>
        <v>18200</v>
      </c>
      <c r="AY327" s="616">
        <f t="shared" si="801"/>
        <v>690200</v>
      </c>
      <c r="AZ327" s="616">
        <f t="shared" si="802"/>
        <v>14000</v>
      </c>
      <c r="BA327" s="616">
        <f t="shared" si="803"/>
        <v>33950</v>
      </c>
      <c r="BB327" s="616">
        <f t="shared" si="804"/>
        <v>93800</v>
      </c>
      <c r="BC327" s="616">
        <f t="shared" si="805"/>
        <v>203000</v>
      </c>
      <c r="BD327" s="616">
        <f t="shared" si="806"/>
        <v>18900</v>
      </c>
      <c r="BE327" s="616">
        <f t="shared" si="807"/>
        <v>26950</v>
      </c>
      <c r="BF327" s="616">
        <f t="shared" si="808"/>
        <v>2800</v>
      </c>
      <c r="BG327" s="616">
        <f t="shared" si="809"/>
        <v>11550</v>
      </c>
      <c r="BH327" s="616">
        <f t="shared" si="810"/>
        <v>564200</v>
      </c>
      <c r="BI327" s="618">
        <f t="shared" si="860"/>
        <v>433333.3</v>
      </c>
      <c r="BJ327" s="618">
        <f t="shared" si="861"/>
        <v>130866.7</v>
      </c>
      <c r="BK327" s="616">
        <f t="shared" si="811"/>
        <v>123200</v>
      </c>
      <c r="BL327" s="620">
        <f t="shared" si="812"/>
        <v>4865700</v>
      </c>
      <c r="BM327" s="616">
        <f t="shared" si="813"/>
        <v>3716384</v>
      </c>
      <c r="BN327" s="618">
        <f t="shared" si="814"/>
        <v>2854365.6</v>
      </c>
      <c r="BO327" s="618">
        <f t="shared" si="815"/>
        <v>862018.4</v>
      </c>
      <c r="BP327" s="616">
        <f t="shared" si="862"/>
        <v>310100</v>
      </c>
      <c r="BQ327" s="616">
        <f t="shared" si="863"/>
        <v>0</v>
      </c>
      <c r="BR327" s="616">
        <f t="shared" si="864"/>
        <v>283850</v>
      </c>
      <c r="BS327" s="616">
        <f t="shared" si="816"/>
        <v>756350</v>
      </c>
      <c r="BT327" s="616">
        <f t="shared" si="817"/>
        <v>18200</v>
      </c>
      <c r="BU327" s="616">
        <f t="shared" si="818"/>
        <v>690200</v>
      </c>
      <c r="BV327" s="616">
        <f t="shared" si="819"/>
        <v>14000</v>
      </c>
      <c r="BW327" s="616">
        <f t="shared" si="820"/>
        <v>33950</v>
      </c>
      <c r="BX327" s="616">
        <f t="shared" si="821"/>
        <v>231780</v>
      </c>
      <c r="BY327" s="616">
        <f t="shared" si="822"/>
        <v>203000</v>
      </c>
      <c r="BZ327" s="616">
        <f t="shared" si="823"/>
        <v>18900</v>
      </c>
      <c r="CA327" s="616">
        <f t="shared" si="824"/>
        <v>26950</v>
      </c>
      <c r="CB327" s="616">
        <f t="shared" si="825"/>
        <v>2800</v>
      </c>
      <c r="CC327" s="616">
        <f t="shared" si="826"/>
        <v>11550</v>
      </c>
      <c r="CD327" s="616">
        <f t="shared" si="827"/>
        <v>848557</v>
      </c>
      <c r="CE327" s="618">
        <f t="shared" si="865"/>
        <v>651733.5</v>
      </c>
      <c r="CF327" s="618">
        <f t="shared" si="866"/>
        <v>196823.5</v>
      </c>
      <c r="CG327" s="616">
        <f t="shared" si="828"/>
        <v>123200</v>
      </c>
      <c r="CH327" s="621">
        <f t="shared" si="829"/>
        <v>6533421</v>
      </c>
      <c r="CI327" s="88">
        <f t="shared" si="830"/>
        <v>106182.39999999999</v>
      </c>
      <c r="CJ327" s="90">
        <f t="shared" si="831"/>
        <v>81553.302899999995</v>
      </c>
      <c r="CK327" s="90">
        <f t="shared" si="832"/>
        <v>24629.097099999999</v>
      </c>
      <c r="CL327" s="88">
        <f t="shared" si="833"/>
        <v>8860</v>
      </c>
      <c r="CM327" s="88">
        <f t="shared" si="834"/>
        <v>0</v>
      </c>
      <c r="CN327" s="88">
        <f t="shared" si="835"/>
        <v>8110</v>
      </c>
      <c r="CO327" s="88">
        <f t="shared" si="836"/>
        <v>21610</v>
      </c>
      <c r="CP327" s="88">
        <f t="shared" si="837"/>
        <v>520</v>
      </c>
      <c r="CQ327" s="88">
        <f t="shared" si="838"/>
        <v>19720</v>
      </c>
      <c r="CR327" s="88">
        <f t="shared" si="839"/>
        <v>400</v>
      </c>
      <c r="CS327" s="88">
        <f t="shared" si="840"/>
        <v>970</v>
      </c>
      <c r="CT327" s="88">
        <f t="shared" si="841"/>
        <v>6622.2857000000004</v>
      </c>
      <c r="CU327" s="88">
        <f t="shared" si="842"/>
        <v>5800</v>
      </c>
      <c r="CV327" s="88">
        <f t="shared" si="843"/>
        <v>540</v>
      </c>
      <c r="CW327" s="88">
        <f t="shared" si="844"/>
        <v>770</v>
      </c>
      <c r="CX327" s="88">
        <f t="shared" si="845"/>
        <v>80</v>
      </c>
      <c r="CY327" s="88">
        <f t="shared" si="846"/>
        <v>330</v>
      </c>
      <c r="CZ327" s="88">
        <f t="shared" si="847"/>
        <v>24244.485700000001</v>
      </c>
      <c r="DA327" s="90">
        <f t="shared" si="848"/>
        <v>18620.9571</v>
      </c>
      <c r="DB327" s="90">
        <f t="shared" si="849"/>
        <v>5623.5285999999996</v>
      </c>
      <c r="DC327" s="88">
        <f t="shared" si="850"/>
        <v>3520</v>
      </c>
      <c r="DD327" s="88">
        <f t="shared" si="851"/>
        <v>186669.17139999999</v>
      </c>
      <c r="AUV327" s="699">
        <f t="shared" si="890"/>
        <v>106182.39999999999</v>
      </c>
      <c r="AUW327" s="699">
        <f t="shared" si="891"/>
        <v>81553.3</v>
      </c>
      <c r="AUX327" s="699">
        <f t="shared" si="892"/>
        <v>24629.1</v>
      </c>
      <c r="AUY327" s="699">
        <f t="shared" si="867"/>
        <v>8860</v>
      </c>
      <c r="AUZ327" s="699">
        <f t="shared" si="778"/>
        <v>0</v>
      </c>
      <c r="AVA327" s="699">
        <f t="shared" si="778"/>
        <v>4.0199999999999996</v>
      </c>
      <c r="AVB327" s="699">
        <f t="shared" si="868"/>
        <v>21610</v>
      </c>
      <c r="AVC327" s="699">
        <f t="shared" si="869"/>
        <v>520</v>
      </c>
      <c r="AVD327" s="699">
        <f t="shared" si="870"/>
        <v>19720</v>
      </c>
      <c r="AVE327" s="699">
        <f t="shared" si="871"/>
        <v>400</v>
      </c>
      <c r="AVF327" s="699">
        <f t="shared" si="872"/>
        <v>970</v>
      </c>
      <c r="AVG327" s="699">
        <f t="shared" si="873"/>
        <v>6622.29</v>
      </c>
      <c r="AVH327" s="699">
        <f t="shared" si="874"/>
        <v>5800</v>
      </c>
      <c r="AVI327" s="699">
        <f t="shared" si="875"/>
        <v>540</v>
      </c>
      <c r="AVJ327" s="699">
        <f t="shared" si="876"/>
        <v>770</v>
      </c>
      <c r="AVK327" s="699">
        <f t="shared" si="877"/>
        <v>80</v>
      </c>
      <c r="AVL327" s="699">
        <f t="shared" si="878"/>
        <v>330</v>
      </c>
      <c r="AVM327" s="699">
        <f t="shared" si="879"/>
        <v>24244.49</v>
      </c>
      <c r="AVN327" s="699">
        <f t="shared" si="880"/>
        <v>18620.96</v>
      </c>
      <c r="AVO327" s="699">
        <f t="shared" si="881"/>
        <v>5623.53</v>
      </c>
      <c r="AVP327" s="699">
        <f t="shared" si="882"/>
        <v>3520</v>
      </c>
      <c r="AVQ327" s="699">
        <f t="shared" si="883"/>
        <v>186669.17</v>
      </c>
    </row>
    <row r="328" spans="1:108 1244:1265" ht="30" customHeight="1" x14ac:dyDescent="0.25">
      <c r="A328" s="643">
        <v>1</v>
      </c>
      <c r="B328" s="643">
        <v>8</v>
      </c>
      <c r="C328" s="664" t="s">
        <v>22</v>
      </c>
      <c r="D328" s="2"/>
      <c r="E328" s="101" t="s">
        <v>345</v>
      </c>
      <c r="F328" s="643" t="s">
        <v>38</v>
      </c>
      <c r="G328" s="643">
        <v>2</v>
      </c>
      <c r="H328" s="658" t="s">
        <v>10</v>
      </c>
      <c r="I328" s="643">
        <v>0</v>
      </c>
      <c r="J328" s="101" t="s">
        <v>362</v>
      </c>
      <c r="K328" s="643">
        <v>3</v>
      </c>
      <c r="L328" s="683" t="s">
        <v>350</v>
      </c>
      <c r="M328" s="11" t="s">
        <v>268</v>
      </c>
      <c r="N328" s="101" t="s">
        <v>387</v>
      </c>
      <c r="O328" s="643">
        <v>1</v>
      </c>
      <c r="P328" s="632">
        <v>10</v>
      </c>
      <c r="Q328" s="632">
        <v>10</v>
      </c>
      <c r="R328" s="632">
        <v>10</v>
      </c>
      <c r="S328" s="675">
        <f>SUMIF('Территориальный кк'!$A:$A,'2020'!$B328,'Территориальный кк'!D:D)</f>
        <v>1.504</v>
      </c>
      <c r="T328" s="676">
        <f>SUMIF('Территориальный кк'!$A:$A,'2020'!$B328,'Территориальный кк'!E:E)</f>
        <v>2.4710000000000001</v>
      </c>
      <c r="U328" s="618">
        <f>SUMIFS(Нормативы!G:G,Нормативы!$B:$B,$G328,Нормативы!$D:$D,'2020'!$I328,Нормативы!$F:$F,'2020'!$K328)*O328</f>
        <v>70600</v>
      </c>
      <c r="V328" s="618">
        <f t="shared" si="852"/>
        <v>54224.3</v>
      </c>
      <c r="W328" s="618">
        <f t="shared" si="853"/>
        <v>16375.7</v>
      </c>
      <c r="X328" s="618">
        <f>SUMIFS(Нормативы!J:J,Нормативы!$B:$B,$G328,Нормативы!$D:$D,'2020'!$I328,Нормативы!$F:$F,'2020'!$K328)</f>
        <v>8860</v>
      </c>
      <c r="Y328" s="618">
        <f>SUMIFS(Нормативы!K:K,Нормативы!$B:$B,$G328,Нормативы!$D:$D,'2020'!$I328,Нормативы!$F:$F,'2020'!$K328)</f>
        <v>0</v>
      </c>
      <c r="Z328" s="618">
        <f>SUMIFS(Нормативы!L:L,Нормативы!$B:$B,$G328,Нормативы!$D:$D,'2020'!$I328,Нормативы!$F:$F,'2020'!$K328)</f>
        <v>8110</v>
      </c>
      <c r="AA328" s="618">
        <f t="shared" si="854"/>
        <v>21610</v>
      </c>
      <c r="AB328" s="618">
        <f>SUMIFS(Нормативы!N:N,Нормативы!$B:$B,$G328,Нормативы!$D:$D,'2020'!$I328,Нормативы!$F:$F,'2020'!$K328)*O328</f>
        <v>520</v>
      </c>
      <c r="AC328" s="618">
        <f>SUMIFS(Нормативы!O:O,Нормативы!$B:$B,$G328,Нормативы!$D:$D,'2020'!$I328,Нормативы!$F:$F,'2020'!$K328)</f>
        <v>19720</v>
      </c>
      <c r="AD328" s="618">
        <f>SUMIFS(Нормативы!P:P,Нормативы!$B:$B,$G328,Нормативы!$D:$D,'2020'!$I328,Нормативы!$F:$F,'2020'!$K328)*O328</f>
        <v>400</v>
      </c>
      <c r="AE328" s="618">
        <f>SUMIFS(Нормативы!Q:Q,Нормативы!$B:$B,$G328,Нормативы!$D:$D,'2020'!$I328,Нормативы!$F:$F,'2020'!$K328)</f>
        <v>970</v>
      </c>
      <c r="AF328" s="618">
        <f>SUMIFS(Нормативы!R:R,Нормативы!$B:$B,$G328,Нормативы!$D:$D,'2020'!$I328,Нормативы!$F:$F,'2020'!$K328)</f>
        <v>2680</v>
      </c>
      <c r="AG328" s="618">
        <f>SUMIFS(Нормативы!S:S,Нормативы!$B:$B,$G328,Нормативы!$D:$D,'2020'!$I328,Нормативы!$F:$F,'2020'!$K328)</f>
        <v>5800</v>
      </c>
      <c r="AH328" s="618">
        <f>SUMIFS(Нормативы!T:T,Нормативы!$B:$B,$G328,Нормативы!$D:$D,'2020'!$I328,Нормативы!$F:$F,'2020'!$K328)</f>
        <v>540</v>
      </c>
      <c r="AI328" s="618">
        <f>SUMIFS(Нормативы!U:U,Нормативы!$B:$B,$G328,Нормативы!$D:$D,'2020'!$I328,Нормативы!$F:$F,'2020'!$K328)</f>
        <v>770</v>
      </c>
      <c r="AJ328" s="618">
        <f>SUMIFS(Нормативы!V:V,Нормативы!$B:$B,$G328,Нормативы!$D:$D,'2020'!$I328,Нормативы!$F:$F,'2020'!$K328)</f>
        <v>80</v>
      </c>
      <c r="AK328" s="618">
        <f>SUMIFS(Нормативы!W:W,Нормативы!$B:$B,$G328,Нормативы!$D:$D,'2020'!$I328,Нормативы!$F:$F,'2020'!$K328)</f>
        <v>330</v>
      </c>
      <c r="AL328" s="618">
        <f>SUMIFS(Нормативы!X:X,Нормативы!$B:$B,$G328,Нормативы!$D:$D,'2020'!$I328,Нормативы!$F:$F,'2020'!$K328)*O328</f>
        <v>16120</v>
      </c>
      <c r="AM328" s="618">
        <f t="shared" si="855"/>
        <v>12381</v>
      </c>
      <c r="AN328" s="618">
        <f t="shared" si="856"/>
        <v>3739</v>
      </c>
      <c r="AO328" s="618">
        <f>SUMIFS(Нормативы!AA:AA,Нормативы!$B:$B,$G328,Нормативы!$D:$D,'2020'!$I328,Нормативы!$F:$F,'2020'!$K328)</f>
        <v>3520</v>
      </c>
      <c r="AP328" s="619">
        <f t="shared" si="857"/>
        <v>139020</v>
      </c>
      <c r="AQ328" s="413">
        <f t="shared" si="795"/>
        <v>706000</v>
      </c>
      <c r="AR328" s="618">
        <f t="shared" si="858"/>
        <v>542242.69999999995</v>
      </c>
      <c r="AS328" s="618">
        <f t="shared" si="859"/>
        <v>163757.29999999999</v>
      </c>
      <c r="AT328" s="616">
        <f t="shared" si="796"/>
        <v>88600</v>
      </c>
      <c r="AU328" s="616">
        <f t="shared" si="797"/>
        <v>0</v>
      </c>
      <c r="AV328" s="616">
        <f t="shared" si="798"/>
        <v>81100</v>
      </c>
      <c r="AW328" s="616">
        <f t="shared" si="799"/>
        <v>216100</v>
      </c>
      <c r="AX328" s="616">
        <f t="shared" si="800"/>
        <v>5200</v>
      </c>
      <c r="AY328" s="616">
        <f t="shared" si="801"/>
        <v>197200</v>
      </c>
      <c r="AZ328" s="616">
        <f t="shared" si="802"/>
        <v>4000</v>
      </c>
      <c r="BA328" s="616">
        <f t="shared" si="803"/>
        <v>9700</v>
      </c>
      <c r="BB328" s="616">
        <f t="shared" si="804"/>
        <v>26800</v>
      </c>
      <c r="BC328" s="616">
        <f t="shared" si="805"/>
        <v>58000</v>
      </c>
      <c r="BD328" s="616">
        <f t="shared" si="806"/>
        <v>5400</v>
      </c>
      <c r="BE328" s="616">
        <f t="shared" si="807"/>
        <v>7700</v>
      </c>
      <c r="BF328" s="616">
        <f t="shared" si="808"/>
        <v>800</v>
      </c>
      <c r="BG328" s="616">
        <f t="shared" si="809"/>
        <v>3300</v>
      </c>
      <c r="BH328" s="616">
        <f t="shared" si="810"/>
        <v>161200</v>
      </c>
      <c r="BI328" s="618">
        <f t="shared" si="860"/>
        <v>123809.5</v>
      </c>
      <c r="BJ328" s="618">
        <f t="shared" si="861"/>
        <v>37390.5</v>
      </c>
      <c r="BK328" s="616">
        <f t="shared" si="811"/>
        <v>35200</v>
      </c>
      <c r="BL328" s="620">
        <f t="shared" si="812"/>
        <v>1390200</v>
      </c>
      <c r="BM328" s="616">
        <f t="shared" si="813"/>
        <v>1061824</v>
      </c>
      <c r="BN328" s="618">
        <f t="shared" si="814"/>
        <v>815533</v>
      </c>
      <c r="BO328" s="618">
        <f t="shared" si="815"/>
        <v>246291</v>
      </c>
      <c r="BP328" s="616">
        <f t="shared" si="862"/>
        <v>88600</v>
      </c>
      <c r="BQ328" s="616">
        <f t="shared" si="863"/>
        <v>0</v>
      </c>
      <c r="BR328" s="616">
        <f t="shared" si="864"/>
        <v>81100</v>
      </c>
      <c r="BS328" s="616">
        <f t="shared" si="816"/>
        <v>216100</v>
      </c>
      <c r="BT328" s="616">
        <f t="shared" si="817"/>
        <v>5200</v>
      </c>
      <c r="BU328" s="616">
        <f t="shared" si="818"/>
        <v>197200</v>
      </c>
      <c r="BV328" s="616">
        <f t="shared" si="819"/>
        <v>4000</v>
      </c>
      <c r="BW328" s="616">
        <f t="shared" si="820"/>
        <v>9700</v>
      </c>
      <c r="BX328" s="616">
        <f t="shared" si="821"/>
        <v>66223</v>
      </c>
      <c r="BY328" s="616">
        <f t="shared" si="822"/>
        <v>58000</v>
      </c>
      <c r="BZ328" s="616">
        <f t="shared" si="823"/>
        <v>5400</v>
      </c>
      <c r="CA328" s="616">
        <f t="shared" si="824"/>
        <v>7700</v>
      </c>
      <c r="CB328" s="616">
        <f t="shared" si="825"/>
        <v>800</v>
      </c>
      <c r="CC328" s="616">
        <f t="shared" si="826"/>
        <v>3300</v>
      </c>
      <c r="CD328" s="616">
        <f t="shared" si="827"/>
        <v>242445</v>
      </c>
      <c r="CE328" s="618">
        <f t="shared" si="865"/>
        <v>186209.7</v>
      </c>
      <c r="CF328" s="618">
        <f t="shared" si="866"/>
        <v>56235.3</v>
      </c>
      <c r="CG328" s="616">
        <f t="shared" si="828"/>
        <v>35200</v>
      </c>
      <c r="CH328" s="621">
        <f t="shared" si="829"/>
        <v>1866692</v>
      </c>
      <c r="CI328" s="88">
        <f t="shared" si="830"/>
        <v>106182.39999999999</v>
      </c>
      <c r="CJ328" s="90">
        <f t="shared" si="831"/>
        <v>81553.3</v>
      </c>
      <c r="CK328" s="90">
        <f t="shared" si="832"/>
        <v>24629.1</v>
      </c>
      <c r="CL328" s="88">
        <f t="shared" si="833"/>
        <v>8860</v>
      </c>
      <c r="CM328" s="88">
        <f t="shared" si="834"/>
        <v>0</v>
      </c>
      <c r="CN328" s="88">
        <f t="shared" si="835"/>
        <v>8110</v>
      </c>
      <c r="CO328" s="88">
        <f t="shared" si="836"/>
        <v>21610</v>
      </c>
      <c r="CP328" s="88">
        <f t="shared" si="837"/>
        <v>520</v>
      </c>
      <c r="CQ328" s="88">
        <f t="shared" si="838"/>
        <v>19720</v>
      </c>
      <c r="CR328" s="88">
        <f t="shared" si="839"/>
        <v>400</v>
      </c>
      <c r="CS328" s="88">
        <f t="shared" si="840"/>
        <v>970</v>
      </c>
      <c r="CT328" s="88">
        <f t="shared" si="841"/>
        <v>6622.3</v>
      </c>
      <c r="CU328" s="88">
        <f t="shared" si="842"/>
        <v>5800</v>
      </c>
      <c r="CV328" s="88">
        <f t="shared" si="843"/>
        <v>540</v>
      </c>
      <c r="CW328" s="88">
        <f t="shared" si="844"/>
        <v>770</v>
      </c>
      <c r="CX328" s="88">
        <f t="shared" si="845"/>
        <v>80</v>
      </c>
      <c r="CY328" s="88">
        <f t="shared" si="846"/>
        <v>330</v>
      </c>
      <c r="CZ328" s="88">
        <f t="shared" si="847"/>
        <v>24244.5</v>
      </c>
      <c r="DA328" s="90">
        <f t="shared" si="848"/>
        <v>18620.97</v>
      </c>
      <c r="DB328" s="90">
        <f t="shared" si="849"/>
        <v>5623.53</v>
      </c>
      <c r="DC328" s="88">
        <f t="shared" si="850"/>
        <v>3520</v>
      </c>
      <c r="DD328" s="88">
        <f t="shared" si="851"/>
        <v>186669.2</v>
      </c>
      <c r="AUV328" s="699">
        <f t="shared" si="890"/>
        <v>106182.39999999999</v>
      </c>
      <c r="AUW328" s="699">
        <f t="shared" si="891"/>
        <v>81553.3</v>
      </c>
      <c r="AUX328" s="699">
        <f t="shared" si="892"/>
        <v>24629.1</v>
      </c>
      <c r="AUY328" s="699">
        <f t="shared" si="867"/>
        <v>8860</v>
      </c>
      <c r="AUZ328" s="699">
        <f t="shared" si="778"/>
        <v>0</v>
      </c>
      <c r="AVA328" s="699">
        <f t="shared" si="778"/>
        <v>1.1499999999999999</v>
      </c>
      <c r="AVB328" s="699">
        <f t="shared" si="868"/>
        <v>21610</v>
      </c>
      <c r="AVC328" s="699">
        <f t="shared" si="869"/>
        <v>520</v>
      </c>
      <c r="AVD328" s="699">
        <f t="shared" si="870"/>
        <v>19720</v>
      </c>
      <c r="AVE328" s="699">
        <f t="shared" si="871"/>
        <v>400</v>
      </c>
      <c r="AVF328" s="699">
        <f t="shared" si="872"/>
        <v>970</v>
      </c>
      <c r="AVG328" s="699">
        <f t="shared" si="873"/>
        <v>6622.3</v>
      </c>
      <c r="AVH328" s="699">
        <f t="shared" si="874"/>
        <v>5800</v>
      </c>
      <c r="AVI328" s="699">
        <f t="shared" si="875"/>
        <v>540</v>
      </c>
      <c r="AVJ328" s="699">
        <f t="shared" si="876"/>
        <v>770</v>
      </c>
      <c r="AVK328" s="699">
        <f t="shared" si="877"/>
        <v>80</v>
      </c>
      <c r="AVL328" s="699">
        <f t="shared" si="878"/>
        <v>330</v>
      </c>
      <c r="AVM328" s="699">
        <f t="shared" si="879"/>
        <v>24244.5</v>
      </c>
      <c r="AVN328" s="699">
        <f t="shared" si="880"/>
        <v>18620.97</v>
      </c>
      <c r="AVO328" s="699">
        <f t="shared" si="881"/>
        <v>5623.53</v>
      </c>
      <c r="AVP328" s="699">
        <f t="shared" si="882"/>
        <v>3520</v>
      </c>
      <c r="AVQ328" s="699">
        <f t="shared" si="883"/>
        <v>186669.2</v>
      </c>
    </row>
    <row r="329" spans="1:108 1244:1265" ht="30" customHeight="1" x14ac:dyDescent="0.25">
      <c r="A329" s="643">
        <v>1</v>
      </c>
      <c r="B329" s="643">
        <v>8</v>
      </c>
      <c r="C329" s="664" t="s">
        <v>22</v>
      </c>
      <c r="D329" s="2"/>
      <c r="E329" s="101" t="s">
        <v>345</v>
      </c>
      <c r="F329" s="643" t="s">
        <v>38</v>
      </c>
      <c r="G329" s="643">
        <v>2</v>
      </c>
      <c r="H329" s="658" t="s">
        <v>10</v>
      </c>
      <c r="I329" s="643">
        <v>0</v>
      </c>
      <c r="J329" s="101" t="s">
        <v>363</v>
      </c>
      <c r="K329" s="643">
        <v>3</v>
      </c>
      <c r="L329" s="683" t="s">
        <v>350</v>
      </c>
      <c r="M329" s="11" t="s">
        <v>269</v>
      </c>
      <c r="N329" s="101" t="s">
        <v>387</v>
      </c>
      <c r="O329" s="643">
        <v>1</v>
      </c>
      <c r="P329" s="632">
        <v>59</v>
      </c>
      <c r="Q329" s="632">
        <v>59</v>
      </c>
      <c r="R329" s="632">
        <v>59</v>
      </c>
      <c r="S329" s="675">
        <f>SUMIF('Территориальный кк'!$A:$A,'2020'!$B329,'Территориальный кк'!D:D)</f>
        <v>1.504</v>
      </c>
      <c r="T329" s="676">
        <f>SUMIF('Территориальный кк'!$A:$A,'2020'!$B329,'Территориальный кк'!E:E)</f>
        <v>2.4710000000000001</v>
      </c>
      <c r="U329" s="618">
        <f>SUMIFS(Нормативы!G:G,Нормативы!$B:$B,$G329,Нормативы!$D:$D,'2020'!$I329,Нормативы!$F:$F,'2020'!$K329)*O329</f>
        <v>70600</v>
      </c>
      <c r="V329" s="618">
        <f t="shared" si="852"/>
        <v>54224.3</v>
      </c>
      <c r="W329" s="618">
        <f t="shared" si="853"/>
        <v>16375.7</v>
      </c>
      <c r="X329" s="618">
        <f>SUMIFS(Нормативы!J:J,Нормативы!$B:$B,$G329,Нормативы!$D:$D,'2020'!$I329,Нормативы!$F:$F,'2020'!$K329)</f>
        <v>8860</v>
      </c>
      <c r="Y329" s="618">
        <f>SUMIFS(Нормативы!K:K,Нормативы!$B:$B,$G329,Нормативы!$D:$D,'2020'!$I329,Нормативы!$F:$F,'2020'!$K329)</f>
        <v>0</v>
      </c>
      <c r="Z329" s="618">
        <f>SUMIFS(Нормативы!L:L,Нормативы!$B:$B,$G329,Нормативы!$D:$D,'2020'!$I329,Нормативы!$F:$F,'2020'!$K329)</f>
        <v>8110</v>
      </c>
      <c r="AA329" s="618">
        <f t="shared" si="854"/>
        <v>21610</v>
      </c>
      <c r="AB329" s="618">
        <f>SUMIFS(Нормативы!N:N,Нормативы!$B:$B,$G329,Нормативы!$D:$D,'2020'!$I329,Нормативы!$F:$F,'2020'!$K329)*O329</f>
        <v>520</v>
      </c>
      <c r="AC329" s="618">
        <f>SUMIFS(Нормативы!O:O,Нормативы!$B:$B,$G329,Нормативы!$D:$D,'2020'!$I329,Нормативы!$F:$F,'2020'!$K329)</f>
        <v>19720</v>
      </c>
      <c r="AD329" s="618">
        <f>SUMIFS(Нормативы!P:P,Нормативы!$B:$B,$G329,Нормативы!$D:$D,'2020'!$I329,Нормативы!$F:$F,'2020'!$K329)*O329</f>
        <v>400</v>
      </c>
      <c r="AE329" s="618">
        <f>SUMIFS(Нормативы!Q:Q,Нормативы!$B:$B,$G329,Нормативы!$D:$D,'2020'!$I329,Нормативы!$F:$F,'2020'!$K329)</f>
        <v>970</v>
      </c>
      <c r="AF329" s="618">
        <f>SUMIFS(Нормативы!R:R,Нормативы!$B:$B,$G329,Нормативы!$D:$D,'2020'!$I329,Нормативы!$F:$F,'2020'!$K329)</f>
        <v>2680</v>
      </c>
      <c r="AG329" s="618">
        <f>SUMIFS(Нормативы!S:S,Нормативы!$B:$B,$G329,Нормативы!$D:$D,'2020'!$I329,Нормативы!$F:$F,'2020'!$K329)</f>
        <v>5800</v>
      </c>
      <c r="AH329" s="618">
        <f>SUMIFS(Нормативы!T:T,Нормативы!$B:$B,$G329,Нормативы!$D:$D,'2020'!$I329,Нормативы!$F:$F,'2020'!$K329)</f>
        <v>540</v>
      </c>
      <c r="AI329" s="618">
        <f>SUMIFS(Нормативы!U:U,Нормативы!$B:$B,$G329,Нормативы!$D:$D,'2020'!$I329,Нормативы!$F:$F,'2020'!$K329)</f>
        <v>770</v>
      </c>
      <c r="AJ329" s="618">
        <f>SUMIFS(Нормативы!V:V,Нормативы!$B:$B,$G329,Нормативы!$D:$D,'2020'!$I329,Нормативы!$F:$F,'2020'!$K329)</f>
        <v>80</v>
      </c>
      <c r="AK329" s="618">
        <f>SUMIFS(Нормативы!W:W,Нормативы!$B:$B,$G329,Нормативы!$D:$D,'2020'!$I329,Нормативы!$F:$F,'2020'!$K329)</f>
        <v>330</v>
      </c>
      <c r="AL329" s="618">
        <f>SUMIFS(Нормативы!X:X,Нормативы!$B:$B,$G329,Нормативы!$D:$D,'2020'!$I329,Нормативы!$F:$F,'2020'!$K329)*O329</f>
        <v>16120</v>
      </c>
      <c r="AM329" s="618">
        <f t="shared" si="855"/>
        <v>12381</v>
      </c>
      <c r="AN329" s="618">
        <f t="shared" si="856"/>
        <v>3739</v>
      </c>
      <c r="AO329" s="618">
        <f>SUMIFS(Нормативы!AA:AA,Нормативы!$B:$B,$G329,Нормативы!$D:$D,'2020'!$I329,Нормативы!$F:$F,'2020'!$K329)</f>
        <v>3520</v>
      </c>
      <c r="AP329" s="619">
        <f t="shared" si="857"/>
        <v>139020</v>
      </c>
      <c r="AQ329" s="413">
        <f t="shared" si="795"/>
        <v>4165400</v>
      </c>
      <c r="AR329" s="618">
        <f t="shared" si="858"/>
        <v>3199232</v>
      </c>
      <c r="AS329" s="618">
        <f t="shared" si="859"/>
        <v>966168</v>
      </c>
      <c r="AT329" s="616">
        <f t="shared" si="796"/>
        <v>522740</v>
      </c>
      <c r="AU329" s="616">
        <f t="shared" si="797"/>
        <v>0</v>
      </c>
      <c r="AV329" s="616">
        <f t="shared" si="798"/>
        <v>478490</v>
      </c>
      <c r="AW329" s="616">
        <f t="shared" si="799"/>
        <v>1274990</v>
      </c>
      <c r="AX329" s="616">
        <f t="shared" si="800"/>
        <v>30680</v>
      </c>
      <c r="AY329" s="616">
        <f t="shared" si="801"/>
        <v>1163480</v>
      </c>
      <c r="AZ329" s="616">
        <f t="shared" si="802"/>
        <v>23600</v>
      </c>
      <c r="BA329" s="616">
        <f t="shared" si="803"/>
        <v>57230</v>
      </c>
      <c r="BB329" s="616">
        <f t="shared" si="804"/>
        <v>158120</v>
      </c>
      <c r="BC329" s="616">
        <f t="shared" si="805"/>
        <v>342200</v>
      </c>
      <c r="BD329" s="616">
        <f t="shared" si="806"/>
        <v>31860</v>
      </c>
      <c r="BE329" s="616">
        <f t="shared" si="807"/>
        <v>45430</v>
      </c>
      <c r="BF329" s="616">
        <f t="shared" si="808"/>
        <v>4720</v>
      </c>
      <c r="BG329" s="616">
        <f t="shared" si="809"/>
        <v>19470</v>
      </c>
      <c r="BH329" s="616">
        <f t="shared" si="810"/>
        <v>951080</v>
      </c>
      <c r="BI329" s="618">
        <f t="shared" si="860"/>
        <v>730476.2</v>
      </c>
      <c r="BJ329" s="618">
        <f t="shared" si="861"/>
        <v>220603.8</v>
      </c>
      <c r="BK329" s="616">
        <f t="shared" si="811"/>
        <v>207680</v>
      </c>
      <c r="BL329" s="620">
        <f t="shared" si="812"/>
        <v>8202180</v>
      </c>
      <c r="BM329" s="616">
        <f t="shared" si="813"/>
        <v>6264762</v>
      </c>
      <c r="BN329" s="618">
        <f t="shared" si="814"/>
        <v>4811645.2</v>
      </c>
      <c r="BO329" s="618">
        <f t="shared" si="815"/>
        <v>1453116.8</v>
      </c>
      <c r="BP329" s="616">
        <f t="shared" si="862"/>
        <v>522740</v>
      </c>
      <c r="BQ329" s="616">
        <f t="shared" si="863"/>
        <v>0</v>
      </c>
      <c r="BR329" s="616">
        <f t="shared" si="864"/>
        <v>478490</v>
      </c>
      <c r="BS329" s="616">
        <f t="shared" si="816"/>
        <v>1274990</v>
      </c>
      <c r="BT329" s="616">
        <f t="shared" si="817"/>
        <v>30680</v>
      </c>
      <c r="BU329" s="616">
        <f t="shared" si="818"/>
        <v>1163480</v>
      </c>
      <c r="BV329" s="616">
        <f t="shared" si="819"/>
        <v>23600</v>
      </c>
      <c r="BW329" s="616">
        <f t="shared" si="820"/>
        <v>57230</v>
      </c>
      <c r="BX329" s="616">
        <f t="shared" si="821"/>
        <v>390715</v>
      </c>
      <c r="BY329" s="616">
        <f t="shared" si="822"/>
        <v>342200</v>
      </c>
      <c r="BZ329" s="616">
        <f t="shared" si="823"/>
        <v>31860</v>
      </c>
      <c r="CA329" s="616">
        <f t="shared" si="824"/>
        <v>45430</v>
      </c>
      <c r="CB329" s="616">
        <f t="shared" si="825"/>
        <v>4720</v>
      </c>
      <c r="CC329" s="616">
        <f t="shared" si="826"/>
        <v>19470</v>
      </c>
      <c r="CD329" s="616">
        <f t="shared" si="827"/>
        <v>1430424</v>
      </c>
      <c r="CE329" s="618">
        <f t="shared" si="865"/>
        <v>1098635.8999999999</v>
      </c>
      <c r="CF329" s="618">
        <f t="shared" si="866"/>
        <v>331788.09999999998</v>
      </c>
      <c r="CG329" s="616">
        <f t="shared" si="828"/>
        <v>207680</v>
      </c>
      <c r="CH329" s="621">
        <f t="shared" si="829"/>
        <v>11013481</v>
      </c>
      <c r="CI329" s="88">
        <f t="shared" si="830"/>
        <v>106182.4068</v>
      </c>
      <c r="CJ329" s="90">
        <f t="shared" si="831"/>
        <v>81553.308499999999</v>
      </c>
      <c r="CK329" s="90">
        <f t="shared" si="832"/>
        <v>24629.098300000001</v>
      </c>
      <c r="CL329" s="88">
        <f t="shared" si="833"/>
        <v>8860</v>
      </c>
      <c r="CM329" s="88">
        <f t="shared" si="834"/>
        <v>0</v>
      </c>
      <c r="CN329" s="88">
        <f t="shared" si="835"/>
        <v>8110</v>
      </c>
      <c r="CO329" s="88">
        <f t="shared" si="836"/>
        <v>21610</v>
      </c>
      <c r="CP329" s="88">
        <f t="shared" si="837"/>
        <v>520</v>
      </c>
      <c r="CQ329" s="88">
        <f t="shared" si="838"/>
        <v>19720</v>
      </c>
      <c r="CR329" s="88">
        <f t="shared" si="839"/>
        <v>400</v>
      </c>
      <c r="CS329" s="88">
        <f t="shared" si="840"/>
        <v>970</v>
      </c>
      <c r="CT329" s="88">
        <f t="shared" si="841"/>
        <v>6622.2880999999998</v>
      </c>
      <c r="CU329" s="88">
        <f t="shared" si="842"/>
        <v>5800</v>
      </c>
      <c r="CV329" s="88">
        <f t="shared" si="843"/>
        <v>540</v>
      </c>
      <c r="CW329" s="88">
        <f t="shared" si="844"/>
        <v>770</v>
      </c>
      <c r="CX329" s="88">
        <f t="shared" si="845"/>
        <v>80</v>
      </c>
      <c r="CY329" s="88">
        <f t="shared" si="846"/>
        <v>330</v>
      </c>
      <c r="CZ329" s="88">
        <f t="shared" si="847"/>
        <v>24244.474600000001</v>
      </c>
      <c r="DA329" s="90">
        <f t="shared" si="848"/>
        <v>18620.947499999998</v>
      </c>
      <c r="DB329" s="90">
        <f t="shared" si="849"/>
        <v>5623.5271000000002</v>
      </c>
      <c r="DC329" s="88">
        <f t="shared" si="850"/>
        <v>3520</v>
      </c>
      <c r="DD329" s="88">
        <f t="shared" si="851"/>
        <v>186669.16949999999</v>
      </c>
      <c r="AUV329" s="699">
        <f t="shared" si="890"/>
        <v>106182.41</v>
      </c>
      <c r="AUW329" s="699">
        <f t="shared" si="891"/>
        <v>81553.31</v>
      </c>
      <c r="AUX329" s="699">
        <f t="shared" si="892"/>
        <v>24629.1</v>
      </c>
      <c r="AUY329" s="699">
        <f t="shared" si="867"/>
        <v>8860</v>
      </c>
      <c r="AUZ329" s="699">
        <f t="shared" si="778"/>
        <v>0</v>
      </c>
      <c r="AVA329" s="699">
        <f t="shared" si="778"/>
        <v>6.78</v>
      </c>
      <c r="AVB329" s="699">
        <f t="shared" si="868"/>
        <v>21610</v>
      </c>
      <c r="AVC329" s="699">
        <f t="shared" si="869"/>
        <v>520</v>
      </c>
      <c r="AVD329" s="699">
        <f t="shared" si="870"/>
        <v>19720</v>
      </c>
      <c r="AVE329" s="699">
        <f t="shared" si="871"/>
        <v>400</v>
      </c>
      <c r="AVF329" s="699">
        <f t="shared" si="872"/>
        <v>970</v>
      </c>
      <c r="AVG329" s="699">
        <f t="shared" si="873"/>
        <v>6622.29</v>
      </c>
      <c r="AVH329" s="699">
        <f t="shared" si="874"/>
        <v>5800</v>
      </c>
      <c r="AVI329" s="699">
        <f t="shared" si="875"/>
        <v>540</v>
      </c>
      <c r="AVJ329" s="699">
        <f t="shared" si="876"/>
        <v>770</v>
      </c>
      <c r="AVK329" s="699">
        <f t="shared" si="877"/>
        <v>80</v>
      </c>
      <c r="AVL329" s="699">
        <f t="shared" si="878"/>
        <v>330</v>
      </c>
      <c r="AVM329" s="699">
        <f t="shared" si="879"/>
        <v>24244.47</v>
      </c>
      <c r="AVN329" s="699">
        <f t="shared" si="880"/>
        <v>18620.939999999999</v>
      </c>
      <c r="AVO329" s="699">
        <f t="shared" si="881"/>
        <v>5623.53</v>
      </c>
      <c r="AVP329" s="699">
        <f t="shared" si="882"/>
        <v>3520</v>
      </c>
      <c r="AVQ329" s="699">
        <f t="shared" si="883"/>
        <v>186669.17</v>
      </c>
    </row>
    <row r="330" spans="1:108 1244:1265" ht="30" customHeight="1" x14ac:dyDescent="0.25">
      <c r="A330" s="643">
        <v>1</v>
      </c>
      <c r="B330" s="643">
        <v>8</v>
      </c>
      <c r="C330" s="664" t="s">
        <v>22</v>
      </c>
      <c r="D330" s="2"/>
      <c r="E330" s="101" t="s">
        <v>345</v>
      </c>
      <c r="F330" s="643" t="s">
        <v>38</v>
      </c>
      <c r="G330" s="643">
        <v>2</v>
      </c>
      <c r="H330" s="658" t="s">
        <v>10</v>
      </c>
      <c r="I330" s="643">
        <v>0</v>
      </c>
      <c r="J330" s="101" t="s">
        <v>396</v>
      </c>
      <c r="K330" s="643">
        <v>1</v>
      </c>
      <c r="L330" s="683" t="s">
        <v>350</v>
      </c>
      <c r="M330" s="11" t="s">
        <v>332</v>
      </c>
      <c r="N330" s="101" t="s">
        <v>387</v>
      </c>
      <c r="O330" s="643">
        <v>1</v>
      </c>
      <c r="P330" s="632">
        <v>11</v>
      </c>
      <c r="Q330" s="632">
        <v>11</v>
      </c>
      <c r="R330" s="632">
        <v>11</v>
      </c>
      <c r="S330" s="675">
        <f>SUMIF('Территориальный кк'!$A:$A,'2020'!$B330,'Территориальный кк'!D:D)</f>
        <v>1.504</v>
      </c>
      <c r="T330" s="676">
        <f>SUMIF('Территориальный кк'!$A:$A,'2020'!$B330,'Территориальный кк'!E:E)</f>
        <v>2.4710000000000001</v>
      </c>
      <c r="U330" s="618">
        <f>SUMIFS(Нормативы!G:G,Нормативы!$B:$B,$G330,Нормативы!$D:$D,'2020'!$I330,Нормативы!$F:$F,'2020'!$K330)*O330</f>
        <v>59740</v>
      </c>
      <c r="V330" s="618">
        <f t="shared" si="852"/>
        <v>45883.3</v>
      </c>
      <c r="W330" s="618">
        <f t="shared" si="853"/>
        <v>13856.7</v>
      </c>
      <c r="X330" s="618">
        <f>SUMIFS(Нормативы!J:J,Нормативы!$B:$B,$G330,Нормативы!$D:$D,'2020'!$I330,Нормативы!$F:$F,'2020'!$K330)</f>
        <v>220</v>
      </c>
      <c r="Y330" s="618">
        <f>SUMIFS(Нормативы!K:K,Нормативы!$B:$B,$G330,Нормативы!$D:$D,'2020'!$I330,Нормативы!$F:$F,'2020'!$K330)</f>
        <v>44</v>
      </c>
      <c r="Z330" s="618">
        <f>SUMIFS(Нормативы!L:L,Нормативы!$B:$B,$G330,Нормативы!$D:$D,'2020'!$I330,Нормативы!$F:$F,'2020'!$K330)</f>
        <v>2320</v>
      </c>
      <c r="AA330" s="618">
        <f t="shared" si="854"/>
        <v>4350</v>
      </c>
      <c r="AB330" s="618">
        <f>SUMIFS(Нормативы!N:N,Нормативы!$B:$B,$G330,Нормативы!$D:$D,'2020'!$I330,Нормативы!$F:$F,'2020'!$K330)*O330</f>
        <v>520</v>
      </c>
      <c r="AC330" s="618">
        <f>SUMIFS(Нормативы!O:O,Нормативы!$B:$B,$G330,Нормативы!$D:$D,'2020'!$I330,Нормативы!$F:$F,'2020'!$K330)</f>
        <v>2670</v>
      </c>
      <c r="AD330" s="618">
        <f>SUMIFS(Нормативы!P:P,Нормативы!$B:$B,$G330,Нормативы!$D:$D,'2020'!$I330,Нормативы!$F:$F,'2020'!$K330)*O330</f>
        <v>340</v>
      </c>
      <c r="AE330" s="618">
        <f>SUMIFS(Нормативы!Q:Q,Нормативы!$B:$B,$G330,Нормативы!$D:$D,'2020'!$I330,Нормативы!$F:$F,'2020'!$K330)</f>
        <v>820</v>
      </c>
      <c r="AF330" s="618">
        <f>SUMIFS(Нормативы!R:R,Нормативы!$B:$B,$G330,Нормативы!$D:$D,'2020'!$I330,Нормативы!$F:$F,'2020'!$K330)</f>
        <v>2460</v>
      </c>
      <c r="AG330" s="618">
        <f>SUMIFS(Нормативы!S:S,Нормативы!$B:$B,$G330,Нормативы!$D:$D,'2020'!$I330,Нормативы!$F:$F,'2020'!$K330)</f>
        <v>5080</v>
      </c>
      <c r="AH330" s="618">
        <f>SUMIFS(Нормативы!T:T,Нормативы!$B:$B,$G330,Нормативы!$D:$D,'2020'!$I330,Нормативы!$F:$F,'2020'!$K330)</f>
        <v>540</v>
      </c>
      <c r="AI330" s="618">
        <f>SUMIFS(Нормативы!U:U,Нормативы!$B:$B,$G330,Нормативы!$D:$D,'2020'!$I330,Нормативы!$F:$F,'2020'!$K330)</f>
        <v>770</v>
      </c>
      <c r="AJ330" s="618">
        <f>SUMIFS(Нормативы!V:V,Нормативы!$B:$B,$G330,Нормативы!$D:$D,'2020'!$I330,Нормативы!$F:$F,'2020'!$K330)</f>
        <v>80</v>
      </c>
      <c r="AK330" s="618">
        <f>SUMIFS(Нормативы!W:W,Нормативы!$B:$B,$G330,Нормативы!$D:$D,'2020'!$I330,Нормативы!$F:$F,'2020'!$K330)</f>
        <v>120</v>
      </c>
      <c r="AL330" s="618">
        <f>SUMIFS(Нормативы!X:X,Нормативы!$B:$B,$G330,Нормативы!$D:$D,'2020'!$I330,Нормативы!$F:$F,'2020'!$K330)*O330</f>
        <v>13440</v>
      </c>
      <c r="AM330" s="618">
        <f t="shared" si="855"/>
        <v>10322.6</v>
      </c>
      <c r="AN330" s="618">
        <f t="shared" si="856"/>
        <v>3117.4</v>
      </c>
      <c r="AO330" s="618">
        <f>SUMIFS(Нормативы!AA:AA,Нормативы!$B:$B,$G330,Нормативы!$D:$D,'2020'!$I330,Нормативы!$F:$F,'2020'!$K330)</f>
        <v>3520</v>
      </c>
      <c r="AP330" s="619">
        <f t="shared" si="857"/>
        <v>92640</v>
      </c>
      <c r="AQ330" s="413">
        <f t="shared" si="795"/>
        <v>657140</v>
      </c>
      <c r="AR330" s="618">
        <f t="shared" si="858"/>
        <v>504715.8</v>
      </c>
      <c r="AS330" s="618">
        <f t="shared" si="859"/>
        <v>152424.20000000001</v>
      </c>
      <c r="AT330" s="616">
        <f t="shared" si="796"/>
        <v>2420</v>
      </c>
      <c r="AU330" s="616">
        <f t="shared" si="797"/>
        <v>484</v>
      </c>
      <c r="AV330" s="616">
        <f t="shared" si="798"/>
        <v>25520</v>
      </c>
      <c r="AW330" s="616">
        <f t="shared" si="799"/>
        <v>47850</v>
      </c>
      <c r="AX330" s="616">
        <f t="shared" si="800"/>
        <v>5720</v>
      </c>
      <c r="AY330" s="616">
        <f t="shared" si="801"/>
        <v>29370</v>
      </c>
      <c r="AZ330" s="616">
        <f t="shared" si="802"/>
        <v>3740</v>
      </c>
      <c r="BA330" s="616">
        <f t="shared" si="803"/>
        <v>9020</v>
      </c>
      <c r="BB330" s="616">
        <f t="shared" si="804"/>
        <v>27060</v>
      </c>
      <c r="BC330" s="616">
        <f t="shared" si="805"/>
        <v>55880</v>
      </c>
      <c r="BD330" s="616">
        <f t="shared" si="806"/>
        <v>5940</v>
      </c>
      <c r="BE330" s="616">
        <f t="shared" si="807"/>
        <v>8470</v>
      </c>
      <c r="BF330" s="616">
        <f t="shared" si="808"/>
        <v>880</v>
      </c>
      <c r="BG330" s="616">
        <f t="shared" si="809"/>
        <v>1320</v>
      </c>
      <c r="BH330" s="616">
        <f t="shared" si="810"/>
        <v>147840</v>
      </c>
      <c r="BI330" s="618">
        <f t="shared" si="860"/>
        <v>113548.4</v>
      </c>
      <c r="BJ330" s="618">
        <f t="shared" si="861"/>
        <v>34291.599999999999</v>
      </c>
      <c r="BK330" s="616">
        <f t="shared" si="811"/>
        <v>38720</v>
      </c>
      <c r="BL330" s="620">
        <f t="shared" si="812"/>
        <v>1019040</v>
      </c>
      <c r="BM330" s="616">
        <f t="shared" si="813"/>
        <v>988339</v>
      </c>
      <c r="BN330" s="618">
        <f t="shared" si="814"/>
        <v>759092.9</v>
      </c>
      <c r="BO330" s="618">
        <f t="shared" si="815"/>
        <v>229246.1</v>
      </c>
      <c r="BP330" s="616">
        <f t="shared" si="862"/>
        <v>2420</v>
      </c>
      <c r="BQ330" s="616">
        <f t="shared" si="863"/>
        <v>484</v>
      </c>
      <c r="BR330" s="616">
        <f t="shared" si="864"/>
        <v>25520</v>
      </c>
      <c r="BS330" s="616">
        <f t="shared" si="816"/>
        <v>47850</v>
      </c>
      <c r="BT330" s="616">
        <f t="shared" si="817"/>
        <v>5720</v>
      </c>
      <c r="BU330" s="616">
        <f t="shared" si="818"/>
        <v>29370</v>
      </c>
      <c r="BV330" s="616">
        <f t="shared" si="819"/>
        <v>3740</v>
      </c>
      <c r="BW330" s="616">
        <f t="shared" si="820"/>
        <v>9020</v>
      </c>
      <c r="BX330" s="616">
        <f t="shared" si="821"/>
        <v>66865</v>
      </c>
      <c r="BY330" s="616">
        <f t="shared" si="822"/>
        <v>55880</v>
      </c>
      <c r="BZ330" s="616">
        <f t="shared" si="823"/>
        <v>5940</v>
      </c>
      <c r="CA330" s="616">
        <f t="shared" si="824"/>
        <v>8470</v>
      </c>
      <c r="CB330" s="616">
        <f t="shared" si="825"/>
        <v>880</v>
      </c>
      <c r="CC330" s="616">
        <f t="shared" si="826"/>
        <v>1320</v>
      </c>
      <c r="CD330" s="616">
        <f t="shared" si="827"/>
        <v>222351</v>
      </c>
      <c r="CE330" s="618">
        <f t="shared" si="865"/>
        <v>170776.5</v>
      </c>
      <c r="CF330" s="618">
        <f t="shared" si="866"/>
        <v>51574.5</v>
      </c>
      <c r="CG330" s="616">
        <f t="shared" si="828"/>
        <v>38720</v>
      </c>
      <c r="CH330" s="621">
        <f t="shared" si="829"/>
        <v>1464555</v>
      </c>
      <c r="CI330" s="88">
        <f t="shared" si="830"/>
        <v>89849</v>
      </c>
      <c r="CJ330" s="90">
        <f t="shared" si="831"/>
        <v>69008.445500000002</v>
      </c>
      <c r="CK330" s="90">
        <f t="shared" si="832"/>
        <v>20840.554499999998</v>
      </c>
      <c r="CL330" s="88">
        <f t="shared" si="833"/>
        <v>220</v>
      </c>
      <c r="CM330" s="88">
        <f t="shared" si="834"/>
        <v>44</v>
      </c>
      <c r="CN330" s="88">
        <f t="shared" si="835"/>
        <v>2320</v>
      </c>
      <c r="CO330" s="88">
        <f t="shared" si="836"/>
        <v>4350</v>
      </c>
      <c r="CP330" s="88">
        <f t="shared" si="837"/>
        <v>520</v>
      </c>
      <c r="CQ330" s="88">
        <f t="shared" si="838"/>
        <v>2670</v>
      </c>
      <c r="CR330" s="88">
        <f t="shared" si="839"/>
        <v>340</v>
      </c>
      <c r="CS330" s="88">
        <f t="shared" si="840"/>
        <v>820</v>
      </c>
      <c r="CT330" s="88">
        <f t="shared" si="841"/>
        <v>6078.6364000000003</v>
      </c>
      <c r="CU330" s="88">
        <f t="shared" si="842"/>
        <v>5080</v>
      </c>
      <c r="CV330" s="88">
        <f t="shared" si="843"/>
        <v>540</v>
      </c>
      <c r="CW330" s="88">
        <f t="shared" si="844"/>
        <v>770</v>
      </c>
      <c r="CX330" s="88">
        <f t="shared" si="845"/>
        <v>80</v>
      </c>
      <c r="CY330" s="88">
        <f t="shared" si="846"/>
        <v>120</v>
      </c>
      <c r="CZ330" s="88">
        <f t="shared" si="847"/>
        <v>20213.727299999999</v>
      </c>
      <c r="DA330" s="90">
        <f t="shared" si="848"/>
        <v>15525.136399999999</v>
      </c>
      <c r="DB330" s="90">
        <f t="shared" si="849"/>
        <v>4688.5909000000001</v>
      </c>
      <c r="DC330" s="88">
        <f t="shared" si="850"/>
        <v>3520</v>
      </c>
      <c r="DD330" s="88">
        <f t="shared" si="851"/>
        <v>133141.36360000001</v>
      </c>
      <c r="AUV330" s="699">
        <f t="shared" si="890"/>
        <v>89849</v>
      </c>
      <c r="AUW330" s="699">
        <f t="shared" si="891"/>
        <v>69008.45</v>
      </c>
      <c r="AUX330" s="699">
        <f t="shared" si="892"/>
        <v>20840.55</v>
      </c>
      <c r="AUY330" s="699">
        <f t="shared" si="867"/>
        <v>220</v>
      </c>
      <c r="AUZ330" s="699">
        <f t="shared" si="778"/>
        <v>195.87</v>
      </c>
      <c r="AVA330" s="699">
        <f t="shared" si="778"/>
        <v>0.43</v>
      </c>
      <c r="AVB330" s="699">
        <f t="shared" si="868"/>
        <v>4350</v>
      </c>
      <c r="AVC330" s="699">
        <f t="shared" si="869"/>
        <v>520</v>
      </c>
      <c r="AVD330" s="699">
        <f t="shared" si="870"/>
        <v>2670</v>
      </c>
      <c r="AVE330" s="699">
        <f t="shared" si="871"/>
        <v>340</v>
      </c>
      <c r="AVF330" s="699">
        <f t="shared" si="872"/>
        <v>820</v>
      </c>
      <c r="AVG330" s="699">
        <f t="shared" si="873"/>
        <v>6078.64</v>
      </c>
      <c r="AVH330" s="699">
        <f t="shared" si="874"/>
        <v>5080</v>
      </c>
      <c r="AVI330" s="699">
        <f t="shared" si="875"/>
        <v>540</v>
      </c>
      <c r="AVJ330" s="699">
        <f t="shared" si="876"/>
        <v>770</v>
      </c>
      <c r="AVK330" s="699">
        <f t="shared" si="877"/>
        <v>80</v>
      </c>
      <c r="AVL330" s="699">
        <f t="shared" si="878"/>
        <v>120</v>
      </c>
      <c r="AVM330" s="699">
        <f t="shared" si="879"/>
        <v>20213.73</v>
      </c>
      <c r="AVN330" s="699">
        <f t="shared" si="880"/>
        <v>15525.14</v>
      </c>
      <c r="AVO330" s="699">
        <f t="shared" si="881"/>
        <v>4688.59</v>
      </c>
      <c r="AVP330" s="699">
        <f t="shared" si="882"/>
        <v>3520</v>
      </c>
      <c r="AVQ330" s="699">
        <f t="shared" si="883"/>
        <v>133141.35999999999</v>
      </c>
    </row>
    <row r="331" spans="1:108 1244:1265" ht="30" customHeight="1" x14ac:dyDescent="0.25">
      <c r="A331" s="643">
        <v>1</v>
      </c>
      <c r="B331" s="643">
        <v>8</v>
      </c>
      <c r="C331" s="664" t="s">
        <v>22</v>
      </c>
      <c r="D331" s="2"/>
      <c r="E331" s="101" t="s">
        <v>345</v>
      </c>
      <c r="F331" s="643" t="s">
        <v>38</v>
      </c>
      <c r="G331" s="643">
        <v>2</v>
      </c>
      <c r="H331" s="658" t="s">
        <v>10</v>
      </c>
      <c r="I331" s="643">
        <v>0</v>
      </c>
      <c r="J331" s="101" t="s">
        <v>364</v>
      </c>
      <c r="K331" s="643">
        <v>3</v>
      </c>
      <c r="L331" s="683" t="s">
        <v>350</v>
      </c>
      <c r="M331" s="11" t="s">
        <v>270</v>
      </c>
      <c r="N331" s="101" t="s">
        <v>387</v>
      </c>
      <c r="O331" s="643">
        <v>1</v>
      </c>
      <c r="P331" s="632">
        <v>194</v>
      </c>
      <c r="Q331" s="632">
        <v>194</v>
      </c>
      <c r="R331" s="632">
        <v>194</v>
      </c>
      <c r="S331" s="675">
        <f>SUMIF('Территориальный кк'!$A:$A,'2020'!$B331,'Территориальный кк'!D:D)</f>
        <v>1.504</v>
      </c>
      <c r="T331" s="676">
        <f>SUMIF('Территориальный кк'!$A:$A,'2020'!$B331,'Территориальный кк'!E:E)</f>
        <v>2.4710000000000001</v>
      </c>
      <c r="U331" s="618">
        <f>SUMIFS(Нормативы!G:G,Нормативы!$B:$B,$G331,Нормативы!$D:$D,'2020'!$I331,Нормативы!$F:$F,'2020'!$K331)*O331</f>
        <v>70600</v>
      </c>
      <c r="V331" s="618">
        <f t="shared" si="852"/>
        <v>54224.3</v>
      </c>
      <c r="W331" s="618">
        <f t="shared" si="853"/>
        <v>16375.7</v>
      </c>
      <c r="X331" s="618">
        <f>SUMIFS(Нормативы!J:J,Нормативы!$B:$B,$G331,Нормативы!$D:$D,'2020'!$I331,Нормативы!$F:$F,'2020'!$K331)</f>
        <v>8860</v>
      </c>
      <c r="Y331" s="618">
        <f>SUMIFS(Нормативы!K:K,Нормативы!$B:$B,$G331,Нормативы!$D:$D,'2020'!$I331,Нормативы!$F:$F,'2020'!$K331)</f>
        <v>0</v>
      </c>
      <c r="Z331" s="618">
        <f>SUMIFS(Нормативы!L:L,Нормативы!$B:$B,$G331,Нормативы!$D:$D,'2020'!$I331,Нормативы!$F:$F,'2020'!$K331)</f>
        <v>8110</v>
      </c>
      <c r="AA331" s="618">
        <f t="shared" si="854"/>
        <v>21610</v>
      </c>
      <c r="AB331" s="618">
        <f>SUMIFS(Нормативы!N:N,Нормативы!$B:$B,$G331,Нормативы!$D:$D,'2020'!$I331,Нормативы!$F:$F,'2020'!$K331)*O331</f>
        <v>520</v>
      </c>
      <c r="AC331" s="618">
        <f>SUMIFS(Нормативы!O:O,Нормативы!$B:$B,$G331,Нормативы!$D:$D,'2020'!$I331,Нормативы!$F:$F,'2020'!$K331)</f>
        <v>19720</v>
      </c>
      <c r="AD331" s="618">
        <f>SUMIFS(Нормативы!P:P,Нормативы!$B:$B,$G331,Нормативы!$D:$D,'2020'!$I331,Нормативы!$F:$F,'2020'!$K331)*O331</f>
        <v>400</v>
      </c>
      <c r="AE331" s="618">
        <f>SUMIFS(Нормативы!Q:Q,Нормативы!$B:$B,$G331,Нормативы!$D:$D,'2020'!$I331,Нормативы!$F:$F,'2020'!$K331)</f>
        <v>970</v>
      </c>
      <c r="AF331" s="618">
        <f>SUMIFS(Нормативы!R:R,Нормативы!$B:$B,$G331,Нормативы!$D:$D,'2020'!$I331,Нормативы!$F:$F,'2020'!$K331)</f>
        <v>2680</v>
      </c>
      <c r="AG331" s="618">
        <f>SUMIFS(Нормативы!S:S,Нормативы!$B:$B,$G331,Нормативы!$D:$D,'2020'!$I331,Нормативы!$F:$F,'2020'!$K331)</f>
        <v>5800</v>
      </c>
      <c r="AH331" s="618">
        <f>SUMIFS(Нормативы!T:T,Нормативы!$B:$B,$G331,Нормативы!$D:$D,'2020'!$I331,Нормативы!$F:$F,'2020'!$K331)</f>
        <v>540</v>
      </c>
      <c r="AI331" s="618">
        <f>SUMIFS(Нормативы!U:U,Нормативы!$B:$B,$G331,Нормативы!$D:$D,'2020'!$I331,Нормативы!$F:$F,'2020'!$K331)</f>
        <v>770</v>
      </c>
      <c r="AJ331" s="618">
        <f>SUMIFS(Нормативы!V:V,Нормативы!$B:$B,$G331,Нормативы!$D:$D,'2020'!$I331,Нормативы!$F:$F,'2020'!$K331)</f>
        <v>80</v>
      </c>
      <c r="AK331" s="618">
        <f>SUMIFS(Нормативы!W:W,Нормативы!$B:$B,$G331,Нормативы!$D:$D,'2020'!$I331,Нормативы!$F:$F,'2020'!$K331)</f>
        <v>330</v>
      </c>
      <c r="AL331" s="618">
        <f>SUMIFS(Нормативы!X:X,Нормативы!$B:$B,$G331,Нормативы!$D:$D,'2020'!$I331,Нормативы!$F:$F,'2020'!$K331)*O331</f>
        <v>16120</v>
      </c>
      <c r="AM331" s="618">
        <f t="shared" si="855"/>
        <v>12381</v>
      </c>
      <c r="AN331" s="618">
        <f t="shared" si="856"/>
        <v>3739</v>
      </c>
      <c r="AO331" s="618">
        <f>SUMIFS(Нормативы!AA:AA,Нормативы!$B:$B,$G331,Нормативы!$D:$D,'2020'!$I331,Нормативы!$F:$F,'2020'!$K331)</f>
        <v>3520</v>
      </c>
      <c r="AP331" s="619">
        <f t="shared" si="857"/>
        <v>139020</v>
      </c>
      <c r="AQ331" s="413">
        <f t="shared" si="795"/>
        <v>13696400</v>
      </c>
      <c r="AR331" s="618">
        <f t="shared" si="858"/>
        <v>10519508.4</v>
      </c>
      <c r="AS331" s="618">
        <f t="shared" si="859"/>
        <v>3176891.6</v>
      </c>
      <c r="AT331" s="616">
        <f t="shared" si="796"/>
        <v>1718840</v>
      </c>
      <c r="AU331" s="616">
        <f t="shared" si="797"/>
        <v>0</v>
      </c>
      <c r="AV331" s="616">
        <f t="shared" si="798"/>
        <v>1573340</v>
      </c>
      <c r="AW331" s="616">
        <f t="shared" si="799"/>
        <v>4192340</v>
      </c>
      <c r="AX331" s="616">
        <f t="shared" si="800"/>
        <v>100880</v>
      </c>
      <c r="AY331" s="616">
        <f t="shared" si="801"/>
        <v>3825680</v>
      </c>
      <c r="AZ331" s="616">
        <f t="shared" si="802"/>
        <v>77600</v>
      </c>
      <c r="BA331" s="616">
        <f t="shared" si="803"/>
        <v>188180</v>
      </c>
      <c r="BB331" s="616">
        <f t="shared" si="804"/>
        <v>519920</v>
      </c>
      <c r="BC331" s="616">
        <f t="shared" si="805"/>
        <v>1125200</v>
      </c>
      <c r="BD331" s="616">
        <f t="shared" si="806"/>
        <v>104760</v>
      </c>
      <c r="BE331" s="616">
        <f t="shared" si="807"/>
        <v>149380</v>
      </c>
      <c r="BF331" s="616">
        <f t="shared" si="808"/>
        <v>15520</v>
      </c>
      <c r="BG331" s="616">
        <f t="shared" si="809"/>
        <v>64020</v>
      </c>
      <c r="BH331" s="616">
        <f t="shared" si="810"/>
        <v>3127280</v>
      </c>
      <c r="BI331" s="618">
        <f t="shared" si="860"/>
        <v>2401904.7999999998</v>
      </c>
      <c r="BJ331" s="618">
        <f t="shared" si="861"/>
        <v>725375.2</v>
      </c>
      <c r="BK331" s="616">
        <f t="shared" si="811"/>
        <v>682880</v>
      </c>
      <c r="BL331" s="620">
        <f t="shared" si="812"/>
        <v>26969880</v>
      </c>
      <c r="BM331" s="616">
        <f t="shared" si="813"/>
        <v>20599386</v>
      </c>
      <c r="BN331" s="618">
        <f t="shared" si="814"/>
        <v>15821341</v>
      </c>
      <c r="BO331" s="618">
        <f t="shared" si="815"/>
        <v>4778045</v>
      </c>
      <c r="BP331" s="616">
        <f t="shared" si="862"/>
        <v>1718840</v>
      </c>
      <c r="BQ331" s="616">
        <f t="shared" si="863"/>
        <v>0</v>
      </c>
      <c r="BR331" s="616">
        <f t="shared" si="864"/>
        <v>1573340</v>
      </c>
      <c r="BS331" s="616">
        <f t="shared" si="816"/>
        <v>4192340</v>
      </c>
      <c r="BT331" s="616">
        <f t="shared" si="817"/>
        <v>100880</v>
      </c>
      <c r="BU331" s="616">
        <f t="shared" si="818"/>
        <v>3825680</v>
      </c>
      <c r="BV331" s="616">
        <f t="shared" si="819"/>
        <v>77600</v>
      </c>
      <c r="BW331" s="616">
        <f t="shared" si="820"/>
        <v>188180</v>
      </c>
      <c r="BX331" s="616">
        <f t="shared" si="821"/>
        <v>1284722</v>
      </c>
      <c r="BY331" s="616">
        <f t="shared" si="822"/>
        <v>1125200</v>
      </c>
      <c r="BZ331" s="616">
        <f t="shared" si="823"/>
        <v>104760</v>
      </c>
      <c r="CA331" s="616">
        <f t="shared" si="824"/>
        <v>149380</v>
      </c>
      <c r="CB331" s="616">
        <f t="shared" si="825"/>
        <v>15520</v>
      </c>
      <c r="CC331" s="616">
        <f t="shared" si="826"/>
        <v>64020</v>
      </c>
      <c r="CD331" s="616">
        <f t="shared" si="827"/>
        <v>4703429</v>
      </c>
      <c r="CE331" s="618">
        <f t="shared" si="865"/>
        <v>3612464.7</v>
      </c>
      <c r="CF331" s="618">
        <f t="shared" si="866"/>
        <v>1090964.3</v>
      </c>
      <c r="CG331" s="616">
        <f t="shared" si="828"/>
        <v>682880</v>
      </c>
      <c r="CH331" s="621">
        <f t="shared" si="829"/>
        <v>36213817</v>
      </c>
      <c r="CI331" s="88">
        <f t="shared" si="830"/>
        <v>106182.40210000001</v>
      </c>
      <c r="CJ331" s="90">
        <f t="shared" si="831"/>
        <v>81553.304099999994</v>
      </c>
      <c r="CK331" s="90">
        <f t="shared" si="832"/>
        <v>24629.097900000001</v>
      </c>
      <c r="CL331" s="88">
        <f t="shared" si="833"/>
        <v>8860</v>
      </c>
      <c r="CM331" s="88">
        <f t="shared" si="834"/>
        <v>0</v>
      </c>
      <c r="CN331" s="88">
        <f t="shared" si="835"/>
        <v>8110</v>
      </c>
      <c r="CO331" s="88">
        <f t="shared" si="836"/>
        <v>21610</v>
      </c>
      <c r="CP331" s="88">
        <f t="shared" si="837"/>
        <v>520</v>
      </c>
      <c r="CQ331" s="88">
        <f t="shared" si="838"/>
        <v>19720</v>
      </c>
      <c r="CR331" s="88">
        <f t="shared" si="839"/>
        <v>400</v>
      </c>
      <c r="CS331" s="88">
        <f t="shared" si="840"/>
        <v>970</v>
      </c>
      <c r="CT331" s="88">
        <f t="shared" si="841"/>
        <v>6622.2784000000001</v>
      </c>
      <c r="CU331" s="88">
        <f t="shared" si="842"/>
        <v>5800</v>
      </c>
      <c r="CV331" s="88">
        <f t="shared" si="843"/>
        <v>540</v>
      </c>
      <c r="CW331" s="88">
        <f t="shared" si="844"/>
        <v>770</v>
      </c>
      <c r="CX331" s="88">
        <f t="shared" si="845"/>
        <v>80</v>
      </c>
      <c r="CY331" s="88">
        <f t="shared" si="846"/>
        <v>330</v>
      </c>
      <c r="CZ331" s="88">
        <f t="shared" si="847"/>
        <v>24244.4794</v>
      </c>
      <c r="DA331" s="90">
        <f t="shared" si="848"/>
        <v>18620.952099999999</v>
      </c>
      <c r="DB331" s="90">
        <f t="shared" si="849"/>
        <v>5623.5272999999997</v>
      </c>
      <c r="DC331" s="88">
        <f t="shared" si="850"/>
        <v>3520</v>
      </c>
      <c r="DD331" s="88">
        <f t="shared" si="851"/>
        <v>186669.15979999999</v>
      </c>
      <c r="AUV331" s="699">
        <f t="shared" si="890"/>
        <v>106182.39999999999</v>
      </c>
      <c r="AUW331" s="699">
        <f t="shared" si="891"/>
        <v>81553.3</v>
      </c>
      <c r="AUX331" s="699">
        <f t="shared" si="892"/>
        <v>24629.1</v>
      </c>
      <c r="AUY331" s="699">
        <f t="shared" si="867"/>
        <v>8860</v>
      </c>
      <c r="AUZ331" s="699">
        <f t="shared" si="778"/>
        <v>0</v>
      </c>
      <c r="AVA331" s="699">
        <f t="shared" si="778"/>
        <v>22.29</v>
      </c>
      <c r="AVB331" s="699">
        <f t="shared" si="868"/>
        <v>21610</v>
      </c>
      <c r="AVC331" s="699">
        <f t="shared" si="869"/>
        <v>520</v>
      </c>
      <c r="AVD331" s="699">
        <f t="shared" si="870"/>
        <v>19720</v>
      </c>
      <c r="AVE331" s="699">
        <f t="shared" si="871"/>
        <v>400</v>
      </c>
      <c r="AVF331" s="699">
        <f t="shared" si="872"/>
        <v>970</v>
      </c>
      <c r="AVG331" s="699">
        <f t="shared" si="873"/>
        <v>6622.28</v>
      </c>
      <c r="AVH331" s="699">
        <f t="shared" si="874"/>
        <v>5800</v>
      </c>
      <c r="AVI331" s="699">
        <f t="shared" si="875"/>
        <v>540</v>
      </c>
      <c r="AVJ331" s="699">
        <f t="shared" si="876"/>
        <v>770</v>
      </c>
      <c r="AVK331" s="699">
        <f t="shared" si="877"/>
        <v>80</v>
      </c>
      <c r="AVL331" s="699">
        <f t="shared" si="878"/>
        <v>330</v>
      </c>
      <c r="AVM331" s="699">
        <f t="shared" si="879"/>
        <v>24244.48</v>
      </c>
      <c r="AVN331" s="699">
        <f t="shared" si="880"/>
        <v>18620.95</v>
      </c>
      <c r="AVO331" s="699">
        <f t="shared" si="881"/>
        <v>5623.53</v>
      </c>
      <c r="AVP331" s="699">
        <f t="shared" si="882"/>
        <v>3520</v>
      </c>
      <c r="AVQ331" s="699">
        <f t="shared" si="883"/>
        <v>186669.16</v>
      </c>
    </row>
    <row r="332" spans="1:108 1244:1265" ht="30" customHeight="1" x14ac:dyDescent="0.25">
      <c r="A332" s="643">
        <v>1</v>
      </c>
      <c r="B332" s="643">
        <v>8</v>
      </c>
      <c r="C332" s="664" t="s">
        <v>22</v>
      </c>
      <c r="D332" s="2"/>
      <c r="E332" s="101" t="s">
        <v>345</v>
      </c>
      <c r="F332" s="643" t="s">
        <v>38</v>
      </c>
      <c r="G332" s="643">
        <v>2</v>
      </c>
      <c r="H332" s="658" t="s">
        <v>8</v>
      </c>
      <c r="I332" s="643">
        <v>3</v>
      </c>
      <c r="J332" s="101" t="s">
        <v>364</v>
      </c>
      <c r="K332" s="643">
        <v>3</v>
      </c>
      <c r="L332" s="683" t="s">
        <v>350</v>
      </c>
      <c r="M332" s="11" t="s">
        <v>307</v>
      </c>
      <c r="N332" s="101" t="s">
        <v>387</v>
      </c>
      <c r="O332" s="643">
        <v>1</v>
      </c>
      <c r="P332" s="632">
        <v>33</v>
      </c>
      <c r="Q332" s="632">
        <v>33</v>
      </c>
      <c r="R332" s="632">
        <v>33</v>
      </c>
      <c r="S332" s="675">
        <f>SUMIF('Территориальный кк'!$A:$A,'2020'!$B332,'Территориальный кк'!D:D)</f>
        <v>1.504</v>
      </c>
      <c r="T332" s="676">
        <f>SUMIF('Территориальный кк'!$A:$A,'2020'!$B332,'Территориальный кк'!E:E)</f>
        <v>2.4710000000000001</v>
      </c>
      <c r="U332" s="618">
        <f>SUMIFS(Нормативы!G:G,Нормативы!$B:$B,$G332,Нормативы!$D:$D,'2020'!$I332,Нормативы!$F:$F,'2020'!$K332)*O332</f>
        <v>12944</v>
      </c>
      <c r="V332" s="618">
        <f t="shared" si="852"/>
        <v>9941.6</v>
      </c>
      <c r="W332" s="618">
        <f t="shared" si="853"/>
        <v>3002.4</v>
      </c>
      <c r="X332" s="618">
        <f>SUMIFS(Нормативы!J:J,Нормативы!$B:$B,$G332,Нормативы!$D:$D,'2020'!$I332,Нормативы!$F:$F,'2020'!$K332)</f>
        <v>486</v>
      </c>
      <c r="Y332" s="618">
        <f>SUMIFS(Нормативы!K:K,Нормативы!$B:$B,$G332,Нормативы!$D:$D,'2020'!$I332,Нормативы!$F:$F,'2020'!$K332)</f>
        <v>97</v>
      </c>
      <c r="Z332" s="618">
        <f>SUMIFS(Нормативы!L:L,Нормативы!$B:$B,$G332,Нормативы!$D:$D,'2020'!$I332,Нормативы!$F:$F,'2020'!$K332)</f>
        <v>348</v>
      </c>
      <c r="AA332" s="618">
        <f t="shared" si="854"/>
        <v>2031</v>
      </c>
      <c r="AB332" s="618">
        <f>SUMIFS(Нормативы!N:N,Нормативы!$B:$B,$G332,Нормативы!$D:$D,'2020'!$I332,Нормативы!$F:$F,'2020'!$K332)*O332</f>
        <v>52</v>
      </c>
      <c r="AC332" s="618">
        <f>SUMIFS(Нормативы!O:O,Нормативы!$B:$B,$G332,Нормативы!$D:$D,'2020'!$I332,Нормативы!$F:$F,'2020'!$K332)</f>
        <v>1728</v>
      </c>
      <c r="AD332" s="618">
        <f>SUMIFS(Нормативы!P:P,Нормативы!$B:$B,$G332,Нормативы!$D:$D,'2020'!$I332,Нормативы!$F:$F,'2020'!$K332)*O332</f>
        <v>73</v>
      </c>
      <c r="AE332" s="618">
        <f>SUMIFS(Нормативы!Q:Q,Нормативы!$B:$B,$G332,Нормативы!$D:$D,'2020'!$I332,Нормативы!$F:$F,'2020'!$K332)</f>
        <v>178</v>
      </c>
      <c r="AF332" s="618">
        <f>SUMIFS(Нормативы!R:R,Нормативы!$B:$B,$G332,Нормативы!$D:$D,'2020'!$I332,Нормативы!$F:$F,'2020'!$K332)</f>
        <v>275</v>
      </c>
      <c r="AG332" s="618">
        <f>SUMIFS(Нормативы!S:S,Нормативы!$B:$B,$G332,Нормативы!$D:$D,'2020'!$I332,Нормативы!$F:$F,'2020'!$K332)</f>
        <v>580</v>
      </c>
      <c r="AH332" s="618">
        <f>SUMIFS(Нормативы!T:T,Нормативы!$B:$B,$G332,Нормативы!$D:$D,'2020'!$I332,Нормативы!$F:$F,'2020'!$K332)</f>
        <v>54</v>
      </c>
      <c r="AI332" s="618">
        <f>SUMIFS(Нормативы!U:U,Нормативы!$B:$B,$G332,Нормативы!$D:$D,'2020'!$I332,Нормативы!$F:$F,'2020'!$K332)</f>
        <v>77</v>
      </c>
      <c r="AJ332" s="618">
        <f>SUMIFS(Нормативы!V:V,Нормативы!$B:$B,$G332,Нормативы!$D:$D,'2020'!$I332,Нормативы!$F:$F,'2020'!$K332)</f>
        <v>8</v>
      </c>
      <c r="AK332" s="618">
        <f>SUMIFS(Нормативы!W:W,Нормативы!$B:$B,$G332,Нормативы!$D:$D,'2020'!$I332,Нормативы!$F:$F,'2020'!$K332)</f>
        <v>39</v>
      </c>
      <c r="AL332" s="618">
        <f>SUMIFS(Нормативы!X:X,Нормативы!$B:$B,$G332,Нормативы!$D:$D,'2020'!$I332,Нормативы!$F:$F,'2020'!$K332)*O332</f>
        <v>1612</v>
      </c>
      <c r="AM332" s="618">
        <f t="shared" si="855"/>
        <v>1238.0999999999999</v>
      </c>
      <c r="AN332" s="618">
        <f t="shared" si="856"/>
        <v>373.9</v>
      </c>
      <c r="AO332" s="618">
        <f>SUMIFS(Нормативы!AA:AA,Нормативы!$B:$B,$G332,Нормативы!$D:$D,'2020'!$I332,Нормативы!$F:$F,'2020'!$K332)</f>
        <v>0</v>
      </c>
      <c r="AP332" s="619">
        <f t="shared" si="857"/>
        <v>18454</v>
      </c>
      <c r="AQ332" s="413">
        <f t="shared" si="795"/>
        <v>427152</v>
      </c>
      <c r="AR332" s="618">
        <f t="shared" si="858"/>
        <v>328073.7</v>
      </c>
      <c r="AS332" s="618">
        <f t="shared" si="859"/>
        <v>99078.3</v>
      </c>
      <c r="AT332" s="616">
        <f t="shared" si="796"/>
        <v>16038</v>
      </c>
      <c r="AU332" s="616">
        <f t="shared" si="797"/>
        <v>3201</v>
      </c>
      <c r="AV332" s="616">
        <f t="shared" si="798"/>
        <v>11484</v>
      </c>
      <c r="AW332" s="616">
        <f t="shared" si="799"/>
        <v>67023</v>
      </c>
      <c r="AX332" s="616">
        <f t="shared" si="800"/>
        <v>1716</v>
      </c>
      <c r="AY332" s="616">
        <f t="shared" si="801"/>
        <v>57024</v>
      </c>
      <c r="AZ332" s="616">
        <f t="shared" si="802"/>
        <v>2409</v>
      </c>
      <c r="BA332" s="616">
        <f t="shared" si="803"/>
        <v>5874</v>
      </c>
      <c r="BB332" s="616">
        <f t="shared" si="804"/>
        <v>9075</v>
      </c>
      <c r="BC332" s="616">
        <f t="shared" si="805"/>
        <v>19140</v>
      </c>
      <c r="BD332" s="616">
        <f t="shared" si="806"/>
        <v>1782</v>
      </c>
      <c r="BE332" s="616">
        <f t="shared" si="807"/>
        <v>2541</v>
      </c>
      <c r="BF332" s="616">
        <f t="shared" si="808"/>
        <v>264</v>
      </c>
      <c r="BG332" s="616">
        <f t="shared" si="809"/>
        <v>1287</v>
      </c>
      <c r="BH332" s="616">
        <f t="shared" si="810"/>
        <v>53196</v>
      </c>
      <c r="BI332" s="618">
        <f t="shared" si="860"/>
        <v>40857.1</v>
      </c>
      <c r="BJ332" s="618">
        <f t="shared" si="861"/>
        <v>12338.9</v>
      </c>
      <c r="BK332" s="616">
        <f t="shared" si="811"/>
        <v>0</v>
      </c>
      <c r="BL332" s="620">
        <f t="shared" si="812"/>
        <v>608982</v>
      </c>
      <c r="BM332" s="616">
        <f t="shared" si="813"/>
        <v>642437</v>
      </c>
      <c r="BN332" s="618">
        <f t="shared" si="814"/>
        <v>493423.2</v>
      </c>
      <c r="BO332" s="618">
        <f t="shared" si="815"/>
        <v>149013.79999999999</v>
      </c>
      <c r="BP332" s="616">
        <f t="shared" si="862"/>
        <v>16038</v>
      </c>
      <c r="BQ332" s="616">
        <f t="shared" si="863"/>
        <v>3201</v>
      </c>
      <c r="BR332" s="616">
        <f t="shared" si="864"/>
        <v>11484</v>
      </c>
      <c r="BS332" s="616">
        <f t="shared" si="816"/>
        <v>67023</v>
      </c>
      <c r="BT332" s="616">
        <f t="shared" si="817"/>
        <v>1716</v>
      </c>
      <c r="BU332" s="616">
        <f t="shared" si="818"/>
        <v>57024</v>
      </c>
      <c r="BV332" s="616">
        <f t="shared" si="819"/>
        <v>2409</v>
      </c>
      <c r="BW332" s="616">
        <f t="shared" si="820"/>
        <v>5874</v>
      </c>
      <c r="BX332" s="616">
        <f t="shared" si="821"/>
        <v>22424</v>
      </c>
      <c r="BY332" s="616">
        <f t="shared" si="822"/>
        <v>19140</v>
      </c>
      <c r="BZ332" s="616">
        <f t="shared" si="823"/>
        <v>1782</v>
      </c>
      <c r="CA332" s="616">
        <f t="shared" si="824"/>
        <v>2541</v>
      </c>
      <c r="CB332" s="616">
        <f t="shared" si="825"/>
        <v>264</v>
      </c>
      <c r="CC332" s="616">
        <f t="shared" si="826"/>
        <v>1287</v>
      </c>
      <c r="CD332" s="616">
        <f t="shared" si="827"/>
        <v>80007</v>
      </c>
      <c r="CE332" s="618">
        <f t="shared" si="865"/>
        <v>61449.3</v>
      </c>
      <c r="CF332" s="618">
        <f t="shared" si="866"/>
        <v>18557.7</v>
      </c>
      <c r="CG332" s="616">
        <f t="shared" si="828"/>
        <v>0</v>
      </c>
      <c r="CH332" s="621">
        <f t="shared" si="829"/>
        <v>864427</v>
      </c>
      <c r="CI332" s="88">
        <f t="shared" si="830"/>
        <v>19467.787899999999</v>
      </c>
      <c r="CJ332" s="90">
        <f t="shared" si="831"/>
        <v>14952.218199999999</v>
      </c>
      <c r="CK332" s="90">
        <f t="shared" si="832"/>
        <v>4515.5697</v>
      </c>
      <c r="CL332" s="88">
        <f t="shared" si="833"/>
        <v>486</v>
      </c>
      <c r="CM332" s="88">
        <f t="shared" si="834"/>
        <v>97</v>
      </c>
      <c r="CN332" s="88">
        <f t="shared" si="835"/>
        <v>348</v>
      </c>
      <c r="CO332" s="88">
        <f t="shared" si="836"/>
        <v>2031</v>
      </c>
      <c r="CP332" s="88">
        <f t="shared" si="837"/>
        <v>52</v>
      </c>
      <c r="CQ332" s="88">
        <f t="shared" si="838"/>
        <v>1728</v>
      </c>
      <c r="CR332" s="88">
        <f t="shared" si="839"/>
        <v>73</v>
      </c>
      <c r="CS332" s="88">
        <f t="shared" si="840"/>
        <v>178</v>
      </c>
      <c r="CT332" s="88">
        <f t="shared" si="841"/>
        <v>679.51520000000005</v>
      </c>
      <c r="CU332" s="88">
        <f t="shared" si="842"/>
        <v>580</v>
      </c>
      <c r="CV332" s="88">
        <f t="shared" si="843"/>
        <v>54</v>
      </c>
      <c r="CW332" s="88">
        <f t="shared" si="844"/>
        <v>77</v>
      </c>
      <c r="CX332" s="88">
        <f t="shared" si="845"/>
        <v>8</v>
      </c>
      <c r="CY332" s="88">
        <f t="shared" si="846"/>
        <v>39</v>
      </c>
      <c r="CZ332" s="88">
        <f t="shared" si="847"/>
        <v>2424.4544999999998</v>
      </c>
      <c r="DA332" s="90">
        <f t="shared" si="848"/>
        <v>1862.1</v>
      </c>
      <c r="DB332" s="90">
        <f t="shared" si="849"/>
        <v>562.35450000000003</v>
      </c>
      <c r="DC332" s="88">
        <f t="shared" si="850"/>
        <v>0</v>
      </c>
      <c r="DD332" s="88">
        <f t="shared" si="851"/>
        <v>26194.757600000001</v>
      </c>
      <c r="AUV332" s="699">
        <f t="shared" si="890"/>
        <v>19467.79</v>
      </c>
      <c r="AUW332" s="699">
        <f t="shared" si="891"/>
        <v>14952.22</v>
      </c>
      <c r="AUX332" s="699">
        <f t="shared" si="892"/>
        <v>4515.57</v>
      </c>
      <c r="AUY332" s="699">
        <f t="shared" si="867"/>
        <v>486</v>
      </c>
      <c r="AUZ332" s="699">
        <f t="shared" si="778"/>
        <v>1295.43</v>
      </c>
      <c r="AVA332" s="699">
        <f t="shared" si="778"/>
        <v>0.89</v>
      </c>
      <c r="AVB332" s="699">
        <f t="shared" si="868"/>
        <v>2031</v>
      </c>
      <c r="AVC332" s="699">
        <f t="shared" si="869"/>
        <v>52</v>
      </c>
      <c r="AVD332" s="699">
        <f t="shared" si="870"/>
        <v>1728</v>
      </c>
      <c r="AVE332" s="699">
        <f t="shared" si="871"/>
        <v>73</v>
      </c>
      <c r="AVF332" s="699">
        <f t="shared" si="872"/>
        <v>178</v>
      </c>
      <c r="AVG332" s="699">
        <f t="shared" si="873"/>
        <v>679.52</v>
      </c>
      <c r="AVH332" s="699">
        <f t="shared" si="874"/>
        <v>580</v>
      </c>
      <c r="AVI332" s="699">
        <f t="shared" si="875"/>
        <v>54</v>
      </c>
      <c r="AVJ332" s="699">
        <f t="shared" si="876"/>
        <v>77</v>
      </c>
      <c r="AVK332" s="699">
        <f t="shared" si="877"/>
        <v>8</v>
      </c>
      <c r="AVL332" s="699">
        <f t="shared" si="878"/>
        <v>39</v>
      </c>
      <c r="AVM332" s="699">
        <f t="shared" si="879"/>
        <v>2424.4499999999998</v>
      </c>
      <c r="AVN332" s="699">
        <f t="shared" si="880"/>
        <v>1862.1</v>
      </c>
      <c r="AVO332" s="699">
        <f t="shared" si="881"/>
        <v>562.35</v>
      </c>
      <c r="AVP332" s="699">
        <f t="shared" si="882"/>
        <v>0</v>
      </c>
      <c r="AVQ332" s="699">
        <f t="shared" si="883"/>
        <v>26194.76</v>
      </c>
    </row>
    <row r="333" spans="1:108 1244:1265" ht="30" customHeight="1" x14ac:dyDescent="0.25">
      <c r="A333" s="642">
        <v>1</v>
      </c>
      <c r="B333" s="642">
        <v>8</v>
      </c>
      <c r="C333" s="663" t="s">
        <v>22</v>
      </c>
      <c r="D333" s="2"/>
      <c r="E333" s="277" t="s">
        <v>348</v>
      </c>
      <c r="F333" s="642" t="s">
        <v>40</v>
      </c>
      <c r="G333" s="642">
        <v>4</v>
      </c>
      <c r="H333" s="657" t="s">
        <v>10</v>
      </c>
      <c r="I333" s="642">
        <v>0</v>
      </c>
      <c r="J333" s="277" t="s">
        <v>391</v>
      </c>
      <c r="K333" s="642">
        <v>3</v>
      </c>
      <c r="L333" s="682" t="s">
        <v>353</v>
      </c>
      <c r="M333" s="419" t="s">
        <v>333</v>
      </c>
      <c r="N333" s="277" t="s">
        <v>387</v>
      </c>
      <c r="O333" s="642">
        <v>1</v>
      </c>
      <c r="P333" s="632"/>
      <c r="Q333" s="632"/>
      <c r="R333" s="632"/>
      <c r="S333" s="673">
        <f>SUMIF('Территориальный кк'!$A:$A,'2020'!$B333,'Территориальный кк'!F:F)</f>
        <v>1.504</v>
      </c>
      <c r="T333" s="673">
        <f>SUMIF('Территориальный кк'!$A:$A,'2020'!$B333,'Территориальный кк'!G:G)</f>
        <v>2.3980000000000001</v>
      </c>
      <c r="U333" s="624">
        <f>SUMIFS(Нормативы!G:G,Нормативы!$B:$B,$G333,Нормативы!$D:$D,'2020'!$I333,Нормативы!$F:$F,'2020'!$K333)*O333</f>
        <v>22310</v>
      </c>
      <c r="V333" s="624">
        <f t="shared" si="852"/>
        <v>17135.2</v>
      </c>
      <c r="W333" s="624">
        <f t="shared" si="853"/>
        <v>5174.8</v>
      </c>
      <c r="X333" s="624">
        <f>SUMIFS(Нормативы!J:J,Нормативы!$B:$B,$G333,Нормативы!$D:$D,'2020'!$I333,Нормативы!$F:$F,'2020'!$K333)</f>
        <v>1910</v>
      </c>
      <c r="Y333" s="624">
        <f>SUMIFS(Нормативы!K:K,Нормативы!$B:$B,$G333,Нормативы!$D:$D,'2020'!$I333,Нормативы!$F:$F,'2020'!$K333)</f>
        <v>382</v>
      </c>
      <c r="Z333" s="624">
        <f>SUMIFS(Нормативы!L:L,Нормативы!$B:$B,$G333,Нормативы!$D:$D,'2020'!$I333,Нормативы!$F:$F,'2020'!$K333)</f>
        <v>3970</v>
      </c>
      <c r="AA333" s="624">
        <f t="shared" si="854"/>
        <v>13670</v>
      </c>
      <c r="AB333" s="624">
        <f>SUMIFS(Нормативы!N:N,Нормативы!$B:$B,$G333,Нормативы!$D:$D,'2020'!$I333,Нормативы!$F:$F,'2020'!$K333)*O333</f>
        <v>460</v>
      </c>
      <c r="AC333" s="624">
        <f>SUMIFS(Нормативы!O:O,Нормативы!$B:$B,$G333,Нормативы!$D:$D,'2020'!$I333,Нормативы!$F:$F,'2020'!$K333)</f>
        <v>9200</v>
      </c>
      <c r="AD333" s="624">
        <f>SUMIFS(Нормативы!P:P,Нормативы!$B:$B,$G333,Нормативы!$D:$D,'2020'!$I333,Нормативы!$F:$F,'2020'!$K333)*O333</f>
        <v>3270</v>
      </c>
      <c r="AE333" s="624">
        <f>SUMIFS(Нормативы!Q:Q,Нормативы!$B:$B,$G333,Нормативы!$D:$D,'2020'!$I333,Нормативы!$F:$F,'2020'!$K333)</f>
        <v>740</v>
      </c>
      <c r="AF333" s="624">
        <f>SUMIFS(Нормативы!R:R,Нормативы!$B:$B,$G333,Нормативы!$D:$D,'2020'!$I333,Нормативы!$F:$F,'2020'!$K333)</f>
        <v>2120</v>
      </c>
      <c r="AG333" s="624">
        <f>SUMIFS(Нормативы!S:S,Нормативы!$B:$B,$G333,Нормативы!$D:$D,'2020'!$I333,Нормативы!$F:$F,'2020'!$K333)</f>
        <v>8620</v>
      </c>
      <c r="AH333" s="624">
        <f>SUMIFS(Нормативы!T:T,Нормативы!$B:$B,$G333,Нормативы!$D:$D,'2020'!$I333,Нормативы!$F:$F,'2020'!$K333)</f>
        <v>310</v>
      </c>
      <c r="AI333" s="624">
        <f>SUMIFS(Нормативы!U:U,Нормативы!$B:$B,$G333,Нормативы!$D:$D,'2020'!$I333,Нормативы!$F:$F,'2020'!$K333)</f>
        <v>1240</v>
      </c>
      <c r="AJ333" s="624">
        <f>SUMIFS(Нормативы!V:V,Нормативы!$B:$B,$G333,Нормативы!$D:$D,'2020'!$I333,Нормативы!$F:$F,'2020'!$K333)</f>
        <v>50</v>
      </c>
      <c r="AK333" s="624">
        <f>SUMIFS(Нормативы!W:W,Нормативы!$B:$B,$G333,Нормативы!$D:$D,'2020'!$I333,Нормативы!$F:$F,'2020'!$K333)</f>
        <v>2570</v>
      </c>
      <c r="AL333" s="624">
        <f>SUMIFS(Нормативы!X:X,Нормативы!$B:$B,$G333,Нормативы!$D:$D,'2020'!$I333,Нормативы!$F:$F,'2020'!$K333)*O333</f>
        <v>17850</v>
      </c>
      <c r="AM333" s="624">
        <f t="shared" si="855"/>
        <v>13709.7</v>
      </c>
      <c r="AN333" s="624">
        <f t="shared" si="856"/>
        <v>4140.3</v>
      </c>
      <c r="AO333" s="624">
        <f>SUMIFS(Нормативы!AA:AA,Нормативы!$B:$B,$G333,Нормативы!$D:$D,'2020'!$I333,Нормативы!$F:$F,'2020'!$K333)</f>
        <v>650</v>
      </c>
      <c r="AP333" s="621">
        <f t="shared" si="857"/>
        <v>75270</v>
      </c>
      <c r="AQ333" s="610">
        <f t="shared" si="795"/>
        <v>0</v>
      </c>
      <c r="AR333" s="624">
        <f t="shared" si="858"/>
        <v>0</v>
      </c>
      <c r="AS333" s="624">
        <f t="shared" si="859"/>
        <v>0</v>
      </c>
      <c r="AT333" s="615">
        <f t="shared" si="796"/>
        <v>0</v>
      </c>
      <c r="AU333" s="615">
        <f t="shared" si="797"/>
        <v>0</v>
      </c>
      <c r="AV333" s="615">
        <f t="shared" si="798"/>
        <v>0</v>
      </c>
      <c r="AW333" s="615">
        <f t="shared" si="799"/>
        <v>0</v>
      </c>
      <c r="AX333" s="615">
        <f t="shared" si="800"/>
        <v>0</v>
      </c>
      <c r="AY333" s="615">
        <f t="shared" si="801"/>
        <v>0</v>
      </c>
      <c r="AZ333" s="615">
        <f t="shared" si="802"/>
        <v>0</v>
      </c>
      <c r="BA333" s="615">
        <f t="shared" si="803"/>
        <v>0</v>
      </c>
      <c r="BB333" s="615">
        <f t="shared" si="804"/>
        <v>0</v>
      </c>
      <c r="BC333" s="615">
        <f t="shared" si="805"/>
        <v>0</v>
      </c>
      <c r="BD333" s="615">
        <f t="shared" si="806"/>
        <v>0</v>
      </c>
      <c r="BE333" s="615">
        <f t="shared" si="807"/>
        <v>0</v>
      </c>
      <c r="BF333" s="615">
        <f t="shared" si="808"/>
        <v>0</v>
      </c>
      <c r="BG333" s="615">
        <f t="shared" si="809"/>
        <v>0</v>
      </c>
      <c r="BH333" s="615">
        <f t="shared" si="810"/>
        <v>0</v>
      </c>
      <c r="BI333" s="624">
        <f t="shared" si="860"/>
        <v>0</v>
      </c>
      <c r="BJ333" s="624">
        <f t="shared" si="861"/>
        <v>0</v>
      </c>
      <c r="BK333" s="615">
        <f t="shared" si="811"/>
        <v>0</v>
      </c>
      <c r="BL333" s="620">
        <f t="shared" si="812"/>
        <v>0</v>
      </c>
      <c r="BM333" s="615">
        <f t="shared" si="813"/>
        <v>0</v>
      </c>
      <c r="BN333" s="624">
        <f t="shared" si="814"/>
        <v>0</v>
      </c>
      <c r="BO333" s="624">
        <f t="shared" si="815"/>
        <v>0</v>
      </c>
      <c r="BP333" s="615">
        <f t="shared" si="862"/>
        <v>0</v>
      </c>
      <c r="BQ333" s="615">
        <f t="shared" si="863"/>
        <v>0</v>
      </c>
      <c r="BR333" s="615">
        <f t="shared" si="864"/>
        <v>0</v>
      </c>
      <c r="BS333" s="615">
        <f t="shared" si="816"/>
        <v>0</v>
      </c>
      <c r="BT333" s="616">
        <f t="shared" si="817"/>
        <v>0</v>
      </c>
      <c r="BU333" s="616">
        <f t="shared" si="818"/>
        <v>0</v>
      </c>
      <c r="BV333" s="616">
        <f t="shared" si="819"/>
        <v>0</v>
      </c>
      <c r="BW333" s="616">
        <f t="shared" si="820"/>
        <v>0</v>
      </c>
      <c r="BX333" s="615">
        <f t="shared" si="821"/>
        <v>0</v>
      </c>
      <c r="BY333" s="615">
        <f t="shared" si="822"/>
        <v>0</v>
      </c>
      <c r="BZ333" s="615">
        <f t="shared" si="823"/>
        <v>0</v>
      </c>
      <c r="CA333" s="615">
        <f t="shared" si="824"/>
        <v>0</v>
      </c>
      <c r="CB333" s="615">
        <f t="shared" si="825"/>
        <v>0</v>
      </c>
      <c r="CC333" s="615">
        <f t="shared" si="826"/>
        <v>0</v>
      </c>
      <c r="CD333" s="615">
        <f t="shared" si="827"/>
        <v>0</v>
      </c>
      <c r="CE333" s="624">
        <f t="shared" si="865"/>
        <v>0</v>
      </c>
      <c r="CF333" s="624">
        <f t="shared" si="866"/>
        <v>0</v>
      </c>
      <c r="CG333" s="615">
        <f t="shared" si="828"/>
        <v>0</v>
      </c>
      <c r="CH333" s="621">
        <f t="shared" si="829"/>
        <v>0</v>
      </c>
      <c r="CI333" s="88" t="e">
        <f t="shared" si="830"/>
        <v>#DIV/0!</v>
      </c>
      <c r="CJ333" s="90" t="e">
        <f t="shared" si="831"/>
        <v>#DIV/0!</v>
      </c>
      <c r="CK333" s="90" t="e">
        <f t="shared" si="832"/>
        <v>#DIV/0!</v>
      </c>
      <c r="CL333" s="88" t="e">
        <f t="shared" si="833"/>
        <v>#DIV/0!</v>
      </c>
      <c r="CM333" s="88" t="e">
        <f t="shared" si="834"/>
        <v>#DIV/0!</v>
      </c>
      <c r="CN333" s="88" t="e">
        <f t="shared" si="835"/>
        <v>#DIV/0!</v>
      </c>
      <c r="CO333" s="88" t="e">
        <f t="shared" si="836"/>
        <v>#DIV/0!</v>
      </c>
      <c r="CP333" s="88" t="e">
        <f t="shared" si="837"/>
        <v>#DIV/0!</v>
      </c>
      <c r="CQ333" s="88" t="e">
        <f t="shared" si="838"/>
        <v>#DIV/0!</v>
      </c>
      <c r="CR333" s="88" t="e">
        <f t="shared" si="839"/>
        <v>#DIV/0!</v>
      </c>
      <c r="CS333" s="88" t="e">
        <f t="shared" si="840"/>
        <v>#DIV/0!</v>
      </c>
      <c r="CT333" s="88" t="e">
        <f t="shared" si="841"/>
        <v>#DIV/0!</v>
      </c>
      <c r="CU333" s="88" t="e">
        <f t="shared" si="842"/>
        <v>#DIV/0!</v>
      </c>
      <c r="CV333" s="88" t="e">
        <f t="shared" si="843"/>
        <v>#DIV/0!</v>
      </c>
      <c r="CW333" s="88" t="e">
        <f t="shared" si="844"/>
        <v>#DIV/0!</v>
      </c>
      <c r="CX333" s="88" t="e">
        <f t="shared" si="845"/>
        <v>#DIV/0!</v>
      </c>
      <c r="CY333" s="88" t="e">
        <f t="shared" si="846"/>
        <v>#DIV/0!</v>
      </c>
      <c r="CZ333" s="88" t="e">
        <f t="shared" si="847"/>
        <v>#DIV/0!</v>
      </c>
      <c r="DA333" s="90" t="e">
        <f t="shared" si="848"/>
        <v>#DIV/0!</v>
      </c>
      <c r="DB333" s="90" t="e">
        <f t="shared" si="849"/>
        <v>#DIV/0!</v>
      </c>
      <c r="DC333" s="88" t="e">
        <f t="shared" si="850"/>
        <v>#DIV/0!</v>
      </c>
      <c r="DD333" s="88" t="e">
        <f t="shared" si="851"/>
        <v>#DIV/0!</v>
      </c>
      <c r="AUV333" s="699">
        <v>0</v>
      </c>
      <c r="AUW333" s="699">
        <f t="shared" si="891"/>
        <v>0</v>
      </c>
      <c r="AUX333" s="699">
        <f t="shared" si="892"/>
        <v>0</v>
      </c>
      <c r="AUY333" s="699">
        <f t="shared" si="778"/>
        <v>0</v>
      </c>
      <c r="AUZ333" s="699">
        <f t="shared" si="778"/>
        <v>0</v>
      </c>
      <c r="AVA333" s="699">
        <f t="shared" si="778"/>
        <v>0</v>
      </c>
      <c r="AVB333" s="699">
        <f t="shared" si="778"/>
        <v>0</v>
      </c>
      <c r="AVC333" s="697"/>
      <c r="AVD333" s="697"/>
      <c r="AVE333" s="697"/>
      <c r="AVF333" s="697"/>
      <c r="AVG333" s="697"/>
      <c r="AVH333" s="697"/>
      <c r="AVI333" s="697"/>
      <c r="AVJ333" s="697"/>
      <c r="AVK333" s="697"/>
      <c r="AVL333" s="697"/>
      <c r="AVM333" s="697"/>
      <c r="AVN333" s="697"/>
      <c r="AVO333" s="697"/>
      <c r="AVP333" s="697"/>
      <c r="AVQ333" s="697"/>
    </row>
    <row r="334" spans="1:108 1244:1265" ht="30" customHeight="1" x14ac:dyDescent="0.25">
      <c r="A334" s="642">
        <v>1</v>
      </c>
      <c r="B334" s="642">
        <v>8</v>
      </c>
      <c r="C334" s="663" t="s">
        <v>22</v>
      </c>
      <c r="D334" s="2"/>
      <c r="E334" s="277" t="s">
        <v>348</v>
      </c>
      <c r="F334" s="642" t="s">
        <v>40</v>
      </c>
      <c r="G334" s="642">
        <v>4</v>
      </c>
      <c r="H334" s="657" t="s">
        <v>10</v>
      </c>
      <c r="I334" s="642">
        <v>0</v>
      </c>
      <c r="J334" s="277" t="s">
        <v>392</v>
      </c>
      <c r="K334" s="642">
        <v>3</v>
      </c>
      <c r="L334" s="682" t="s">
        <v>353</v>
      </c>
      <c r="M334" s="419" t="s">
        <v>334</v>
      </c>
      <c r="N334" s="277" t="s">
        <v>387</v>
      </c>
      <c r="O334" s="642">
        <v>1</v>
      </c>
      <c r="P334" s="632"/>
      <c r="Q334" s="632"/>
      <c r="R334" s="632"/>
      <c r="S334" s="673">
        <f>SUMIF('Территориальный кк'!$A:$A,'2020'!$B334,'Территориальный кк'!F:F)</f>
        <v>1.504</v>
      </c>
      <c r="T334" s="673">
        <f>SUMIF('Территориальный кк'!$A:$A,'2020'!$B334,'Территориальный кк'!G:G)</f>
        <v>2.3980000000000001</v>
      </c>
      <c r="U334" s="624">
        <f>SUMIFS(Нормативы!G:G,Нормативы!$B:$B,$G334,Нормативы!$D:$D,'2020'!$I334,Нормативы!$F:$F,'2020'!$K334)*O334</f>
        <v>22310</v>
      </c>
      <c r="V334" s="624">
        <f t="shared" si="852"/>
        <v>17135.2</v>
      </c>
      <c r="W334" s="624">
        <f t="shared" si="853"/>
        <v>5174.8</v>
      </c>
      <c r="X334" s="624">
        <f>SUMIFS(Нормативы!J:J,Нормативы!$B:$B,$G334,Нормативы!$D:$D,'2020'!$I334,Нормативы!$F:$F,'2020'!$K334)</f>
        <v>1910</v>
      </c>
      <c r="Y334" s="624">
        <f>SUMIFS(Нормативы!K:K,Нормативы!$B:$B,$G334,Нормативы!$D:$D,'2020'!$I334,Нормативы!$F:$F,'2020'!$K334)</f>
        <v>382</v>
      </c>
      <c r="Z334" s="624">
        <f>SUMIFS(Нормативы!L:L,Нормативы!$B:$B,$G334,Нормативы!$D:$D,'2020'!$I334,Нормативы!$F:$F,'2020'!$K334)</f>
        <v>3970</v>
      </c>
      <c r="AA334" s="624">
        <f t="shared" si="854"/>
        <v>13670</v>
      </c>
      <c r="AB334" s="624">
        <f>SUMIFS(Нормативы!N:N,Нормативы!$B:$B,$G334,Нормативы!$D:$D,'2020'!$I334,Нормативы!$F:$F,'2020'!$K334)*O334</f>
        <v>460</v>
      </c>
      <c r="AC334" s="624">
        <f>SUMIFS(Нормативы!O:O,Нормативы!$B:$B,$G334,Нормативы!$D:$D,'2020'!$I334,Нормативы!$F:$F,'2020'!$K334)</f>
        <v>9200</v>
      </c>
      <c r="AD334" s="624">
        <f>SUMIFS(Нормативы!P:P,Нормативы!$B:$B,$G334,Нормативы!$D:$D,'2020'!$I334,Нормативы!$F:$F,'2020'!$K334)*O334</f>
        <v>3270</v>
      </c>
      <c r="AE334" s="624">
        <f>SUMIFS(Нормативы!Q:Q,Нормативы!$B:$B,$G334,Нормативы!$D:$D,'2020'!$I334,Нормативы!$F:$F,'2020'!$K334)</f>
        <v>740</v>
      </c>
      <c r="AF334" s="624">
        <f>SUMIFS(Нормативы!R:R,Нормативы!$B:$B,$G334,Нормативы!$D:$D,'2020'!$I334,Нормативы!$F:$F,'2020'!$K334)</f>
        <v>2120</v>
      </c>
      <c r="AG334" s="624">
        <f>SUMIFS(Нормативы!S:S,Нормативы!$B:$B,$G334,Нормативы!$D:$D,'2020'!$I334,Нормативы!$F:$F,'2020'!$K334)</f>
        <v>8620</v>
      </c>
      <c r="AH334" s="624">
        <f>SUMIFS(Нормативы!T:T,Нормативы!$B:$B,$G334,Нормативы!$D:$D,'2020'!$I334,Нормативы!$F:$F,'2020'!$K334)</f>
        <v>310</v>
      </c>
      <c r="AI334" s="624">
        <f>SUMIFS(Нормативы!U:U,Нормативы!$B:$B,$G334,Нормативы!$D:$D,'2020'!$I334,Нормативы!$F:$F,'2020'!$K334)</f>
        <v>1240</v>
      </c>
      <c r="AJ334" s="624">
        <f>SUMIFS(Нормативы!V:V,Нормативы!$B:$B,$G334,Нормативы!$D:$D,'2020'!$I334,Нормативы!$F:$F,'2020'!$K334)</f>
        <v>50</v>
      </c>
      <c r="AK334" s="624">
        <f>SUMIFS(Нормативы!W:W,Нормативы!$B:$B,$G334,Нормативы!$D:$D,'2020'!$I334,Нормативы!$F:$F,'2020'!$K334)</f>
        <v>2570</v>
      </c>
      <c r="AL334" s="624">
        <f>SUMIFS(Нормативы!X:X,Нормативы!$B:$B,$G334,Нормативы!$D:$D,'2020'!$I334,Нормативы!$F:$F,'2020'!$K334)*O334</f>
        <v>17850</v>
      </c>
      <c r="AM334" s="624">
        <f t="shared" si="855"/>
        <v>13709.7</v>
      </c>
      <c r="AN334" s="624">
        <f t="shared" si="856"/>
        <v>4140.3</v>
      </c>
      <c r="AO334" s="624">
        <f>SUMIFS(Нормативы!AA:AA,Нормативы!$B:$B,$G334,Нормативы!$D:$D,'2020'!$I334,Нормативы!$F:$F,'2020'!$K334)</f>
        <v>650</v>
      </c>
      <c r="AP334" s="621">
        <f t="shared" si="857"/>
        <v>75270</v>
      </c>
      <c r="AQ334" s="610">
        <f t="shared" si="795"/>
        <v>0</v>
      </c>
      <c r="AR334" s="624">
        <f t="shared" si="858"/>
        <v>0</v>
      </c>
      <c r="AS334" s="624">
        <f t="shared" si="859"/>
        <v>0</v>
      </c>
      <c r="AT334" s="615">
        <f t="shared" si="796"/>
        <v>0</v>
      </c>
      <c r="AU334" s="615">
        <f t="shared" si="797"/>
        <v>0</v>
      </c>
      <c r="AV334" s="615">
        <f t="shared" si="798"/>
        <v>0</v>
      </c>
      <c r="AW334" s="615">
        <f t="shared" si="799"/>
        <v>0</v>
      </c>
      <c r="AX334" s="615">
        <f t="shared" si="800"/>
        <v>0</v>
      </c>
      <c r="AY334" s="615">
        <f t="shared" si="801"/>
        <v>0</v>
      </c>
      <c r="AZ334" s="615">
        <f t="shared" si="802"/>
        <v>0</v>
      </c>
      <c r="BA334" s="615">
        <f t="shared" si="803"/>
        <v>0</v>
      </c>
      <c r="BB334" s="615">
        <f t="shared" si="804"/>
        <v>0</v>
      </c>
      <c r="BC334" s="615">
        <f t="shared" si="805"/>
        <v>0</v>
      </c>
      <c r="BD334" s="615">
        <f t="shared" si="806"/>
        <v>0</v>
      </c>
      <c r="BE334" s="615">
        <f t="shared" si="807"/>
        <v>0</v>
      </c>
      <c r="BF334" s="615">
        <f t="shared" si="808"/>
        <v>0</v>
      </c>
      <c r="BG334" s="615">
        <f t="shared" si="809"/>
        <v>0</v>
      </c>
      <c r="BH334" s="615">
        <f t="shared" si="810"/>
        <v>0</v>
      </c>
      <c r="BI334" s="624">
        <f t="shared" si="860"/>
        <v>0</v>
      </c>
      <c r="BJ334" s="624">
        <f t="shared" si="861"/>
        <v>0</v>
      </c>
      <c r="BK334" s="615">
        <f t="shared" si="811"/>
        <v>0</v>
      </c>
      <c r="BL334" s="620">
        <f t="shared" si="812"/>
        <v>0</v>
      </c>
      <c r="BM334" s="615">
        <f t="shared" si="813"/>
        <v>0</v>
      </c>
      <c r="BN334" s="624">
        <f t="shared" si="814"/>
        <v>0</v>
      </c>
      <c r="BO334" s="624">
        <f t="shared" si="815"/>
        <v>0</v>
      </c>
      <c r="BP334" s="615">
        <f t="shared" si="862"/>
        <v>0</v>
      </c>
      <c r="BQ334" s="615">
        <f t="shared" si="863"/>
        <v>0</v>
      </c>
      <c r="BR334" s="615">
        <f t="shared" si="864"/>
        <v>0</v>
      </c>
      <c r="BS334" s="615">
        <f t="shared" si="816"/>
        <v>0</v>
      </c>
      <c r="BT334" s="616">
        <f t="shared" si="817"/>
        <v>0</v>
      </c>
      <c r="BU334" s="616">
        <f t="shared" si="818"/>
        <v>0</v>
      </c>
      <c r="BV334" s="616">
        <f t="shared" si="819"/>
        <v>0</v>
      </c>
      <c r="BW334" s="616">
        <f t="shared" si="820"/>
        <v>0</v>
      </c>
      <c r="BX334" s="615">
        <f t="shared" si="821"/>
        <v>0</v>
      </c>
      <c r="BY334" s="615">
        <f t="shared" si="822"/>
        <v>0</v>
      </c>
      <c r="BZ334" s="615">
        <f t="shared" si="823"/>
        <v>0</v>
      </c>
      <c r="CA334" s="615">
        <f t="shared" si="824"/>
        <v>0</v>
      </c>
      <c r="CB334" s="615">
        <f t="shared" si="825"/>
        <v>0</v>
      </c>
      <c r="CC334" s="615">
        <f t="shared" si="826"/>
        <v>0</v>
      </c>
      <c r="CD334" s="615">
        <f t="shared" si="827"/>
        <v>0</v>
      </c>
      <c r="CE334" s="624">
        <f t="shared" si="865"/>
        <v>0</v>
      </c>
      <c r="CF334" s="624">
        <f t="shared" si="866"/>
        <v>0</v>
      </c>
      <c r="CG334" s="615">
        <f t="shared" si="828"/>
        <v>0</v>
      </c>
      <c r="CH334" s="621">
        <f t="shared" si="829"/>
        <v>0</v>
      </c>
      <c r="CI334" s="88" t="e">
        <f t="shared" si="830"/>
        <v>#DIV/0!</v>
      </c>
      <c r="CJ334" s="90" t="e">
        <f t="shared" si="831"/>
        <v>#DIV/0!</v>
      </c>
      <c r="CK334" s="90" t="e">
        <f t="shared" si="832"/>
        <v>#DIV/0!</v>
      </c>
      <c r="CL334" s="88" t="e">
        <f t="shared" si="833"/>
        <v>#DIV/0!</v>
      </c>
      <c r="CM334" s="88" t="e">
        <f t="shared" si="834"/>
        <v>#DIV/0!</v>
      </c>
      <c r="CN334" s="88" t="e">
        <f t="shared" si="835"/>
        <v>#DIV/0!</v>
      </c>
      <c r="CO334" s="88" t="e">
        <f t="shared" si="836"/>
        <v>#DIV/0!</v>
      </c>
      <c r="CP334" s="88" t="e">
        <f t="shared" si="837"/>
        <v>#DIV/0!</v>
      </c>
      <c r="CQ334" s="88" t="e">
        <f t="shared" si="838"/>
        <v>#DIV/0!</v>
      </c>
      <c r="CR334" s="88" t="e">
        <f t="shared" si="839"/>
        <v>#DIV/0!</v>
      </c>
      <c r="CS334" s="88" t="e">
        <f t="shared" si="840"/>
        <v>#DIV/0!</v>
      </c>
      <c r="CT334" s="88" t="e">
        <f t="shared" si="841"/>
        <v>#DIV/0!</v>
      </c>
      <c r="CU334" s="88" t="e">
        <f t="shared" si="842"/>
        <v>#DIV/0!</v>
      </c>
      <c r="CV334" s="88" t="e">
        <f t="shared" si="843"/>
        <v>#DIV/0!</v>
      </c>
      <c r="CW334" s="88" t="e">
        <f t="shared" si="844"/>
        <v>#DIV/0!</v>
      </c>
      <c r="CX334" s="88" t="e">
        <f t="shared" si="845"/>
        <v>#DIV/0!</v>
      </c>
      <c r="CY334" s="88" t="e">
        <f t="shared" si="846"/>
        <v>#DIV/0!</v>
      </c>
      <c r="CZ334" s="88" t="e">
        <f t="shared" si="847"/>
        <v>#DIV/0!</v>
      </c>
      <c r="DA334" s="90" t="e">
        <f t="shared" si="848"/>
        <v>#DIV/0!</v>
      </c>
      <c r="DB334" s="90" t="e">
        <f t="shared" si="849"/>
        <v>#DIV/0!</v>
      </c>
      <c r="DC334" s="88" t="e">
        <f t="shared" si="850"/>
        <v>#DIV/0!</v>
      </c>
      <c r="DD334" s="88" t="e">
        <f t="shared" si="851"/>
        <v>#DIV/0!</v>
      </c>
      <c r="AUV334" s="699">
        <v>0</v>
      </c>
      <c r="AUW334" s="699">
        <f t="shared" si="891"/>
        <v>0</v>
      </c>
      <c r="AUX334" s="699">
        <f t="shared" si="892"/>
        <v>0</v>
      </c>
      <c r="AUY334" s="699">
        <f t="shared" si="778"/>
        <v>0</v>
      </c>
      <c r="AUZ334" s="699">
        <f t="shared" si="778"/>
        <v>0</v>
      </c>
      <c r="AVA334" s="699">
        <f t="shared" si="778"/>
        <v>0</v>
      </c>
      <c r="AVB334" s="699">
        <f t="shared" si="778"/>
        <v>0</v>
      </c>
      <c r="AVC334" s="697"/>
      <c r="AVD334" s="697"/>
      <c r="AVE334" s="697"/>
      <c r="AVF334" s="697"/>
      <c r="AVG334" s="697"/>
      <c r="AVH334" s="697"/>
      <c r="AVI334" s="697"/>
      <c r="AVJ334" s="697"/>
      <c r="AVK334" s="697"/>
      <c r="AVL334" s="697"/>
      <c r="AVM334" s="697"/>
      <c r="AVN334" s="697"/>
      <c r="AVO334" s="697"/>
      <c r="AVP334" s="697"/>
      <c r="AVQ334" s="697"/>
    </row>
    <row r="335" spans="1:108 1244:1265" ht="30" customHeight="1" x14ac:dyDescent="0.25">
      <c r="A335" s="642">
        <v>1</v>
      </c>
      <c r="B335" s="642">
        <v>8</v>
      </c>
      <c r="C335" s="663" t="s">
        <v>22</v>
      </c>
      <c r="D335" s="2"/>
      <c r="E335" s="277" t="s">
        <v>348</v>
      </c>
      <c r="F335" s="642" t="s">
        <v>40</v>
      </c>
      <c r="G335" s="642">
        <v>4</v>
      </c>
      <c r="H335" s="657" t="s">
        <v>10</v>
      </c>
      <c r="I335" s="642">
        <v>0</v>
      </c>
      <c r="J335" s="277" t="s">
        <v>392</v>
      </c>
      <c r="K335" s="642">
        <v>3</v>
      </c>
      <c r="L335" s="682" t="s">
        <v>353</v>
      </c>
      <c r="M335" s="419" t="s">
        <v>335</v>
      </c>
      <c r="N335" s="277" t="s">
        <v>401</v>
      </c>
      <c r="O335" s="642">
        <v>2</v>
      </c>
      <c r="P335" s="632"/>
      <c r="Q335" s="632"/>
      <c r="R335" s="632"/>
      <c r="S335" s="673">
        <f>SUMIF('Территориальный кк'!$A:$A,'2020'!$B335,'Территориальный кк'!F:F)</f>
        <v>1.504</v>
      </c>
      <c r="T335" s="673">
        <f>SUMIF('Территориальный кк'!$A:$A,'2020'!$B335,'Территориальный кк'!G:G)</f>
        <v>2.3980000000000001</v>
      </c>
      <c r="U335" s="624">
        <f>SUMIFS(Нормативы!G:G,Нормативы!$B:$B,$G335,Нормативы!$D:$D,'2020'!$I335,Нормативы!$F:$F,'2020'!$K335)*O335</f>
        <v>44620</v>
      </c>
      <c r="V335" s="624">
        <f t="shared" si="852"/>
        <v>34270.400000000001</v>
      </c>
      <c r="W335" s="624">
        <f t="shared" si="853"/>
        <v>10349.6</v>
      </c>
      <c r="X335" s="624">
        <f>SUMIFS(Нормативы!J:J,Нормативы!$B:$B,$G335,Нормативы!$D:$D,'2020'!$I335,Нормативы!$F:$F,'2020'!$K335)</f>
        <v>1910</v>
      </c>
      <c r="Y335" s="624">
        <f>SUMIFS(Нормативы!K:K,Нормативы!$B:$B,$G335,Нормативы!$D:$D,'2020'!$I335,Нормативы!$F:$F,'2020'!$K335)</f>
        <v>382</v>
      </c>
      <c r="Z335" s="624">
        <f>SUMIFS(Нормативы!L:L,Нормативы!$B:$B,$G335,Нормативы!$D:$D,'2020'!$I335,Нормативы!$F:$F,'2020'!$K335)</f>
        <v>3970</v>
      </c>
      <c r="AA335" s="624">
        <f t="shared" si="854"/>
        <v>17400</v>
      </c>
      <c r="AB335" s="624">
        <f>SUMIFS(Нормативы!N:N,Нормативы!$B:$B,$G335,Нормативы!$D:$D,'2020'!$I335,Нормативы!$F:$F,'2020'!$K335)*O335</f>
        <v>920</v>
      </c>
      <c r="AC335" s="624">
        <f>SUMIFS(Нормативы!O:O,Нормативы!$B:$B,$G335,Нормативы!$D:$D,'2020'!$I335,Нормативы!$F:$F,'2020'!$K335)</f>
        <v>9200</v>
      </c>
      <c r="AD335" s="624">
        <f>SUMIFS(Нормативы!P:P,Нормативы!$B:$B,$G335,Нормативы!$D:$D,'2020'!$I335,Нормативы!$F:$F,'2020'!$K335)*O335</f>
        <v>6540</v>
      </c>
      <c r="AE335" s="624">
        <f>SUMIFS(Нормативы!Q:Q,Нормативы!$B:$B,$G335,Нормативы!$D:$D,'2020'!$I335,Нормативы!$F:$F,'2020'!$K335)</f>
        <v>740</v>
      </c>
      <c r="AF335" s="624">
        <f>SUMIFS(Нормативы!R:R,Нормативы!$B:$B,$G335,Нормативы!$D:$D,'2020'!$I335,Нормативы!$F:$F,'2020'!$K335)</f>
        <v>2120</v>
      </c>
      <c r="AG335" s="624">
        <f>SUMIFS(Нормативы!S:S,Нормативы!$B:$B,$G335,Нормативы!$D:$D,'2020'!$I335,Нормативы!$F:$F,'2020'!$K335)</f>
        <v>8620</v>
      </c>
      <c r="AH335" s="624">
        <f>SUMIFS(Нормативы!T:T,Нормативы!$B:$B,$G335,Нормативы!$D:$D,'2020'!$I335,Нормативы!$F:$F,'2020'!$K335)</f>
        <v>310</v>
      </c>
      <c r="AI335" s="624">
        <f>SUMIFS(Нормативы!U:U,Нормативы!$B:$B,$G335,Нормативы!$D:$D,'2020'!$I335,Нормативы!$F:$F,'2020'!$K335)</f>
        <v>1240</v>
      </c>
      <c r="AJ335" s="624">
        <f>SUMIFS(Нормативы!V:V,Нормативы!$B:$B,$G335,Нормативы!$D:$D,'2020'!$I335,Нормативы!$F:$F,'2020'!$K335)</f>
        <v>50</v>
      </c>
      <c r="AK335" s="624">
        <f>SUMIFS(Нормативы!W:W,Нормативы!$B:$B,$G335,Нормативы!$D:$D,'2020'!$I335,Нормативы!$F:$F,'2020'!$K335)</f>
        <v>2570</v>
      </c>
      <c r="AL335" s="624">
        <f>SUMIFS(Нормативы!X:X,Нормативы!$B:$B,$G335,Нормативы!$D:$D,'2020'!$I335,Нормативы!$F:$F,'2020'!$K335)*O335</f>
        <v>35700</v>
      </c>
      <c r="AM335" s="624">
        <f t="shared" si="855"/>
        <v>27419.4</v>
      </c>
      <c r="AN335" s="624">
        <f t="shared" si="856"/>
        <v>8280.6</v>
      </c>
      <c r="AO335" s="624">
        <f>SUMIFS(Нормативы!AA:AA,Нормативы!$B:$B,$G335,Нормативы!$D:$D,'2020'!$I335,Нормативы!$F:$F,'2020'!$K335)</f>
        <v>650</v>
      </c>
      <c r="AP335" s="621">
        <f t="shared" si="857"/>
        <v>119160</v>
      </c>
      <c r="AQ335" s="610">
        <f t="shared" si="795"/>
        <v>0</v>
      </c>
      <c r="AR335" s="624">
        <f t="shared" si="858"/>
        <v>0</v>
      </c>
      <c r="AS335" s="624">
        <f t="shared" si="859"/>
        <v>0</v>
      </c>
      <c r="AT335" s="615">
        <f t="shared" si="796"/>
        <v>0</v>
      </c>
      <c r="AU335" s="615">
        <f t="shared" si="797"/>
        <v>0</v>
      </c>
      <c r="AV335" s="615">
        <f t="shared" si="798"/>
        <v>0</v>
      </c>
      <c r="AW335" s="615">
        <f t="shared" si="799"/>
        <v>0</v>
      </c>
      <c r="AX335" s="615">
        <f t="shared" si="800"/>
        <v>0</v>
      </c>
      <c r="AY335" s="615">
        <f t="shared" si="801"/>
        <v>0</v>
      </c>
      <c r="AZ335" s="615">
        <f t="shared" si="802"/>
        <v>0</v>
      </c>
      <c r="BA335" s="615">
        <f t="shared" si="803"/>
        <v>0</v>
      </c>
      <c r="BB335" s="615">
        <f t="shared" si="804"/>
        <v>0</v>
      </c>
      <c r="BC335" s="615">
        <f t="shared" si="805"/>
        <v>0</v>
      </c>
      <c r="BD335" s="615">
        <f t="shared" si="806"/>
        <v>0</v>
      </c>
      <c r="BE335" s="615">
        <f t="shared" si="807"/>
        <v>0</v>
      </c>
      <c r="BF335" s="615">
        <f t="shared" si="808"/>
        <v>0</v>
      </c>
      <c r="BG335" s="615">
        <f t="shared" si="809"/>
        <v>0</v>
      </c>
      <c r="BH335" s="615">
        <f t="shared" si="810"/>
        <v>0</v>
      </c>
      <c r="BI335" s="624">
        <f t="shared" si="860"/>
        <v>0</v>
      </c>
      <c r="BJ335" s="624">
        <f t="shared" si="861"/>
        <v>0</v>
      </c>
      <c r="BK335" s="615">
        <f t="shared" si="811"/>
        <v>0</v>
      </c>
      <c r="BL335" s="620">
        <f t="shared" si="812"/>
        <v>0</v>
      </c>
      <c r="BM335" s="615">
        <f t="shared" si="813"/>
        <v>0</v>
      </c>
      <c r="BN335" s="624">
        <f t="shared" si="814"/>
        <v>0</v>
      </c>
      <c r="BO335" s="624">
        <f t="shared" si="815"/>
        <v>0</v>
      </c>
      <c r="BP335" s="615">
        <f t="shared" si="862"/>
        <v>0</v>
      </c>
      <c r="BQ335" s="615">
        <f t="shared" si="863"/>
        <v>0</v>
      </c>
      <c r="BR335" s="615">
        <f t="shared" si="864"/>
        <v>0</v>
      </c>
      <c r="BS335" s="615">
        <f t="shared" si="816"/>
        <v>0</v>
      </c>
      <c r="BT335" s="616">
        <f t="shared" si="817"/>
        <v>0</v>
      </c>
      <c r="BU335" s="616">
        <f t="shared" si="818"/>
        <v>0</v>
      </c>
      <c r="BV335" s="616">
        <f t="shared" si="819"/>
        <v>0</v>
      </c>
      <c r="BW335" s="616">
        <f t="shared" si="820"/>
        <v>0</v>
      </c>
      <c r="BX335" s="615">
        <f t="shared" si="821"/>
        <v>0</v>
      </c>
      <c r="BY335" s="615">
        <f t="shared" si="822"/>
        <v>0</v>
      </c>
      <c r="BZ335" s="615">
        <f t="shared" si="823"/>
        <v>0</v>
      </c>
      <c r="CA335" s="615">
        <f t="shared" si="824"/>
        <v>0</v>
      </c>
      <c r="CB335" s="615">
        <f t="shared" si="825"/>
        <v>0</v>
      </c>
      <c r="CC335" s="615">
        <f t="shared" si="826"/>
        <v>0</v>
      </c>
      <c r="CD335" s="615">
        <f t="shared" si="827"/>
        <v>0</v>
      </c>
      <c r="CE335" s="624">
        <f t="shared" si="865"/>
        <v>0</v>
      </c>
      <c r="CF335" s="624">
        <f t="shared" si="866"/>
        <v>0</v>
      </c>
      <c r="CG335" s="615">
        <f t="shared" si="828"/>
        <v>0</v>
      </c>
      <c r="CH335" s="621">
        <f t="shared" si="829"/>
        <v>0</v>
      </c>
      <c r="CI335" s="88" t="e">
        <f t="shared" si="830"/>
        <v>#DIV/0!</v>
      </c>
      <c r="CJ335" s="90" t="e">
        <f t="shared" si="831"/>
        <v>#DIV/0!</v>
      </c>
      <c r="CK335" s="90" t="e">
        <f t="shared" si="832"/>
        <v>#DIV/0!</v>
      </c>
      <c r="CL335" s="88" t="e">
        <f t="shared" si="833"/>
        <v>#DIV/0!</v>
      </c>
      <c r="CM335" s="88" t="e">
        <f t="shared" si="834"/>
        <v>#DIV/0!</v>
      </c>
      <c r="CN335" s="88" t="e">
        <f t="shared" si="835"/>
        <v>#DIV/0!</v>
      </c>
      <c r="CO335" s="88" t="e">
        <f t="shared" si="836"/>
        <v>#DIV/0!</v>
      </c>
      <c r="CP335" s="88" t="e">
        <f t="shared" si="837"/>
        <v>#DIV/0!</v>
      </c>
      <c r="CQ335" s="88" t="e">
        <f t="shared" si="838"/>
        <v>#DIV/0!</v>
      </c>
      <c r="CR335" s="88" t="e">
        <f t="shared" si="839"/>
        <v>#DIV/0!</v>
      </c>
      <c r="CS335" s="88" t="e">
        <f t="shared" si="840"/>
        <v>#DIV/0!</v>
      </c>
      <c r="CT335" s="88" t="e">
        <f t="shared" si="841"/>
        <v>#DIV/0!</v>
      </c>
      <c r="CU335" s="88" t="e">
        <f t="shared" si="842"/>
        <v>#DIV/0!</v>
      </c>
      <c r="CV335" s="88" t="e">
        <f t="shared" si="843"/>
        <v>#DIV/0!</v>
      </c>
      <c r="CW335" s="88" t="e">
        <f t="shared" si="844"/>
        <v>#DIV/0!</v>
      </c>
      <c r="CX335" s="88" t="e">
        <f t="shared" si="845"/>
        <v>#DIV/0!</v>
      </c>
      <c r="CY335" s="88" t="e">
        <f t="shared" si="846"/>
        <v>#DIV/0!</v>
      </c>
      <c r="CZ335" s="88" t="e">
        <f t="shared" si="847"/>
        <v>#DIV/0!</v>
      </c>
      <c r="DA335" s="90" t="e">
        <f t="shared" si="848"/>
        <v>#DIV/0!</v>
      </c>
      <c r="DB335" s="90" t="e">
        <f t="shared" si="849"/>
        <v>#DIV/0!</v>
      </c>
      <c r="DC335" s="88" t="e">
        <f t="shared" si="850"/>
        <v>#DIV/0!</v>
      </c>
      <c r="DD335" s="88" t="e">
        <f t="shared" si="851"/>
        <v>#DIV/0!</v>
      </c>
      <c r="AUV335" s="699">
        <v>0</v>
      </c>
      <c r="AUW335" s="699">
        <f t="shared" si="891"/>
        <v>0</v>
      </c>
      <c r="AUX335" s="699">
        <f t="shared" si="892"/>
        <v>0</v>
      </c>
      <c r="AUY335" s="699">
        <f t="shared" si="778"/>
        <v>0</v>
      </c>
      <c r="AUZ335" s="699">
        <f t="shared" si="778"/>
        <v>0</v>
      </c>
      <c r="AVA335" s="699">
        <f t="shared" si="778"/>
        <v>0</v>
      </c>
      <c r="AVB335" s="699">
        <f t="shared" si="778"/>
        <v>0</v>
      </c>
      <c r="AVC335" s="697"/>
      <c r="AVD335" s="697"/>
      <c r="AVE335" s="697"/>
      <c r="AVF335" s="697"/>
      <c r="AVG335" s="697"/>
      <c r="AVH335" s="697"/>
      <c r="AVI335" s="697"/>
      <c r="AVJ335" s="697"/>
      <c r="AVK335" s="697"/>
      <c r="AVL335" s="697"/>
      <c r="AVM335" s="697"/>
      <c r="AVN335" s="697"/>
      <c r="AVO335" s="697"/>
      <c r="AVP335" s="697"/>
      <c r="AVQ335" s="697"/>
    </row>
    <row r="336" spans="1:108 1244:1265" ht="30" customHeight="1" x14ac:dyDescent="0.25">
      <c r="A336" s="643">
        <v>1</v>
      </c>
      <c r="B336" s="643">
        <v>8</v>
      </c>
      <c r="C336" s="664" t="s">
        <v>22</v>
      </c>
      <c r="D336" s="2"/>
      <c r="E336" s="101" t="s">
        <v>346</v>
      </c>
      <c r="F336" s="643" t="s">
        <v>39</v>
      </c>
      <c r="G336" s="643">
        <v>3</v>
      </c>
      <c r="H336" s="658" t="s">
        <v>10</v>
      </c>
      <c r="I336" s="643">
        <v>0</v>
      </c>
      <c r="J336" s="101" t="s">
        <v>365</v>
      </c>
      <c r="K336" s="643">
        <v>2</v>
      </c>
      <c r="L336" s="683" t="s">
        <v>351</v>
      </c>
      <c r="M336" s="11" t="s">
        <v>271</v>
      </c>
      <c r="N336" s="101" t="s">
        <v>387</v>
      </c>
      <c r="O336" s="643">
        <v>1</v>
      </c>
      <c r="P336" s="632">
        <v>2</v>
      </c>
      <c r="Q336" s="632">
        <v>2</v>
      </c>
      <c r="R336" s="632">
        <v>2</v>
      </c>
      <c r="S336" s="675">
        <f>SUMIF('Территориальный кк'!$A:$A,'2020'!$B336,'Территориальный кк'!D:D)</f>
        <v>1.504</v>
      </c>
      <c r="T336" s="676">
        <f>SUMIF('Территориальный кк'!$A:$A,'2020'!$B336,'Территориальный кк'!E:E)</f>
        <v>2.4710000000000001</v>
      </c>
      <c r="U336" s="618">
        <f>SUMIFS(Нормативы!G:G,Нормативы!$B:$B,$G336,Нормативы!$D:$D,'2020'!$I336,Нормативы!$F:$F,'2020'!$K336)*O336</f>
        <v>78450</v>
      </c>
      <c r="V336" s="618">
        <f t="shared" si="852"/>
        <v>60253.5</v>
      </c>
      <c r="W336" s="618">
        <f t="shared" si="853"/>
        <v>18196.5</v>
      </c>
      <c r="X336" s="618">
        <f>SUMIFS(Нормативы!J:J,Нормативы!$B:$B,$G336,Нормативы!$D:$D,'2020'!$I336,Нормативы!$F:$F,'2020'!$K336)</f>
        <v>1610</v>
      </c>
      <c r="Y336" s="618">
        <f>SUMIFS(Нормативы!K:K,Нормативы!$B:$B,$G336,Нормативы!$D:$D,'2020'!$I336,Нормативы!$F:$F,'2020'!$K336)</f>
        <v>322</v>
      </c>
      <c r="Z336" s="618">
        <f>SUMIFS(Нормативы!L:L,Нормативы!$B:$B,$G336,Нормативы!$D:$D,'2020'!$I336,Нормативы!$F:$F,'2020'!$K336)</f>
        <v>3480</v>
      </c>
      <c r="AA336" s="618">
        <f t="shared" si="854"/>
        <v>8580</v>
      </c>
      <c r="AB336" s="618">
        <f>SUMIFS(Нормативы!N:N,Нормативы!$B:$B,$G336,Нормативы!$D:$D,'2020'!$I336,Нормативы!$F:$F,'2020'!$K336)*O336</f>
        <v>880</v>
      </c>
      <c r="AC336" s="618">
        <f>SUMIFS(Нормативы!O:O,Нормативы!$B:$B,$G336,Нормативы!$D:$D,'2020'!$I336,Нормативы!$F:$F,'2020'!$K336)</f>
        <v>6180</v>
      </c>
      <c r="AD336" s="618">
        <f>SUMIFS(Нормативы!P:P,Нормативы!$B:$B,$G336,Нормативы!$D:$D,'2020'!$I336,Нормативы!$F:$F,'2020'!$K336)*O336</f>
        <v>440</v>
      </c>
      <c r="AE336" s="618">
        <f>SUMIFS(Нормативы!Q:Q,Нормативы!$B:$B,$G336,Нормативы!$D:$D,'2020'!$I336,Нормативы!$F:$F,'2020'!$K336)</f>
        <v>1080</v>
      </c>
      <c r="AF336" s="618">
        <f>SUMIFS(Нормативы!R:R,Нормативы!$B:$B,$G336,Нормативы!$D:$D,'2020'!$I336,Нормативы!$F:$F,'2020'!$K336)</f>
        <v>2490</v>
      </c>
      <c r="AG336" s="618">
        <f>SUMIFS(Нормативы!S:S,Нормативы!$B:$B,$G336,Нормативы!$D:$D,'2020'!$I336,Нормативы!$F:$F,'2020'!$K336)</f>
        <v>5800</v>
      </c>
      <c r="AH336" s="618">
        <f>SUMIFS(Нормативы!T:T,Нормативы!$B:$B,$G336,Нормативы!$D:$D,'2020'!$I336,Нормативы!$F:$F,'2020'!$K336)</f>
        <v>540</v>
      </c>
      <c r="AI336" s="618">
        <f>SUMIFS(Нормативы!U:U,Нормативы!$B:$B,$G336,Нормативы!$D:$D,'2020'!$I336,Нормативы!$F:$F,'2020'!$K336)</f>
        <v>770</v>
      </c>
      <c r="AJ336" s="618">
        <f>SUMIFS(Нормативы!V:V,Нормативы!$B:$B,$G336,Нормативы!$D:$D,'2020'!$I336,Нормативы!$F:$F,'2020'!$K336)</f>
        <v>170</v>
      </c>
      <c r="AK336" s="618">
        <f>SUMIFS(Нормативы!W:W,Нормативы!$B:$B,$G336,Нормативы!$D:$D,'2020'!$I336,Нормативы!$F:$F,'2020'!$K336)</f>
        <v>200</v>
      </c>
      <c r="AL336" s="618">
        <f>SUMIFS(Нормативы!X:X,Нормативы!$B:$B,$G336,Нормативы!$D:$D,'2020'!$I336,Нормативы!$F:$F,'2020'!$K336)*O336</f>
        <v>13440</v>
      </c>
      <c r="AM336" s="618">
        <f t="shared" si="855"/>
        <v>10322.6</v>
      </c>
      <c r="AN336" s="618">
        <f t="shared" si="856"/>
        <v>3117.4</v>
      </c>
      <c r="AO336" s="618">
        <f>SUMIFS(Нормативы!AA:AA,Нормативы!$B:$B,$G336,Нормативы!$D:$D,'2020'!$I336,Нормативы!$F:$F,'2020'!$K336)</f>
        <v>0</v>
      </c>
      <c r="AP336" s="619">
        <f t="shared" si="857"/>
        <v>115530</v>
      </c>
      <c r="AQ336" s="413">
        <f t="shared" si="795"/>
        <v>156900</v>
      </c>
      <c r="AR336" s="618">
        <f t="shared" si="858"/>
        <v>120506.9</v>
      </c>
      <c r="AS336" s="618">
        <f t="shared" si="859"/>
        <v>36393.1</v>
      </c>
      <c r="AT336" s="616">
        <f t="shared" si="796"/>
        <v>3220</v>
      </c>
      <c r="AU336" s="616">
        <f t="shared" si="797"/>
        <v>644</v>
      </c>
      <c r="AV336" s="616">
        <f t="shared" si="798"/>
        <v>6960</v>
      </c>
      <c r="AW336" s="616">
        <f t="shared" si="799"/>
        <v>17160</v>
      </c>
      <c r="AX336" s="616">
        <f t="shared" si="800"/>
        <v>1760</v>
      </c>
      <c r="AY336" s="616">
        <f t="shared" si="801"/>
        <v>12360</v>
      </c>
      <c r="AZ336" s="616">
        <f t="shared" si="802"/>
        <v>880</v>
      </c>
      <c r="BA336" s="616">
        <f t="shared" si="803"/>
        <v>2160</v>
      </c>
      <c r="BB336" s="616">
        <f t="shared" si="804"/>
        <v>4980</v>
      </c>
      <c r="BC336" s="616">
        <f t="shared" si="805"/>
        <v>11600</v>
      </c>
      <c r="BD336" s="616">
        <f t="shared" si="806"/>
        <v>1080</v>
      </c>
      <c r="BE336" s="616">
        <f t="shared" si="807"/>
        <v>1540</v>
      </c>
      <c r="BF336" s="616">
        <f t="shared" si="808"/>
        <v>340</v>
      </c>
      <c r="BG336" s="616">
        <f t="shared" si="809"/>
        <v>400</v>
      </c>
      <c r="BH336" s="616">
        <f t="shared" si="810"/>
        <v>26880</v>
      </c>
      <c r="BI336" s="618">
        <f t="shared" si="860"/>
        <v>20645.2</v>
      </c>
      <c r="BJ336" s="618">
        <f t="shared" si="861"/>
        <v>6234.8</v>
      </c>
      <c r="BK336" s="616">
        <f t="shared" si="811"/>
        <v>0</v>
      </c>
      <c r="BL336" s="620">
        <f t="shared" si="812"/>
        <v>231060</v>
      </c>
      <c r="BM336" s="616">
        <f t="shared" si="813"/>
        <v>235978</v>
      </c>
      <c r="BN336" s="618">
        <f t="shared" si="814"/>
        <v>181242.7</v>
      </c>
      <c r="BO336" s="618">
        <f t="shared" si="815"/>
        <v>54735.3</v>
      </c>
      <c r="BP336" s="616">
        <f t="shared" si="862"/>
        <v>3220</v>
      </c>
      <c r="BQ336" s="616">
        <f t="shared" si="863"/>
        <v>644</v>
      </c>
      <c r="BR336" s="616">
        <f t="shared" si="864"/>
        <v>6960</v>
      </c>
      <c r="BS336" s="616">
        <f t="shared" si="816"/>
        <v>17160</v>
      </c>
      <c r="BT336" s="616">
        <f t="shared" si="817"/>
        <v>1760</v>
      </c>
      <c r="BU336" s="616">
        <f t="shared" si="818"/>
        <v>12360</v>
      </c>
      <c r="BV336" s="616">
        <f t="shared" si="819"/>
        <v>880</v>
      </c>
      <c r="BW336" s="616">
        <f t="shared" si="820"/>
        <v>2160</v>
      </c>
      <c r="BX336" s="616">
        <f t="shared" si="821"/>
        <v>12306</v>
      </c>
      <c r="BY336" s="616">
        <f t="shared" si="822"/>
        <v>11600</v>
      </c>
      <c r="BZ336" s="616">
        <f t="shared" si="823"/>
        <v>1080</v>
      </c>
      <c r="CA336" s="616">
        <f t="shared" si="824"/>
        <v>1540</v>
      </c>
      <c r="CB336" s="616">
        <f t="shared" si="825"/>
        <v>340</v>
      </c>
      <c r="CC336" s="616">
        <f t="shared" si="826"/>
        <v>400</v>
      </c>
      <c r="CD336" s="616">
        <f t="shared" si="827"/>
        <v>40428</v>
      </c>
      <c r="CE336" s="618">
        <f t="shared" si="865"/>
        <v>31050.7</v>
      </c>
      <c r="CF336" s="618">
        <f t="shared" si="866"/>
        <v>9377.2999999999993</v>
      </c>
      <c r="CG336" s="616">
        <f t="shared" si="828"/>
        <v>0</v>
      </c>
      <c r="CH336" s="621">
        <f t="shared" si="829"/>
        <v>331012</v>
      </c>
      <c r="CI336" s="88">
        <f t="shared" si="830"/>
        <v>117989</v>
      </c>
      <c r="CJ336" s="90">
        <f t="shared" si="831"/>
        <v>90621.35</v>
      </c>
      <c r="CK336" s="90">
        <f t="shared" si="832"/>
        <v>27367.65</v>
      </c>
      <c r="CL336" s="88">
        <f t="shared" si="833"/>
        <v>1610</v>
      </c>
      <c r="CM336" s="88">
        <f t="shared" si="834"/>
        <v>322</v>
      </c>
      <c r="CN336" s="88">
        <f t="shared" si="835"/>
        <v>3480</v>
      </c>
      <c r="CO336" s="88">
        <f t="shared" si="836"/>
        <v>8580</v>
      </c>
      <c r="CP336" s="88">
        <f t="shared" si="837"/>
        <v>880</v>
      </c>
      <c r="CQ336" s="88">
        <f t="shared" si="838"/>
        <v>6180</v>
      </c>
      <c r="CR336" s="88">
        <f t="shared" si="839"/>
        <v>440</v>
      </c>
      <c r="CS336" s="88">
        <f t="shared" si="840"/>
        <v>1080</v>
      </c>
      <c r="CT336" s="88">
        <f t="shared" si="841"/>
        <v>6153</v>
      </c>
      <c r="CU336" s="88">
        <f t="shared" si="842"/>
        <v>5800</v>
      </c>
      <c r="CV336" s="88">
        <f t="shared" si="843"/>
        <v>540</v>
      </c>
      <c r="CW336" s="88">
        <f t="shared" si="844"/>
        <v>770</v>
      </c>
      <c r="CX336" s="88">
        <f t="shared" si="845"/>
        <v>170</v>
      </c>
      <c r="CY336" s="88">
        <f t="shared" si="846"/>
        <v>200</v>
      </c>
      <c r="CZ336" s="88">
        <f t="shared" si="847"/>
        <v>20214</v>
      </c>
      <c r="DA336" s="90">
        <f t="shared" si="848"/>
        <v>15525.35</v>
      </c>
      <c r="DB336" s="90">
        <f t="shared" si="849"/>
        <v>4688.6499999999996</v>
      </c>
      <c r="DC336" s="88">
        <f t="shared" si="850"/>
        <v>0</v>
      </c>
      <c r="DD336" s="88">
        <f t="shared" si="851"/>
        <v>165506</v>
      </c>
      <c r="AUV336" s="699">
        <f t="shared" si="890"/>
        <v>117989</v>
      </c>
      <c r="AUW336" s="699">
        <f t="shared" si="891"/>
        <v>90621.35</v>
      </c>
      <c r="AUX336" s="699">
        <f t="shared" si="892"/>
        <v>27367.65</v>
      </c>
      <c r="AUY336" s="699">
        <f t="shared" ref="AUY336:AUY340" si="893">BP336/P336</f>
        <v>1610</v>
      </c>
      <c r="AUZ336" s="699">
        <f t="shared" si="778"/>
        <v>260.62</v>
      </c>
      <c r="AVA336" s="699">
        <f t="shared" si="778"/>
        <v>0.09</v>
      </c>
      <c r="AVB336" s="699">
        <f t="shared" ref="AVB336:AVB340" si="894">AVC336+AVD336+AVE336+AVF336</f>
        <v>8580</v>
      </c>
      <c r="AVC336" s="699">
        <f t="shared" ref="AVC336:AVC340" si="895">BT336/P336</f>
        <v>880</v>
      </c>
      <c r="AVD336" s="699">
        <f t="shared" ref="AVD336:AVD340" si="896">BU336/P336</f>
        <v>6180</v>
      </c>
      <c r="AVE336" s="699">
        <f t="shared" ref="AVE336:AVE340" si="897">BV336/P336</f>
        <v>440</v>
      </c>
      <c r="AVF336" s="699">
        <f t="shared" ref="AVF336:AVF340" si="898">BW336/P336</f>
        <v>1080</v>
      </c>
      <c r="AVG336" s="699">
        <f t="shared" ref="AVG336:AVG340" si="899">BX336/P336</f>
        <v>6153</v>
      </c>
      <c r="AVH336" s="699">
        <f t="shared" ref="AVH336:AVH340" si="900">BY336/P336</f>
        <v>5800</v>
      </c>
      <c r="AVI336" s="699">
        <f t="shared" ref="AVI336:AVI340" si="901">BZ336/P336</f>
        <v>540</v>
      </c>
      <c r="AVJ336" s="699">
        <f t="shared" ref="AVJ336:AVJ340" si="902">CA336/P336</f>
        <v>770</v>
      </c>
      <c r="AVK336" s="699">
        <f t="shared" ref="AVK336:AVK340" si="903">CB336/P336</f>
        <v>170</v>
      </c>
      <c r="AVL336" s="699">
        <f t="shared" ref="AVL336:AVL340" si="904">CC336/P336</f>
        <v>200</v>
      </c>
      <c r="AVM336" s="699">
        <f t="shared" ref="AVM336:AVM340" si="905">CD336/P336</f>
        <v>20214</v>
      </c>
      <c r="AVN336" s="699">
        <f t="shared" ref="AVN336:AVN340" si="906">AVM336/1.302</f>
        <v>15525.35</v>
      </c>
      <c r="AVO336" s="699">
        <f t="shared" ref="AVO336:AVO340" si="907">AVM336-AVN336</f>
        <v>4688.6499999999996</v>
      </c>
      <c r="AVP336" s="699">
        <f t="shared" ref="AVP336:AVP340" si="908">CG336/P336</f>
        <v>0</v>
      </c>
      <c r="AVQ336" s="699">
        <f t="shared" ref="AVQ336:AVQ340" si="909">CH336/P336</f>
        <v>165506</v>
      </c>
    </row>
    <row r="337" spans="1:108 1244:1265" ht="30" customHeight="1" x14ac:dyDescent="0.25">
      <c r="A337" s="643">
        <v>1</v>
      </c>
      <c r="B337" s="643">
        <v>8</v>
      </c>
      <c r="C337" s="664" t="s">
        <v>22</v>
      </c>
      <c r="D337" s="2"/>
      <c r="E337" s="101" t="s">
        <v>346</v>
      </c>
      <c r="F337" s="643" t="s">
        <v>39</v>
      </c>
      <c r="G337" s="643">
        <v>3</v>
      </c>
      <c r="H337" s="658" t="s">
        <v>10</v>
      </c>
      <c r="I337" s="643">
        <v>0</v>
      </c>
      <c r="J337" s="101" t="s">
        <v>366</v>
      </c>
      <c r="K337" s="643">
        <v>3</v>
      </c>
      <c r="L337" s="683" t="s">
        <v>351</v>
      </c>
      <c r="M337" s="11" t="s">
        <v>272</v>
      </c>
      <c r="N337" s="101" t="s">
        <v>387</v>
      </c>
      <c r="O337" s="643">
        <v>1</v>
      </c>
      <c r="P337" s="632">
        <v>8</v>
      </c>
      <c r="Q337" s="632">
        <v>8</v>
      </c>
      <c r="R337" s="632">
        <v>8</v>
      </c>
      <c r="S337" s="675">
        <f>SUMIF('Территориальный кк'!$A:$A,'2020'!$B337,'Территориальный кк'!D:D)</f>
        <v>1.504</v>
      </c>
      <c r="T337" s="676">
        <f>SUMIF('Территориальный кк'!$A:$A,'2020'!$B337,'Территориальный кк'!E:E)</f>
        <v>2.4710000000000001</v>
      </c>
      <c r="U337" s="618">
        <f>SUMIFS(Нормативы!G:G,Нормативы!$B:$B,$G337,Нормативы!$D:$D,'2020'!$I337,Нормативы!$F:$F,'2020'!$K337)*O337</f>
        <v>78450</v>
      </c>
      <c r="V337" s="618">
        <f t="shared" si="852"/>
        <v>60253.5</v>
      </c>
      <c r="W337" s="618">
        <f t="shared" si="853"/>
        <v>18196.5</v>
      </c>
      <c r="X337" s="618">
        <f>SUMIFS(Нормативы!J:J,Нормативы!$B:$B,$G337,Нормативы!$D:$D,'2020'!$I337,Нормативы!$F:$F,'2020'!$K337)</f>
        <v>6840</v>
      </c>
      <c r="Y337" s="618">
        <f>SUMIFS(Нормативы!K:K,Нормативы!$B:$B,$G337,Нормативы!$D:$D,'2020'!$I337,Нормативы!$F:$F,'2020'!$K337)</f>
        <v>1368</v>
      </c>
      <c r="Z337" s="618">
        <f>SUMIFS(Нормативы!L:L,Нормативы!$B:$B,$G337,Нормативы!$D:$D,'2020'!$I337,Нормативы!$F:$F,'2020'!$K337)</f>
        <v>8110</v>
      </c>
      <c r="AA337" s="618">
        <f t="shared" si="854"/>
        <v>23360</v>
      </c>
      <c r="AB337" s="618">
        <f>SUMIFS(Нормативы!N:N,Нормативы!$B:$B,$G337,Нормативы!$D:$D,'2020'!$I337,Нормативы!$F:$F,'2020'!$K337)*O337</f>
        <v>880</v>
      </c>
      <c r="AC337" s="618">
        <f>SUMIFS(Нормативы!O:O,Нормативы!$B:$B,$G337,Нормативы!$D:$D,'2020'!$I337,Нормативы!$F:$F,'2020'!$K337)</f>
        <v>20960</v>
      </c>
      <c r="AD337" s="618">
        <f>SUMIFS(Нормативы!P:P,Нормативы!$B:$B,$G337,Нормативы!$D:$D,'2020'!$I337,Нормативы!$F:$F,'2020'!$K337)*O337</f>
        <v>440</v>
      </c>
      <c r="AE337" s="618">
        <f>SUMIFS(Нормативы!Q:Q,Нормативы!$B:$B,$G337,Нормативы!$D:$D,'2020'!$I337,Нормативы!$F:$F,'2020'!$K337)</f>
        <v>1080</v>
      </c>
      <c r="AF337" s="618">
        <f>SUMIFS(Нормативы!R:R,Нормативы!$B:$B,$G337,Нормативы!$D:$D,'2020'!$I337,Нормативы!$F:$F,'2020'!$K337)</f>
        <v>2700</v>
      </c>
      <c r="AG337" s="618">
        <f>SUMIFS(Нормативы!S:S,Нормативы!$B:$B,$G337,Нормативы!$D:$D,'2020'!$I337,Нормативы!$F:$F,'2020'!$K337)</f>
        <v>5800</v>
      </c>
      <c r="AH337" s="618">
        <f>SUMIFS(Нормативы!T:T,Нормативы!$B:$B,$G337,Нормативы!$D:$D,'2020'!$I337,Нормативы!$F:$F,'2020'!$K337)</f>
        <v>540</v>
      </c>
      <c r="AI337" s="618">
        <f>SUMIFS(Нормативы!U:U,Нормативы!$B:$B,$G337,Нормативы!$D:$D,'2020'!$I337,Нормативы!$F:$F,'2020'!$K337)</f>
        <v>770</v>
      </c>
      <c r="AJ337" s="618">
        <f>SUMIFS(Нормативы!V:V,Нормативы!$B:$B,$G337,Нормативы!$D:$D,'2020'!$I337,Нормативы!$F:$F,'2020'!$K337)</f>
        <v>170</v>
      </c>
      <c r="AK337" s="618">
        <f>SUMIFS(Нормативы!W:W,Нормативы!$B:$B,$G337,Нормативы!$D:$D,'2020'!$I337,Нормативы!$F:$F,'2020'!$K337)</f>
        <v>200</v>
      </c>
      <c r="AL337" s="618">
        <f>SUMIFS(Нормативы!X:X,Нормативы!$B:$B,$G337,Нормативы!$D:$D,'2020'!$I337,Нормативы!$F:$F,'2020'!$K337)*O337</f>
        <v>13440</v>
      </c>
      <c r="AM337" s="618">
        <f t="shared" si="855"/>
        <v>10322.6</v>
      </c>
      <c r="AN337" s="618">
        <f t="shared" si="856"/>
        <v>3117.4</v>
      </c>
      <c r="AO337" s="618">
        <f>SUMIFS(Нормативы!AA:AA,Нормативы!$B:$B,$G337,Нормативы!$D:$D,'2020'!$I337,Нормативы!$F:$F,'2020'!$K337)</f>
        <v>0</v>
      </c>
      <c r="AP337" s="619">
        <f t="shared" si="857"/>
        <v>140380</v>
      </c>
      <c r="AQ337" s="413">
        <f t="shared" si="795"/>
        <v>627600</v>
      </c>
      <c r="AR337" s="618">
        <f t="shared" si="858"/>
        <v>482027.6</v>
      </c>
      <c r="AS337" s="618">
        <f t="shared" si="859"/>
        <v>145572.4</v>
      </c>
      <c r="AT337" s="616">
        <f t="shared" si="796"/>
        <v>54720</v>
      </c>
      <c r="AU337" s="616">
        <f t="shared" si="797"/>
        <v>10944</v>
      </c>
      <c r="AV337" s="616">
        <f t="shared" si="798"/>
        <v>64880</v>
      </c>
      <c r="AW337" s="616">
        <f t="shared" si="799"/>
        <v>186880</v>
      </c>
      <c r="AX337" s="616">
        <f t="shared" si="800"/>
        <v>7040</v>
      </c>
      <c r="AY337" s="616">
        <f t="shared" si="801"/>
        <v>167680</v>
      </c>
      <c r="AZ337" s="616">
        <f t="shared" si="802"/>
        <v>3520</v>
      </c>
      <c r="BA337" s="616">
        <f t="shared" si="803"/>
        <v>8640</v>
      </c>
      <c r="BB337" s="616">
        <f t="shared" si="804"/>
        <v>21600</v>
      </c>
      <c r="BC337" s="616">
        <f t="shared" si="805"/>
        <v>46400</v>
      </c>
      <c r="BD337" s="616">
        <f t="shared" si="806"/>
        <v>4320</v>
      </c>
      <c r="BE337" s="616">
        <f t="shared" si="807"/>
        <v>6160</v>
      </c>
      <c r="BF337" s="616">
        <f t="shared" si="808"/>
        <v>1360</v>
      </c>
      <c r="BG337" s="616">
        <f t="shared" si="809"/>
        <v>1600</v>
      </c>
      <c r="BH337" s="616">
        <f t="shared" si="810"/>
        <v>107520</v>
      </c>
      <c r="BI337" s="618">
        <f t="shared" si="860"/>
        <v>82580.600000000006</v>
      </c>
      <c r="BJ337" s="618">
        <f t="shared" si="861"/>
        <v>24939.4</v>
      </c>
      <c r="BK337" s="616">
        <f t="shared" si="811"/>
        <v>0</v>
      </c>
      <c r="BL337" s="620">
        <f t="shared" si="812"/>
        <v>1123040</v>
      </c>
      <c r="BM337" s="616">
        <f t="shared" si="813"/>
        <v>943910</v>
      </c>
      <c r="BN337" s="618">
        <f t="shared" si="814"/>
        <v>724969.3</v>
      </c>
      <c r="BO337" s="618">
        <f t="shared" si="815"/>
        <v>218940.7</v>
      </c>
      <c r="BP337" s="616">
        <f t="shared" si="862"/>
        <v>54720</v>
      </c>
      <c r="BQ337" s="616">
        <f t="shared" si="863"/>
        <v>10944</v>
      </c>
      <c r="BR337" s="616">
        <f t="shared" si="864"/>
        <v>64880</v>
      </c>
      <c r="BS337" s="616">
        <f t="shared" si="816"/>
        <v>186880</v>
      </c>
      <c r="BT337" s="616">
        <f t="shared" si="817"/>
        <v>7040</v>
      </c>
      <c r="BU337" s="616">
        <f t="shared" si="818"/>
        <v>167680</v>
      </c>
      <c r="BV337" s="616">
        <f t="shared" si="819"/>
        <v>3520</v>
      </c>
      <c r="BW337" s="616">
        <f t="shared" si="820"/>
        <v>8640</v>
      </c>
      <c r="BX337" s="616">
        <f t="shared" si="821"/>
        <v>53374</v>
      </c>
      <c r="BY337" s="616">
        <f t="shared" si="822"/>
        <v>46400</v>
      </c>
      <c r="BZ337" s="616">
        <f t="shared" si="823"/>
        <v>4320</v>
      </c>
      <c r="CA337" s="616">
        <f t="shared" si="824"/>
        <v>6160</v>
      </c>
      <c r="CB337" s="616">
        <f t="shared" si="825"/>
        <v>1360</v>
      </c>
      <c r="CC337" s="616">
        <f t="shared" si="826"/>
        <v>1600</v>
      </c>
      <c r="CD337" s="616">
        <f t="shared" si="827"/>
        <v>161710</v>
      </c>
      <c r="CE337" s="618">
        <f t="shared" si="865"/>
        <v>124201.2</v>
      </c>
      <c r="CF337" s="618">
        <f t="shared" si="866"/>
        <v>37508.800000000003</v>
      </c>
      <c r="CG337" s="616">
        <f t="shared" si="828"/>
        <v>0</v>
      </c>
      <c r="CH337" s="621">
        <f t="shared" si="829"/>
        <v>1525314</v>
      </c>
      <c r="CI337" s="88">
        <f t="shared" si="830"/>
        <v>117988.75</v>
      </c>
      <c r="CJ337" s="90">
        <f t="shared" si="831"/>
        <v>90621.162500000006</v>
      </c>
      <c r="CK337" s="90">
        <f t="shared" si="832"/>
        <v>27367.587500000001</v>
      </c>
      <c r="CL337" s="88">
        <f t="shared" si="833"/>
        <v>6840</v>
      </c>
      <c r="CM337" s="88">
        <f t="shared" si="834"/>
        <v>1368</v>
      </c>
      <c r="CN337" s="88">
        <f t="shared" si="835"/>
        <v>8110</v>
      </c>
      <c r="CO337" s="88">
        <f t="shared" si="836"/>
        <v>23360</v>
      </c>
      <c r="CP337" s="88">
        <f t="shared" si="837"/>
        <v>880</v>
      </c>
      <c r="CQ337" s="88">
        <f t="shared" si="838"/>
        <v>20960</v>
      </c>
      <c r="CR337" s="88">
        <f t="shared" si="839"/>
        <v>440</v>
      </c>
      <c r="CS337" s="88">
        <f t="shared" si="840"/>
        <v>1080</v>
      </c>
      <c r="CT337" s="88">
        <f t="shared" si="841"/>
        <v>6671.75</v>
      </c>
      <c r="CU337" s="88">
        <f t="shared" si="842"/>
        <v>5800</v>
      </c>
      <c r="CV337" s="88">
        <f t="shared" si="843"/>
        <v>540</v>
      </c>
      <c r="CW337" s="88">
        <f t="shared" si="844"/>
        <v>770</v>
      </c>
      <c r="CX337" s="88">
        <f t="shared" si="845"/>
        <v>170</v>
      </c>
      <c r="CY337" s="88">
        <f t="shared" si="846"/>
        <v>200</v>
      </c>
      <c r="CZ337" s="88">
        <f t="shared" si="847"/>
        <v>20213.75</v>
      </c>
      <c r="DA337" s="90">
        <f t="shared" si="848"/>
        <v>15525.15</v>
      </c>
      <c r="DB337" s="90">
        <f t="shared" si="849"/>
        <v>4688.6000000000004</v>
      </c>
      <c r="DC337" s="88">
        <f t="shared" si="850"/>
        <v>0</v>
      </c>
      <c r="DD337" s="88">
        <f t="shared" si="851"/>
        <v>190664.25</v>
      </c>
      <c r="AUV337" s="699">
        <f t="shared" si="890"/>
        <v>117988.75</v>
      </c>
      <c r="AUW337" s="699">
        <f t="shared" si="891"/>
        <v>90621.16</v>
      </c>
      <c r="AUX337" s="699">
        <f t="shared" si="892"/>
        <v>27367.59</v>
      </c>
      <c r="AUY337" s="699">
        <f t="shared" si="893"/>
        <v>6840</v>
      </c>
      <c r="AUZ337" s="699">
        <f t="shared" si="778"/>
        <v>4428.9799999999996</v>
      </c>
      <c r="AVA337" s="699">
        <f t="shared" si="778"/>
        <v>0.83</v>
      </c>
      <c r="AVB337" s="699">
        <f t="shared" si="894"/>
        <v>23360</v>
      </c>
      <c r="AVC337" s="699">
        <f t="shared" si="895"/>
        <v>880</v>
      </c>
      <c r="AVD337" s="699">
        <f t="shared" si="896"/>
        <v>20960</v>
      </c>
      <c r="AVE337" s="699">
        <f t="shared" si="897"/>
        <v>440</v>
      </c>
      <c r="AVF337" s="699">
        <f t="shared" si="898"/>
        <v>1080</v>
      </c>
      <c r="AVG337" s="699">
        <f t="shared" si="899"/>
        <v>6671.75</v>
      </c>
      <c r="AVH337" s="699">
        <f t="shared" si="900"/>
        <v>5800</v>
      </c>
      <c r="AVI337" s="699">
        <f t="shared" si="901"/>
        <v>540</v>
      </c>
      <c r="AVJ337" s="699">
        <f t="shared" si="902"/>
        <v>770</v>
      </c>
      <c r="AVK337" s="699">
        <f t="shared" si="903"/>
        <v>170</v>
      </c>
      <c r="AVL337" s="699">
        <f t="shared" si="904"/>
        <v>200</v>
      </c>
      <c r="AVM337" s="699">
        <f t="shared" si="905"/>
        <v>20213.75</v>
      </c>
      <c r="AVN337" s="699">
        <f t="shared" si="906"/>
        <v>15525.15</v>
      </c>
      <c r="AVO337" s="699">
        <f t="shared" si="907"/>
        <v>4688.6000000000004</v>
      </c>
      <c r="AVP337" s="699">
        <f t="shared" si="908"/>
        <v>0</v>
      </c>
      <c r="AVQ337" s="699">
        <f t="shared" si="909"/>
        <v>190664.25</v>
      </c>
    </row>
    <row r="338" spans="1:108 1244:1265" ht="30" customHeight="1" x14ac:dyDescent="0.25">
      <c r="A338" s="643">
        <v>1</v>
      </c>
      <c r="B338" s="643">
        <v>8</v>
      </c>
      <c r="C338" s="664" t="s">
        <v>22</v>
      </c>
      <c r="D338" s="2"/>
      <c r="E338" s="101" t="s">
        <v>346</v>
      </c>
      <c r="F338" s="643" t="s">
        <v>39</v>
      </c>
      <c r="G338" s="643">
        <v>3</v>
      </c>
      <c r="H338" s="658" t="s">
        <v>10</v>
      </c>
      <c r="I338" s="643">
        <v>0</v>
      </c>
      <c r="J338" s="101" t="s">
        <v>367</v>
      </c>
      <c r="K338" s="643">
        <v>3</v>
      </c>
      <c r="L338" s="683" t="s">
        <v>351</v>
      </c>
      <c r="M338" s="11" t="s">
        <v>273</v>
      </c>
      <c r="N338" s="101" t="s">
        <v>387</v>
      </c>
      <c r="O338" s="643">
        <v>1</v>
      </c>
      <c r="P338" s="632">
        <v>4</v>
      </c>
      <c r="Q338" s="632">
        <v>4</v>
      </c>
      <c r="R338" s="632">
        <v>4</v>
      </c>
      <c r="S338" s="675">
        <f>SUMIF('Территориальный кк'!$A:$A,'2020'!$B338,'Территориальный кк'!D:D)</f>
        <v>1.504</v>
      </c>
      <c r="T338" s="676">
        <f>SUMIF('Территориальный кк'!$A:$A,'2020'!$B338,'Территориальный кк'!E:E)</f>
        <v>2.4710000000000001</v>
      </c>
      <c r="U338" s="618">
        <f>SUMIFS(Нормативы!G:G,Нормативы!$B:$B,$G338,Нормативы!$D:$D,'2020'!$I338,Нормативы!$F:$F,'2020'!$K338)*O338</f>
        <v>78450</v>
      </c>
      <c r="V338" s="618">
        <f t="shared" si="852"/>
        <v>60253.5</v>
      </c>
      <c r="W338" s="618">
        <f t="shared" si="853"/>
        <v>18196.5</v>
      </c>
      <c r="X338" s="618">
        <f>SUMIFS(Нормативы!J:J,Нормативы!$B:$B,$G338,Нормативы!$D:$D,'2020'!$I338,Нормативы!$F:$F,'2020'!$K338)</f>
        <v>6840</v>
      </c>
      <c r="Y338" s="618">
        <f>SUMIFS(Нормативы!K:K,Нормативы!$B:$B,$G338,Нормативы!$D:$D,'2020'!$I338,Нормативы!$F:$F,'2020'!$K338)</f>
        <v>1368</v>
      </c>
      <c r="Z338" s="618">
        <f>SUMIFS(Нормативы!L:L,Нормативы!$B:$B,$G338,Нормативы!$D:$D,'2020'!$I338,Нормативы!$F:$F,'2020'!$K338)</f>
        <v>8110</v>
      </c>
      <c r="AA338" s="618">
        <f t="shared" si="854"/>
        <v>23360</v>
      </c>
      <c r="AB338" s="618">
        <f>SUMIFS(Нормативы!N:N,Нормативы!$B:$B,$G338,Нормативы!$D:$D,'2020'!$I338,Нормативы!$F:$F,'2020'!$K338)*O338</f>
        <v>880</v>
      </c>
      <c r="AC338" s="618">
        <f>SUMIFS(Нормативы!O:O,Нормативы!$B:$B,$G338,Нормативы!$D:$D,'2020'!$I338,Нормативы!$F:$F,'2020'!$K338)</f>
        <v>20960</v>
      </c>
      <c r="AD338" s="618">
        <f>SUMIFS(Нормативы!P:P,Нормативы!$B:$B,$G338,Нормативы!$D:$D,'2020'!$I338,Нормативы!$F:$F,'2020'!$K338)*O338</f>
        <v>440</v>
      </c>
      <c r="AE338" s="618">
        <f>SUMIFS(Нормативы!Q:Q,Нормативы!$B:$B,$G338,Нормативы!$D:$D,'2020'!$I338,Нормативы!$F:$F,'2020'!$K338)</f>
        <v>1080</v>
      </c>
      <c r="AF338" s="618">
        <f>SUMIFS(Нормативы!R:R,Нормативы!$B:$B,$G338,Нормативы!$D:$D,'2020'!$I338,Нормативы!$F:$F,'2020'!$K338)</f>
        <v>2700</v>
      </c>
      <c r="AG338" s="618">
        <f>SUMIFS(Нормативы!S:S,Нормативы!$B:$B,$G338,Нормативы!$D:$D,'2020'!$I338,Нормативы!$F:$F,'2020'!$K338)</f>
        <v>5800</v>
      </c>
      <c r="AH338" s="618">
        <f>SUMIFS(Нормативы!T:T,Нормативы!$B:$B,$G338,Нормативы!$D:$D,'2020'!$I338,Нормативы!$F:$F,'2020'!$K338)</f>
        <v>540</v>
      </c>
      <c r="AI338" s="618">
        <f>SUMIFS(Нормативы!U:U,Нормативы!$B:$B,$G338,Нормативы!$D:$D,'2020'!$I338,Нормативы!$F:$F,'2020'!$K338)</f>
        <v>770</v>
      </c>
      <c r="AJ338" s="618">
        <f>SUMIFS(Нормативы!V:V,Нормативы!$B:$B,$G338,Нормативы!$D:$D,'2020'!$I338,Нормативы!$F:$F,'2020'!$K338)</f>
        <v>170</v>
      </c>
      <c r="AK338" s="618">
        <f>SUMIFS(Нормативы!W:W,Нормативы!$B:$B,$G338,Нормативы!$D:$D,'2020'!$I338,Нормативы!$F:$F,'2020'!$K338)</f>
        <v>200</v>
      </c>
      <c r="AL338" s="618">
        <f>SUMIFS(Нормативы!X:X,Нормативы!$B:$B,$G338,Нормативы!$D:$D,'2020'!$I338,Нормативы!$F:$F,'2020'!$K338)*O338</f>
        <v>13440</v>
      </c>
      <c r="AM338" s="618">
        <f t="shared" si="855"/>
        <v>10322.6</v>
      </c>
      <c r="AN338" s="618">
        <f t="shared" si="856"/>
        <v>3117.4</v>
      </c>
      <c r="AO338" s="618">
        <f>SUMIFS(Нормативы!AA:AA,Нормативы!$B:$B,$G338,Нормативы!$D:$D,'2020'!$I338,Нормативы!$F:$F,'2020'!$K338)</f>
        <v>0</v>
      </c>
      <c r="AP338" s="619">
        <f t="shared" si="857"/>
        <v>140380</v>
      </c>
      <c r="AQ338" s="413">
        <f t="shared" si="795"/>
        <v>313800</v>
      </c>
      <c r="AR338" s="618">
        <f t="shared" si="858"/>
        <v>241013.8</v>
      </c>
      <c r="AS338" s="618">
        <f t="shared" si="859"/>
        <v>72786.2</v>
      </c>
      <c r="AT338" s="616">
        <f t="shared" si="796"/>
        <v>27360</v>
      </c>
      <c r="AU338" s="616">
        <f t="shared" si="797"/>
        <v>5472</v>
      </c>
      <c r="AV338" s="616">
        <f t="shared" si="798"/>
        <v>32440</v>
      </c>
      <c r="AW338" s="616">
        <f t="shared" si="799"/>
        <v>93440</v>
      </c>
      <c r="AX338" s="616">
        <f t="shared" si="800"/>
        <v>3520</v>
      </c>
      <c r="AY338" s="616">
        <f t="shared" si="801"/>
        <v>83840</v>
      </c>
      <c r="AZ338" s="616">
        <f t="shared" si="802"/>
        <v>1760</v>
      </c>
      <c r="BA338" s="616">
        <f t="shared" si="803"/>
        <v>4320</v>
      </c>
      <c r="BB338" s="616">
        <f t="shared" si="804"/>
        <v>10800</v>
      </c>
      <c r="BC338" s="616">
        <f t="shared" si="805"/>
        <v>23200</v>
      </c>
      <c r="BD338" s="616">
        <f t="shared" si="806"/>
        <v>2160</v>
      </c>
      <c r="BE338" s="616">
        <f t="shared" si="807"/>
        <v>3080</v>
      </c>
      <c r="BF338" s="616">
        <f t="shared" si="808"/>
        <v>680</v>
      </c>
      <c r="BG338" s="616">
        <f t="shared" si="809"/>
        <v>800</v>
      </c>
      <c r="BH338" s="616">
        <f t="shared" si="810"/>
        <v>53760</v>
      </c>
      <c r="BI338" s="618">
        <f t="shared" si="860"/>
        <v>41290.300000000003</v>
      </c>
      <c r="BJ338" s="618">
        <f t="shared" si="861"/>
        <v>12469.7</v>
      </c>
      <c r="BK338" s="616">
        <f t="shared" si="811"/>
        <v>0</v>
      </c>
      <c r="BL338" s="620">
        <f t="shared" si="812"/>
        <v>561520</v>
      </c>
      <c r="BM338" s="616">
        <f t="shared" si="813"/>
        <v>471955</v>
      </c>
      <c r="BN338" s="618">
        <f t="shared" si="814"/>
        <v>362484.6</v>
      </c>
      <c r="BO338" s="618">
        <f t="shared" si="815"/>
        <v>109470.39999999999</v>
      </c>
      <c r="BP338" s="616">
        <f t="shared" si="862"/>
        <v>27360</v>
      </c>
      <c r="BQ338" s="616">
        <f t="shared" si="863"/>
        <v>5472</v>
      </c>
      <c r="BR338" s="616">
        <f t="shared" si="864"/>
        <v>32440</v>
      </c>
      <c r="BS338" s="616">
        <f t="shared" si="816"/>
        <v>93440</v>
      </c>
      <c r="BT338" s="616">
        <f t="shared" si="817"/>
        <v>3520</v>
      </c>
      <c r="BU338" s="616">
        <f t="shared" si="818"/>
        <v>83840</v>
      </c>
      <c r="BV338" s="616">
        <f t="shared" si="819"/>
        <v>1760</v>
      </c>
      <c r="BW338" s="616">
        <f t="shared" si="820"/>
        <v>4320</v>
      </c>
      <c r="BX338" s="616">
        <f t="shared" si="821"/>
        <v>26687</v>
      </c>
      <c r="BY338" s="616">
        <f t="shared" si="822"/>
        <v>23200</v>
      </c>
      <c r="BZ338" s="616">
        <f t="shared" si="823"/>
        <v>2160</v>
      </c>
      <c r="CA338" s="616">
        <f t="shared" si="824"/>
        <v>3080</v>
      </c>
      <c r="CB338" s="616">
        <f t="shared" si="825"/>
        <v>680</v>
      </c>
      <c r="CC338" s="616">
        <f t="shared" si="826"/>
        <v>800</v>
      </c>
      <c r="CD338" s="616">
        <f t="shared" si="827"/>
        <v>80855</v>
      </c>
      <c r="CE338" s="618">
        <f t="shared" si="865"/>
        <v>62100.6</v>
      </c>
      <c r="CF338" s="618">
        <f t="shared" si="866"/>
        <v>18754.400000000001</v>
      </c>
      <c r="CG338" s="616">
        <f t="shared" si="828"/>
        <v>0</v>
      </c>
      <c r="CH338" s="621">
        <f t="shared" si="829"/>
        <v>762657</v>
      </c>
      <c r="CI338" s="88">
        <f t="shared" si="830"/>
        <v>117988.75</v>
      </c>
      <c r="CJ338" s="90">
        <f t="shared" si="831"/>
        <v>90621.15</v>
      </c>
      <c r="CK338" s="90">
        <f t="shared" si="832"/>
        <v>27367.599999999999</v>
      </c>
      <c r="CL338" s="88">
        <f t="shared" si="833"/>
        <v>6840</v>
      </c>
      <c r="CM338" s="88">
        <f t="shared" si="834"/>
        <v>1368</v>
      </c>
      <c r="CN338" s="88">
        <f t="shared" si="835"/>
        <v>8110</v>
      </c>
      <c r="CO338" s="88">
        <f t="shared" si="836"/>
        <v>23360</v>
      </c>
      <c r="CP338" s="88">
        <f t="shared" si="837"/>
        <v>880</v>
      </c>
      <c r="CQ338" s="88">
        <f t="shared" si="838"/>
        <v>20960</v>
      </c>
      <c r="CR338" s="88">
        <f t="shared" si="839"/>
        <v>440</v>
      </c>
      <c r="CS338" s="88">
        <f t="shared" si="840"/>
        <v>1080</v>
      </c>
      <c r="CT338" s="88">
        <f t="shared" si="841"/>
        <v>6671.75</v>
      </c>
      <c r="CU338" s="88">
        <f t="shared" si="842"/>
        <v>5800</v>
      </c>
      <c r="CV338" s="88">
        <f t="shared" si="843"/>
        <v>540</v>
      </c>
      <c r="CW338" s="88">
        <f t="shared" si="844"/>
        <v>770</v>
      </c>
      <c r="CX338" s="88">
        <f t="shared" si="845"/>
        <v>170</v>
      </c>
      <c r="CY338" s="88">
        <f t="shared" si="846"/>
        <v>200</v>
      </c>
      <c r="CZ338" s="88">
        <f t="shared" si="847"/>
        <v>20213.75</v>
      </c>
      <c r="DA338" s="90">
        <f t="shared" si="848"/>
        <v>15525.15</v>
      </c>
      <c r="DB338" s="90">
        <f t="shared" si="849"/>
        <v>4688.6000000000004</v>
      </c>
      <c r="DC338" s="88">
        <f t="shared" si="850"/>
        <v>0</v>
      </c>
      <c r="DD338" s="88">
        <f t="shared" si="851"/>
        <v>190664.25</v>
      </c>
      <c r="AUV338" s="699">
        <f t="shared" si="890"/>
        <v>117988.75</v>
      </c>
      <c r="AUW338" s="699">
        <f t="shared" si="891"/>
        <v>90621.16</v>
      </c>
      <c r="AUX338" s="699">
        <f t="shared" si="892"/>
        <v>27367.59</v>
      </c>
      <c r="AUY338" s="699">
        <f t="shared" si="893"/>
        <v>6840</v>
      </c>
      <c r="AUZ338" s="699">
        <f t="shared" si="778"/>
        <v>2214.4899999999998</v>
      </c>
      <c r="AVA338" s="699">
        <f t="shared" si="778"/>
        <v>0.41</v>
      </c>
      <c r="AVB338" s="699">
        <f t="shared" si="894"/>
        <v>23360</v>
      </c>
      <c r="AVC338" s="699">
        <f t="shared" si="895"/>
        <v>880</v>
      </c>
      <c r="AVD338" s="699">
        <f t="shared" si="896"/>
        <v>20960</v>
      </c>
      <c r="AVE338" s="699">
        <f t="shared" si="897"/>
        <v>440</v>
      </c>
      <c r="AVF338" s="699">
        <f t="shared" si="898"/>
        <v>1080</v>
      </c>
      <c r="AVG338" s="699">
        <f t="shared" si="899"/>
        <v>6671.75</v>
      </c>
      <c r="AVH338" s="699">
        <f t="shared" si="900"/>
        <v>5800</v>
      </c>
      <c r="AVI338" s="699">
        <f t="shared" si="901"/>
        <v>540</v>
      </c>
      <c r="AVJ338" s="699">
        <f t="shared" si="902"/>
        <v>770</v>
      </c>
      <c r="AVK338" s="699">
        <f t="shared" si="903"/>
        <v>170</v>
      </c>
      <c r="AVL338" s="699">
        <f t="shared" si="904"/>
        <v>200</v>
      </c>
      <c r="AVM338" s="699">
        <f t="shared" si="905"/>
        <v>20213.75</v>
      </c>
      <c r="AVN338" s="699">
        <f t="shared" si="906"/>
        <v>15525.15</v>
      </c>
      <c r="AVO338" s="699">
        <f t="shared" si="907"/>
        <v>4688.6000000000004</v>
      </c>
      <c r="AVP338" s="699">
        <f t="shared" si="908"/>
        <v>0</v>
      </c>
      <c r="AVQ338" s="699">
        <f t="shared" si="909"/>
        <v>190664.25</v>
      </c>
    </row>
    <row r="339" spans="1:108 1244:1265" ht="30" customHeight="1" x14ac:dyDescent="0.25">
      <c r="A339" s="643">
        <v>1</v>
      </c>
      <c r="B339" s="643">
        <v>8</v>
      </c>
      <c r="C339" s="664" t="s">
        <v>22</v>
      </c>
      <c r="D339" s="2"/>
      <c r="E339" s="101" t="s">
        <v>346</v>
      </c>
      <c r="F339" s="643" t="s">
        <v>39</v>
      </c>
      <c r="G339" s="643">
        <v>3</v>
      </c>
      <c r="H339" s="658" t="s">
        <v>10</v>
      </c>
      <c r="I339" s="643">
        <v>0</v>
      </c>
      <c r="J339" s="101" t="s">
        <v>368</v>
      </c>
      <c r="K339" s="643">
        <v>2</v>
      </c>
      <c r="L339" s="683" t="s">
        <v>351</v>
      </c>
      <c r="M339" s="11" t="s">
        <v>274</v>
      </c>
      <c r="N339" s="101" t="s">
        <v>387</v>
      </c>
      <c r="O339" s="643">
        <v>1</v>
      </c>
      <c r="P339" s="632">
        <v>1</v>
      </c>
      <c r="Q339" s="632">
        <v>1</v>
      </c>
      <c r="R339" s="632">
        <v>1</v>
      </c>
      <c r="S339" s="675">
        <f>SUMIF('Территориальный кк'!$A:$A,'2020'!$B339,'Территориальный кк'!D:D)</f>
        <v>1.504</v>
      </c>
      <c r="T339" s="676">
        <f>SUMIF('Территориальный кк'!$A:$A,'2020'!$B339,'Территориальный кк'!E:E)</f>
        <v>2.4710000000000001</v>
      </c>
      <c r="U339" s="618">
        <f>SUMIFS(Нормативы!G:G,Нормативы!$B:$B,$G339,Нормативы!$D:$D,'2020'!$I339,Нормативы!$F:$F,'2020'!$K339)*O339</f>
        <v>78450</v>
      </c>
      <c r="V339" s="618">
        <f t="shared" si="852"/>
        <v>60253.5</v>
      </c>
      <c r="W339" s="618">
        <f t="shared" si="853"/>
        <v>18196.5</v>
      </c>
      <c r="X339" s="618">
        <f>SUMIFS(Нормативы!J:J,Нормативы!$B:$B,$G339,Нормативы!$D:$D,'2020'!$I339,Нормативы!$F:$F,'2020'!$K339)</f>
        <v>1610</v>
      </c>
      <c r="Y339" s="618">
        <f>SUMIFS(Нормативы!K:K,Нормативы!$B:$B,$G339,Нормативы!$D:$D,'2020'!$I339,Нормативы!$F:$F,'2020'!$K339)</f>
        <v>322</v>
      </c>
      <c r="Z339" s="618">
        <f>SUMIFS(Нормативы!L:L,Нормативы!$B:$B,$G339,Нормативы!$D:$D,'2020'!$I339,Нормативы!$F:$F,'2020'!$K339)</f>
        <v>3480</v>
      </c>
      <c r="AA339" s="618">
        <f t="shared" si="854"/>
        <v>8580</v>
      </c>
      <c r="AB339" s="618">
        <f>SUMIFS(Нормативы!N:N,Нормативы!$B:$B,$G339,Нормативы!$D:$D,'2020'!$I339,Нормативы!$F:$F,'2020'!$K339)*O339</f>
        <v>880</v>
      </c>
      <c r="AC339" s="618">
        <f>SUMIFS(Нормативы!O:O,Нормативы!$B:$B,$G339,Нормативы!$D:$D,'2020'!$I339,Нормативы!$F:$F,'2020'!$K339)</f>
        <v>6180</v>
      </c>
      <c r="AD339" s="618">
        <f>SUMIFS(Нормативы!P:P,Нормативы!$B:$B,$G339,Нормативы!$D:$D,'2020'!$I339,Нормативы!$F:$F,'2020'!$K339)*O339</f>
        <v>440</v>
      </c>
      <c r="AE339" s="618">
        <f>SUMIFS(Нормативы!Q:Q,Нормативы!$B:$B,$G339,Нормативы!$D:$D,'2020'!$I339,Нормативы!$F:$F,'2020'!$K339)</f>
        <v>1080</v>
      </c>
      <c r="AF339" s="618">
        <f>SUMIFS(Нормативы!R:R,Нормативы!$B:$B,$G339,Нормативы!$D:$D,'2020'!$I339,Нормативы!$F:$F,'2020'!$K339)</f>
        <v>2490</v>
      </c>
      <c r="AG339" s="618">
        <f>SUMIFS(Нормативы!S:S,Нормативы!$B:$B,$G339,Нормативы!$D:$D,'2020'!$I339,Нормативы!$F:$F,'2020'!$K339)</f>
        <v>5800</v>
      </c>
      <c r="AH339" s="618">
        <f>SUMIFS(Нормативы!T:T,Нормативы!$B:$B,$G339,Нормативы!$D:$D,'2020'!$I339,Нормативы!$F:$F,'2020'!$K339)</f>
        <v>540</v>
      </c>
      <c r="AI339" s="618">
        <f>SUMIFS(Нормативы!U:U,Нормативы!$B:$B,$G339,Нормативы!$D:$D,'2020'!$I339,Нормативы!$F:$F,'2020'!$K339)</f>
        <v>770</v>
      </c>
      <c r="AJ339" s="618">
        <f>SUMIFS(Нормативы!V:V,Нормативы!$B:$B,$G339,Нормативы!$D:$D,'2020'!$I339,Нормативы!$F:$F,'2020'!$K339)</f>
        <v>170</v>
      </c>
      <c r="AK339" s="618">
        <f>SUMIFS(Нормативы!W:W,Нормативы!$B:$B,$G339,Нормативы!$D:$D,'2020'!$I339,Нормативы!$F:$F,'2020'!$K339)</f>
        <v>200</v>
      </c>
      <c r="AL339" s="618">
        <f>SUMIFS(Нормативы!X:X,Нормативы!$B:$B,$G339,Нормативы!$D:$D,'2020'!$I339,Нормативы!$F:$F,'2020'!$K339)*O339</f>
        <v>13440</v>
      </c>
      <c r="AM339" s="618">
        <f t="shared" si="855"/>
        <v>10322.6</v>
      </c>
      <c r="AN339" s="618">
        <f t="shared" si="856"/>
        <v>3117.4</v>
      </c>
      <c r="AO339" s="618">
        <f>SUMIFS(Нормативы!AA:AA,Нормативы!$B:$B,$G339,Нормативы!$D:$D,'2020'!$I339,Нормативы!$F:$F,'2020'!$K339)</f>
        <v>0</v>
      </c>
      <c r="AP339" s="619">
        <f t="shared" si="857"/>
        <v>115530</v>
      </c>
      <c r="AQ339" s="413">
        <f t="shared" si="795"/>
        <v>78450</v>
      </c>
      <c r="AR339" s="618">
        <f t="shared" si="858"/>
        <v>60253.5</v>
      </c>
      <c r="AS339" s="618">
        <f t="shared" si="859"/>
        <v>18196.5</v>
      </c>
      <c r="AT339" s="616">
        <f t="shared" si="796"/>
        <v>1610</v>
      </c>
      <c r="AU339" s="616">
        <f t="shared" si="797"/>
        <v>322</v>
      </c>
      <c r="AV339" s="616">
        <f t="shared" si="798"/>
        <v>3480</v>
      </c>
      <c r="AW339" s="616">
        <f t="shared" si="799"/>
        <v>8580</v>
      </c>
      <c r="AX339" s="616">
        <f t="shared" si="800"/>
        <v>880</v>
      </c>
      <c r="AY339" s="616">
        <f t="shared" si="801"/>
        <v>6180</v>
      </c>
      <c r="AZ339" s="616">
        <f t="shared" si="802"/>
        <v>440</v>
      </c>
      <c r="BA339" s="616">
        <f t="shared" si="803"/>
        <v>1080</v>
      </c>
      <c r="BB339" s="616">
        <f t="shared" si="804"/>
        <v>2490</v>
      </c>
      <c r="BC339" s="616">
        <f t="shared" si="805"/>
        <v>5800</v>
      </c>
      <c r="BD339" s="616">
        <f t="shared" si="806"/>
        <v>540</v>
      </c>
      <c r="BE339" s="616">
        <f t="shared" si="807"/>
        <v>770</v>
      </c>
      <c r="BF339" s="616">
        <f t="shared" si="808"/>
        <v>170</v>
      </c>
      <c r="BG339" s="616">
        <f t="shared" si="809"/>
        <v>200</v>
      </c>
      <c r="BH339" s="616">
        <f t="shared" si="810"/>
        <v>13440</v>
      </c>
      <c r="BI339" s="618">
        <f t="shared" si="860"/>
        <v>10322.6</v>
      </c>
      <c r="BJ339" s="618">
        <f t="shared" si="861"/>
        <v>3117.4</v>
      </c>
      <c r="BK339" s="616">
        <f t="shared" si="811"/>
        <v>0</v>
      </c>
      <c r="BL339" s="620">
        <f t="shared" si="812"/>
        <v>115530</v>
      </c>
      <c r="BM339" s="616">
        <f t="shared" si="813"/>
        <v>117989</v>
      </c>
      <c r="BN339" s="618">
        <f t="shared" si="814"/>
        <v>90621.4</v>
      </c>
      <c r="BO339" s="618">
        <f t="shared" si="815"/>
        <v>27367.599999999999</v>
      </c>
      <c r="BP339" s="616">
        <f t="shared" si="862"/>
        <v>1610</v>
      </c>
      <c r="BQ339" s="616">
        <f t="shared" si="863"/>
        <v>322</v>
      </c>
      <c r="BR339" s="616">
        <f t="shared" si="864"/>
        <v>3480</v>
      </c>
      <c r="BS339" s="616">
        <f t="shared" si="816"/>
        <v>8580</v>
      </c>
      <c r="BT339" s="616">
        <f t="shared" si="817"/>
        <v>880</v>
      </c>
      <c r="BU339" s="616">
        <f t="shared" si="818"/>
        <v>6180</v>
      </c>
      <c r="BV339" s="616">
        <f t="shared" si="819"/>
        <v>440</v>
      </c>
      <c r="BW339" s="616">
        <f t="shared" si="820"/>
        <v>1080</v>
      </c>
      <c r="BX339" s="616">
        <f t="shared" si="821"/>
        <v>6153</v>
      </c>
      <c r="BY339" s="616">
        <f t="shared" si="822"/>
        <v>5800</v>
      </c>
      <c r="BZ339" s="616">
        <f t="shared" si="823"/>
        <v>540</v>
      </c>
      <c r="CA339" s="616">
        <f t="shared" si="824"/>
        <v>770</v>
      </c>
      <c r="CB339" s="616">
        <f t="shared" si="825"/>
        <v>170</v>
      </c>
      <c r="CC339" s="616">
        <f t="shared" si="826"/>
        <v>200</v>
      </c>
      <c r="CD339" s="616">
        <f t="shared" si="827"/>
        <v>20214</v>
      </c>
      <c r="CE339" s="618">
        <f t="shared" si="865"/>
        <v>15525.3</v>
      </c>
      <c r="CF339" s="618">
        <f t="shared" si="866"/>
        <v>4688.7</v>
      </c>
      <c r="CG339" s="616">
        <f t="shared" si="828"/>
        <v>0</v>
      </c>
      <c r="CH339" s="621">
        <f t="shared" si="829"/>
        <v>165506</v>
      </c>
      <c r="CI339" s="88">
        <f t="shared" si="830"/>
        <v>117989</v>
      </c>
      <c r="CJ339" s="90">
        <f t="shared" si="831"/>
        <v>90621.4</v>
      </c>
      <c r="CK339" s="90">
        <f t="shared" si="832"/>
        <v>27367.599999999999</v>
      </c>
      <c r="CL339" s="88">
        <f t="shared" si="833"/>
        <v>1610</v>
      </c>
      <c r="CM339" s="88">
        <f t="shared" si="834"/>
        <v>322</v>
      </c>
      <c r="CN339" s="88">
        <f t="shared" si="835"/>
        <v>3480</v>
      </c>
      <c r="CO339" s="88">
        <f t="shared" si="836"/>
        <v>8580</v>
      </c>
      <c r="CP339" s="88">
        <f t="shared" si="837"/>
        <v>880</v>
      </c>
      <c r="CQ339" s="88">
        <f t="shared" si="838"/>
        <v>6180</v>
      </c>
      <c r="CR339" s="88">
        <f t="shared" si="839"/>
        <v>440</v>
      </c>
      <c r="CS339" s="88">
        <f t="shared" si="840"/>
        <v>1080</v>
      </c>
      <c r="CT339" s="88">
        <f t="shared" si="841"/>
        <v>6153</v>
      </c>
      <c r="CU339" s="88">
        <f t="shared" si="842"/>
        <v>5800</v>
      </c>
      <c r="CV339" s="88">
        <f t="shared" si="843"/>
        <v>540</v>
      </c>
      <c r="CW339" s="88">
        <f t="shared" si="844"/>
        <v>770</v>
      </c>
      <c r="CX339" s="88">
        <f t="shared" si="845"/>
        <v>170</v>
      </c>
      <c r="CY339" s="88">
        <f t="shared" si="846"/>
        <v>200</v>
      </c>
      <c r="CZ339" s="88">
        <f t="shared" si="847"/>
        <v>20214</v>
      </c>
      <c r="DA339" s="90">
        <f t="shared" si="848"/>
        <v>15525.3</v>
      </c>
      <c r="DB339" s="90">
        <f t="shared" si="849"/>
        <v>4688.7</v>
      </c>
      <c r="DC339" s="88">
        <f t="shared" si="850"/>
        <v>0</v>
      </c>
      <c r="DD339" s="88">
        <f t="shared" si="851"/>
        <v>165506</v>
      </c>
      <c r="AUV339" s="699">
        <f t="shared" si="890"/>
        <v>117989</v>
      </c>
      <c r="AUW339" s="699">
        <f t="shared" si="891"/>
        <v>90621.35</v>
      </c>
      <c r="AUX339" s="699">
        <f t="shared" si="892"/>
        <v>27367.65</v>
      </c>
      <c r="AUY339" s="699">
        <f t="shared" si="893"/>
        <v>1610</v>
      </c>
      <c r="AUZ339" s="699">
        <f t="shared" si="778"/>
        <v>130.31</v>
      </c>
      <c r="AVA339" s="699">
        <f t="shared" si="778"/>
        <v>0.04</v>
      </c>
      <c r="AVB339" s="699">
        <f t="shared" si="894"/>
        <v>8580</v>
      </c>
      <c r="AVC339" s="699">
        <f t="shared" si="895"/>
        <v>880</v>
      </c>
      <c r="AVD339" s="699">
        <f t="shared" si="896"/>
        <v>6180</v>
      </c>
      <c r="AVE339" s="699">
        <f t="shared" si="897"/>
        <v>440</v>
      </c>
      <c r="AVF339" s="699">
        <f t="shared" si="898"/>
        <v>1080</v>
      </c>
      <c r="AVG339" s="699">
        <f t="shared" si="899"/>
        <v>6153</v>
      </c>
      <c r="AVH339" s="699">
        <f t="shared" si="900"/>
        <v>5800</v>
      </c>
      <c r="AVI339" s="699">
        <f t="shared" si="901"/>
        <v>540</v>
      </c>
      <c r="AVJ339" s="699">
        <f t="shared" si="902"/>
        <v>770</v>
      </c>
      <c r="AVK339" s="699">
        <f t="shared" si="903"/>
        <v>170</v>
      </c>
      <c r="AVL339" s="699">
        <f t="shared" si="904"/>
        <v>200</v>
      </c>
      <c r="AVM339" s="699">
        <f t="shared" si="905"/>
        <v>20214</v>
      </c>
      <c r="AVN339" s="699">
        <f t="shared" si="906"/>
        <v>15525.35</v>
      </c>
      <c r="AVO339" s="699">
        <f t="shared" si="907"/>
        <v>4688.6499999999996</v>
      </c>
      <c r="AVP339" s="699">
        <f t="shared" si="908"/>
        <v>0</v>
      </c>
      <c r="AVQ339" s="699">
        <f t="shared" si="909"/>
        <v>165506</v>
      </c>
    </row>
    <row r="340" spans="1:108 1244:1265" ht="30" customHeight="1" x14ac:dyDescent="0.25">
      <c r="A340" s="643">
        <v>1</v>
      </c>
      <c r="B340" s="643">
        <v>8</v>
      </c>
      <c r="C340" s="664" t="s">
        <v>22</v>
      </c>
      <c r="D340" s="2"/>
      <c r="E340" s="101" t="s">
        <v>345</v>
      </c>
      <c r="F340" s="643" t="s">
        <v>38</v>
      </c>
      <c r="G340" s="643">
        <v>2</v>
      </c>
      <c r="H340" s="658" t="s">
        <v>10</v>
      </c>
      <c r="I340" s="643">
        <v>0</v>
      </c>
      <c r="J340" s="101" t="s">
        <v>397</v>
      </c>
      <c r="K340" s="643">
        <v>1</v>
      </c>
      <c r="L340" s="683" t="s">
        <v>350</v>
      </c>
      <c r="M340" s="11" t="s">
        <v>336</v>
      </c>
      <c r="N340" s="101" t="s">
        <v>387</v>
      </c>
      <c r="O340" s="643">
        <v>1</v>
      </c>
      <c r="P340" s="632">
        <v>13</v>
      </c>
      <c r="Q340" s="632">
        <v>13</v>
      </c>
      <c r="R340" s="632">
        <v>13</v>
      </c>
      <c r="S340" s="675">
        <f>SUMIF('Территориальный кк'!$A:$A,'2020'!$B340,'Территориальный кк'!D:D)</f>
        <v>1.504</v>
      </c>
      <c r="T340" s="676">
        <f>SUMIF('Территориальный кк'!$A:$A,'2020'!$B340,'Территориальный кк'!E:E)</f>
        <v>2.4710000000000001</v>
      </c>
      <c r="U340" s="618">
        <f>SUMIFS(Нормативы!G:G,Нормативы!$B:$B,$G340,Нормативы!$D:$D,'2020'!$I340,Нормативы!$F:$F,'2020'!$K340)*O340</f>
        <v>59740</v>
      </c>
      <c r="V340" s="618">
        <f t="shared" si="852"/>
        <v>45883.3</v>
      </c>
      <c r="W340" s="618">
        <f t="shared" si="853"/>
        <v>13856.7</v>
      </c>
      <c r="X340" s="618">
        <f>SUMIFS(Нормативы!J:J,Нормативы!$B:$B,$G340,Нормативы!$D:$D,'2020'!$I340,Нормативы!$F:$F,'2020'!$K340)</f>
        <v>220</v>
      </c>
      <c r="Y340" s="618">
        <f>SUMIFS(Нормативы!K:K,Нормативы!$B:$B,$G340,Нормативы!$D:$D,'2020'!$I340,Нормативы!$F:$F,'2020'!$K340)</f>
        <v>44</v>
      </c>
      <c r="Z340" s="618">
        <f>SUMIFS(Нормативы!L:L,Нормативы!$B:$B,$G340,Нормативы!$D:$D,'2020'!$I340,Нормативы!$F:$F,'2020'!$K340)</f>
        <v>2320</v>
      </c>
      <c r="AA340" s="618">
        <f t="shared" si="854"/>
        <v>4350</v>
      </c>
      <c r="AB340" s="618">
        <f>SUMIFS(Нормативы!N:N,Нормативы!$B:$B,$G340,Нормативы!$D:$D,'2020'!$I340,Нормативы!$F:$F,'2020'!$K340)*O340</f>
        <v>520</v>
      </c>
      <c r="AC340" s="618">
        <f>SUMIFS(Нормативы!O:O,Нормативы!$B:$B,$G340,Нормативы!$D:$D,'2020'!$I340,Нормативы!$F:$F,'2020'!$K340)</f>
        <v>2670</v>
      </c>
      <c r="AD340" s="618">
        <f>SUMIFS(Нормативы!P:P,Нормативы!$B:$B,$G340,Нормативы!$D:$D,'2020'!$I340,Нормативы!$F:$F,'2020'!$K340)*O340</f>
        <v>340</v>
      </c>
      <c r="AE340" s="618">
        <f>SUMIFS(Нормативы!Q:Q,Нормативы!$B:$B,$G340,Нормативы!$D:$D,'2020'!$I340,Нормативы!$F:$F,'2020'!$K340)</f>
        <v>820</v>
      </c>
      <c r="AF340" s="618">
        <f>SUMIFS(Нормативы!R:R,Нормативы!$B:$B,$G340,Нормативы!$D:$D,'2020'!$I340,Нормативы!$F:$F,'2020'!$K340)</f>
        <v>2460</v>
      </c>
      <c r="AG340" s="618">
        <f>SUMIFS(Нормативы!S:S,Нормативы!$B:$B,$G340,Нормативы!$D:$D,'2020'!$I340,Нормативы!$F:$F,'2020'!$K340)</f>
        <v>5080</v>
      </c>
      <c r="AH340" s="618">
        <f>SUMIFS(Нормативы!T:T,Нормативы!$B:$B,$G340,Нормативы!$D:$D,'2020'!$I340,Нормативы!$F:$F,'2020'!$K340)</f>
        <v>540</v>
      </c>
      <c r="AI340" s="618">
        <f>SUMIFS(Нормативы!U:U,Нормативы!$B:$B,$G340,Нормативы!$D:$D,'2020'!$I340,Нормативы!$F:$F,'2020'!$K340)</f>
        <v>770</v>
      </c>
      <c r="AJ340" s="618">
        <f>SUMIFS(Нормативы!V:V,Нормативы!$B:$B,$G340,Нормативы!$D:$D,'2020'!$I340,Нормативы!$F:$F,'2020'!$K340)</f>
        <v>80</v>
      </c>
      <c r="AK340" s="618">
        <f>SUMIFS(Нормативы!W:W,Нормативы!$B:$B,$G340,Нормативы!$D:$D,'2020'!$I340,Нормативы!$F:$F,'2020'!$K340)</f>
        <v>120</v>
      </c>
      <c r="AL340" s="618">
        <f>SUMIFS(Нормативы!X:X,Нормативы!$B:$B,$G340,Нормативы!$D:$D,'2020'!$I340,Нормативы!$F:$F,'2020'!$K340)*O340</f>
        <v>13440</v>
      </c>
      <c r="AM340" s="618">
        <f t="shared" si="855"/>
        <v>10322.6</v>
      </c>
      <c r="AN340" s="618">
        <f t="shared" si="856"/>
        <v>3117.4</v>
      </c>
      <c r="AO340" s="618">
        <f>SUMIFS(Нормативы!AA:AA,Нормативы!$B:$B,$G340,Нормативы!$D:$D,'2020'!$I340,Нормативы!$F:$F,'2020'!$K340)</f>
        <v>3520</v>
      </c>
      <c r="AP340" s="619">
        <f t="shared" si="857"/>
        <v>92640</v>
      </c>
      <c r="AQ340" s="413">
        <f t="shared" si="795"/>
        <v>776620</v>
      </c>
      <c r="AR340" s="618">
        <f t="shared" si="858"/>
        <v>596482.30000000005</v>
      </c>
      <c r="AS340" s="618">
        <f t="shared" si="859"/>
        <v>180137.7</v>
      </c>
      <c r="AT340" s="616">
        <f t="shared" si="796"/>
        <v>2860</v>
      </c>
      <c r="AU340" s="616">
        <f t="shared" si="797"/>
        <v>572</v>
      </c>
      <c r="AV340" s="616">
        <f t="shared" si="798"/>
        <v>30160</v>
      </c>
      <c r="AW340" s="616">
        <f t="shared" si="799"/>
        <v>56550</v>
      </c>
      <c r="AX340" s="616">
        <f t="shared" si="800"/>
        <v>6760</v>
      </c>
      <c r="AY340" s="616">
        <f t="shared" si="801"/>
        <v>34710</v>
      </c>
      <c r="AZ340" s="616">
        <f t="shared" si="802"/>
        <v>4420</v>
      </c>
      <c r="BA340" s="616">
        <f t="shared" si="803"/>
        <v>10660</v>
      </c>
      <c r="BB340" s="616">
        <f t="shared" si="804"/>
        <v>31980</v>
      </c>
      <c r="BC340" s="616">
        <f t="shared" si="805"/>
        <v>66040</v>
      </c>
      <c r="BD340" s="616">
        <f t="shared" si="806"/>
        <v>7020</v>
      </c>
      <c r="BE340" s="616">
        <f t="shared" si="807"/>
        <v>10010</v>
      </c>
      <c r="BF340" s="616">
        <f t="shared" si="808"/>
        <v>1040</v>
      </c>
      <c r="BG340" s="616">
        <f t="shared" si="809"/>
        <v>1560</v>
      </c>
      <c r="BH340" s="616">
        <f t="shared" si="810"/>
        <v>174720</v>
      </c>
      <c r="BI340" s="618">
        <f t="shared" si="860"/>
        <v>134193.5</v>
      </c>
      <c r="BJ340" s="618">
        <f t="shared" si="861"/>
        <v>40526.5</v>
      </c>
      <c r="BK340" s="616">
        <f t="shared" si="811"/>
        <v>45760</v>
      </c>
      <c r="BL340" s="620">
        <f t="shared" si="812"/>
        <v>1204320</v>
      </c>
      <c r="BM340" s="616">
        <f t="shared" si="813"/>
        <v>1168036</v>
      </c>
      <c r="BN340" s="618">
        <f t="shared" si="814"/>
        <v>897109.1</v>
      </c>
      <c r="BO340" s="618">
        <f t="shared" si="815"/>
        <v>270926.90000000002</v>
      </c>
      <c r="BP340" s="616">
        <f t="shared" si="862"/>
        <v>2860</v>
      </c>
      <c r="BQ340" s="616">
        <f t="shared" si="863"/>
        <v>572</v>
      </c>
      <c r="BR340" s="616">
        <f t="shared" si="864"/>
        <v>30160</v>
      </c>
      <c r="BS340" s="616">
        <f t="shared" si="816"/>
        <v>56550</v>
      </c>
      <c r="BT340" s="616">
        <f t="shared" si="817"/>
        <v>6760</v>
      </c>
      <c r="BU340" s="616">
        <f t="shared" si="818"/>
        <v>34710</v>
      </c>
      <c r="BV340" s="616">
        <f t="shared" si="819"/>
        <v>4420</v>
      </c>
      <c r="BW340" s="616">
        <f t="shared" si="820"/>
        <v>10660</v>
      </c>
      <c r="BX340" s="616">
        <f t="shared" si="821"/>
        <v>79023</v>
      </c>
      <c r="BY340" s="616">
        <f t="shared" si="822"/>
        <v>66040</v>
      </c>
      <c r="BZ340" s="616">
        <f t="shared" si="823"/>
        <v>7020</v>
      </c>
      <c r="CA340" s="616">
        <f t="shared" si="824"/>
        <v>10010</v>
      </c>
      <c r="CB340" s="616">
        <f t="shared" si="825"/>
        <v>1040</v>
      </c>
      <c r="CC340" s="616">
        <f t="shared" si="826"/>
        <v>1560</v>
      </c>
      <c r="CD340" s="616">
        <f t="shared" si="827"/>
        <v>262779</v>
      </c>
      <c r="CE340" s="618">
        <f t="shared" si="865"/>
        <v>201827.20000000001</v>
      </c>
      <c r="CF340" s="618">
        <f t="shared" si="866"/>
        <v>60951.8</v>
      </c>
      <c r="CG340" s="616">
        <f t="shared" si="828"/>
        <v>45760</v>
      </c>
      <c r="CH340" s="621">
        <f t="shared" si="829"/>
        <v>1730838</v>
      </c>
      <c r="CI340" s="88">
        <f t="shared" si="830"/>
        <v>89848.9231</v>
      </c>
      <c r="CJ340" s="90">
        <f t="shared" si="831"/>
        <v>69008.392300000007</v>
      </c>
      <c r="CK340" s="90">
        <f t="shared" si="832"/>
        <v>20840.5308</v>
      </c>
      <c r="CL340" s="88">
        <f t="shared" si="833"/>
        <v>220</v>
      </c>
      <c r="CM340" s="88">
        <f t="shared" si="834"/>
        <v>44</v>
      </c>
      <c r="CN340" s="88">
        <f t="shared" si="835"/>
        <v>2320</v>
      </c>
      <c r="CO340" s="88">
        <f t="shared" si="836"/>
        <v>4350</v>
      </c>
      <c r="CP340" s="88">
        <f t="shared" si="837"/>
        <v>520</v>
      </c>
      <c r="CQ340" s="88">
        <f t="shared" si="838"/>
        <v>2670</v>
      </c>
      <c r="CR340" s="88">
        <f t="shared" si="839"/>
        <v>340</v>
      </c>
      <c r="CS340" s="88">
        <f t="shared" si="840"/>
        <v>820</v>
      </c>
      <c r="CT340" s="88">
        <f t="shared" si="841"/>
        <v>6078.6922999999997</v>
      </c>
      <c r="CU340" s="88">
        <f t="shared" si="842"/>
        <v>5080</v>
      </c>
      <c r="CV340" s="88">
        <f t="shared" si="843"/>
        <v>540</v>
      </c>
      <c r="CW340" s="88">
        <f t="shared" si="844"/>
        <v>770</v>
      </c>
      <c r="CX340" s="88">
        <f t="shared" si="845"/>
        <v>80</v>
      </c>
      <c r="CY340" s="88">
        <f t="shared" si="846"/>
        <v>120</v>
      </c>
      <c r="CZ340" s="88">
        <f t="shared" si="847"/>
        <v>20213.769199999999</v>
      </c>
      <c r="DA340" s="90">
        <f t="shared" si="848"/>
        <v>15525.1692</v>
      </c>
      <c r="DB340" s="90">
        <f t="shared" si="849"/>
        <v>4688.6000000000004</v>
      </c>
      <c r="DC340" s="88">
        <f t="shared" si="850"/>
        <v>3520</v>
      </c>
      <c r="DD340" s="88">
        <f t="shared" si="851"/>
        <v>133141.38459999999</v>
      </c>
      <c r="AUV340" s="699">
        <f t="shared" si="890"/>
        <v>89848.92</v>
      </c>
      <c r="AUW340" s="699">
        <f t="shared" si="891"/>
        <v>69008.39</v>
      </c>
      <c r="AUX340" s="699">
        <f t="shared" si="892"/>
        <v>20840.53</v>
      </c>
      <c r="AUY340" s="699">
        <f t="shared" si="893"/>
        <v>220</v>
      </c>
      <c r="AUZ340" s="699">
        <f t="shared" si="778"/>
        <v>231.49</v>
      </c>
      <c r="AVA340" s="699">
        <f t="shared" si="778"/>
        <v>0.5</v>
      </c>
      <c r="AVB340" s="699">
        <f t="shared" si="894"/>
        <v>4350</v>
      </c>
      <c r="AVC340" s="699">
        <f t="shared" si="895"/>
        <v>520</v>
      </c>
      <c r="AVD340" s="699">
        <f t="shared" si="896"/>
        <v>2670</v>
      </c>
      <c r="AVE340" s="699">
        <f t="shared" si="897"/>
        <v>340</v>
      </c>
      <c r="AVF340" s="699">
        <f t="shared" si="898"/>
        <v>820</v>
      </c>
      <c r="AVG340" s="699">
        <f t="shared" si="899"/>
        <v>6078.69</v>
      </c>
      <c r="AVH340" s="699">
        <f t="shared" si="900"/>
        <v>5080</v>
      </c>
      <c r="AVI340" s="699">
        <f t="shared" si="901"/>
        <v>540</v>
      </c>
      <c r="AVJ340" s="699">
        <f t="shared" si="902"/>
        <v>770</v>
      </c>
      <c r="AVK340" s="699">
        <f t="shared" si="903"/>
        <v>80</v>
      </c>
      <c r="AVL340" s="699">
        <f t="shared" si="904"/>
        <v>120</v>
      </c>
      <c r="AVM340" s="699">
        <f t="shared" si="905"/>
        <v>20213.77</v>
      </c>
      <c r="AVN340" s="699">
        <f t="shared" si="906"/>
        <v>15525.17</v>
      </c>
      <c r="AVO340" s="699">
        <f t="shared" si="907"/>
        <v>4688.6000000000004</v>
      </c>
      <c r="AVP340" s="699">
        <f t="shared" si="908"/>
        <v>3520</v>
      </c>
      <c r="AVQ340" s="699">
        <f t="shared" si="909"/>
        <v>133141.38</v>
      </c>
    </row>
    <row r="341" spans="1:108 1244:1265" ht="30" customHeight="1" x14ac:dyDescent="0.25">
      <c r="A341" s="643">
        <v>1</v>
      </c>
      <c r="B341" s="643">
        <v>6</v>
      </c>
      <c r="C341" s="664" t="s">
        <v>250</v>
      </c>
      <c r="D341" s="2"/>
      <c r="E341" s="101" t="s">
        <v>344</v>
      </c>
      <c r="F341" s="643" t="s">
        <v>31</v>
      </c>
      <c r="G341" s="643">
        <v>1</v>
      </c>
      <c r="H341" s="658" t="s">
        <v>10</v>
      </c>
      <c r="I341" s="643">
        <v>0</v>
      </c>
      <c r="J341" s="101" t="s">
        <v>371</v>
      </c>
      <c r="K341" s="643">
        <v>1</v>
      </c>
      <c r="L341" s="683" t="s">
        <v>349</v>
      </c>
      <c r="M341" s="11" t="s">
        <v>312</v>
      </c>
      <c r="N341" s="101" t="s">
        <v>387</v>
      </c>
      <c r="O341" s="643">
        <v>1</v>
      </c>
      <c r="P341" s="632"/>
      <c r="Q341" s="632"/>
      <c r="R341" s="632"/>
      <c r="S341" s="675">
        <f>SUMIF('Территориальный кк'!$A:$A,'2020'!$B341,'Территориальный кк'!D:D)</f>
        <v>2.4420000000000002</v>
      </c>
      <c r="T341" s="676">
        <f>SUMIF('Территориальный кк'!$A:$A,'2020'!$B341,'Территориальный кк'!E:E)</f>
        <v>2.6</v>
      </c>
      <c r="U341" s="618">
        <f>SUMIFS(Нормативы!G:G,Нормативы!$B:$B,$G341,Нормативы!$D:$D,'2020'!$I341,Нормативы!$F:$F,'2020'!$K341)*O341</f>
        <v>54020</v>
      </c>
      <c r="V341" s="618">
        <f t="shared" si="852"/>
        <v>41490</v>
      </c>
      <c r="W341" s="618">
        <f t="shared" si="853"/>
        <v>12530</v>
      </c>
      <c r="X341" s="618">
        <f>SUMIFS(Нормативы!J:J,Нормативы!$B:$B,$G341,Нормативы!$D:$D,'2020'!$I341,Нормативы!$F:$F,'2020'!$K341)</f>
        <v>220</v>
      </c>
      <c r="Y341" s="618">
        <f>SUMIFS(Нормативы!K:K,Нормативы!$B:$B,$G341,Нормативы!$D:$D,'2020'!$I341,Нормативы!$F:$F,'2020'!$K341)</f>
        <v>44</v>
      </c>
      <c r="Z341" s="618">
        <f>SUMIFS(Нормативы!L:L,Нормативы!$B:$B,$G341,Нормативы!$D:$D,'2020'!$I341,Нормативы!$F:$F,'2020'!$K341)</f>
        <v>2320</v>
      </c>
      <c r="AA341" s="618">
        <f t="shared" si="854"/>
        <v>3710</v>
      </c>
      <c r="AB341" s="618">
        <f>SUMIFS(Нормативы!N:N,Нормативы!$B:$B,$G341,Нормативы!$D:$D,'2020'!$I341,Нормативы!$F:$F,'2020'!$K341)*O341</f>
        <v>520</v>
      </c>
      <c r="AC341" s="618">
        <f>SUMIFS(Нормативы!O:O,Нормативы!$B:$B,$G341,Нормативы!$D:$D,'2020'!$I341,Нормативы!$F:$F,'2020'!$K341)</f>
        <v>2140</v>
      </c>
      <c r="AD341" s="618">
        <f>SUMIFS(Нормативы!P:P,Нормативы!$B:$B,$G341,Нормативы!$D:$D,'2020'!$I341,Нормативы!$F:$F,'2020'!$K341)*O341</f>
        <v>310</v>
      </c>
      <c r="AE341" s="618">
        <f>SUMIFS(Нормативы!Q:Q,Нормативы!$B:$B,$G341,Нормативы!$D:$D,'2020'!$I341,Нормативы!$F:$F,'2020'!$K341)</f>
        <v>740</v>
      </c>
      <c r="AF341" s="618">
        <f>SUMIFS(Нормативы!R:R,Нормативы!$B:$B,$G341,Нормативы!$D:$D,'2020'!$I341,Нормативы!$F:$F,'2020'!$K341)</f>
        <v>2460</v>
      </c>
      <c r="AG341" s="618">
        <f>SUMIFS(Нормативы!S:S,Нормативы!$B:$B,$G341,Нормативы!$D:$D,'2020'!$I341,Нормативы!$F:$F,'2020'!$K341)</f>
        <v>5080</v>
      </c>
      <c r="AH341" s="618">
        <f>SUMIFS(Нормативы!T:T,Нормативы!$B:$B,$G341,Нормативы!$D:$D,'2020'!$I341,Нормативы!$F:$F,'2020'!$K341)</f>
        <v>540</v>
      </c>
      <c r="AI341" s="618">
        <f>SUMIFS(Нормативы!U:U,Нормативы!$B:$B,$G341,Нормативы!$D:$D,'2020'!$I341,Нормативы!$F:$F,'2020'!$K341)</f>
        <v>770</v>
      </c>
      <c r="AJ341" s="618">
        <f>SUMIFS(Нормативы!V:V,Нормативы!$B:$B,$G341,Нормативы!$D:$D,'2020'!$I341,Нормативы!$F:$F,'2020'!$K341)</f>
        <v>80</v>
      </c>
      <c r="AK341" s="618">
        <f>SUMIFS(Нормативы!W:W,Нормативы!$B:$B,$G341,Нормативы!$D:$D,'2020'!$I341,Нормативы!$F:$F,'2020'!$K341)</f>
        <v>300</v>
      </c>
      <c r="AL341" s="618">
        <f>SUMIFS(Нормативы!X:X,Нормативы!$B:$B,$G341,Нормативы!$D:$D,'2020'!$I341,Нормативы!$F:$F,'2020'!$K341)*O341</f>
        <v>13440</v>
      </c>
      <c r="AM341" s="618">
        <f t="shared" si="855"/>
        <v>10322.6</v>
      </c>
      <c r="AN341" s="618">
        <f t="shared" si="856"/>
        <v>3117.4</v>
      </c>
      <c r="AO341" s="618">
        <f>SUMIFS(Нормативы!AA:AA,Нормативы!$B:$B,$G341,Нормативы!$D:$D,'2020'!$I341,Нормативы!$F:$F,'2020'!$K341)</f>
        <v>3520</v>
      </c>
      <c r="AP341" s="619">
        <f t="shared" si="857"/>
        <v>86460</v>
      </c>
      <c r="AQ341" s="413">
        <f t="shared" si="795"/>
        <v>0</v>
      </c>
      <c r="AR341" s="618">
        <f t="shared" si="858"/>
        <v>0</v>
      </c>
      <c r="AS341" s="618">
        <f t="shared" si="859"/>
        <v>0</v>
      </c>
      <c r="AT341" s="616">
        <f t="shared" si="796"/>
        <v>0</v>
      </c>
      <c r="AU341" s="616">
        <f t="shared" si="797"/>
        <v>0</v>
      </c>
      <c r="AV341" s="616">
        <f t="shared" si="798"/>
        <v>0</v>
      </c>
      <c r="AW341" s="616">
        <f t="shared" si="799"/>
        <v>0</v>
      </c>
      <c r="AX341" s="616">
        <f t="shared" si="800"/>
        <v>0</v>
      </c>
      <c r="AY341" s="616">
        <f t="shared" si="801"/>
        <v>0</v>
      </c>
      <c r="AZ341" s="616">
        <f t="shared" si="802"/>
        <v>0</v>
      </c>
      <c r="BA341" s="616">
        <f t="shared" si="803"/>
        <v>0</v>
      </c>
      <c r="BB341" s="616">
        <f t="shared" si="804"/>
        <v>0</v>
      </c>
      <c r="BC341" s="616">
        <f t="shared" si="805"/>
        <v>0</v>
      </c>
      <c r="BD341" s="616">
        <f t="shared" si="806"/>
        <v>0</v>
      </c>
      <c r="BE341" s="616">
        <f t="shared" si="807"/>
        <v>0</v>
      </c>
      <c r="BF341" s="616">
        <f t="shared" si="808"/>
        <v>0</v>
      </c>
      <c r="BG341" s="616">
        <f t="shared" si="809"/>
        <v>0</v>
      </c>
      <c r="BH341" s="616">
        <f t="shared" si="810"/>
        <v>0</v>
      </c>
      <c r="BI341" s="618">
        <f t="shared" si="860"/>
        <v>0</v>
      </c>
      <c r="BJ341" s="618">
        <f t="shared" si="861"/>
        <v>0</v>
      </c>
      <c r="BK341" s="616">
        <f t="shared" si="811"/>
        <v>0</v>
      </c>
      <c r="BL341" s="620">
        <f t="shared" si="812"/>
        <v>0</v>
      </c>
      <c r="BM341" s="616">
        <f t="shared" si="813"/>
        <v>0</v>
      </c>
      <c r="BN341" s="618">
        <f t="shared" si="814"/>
        <v>0</v>
      </c>
      <c r="BO341" s="618">
        <f t="shared" si="815"/>
        <v>0</v>
      </c>
      <c r="BP341" s="616">
        <f t="shared" si="862"/>
        <v>0</v>
      </c>
      <c r="BQ341" s="616">
        <f t="shared" si="863"/>
        <v>0</v>
      </c>
      <c r="BR341" s="616">
        <f t="shared" si="864"/>
        <v>0</v>
      </c>
      <c r="BS341" s="616">
        <f t="shared" si="816"/>
        <v>0</v>
      </c>
      <c r="BT341" s="616">
        <f t="shared" si="817"/>
        <v>0</v>
      </c>
      <c r="BU341" s="616">
        <f t="shared" si="818"/>
        <v>0</v>
      </c>
      <c r="BV341" s="616">
        <f t="shared" si="819"/>
        <v>0</v>
      </c>
      <c r="BW341" s="616">
        <f t="shared" si="820"/>
        <v>0</v>
      </c>
      <c r="BX341" s="616">
        <f t="shared" si="821"/>
        <v>0</v>
      </c>
      <c r="BY341" s="616">
        <f t="shared" si="822"/>
        <v>0</v>
      </c>
      <c r="BZ341" s="616">
        <f t="shared" si="823"/>
        <v>0</v>
      </c>
      <c r="CA341" s="616">
        <f t="shared" si="824"/>
        <v>0</v>
      </c>
      <c r="CB341" s="616">
        <f t="shared" si="825"/>
        <v>0</v>
      </c>
      <c r="CC341" s="616">
        <f t="shared" si="826"/>
        <v>0</v>
      </c>
      <c r="CD341" s="616">
        <f t="shared" si="827"/>
        <v>0</v>
      </c>
      <c r="CE341" s="618">
        <f t="shared" si="865"/>
        <v>0</v>
      </c>
      <c r="CF341" s="618">
        <f t="shared" si="866"/>
        <v>0</v>
      </c>
      <c r="CG341" s="616">
        <f t="shared" si="828"/>
        <v>0</v>
      </c>
      <c r="CH341" s="621">
        <f t="shared" si="829"/>
        <v>0</v>
      </c>
      <c r="CI341" s="88" t="e">
        <f t="shared" si="830"/>
        <v>#DIV/0!</v>
      </c>
      <c r="CJ341" s="90" t="e">
        <f t="shared" si="831"/>
        <v>#DIV/0!</v>
      </c>
      <c r="CK341" s="90" t="e">
        <f t="shared" si="832"/>
        <v>#DIV/0!</v>
      </c>
      <c r="CL341" s="88" t="e">
        <f t="shared" si="833"/>
        <v>#DIV/0!</v>
      </c>
      <c r="CM341" s="88" t="e">
        <f t="shared" si="834"/>
        <v>#DIV/0!</v>
      </c>
      <c r="CN341" s="88" t="e">
        <f t="shared" si="835"/>
        <v>#DIV/0!</v>
      </c>
      <c r="CO341" s="88" t="e">
        <f t="shared" si="836"/>
        <v>#DIV/0!</v>
      </c>
      <c r="CP341" s="88" t="e">
        <f t="shared" si="837"/>
        <v>#DIV/0!</v>
      </c>
      <c r="CQ341" s="88" t="e">
        <f t="shared" si="838"/>
        <v>#DIV/0!</v>
      </c>
      <c r="CR341" s="88" t="e">
        <f t="shared" si="839"/>
        <v>#DIV/0!</v>
      </c>
      <c r="CS341" s="88" t="e">
        <f t="shared" si="840"/>
        <v>#DIV/0!</v>
      </c>
      <c r="CT341" s="88" t="e">
        <f t="shared" si="841"/>
        <v>#DIV/0!</v>
      </c>
      <c r="CU341" s="88" t="e">
        <f t="shared" si="842"/>
        <v>#DIV/0!</v>
      </c>
      <c r="CV341" s="88" t="e">
        <f t="shared" si="843"/>
        <v>#DIV/0!</v>
      </c>
      <c r="CW341" s="88" t="e">
        <f t="shared" si="844"/>
        <v>#DIV/0!</v>
      </c>
      <c r="CX341" s="88" t="e">
        <f t="shared" si="845"/>
        <v>#DIV/0!</v>
      </c>
      <c r="CY341" s="88" t="e">
        <f t="shared" si="846"/>
        <v>#DIV/0!</v>
      </c>
      <c r="CZ341" s="88" t="e">
        <f t="shared" si="847"/>
        <v>#DIV/0!</v>
      </c>
      <c r="DA341" s="90" t="e">
        <f t="shared" si="848"/>
        <v>#DIV/0!</v>
      </c>
      <c r="DB341" s="90" t="e">
        <f t="shared" si="849"/>
        <v>#DIV/0!</v>
      </c>
      <c r="DC341" s="88" t="e">
        <f t="shared" si="850"/>
        <v>#DIV/0!</v>
      </c>
      <c r="DD341" s="88" t="e">
        <f t="shared" si="851"/>
        <v>#DIV/0!</v>
      </c>
      <c r="AUV341" s="699">
        <v>0</v>
      </c>
      <c r="AUW341" s="699">
        <f t="shared" si="891"/>
        <v>0</v>
      </c>
      <c r="AUX341" s="699">
        <f t="shared" si="892"/>
        <v>0</v>
      </c>
      <c r="AUY341" s="699">
        <f t="shared" ref="AUY341:AVA405" si="910">BP341/S341</f>
        <v>0</v>
      </c>
      <c r="AUZ341" s="699">
        <f t="shared" si="910"/>
        <v>0</v>
      </c>
      <c r="AVA341" s="699">
        <f t="shared" si="910"/>
        <v>0</v>
      </c>
      <c r="AVB341" s="699">
        <f t="shared" ref="AVB341:AVB398" si="911">BS341/V341</f>
        <v>0</v>
      </c>
      <c r="AVC341" s="697"/>
      <c r="AVD341" s="697"/>
      <c r="AVE341" s="697"/>
      <c r="AVF341" s="697"/>
      <c r="AVG341" s="697"/>
      <c r="AVH341" s="697"/>
      <c r="AVI341" s="697"/>
      <c r="AVJ341" s="697"/>
      <c r="AVK341" s="697"/>
      <c r="AVL341" s="697"/>
      <c r="AVM341" s="697"/>
      <c r="AVN341" s="697"/>
      <c r="AVO341" s="697"/>
      <c r="AVP341" s="697"/>
      <c r="AVQ341" s="697"/>
    </row>
    <row r="342" spans="1:108 1244:1265" ht="30" customHeight="1" x14ac:dyDescent="0.25">
      <c r="A342" s="643">
        <v>1</v>
      </c>
      <c r="B342" s="643">
        <v>6</v>
      </c>
      <c r="C342" s="664" t="s">
        <v>250</v>
      </c>
      <c r="D342" s="2"/>
      <c r="E342" s="101" t="s">
        <v>344</v>
      </c>
      <c r="F342" s="643" t="s">
        <v>31</v>
      </c>
      <c r="G342" s="643">
        <v>1</v>
      </c>
      <c r="H342" s="658" t="s">
        <v>10</v>
      </c>
      <c r="I342" s="643">
        <v>0</v>
      </c>
      <c r="J342" s="101" t="s">
        <v>355</v>
      </c>
      <c r="K342" s="643">
        <v>1</v>
      </c>
      <c r="L342" s="683" t="s">
        <v>349</v>
      </c>
      <c r="M342" s="11" t="s">
        <v>279</v>
      </c>
      <c r="N342" s="101" t="s">
        <v>387</v>
      </c>
      <c r="O342" s="643">
        <v>1</v>
      </c>
      <c r="P342" s="632"/>
      <c r="Q342" s="632"/>
      <c r="R342" s="632"/>
      <c r="S342" s="675">
        <f>SUMIF('Территориальный кк'!$A:$A,'2020'!$B342,'Территориальный кк'!D:D)</f>
        <v>2.4420000000000002</v>
      </c>
      <c r="T342" s="676">
        <f>SUMIF('Территориальный кк'!$A:$A,'2020'!$B342,'Территориальный кк'!E:E)</f>
        <v>2.6</v>
      </c>
      <c r="U342" s="618">
        <f>SUMIFS(Нормативы!G:G,Нормативы!$B:$B,$G342,Нормативы!$D:$D,'2020'!$I342,Нормативы!$F:$F,'2020'!$K342)*O342</f>
        <v>54020</v>
      </c>
      <c r="V342" s="618">
        <f t="shared" si="852"/>
        <v>41490</v>
      </c>
      <c r="W342" s="618">
        <f t="shared" si="853"/>
        <v>12530</v>
      </c>
      <c r="X342" s="618">
        <f>SUMIFS(Нормативы!J:J,Нормативы!$B:$B,$G342,Нормативы!$D:$D,'2020'!$I342,Нормативы!$F:$F,'2020'!$K342)</f>
        <v>220</v>
      </c>
      <c r="Y342" s="618">
        <f>SUMIFS(Нормативы!K:K,Нормативы!$B:$B,$G342,Нормативы!$D:$D,'2020'!$I342,Нормативы!$F:$F,'2020'!$K342)</f>
        <v>44</v>
      </c>
      <c r="Z342" s="618">
        <f>SUMIFS(Нормативы!L:L,Нормативы!$B:$B,$G342,Нормативы!$D:$D,'2020'!$I342,Нормативы!$F:$F,'2020'!$K342)</f>
        <v>2320</v>
      </c>
      <c r="AA342" s="618">
        <f t="shared" si="854"/>
        <v>3710</v>
      </c>
      <c r="AB342" s="618">
        <f>SUMIFS(Нормативы!N:N,Нормативы!$B:$B,$G342,Нормативы!$D:$D,'2020'!$I342,Нормативы!$F:$F,'2020'!$K342)*O342</f>
        <v>520</v>
      </c>
      <c r="AC342" s="618">
        <f>SUMIFS(Нормативы!O:O,Нормативы!$B:$B,$G342,Нормативы!$D:$D,'2020'!$I342,Нормативы!$F:$F,'2020'!$K342)</f>
        <v>2140</v>
      </c>
      <c r="AD342" s="618">
        <f>SUMIFS(Нормативы!P:P,Нормативы!$B:$B,$G342,Нормативы!$D:$D,'2020'!$I342,Нормативы!$F:$F,'2020'!$K342)*O342</f>
        <v>310</v>
      </c>
      <c r="AE342" s="618">
        <f>SUMIFS(Нормативы!Q:Q,Нормативы!$B:$B,$G342,Нормативы!$D:$D,'2020'!$I342,Нормативы!$F:$F,'2020'!$K342)</f>
        <v>740</v>
      </c>
      <c r="AF342" s="618">
        <f>SUMIFS(Нормативы!R:R,Нормативы!$B:$B,$G342,Нормативы!$D:$D,'2020'!$I342,Нормативы!$F:$F,'2020'!$K342)</f>
        <v>2460</v>
      </c>
      <c r="AG342" s="618">
        <f>SUMIFS(Нормативы!S:S,Нормативы!$B:$B,$G342,Нормативы!$D:$D,'2020'!$I342,Нормативы!$F:$F,'2020'!$K342)</f>
        <v>5080</v>
      </c>
      <c r="AH342" s="618">
        <f>SUMIFS(Нормативы!T:T,Нормативы!$B:$B,$G342,Нормативы!$D:$D,'2020'!$I342,Нормативы!$F:$F,'2020'!$K342)</f>
        <v>540</v>
      </c>
      <c r="AI342" s="618">
        <f>SUMIFS(Нормативы!U:U,Нормативы!$B:$B,$G342,Нормативы!$D:$D,'2020'!$I342,Нормативы!$F:$F,'2020'!$K342)</f>
        <v>770</v>
      </c>
      <c r="AJ342" s="618">
        <f>SUMIFS(Нормативы!V:V,Нормативы!$B:$B,$G342,Нормативы!$D:$D,'2020'!$I342,Нормативы!$F:$F,'2020'!$K342)</f>
        <v>80</v>
      </c>
      <c r="AK342" s="618">
        <f>SUMIFS(Нормативы!W:W,Нормативы!$B:$B,$G342,Нормативы!$D:$D,'2020'!$I342,Нормативы!$F:$F,'2020'!$K342)</f>
        <v>300</v>
      </c>
      <c r="AL342" s="618">
        <f>SUMIFS(Нормативы!X:X,Нормативы!$B:$B,$G342,Нормативы!$D:$D,'2020'!$I342,Нормативы!$F:$F,'2020'!$K342)*O342</f>
        <v>13440</v>
      </c>
      <c r="AM342" s="618">
        <f t="shared" si="855"/>
        <v>10322.6</v>
      </c>
      <c r="AN342" s="618">
        <f t="shared" si="856"/>
        <v>3117.4</v>
      </c>
      <c r="AO342" s="618">
        <f>SUMIFS(Нормативы!AA:AA,Нормативы!$B:$B,$G342,Нормативы!$D:$D,'2020'!$I342,Нормативы!$F:$F,'2020'!$K342)</f>
        <v>3520</v>
      </c>
      <c r="AP342" s="619">
        <f t="shared" si="857"/>
        <v>86460</v>
      </c>
      <c r="AQ342" s="413">
        <f t="shared" si="795"/>
        <v>0</v>
      </c>
      <c r="AR342" s="618">
        <f t="shared" si="858"/>
        <v>0</v>
      </c>
      <c r="AS342" s="618">
        <f t="shared" si="859"/>
        <v>0</v>
      </c>
      <c r="AT342" s="616">
        <f t="shared" si="796"/>
        <v>0</v>
      </c>
      <c r="AU342" s="616">
        <f t="shared" si="797"/>
        <v>0</v>
      </c>
      <c r="AV342" s="616">
        <f t="shared" si="798"/>
        <v>0</v>
      </c>
      <c r="AW342" s="616">
        <f t="shared" si="799"/>
        <v>0</v>
      </c>
      <c r="AX342" s="616">
        <f t="shared" si="800"/>
        <v>0</v>
      </c>
      <c r="AY342" s="616">
        <f t="shared" si="801"/>
        <v>0</v>
      </c>
      <c r="AZ342" s="616">
        <f t="shared" si="802"/>
        <v>0</v>
      </c>
      <c r="BA342" s="616">
        <f t="shared" si="803"/>
        <v>0</v>
      </c>
      <c r="BB342" s="616">
        <f t="shared" si="804"/>
        <v>0</v>
      </c>
      <c r="BC342" s="616">
        <f t="shared" si="805"/>
        <v>0</v>
      </c>
      <c r="BD342" s="616">
        <f t="shared" si="806"/>
        <v>0</v>
      </c>
      <c r="BE342" s="616">
        <f t="shared" si="807"/>
        <v>0</v>
      </c>
      <c r="BF342" s="616">
        <f t="shared" si="808"/>
        <v>0</v>
      </c>
      <c r="BG342" s="616">
        <f t="shared" si="809"/>
        <v>0</v>
      </c>
      <c r="BH342" s="616">
        <f t="shared" si="810"/>
        <v>0</v>
      </c>
      <c r="BI342" s="618">
        <f t="shared" si="860"/>
        <v>0</v>
      </c>
      <c r="BJ342" s="618">
        <f t="shared" si="861"/>
        <v>0</v>
      </c>
      <c r="BK342" s="616">
        <f t="shared" si="811"/>
        <v>0</v>
      </c>
      <c r="BL342" s="620">
        <f t="shared" si="812"/>
        <v>0</v>
      </c>
      <c r="BM342" s="616">
        <f t="shared" si="813"/>
        <v>0</v>
      </c>
      <c r="BN342" s="618">
        <f t="shared" si="814"/>
        <v>0</v>
      </c>
      <c r="BO342" s="618">
        <f t="shared" si="815"/>
        <v>0</v>
      </c>
      <c r="BP342" s="616">
        <f t="shared" si="862"/>
        <v>0</v>
      </c>
      <c r="BQ342" s="616">
        <f t="shared" si="863"/>
        <v>0</v>
      </c>
      <c r="BR342" s="616">
        <f t="shared" si="864"/>
        <v>0</v>
      </c>
      <c r="BS342" s="616">
        <f t="shared" si="816"/>
        <v>0</v>
      </c>
      <c r="BT342" s="616">
        <f t="shared" si="817"/>
        <v>0</v>
      </c>
      <c r="BU342" s="616">
        <f t="shared" si="818"/>
        <v>0</v>
      </c>
      <c r="BV342" s="616">
        <f t="shared" si="819"/>
        <v>0</v>
      </c>
      <c r="BW342" s="616">
        <f t="shared" si="820"/>
        <v>0</v>
      </c>
      <c r="BX342" s="616">
        <f t="shared" si="821"/>
        <v>0</v>
      </c>
      <c r="BY342" s="616">
        <f t="shared" si="822"/>
        <v>0</v>
      </c>
      <c r="BZ342" s="616">
        <f t="shared" si="823"/>
        <v>0</v>
      </c>
      <c r="CA342" s="616">
        <f t="shared" si="824"/>
        <v>0</v>
      </c>
      <c r="CB342" s="616">
        <f t="shared" si="825"/>
        <v>0</v>
      </c>
      <c r="CC342" s="616">
        <f t="shared" si="826"/>
        <v>0</v>
      </c>
      <c r="CD342" s="616">
        <f t="shared" si="827"/>
        <v>0</v>
      </c>
      <c r="CE342" s="618">
        <f t="shared" si="865"/>
        <v>0</v>
      </c>
      <c r="CF342" s="618">
        <f t="shared" si="866"/>
        <v>0</v>
      </c>
      <c r="CG342" s="616">
        <f t="shared" si="828"/>
        <v>0</v>
      </c>
      <c r="CH342" s="621">
        <f t="shared" si="829"/>
        <v>0</v>
      </c>
      <c r="CI342" s="88" t="e">
        <f t="shared" si="830"/>
        <v>#DIV/0!</v>
      </c>
      <c r="CJ342" s="90" t="e">
        <f t="shared" si="831"/>
        <v>#DIV/0!</v>
      </c>
      <c r="CK342" s="90" t="e">
        <f t="shared" si="832"/>
        <v>#DIV/0!</v>
      </c>
      <c r="CL342" s="88" t="e">
        <f t="shared" si="833"/>
        <v>#DIV/0!</v>
      </c>
      <c r="CM342" s="88" t="e">
        <f t="shared" si="834"/>
        <v>#DIV/0!</v>
      </c>
      <c r="CN342" s="88" t="e">
        <f t="shared" si="835"/>
        <v>#DIV/0!</v>
      </c>
      <c r="CO342" s="88" t="e">
        <f t="shared" si="836"/>
        <v>#DIV/0!</v>
      </c>
      <c r="CP342" s="88" t="e">
        <f t="shared" si="837"/>
        <v>#DIV/0!</v>
      </c>
      <c r="CQ342" s="88" t="e">
        <f t="shared" si="838"/>
        <v>#DIV/0!</v>
      </c>
      <c r="CR342" s="88" t="e">
        <f t="shared" si="839"/>
        <v>#DIV/0!</v>
      </c>
      <c r="CS342" s="88" t="e">
        <f t="shared" si="840"/>
        <v>#DIV/0!</v>
      </c>
      <c r="CT342" s="88" t="e">
        <f t="shared" si="841"/>
        <v>#DIV/0!</v>
      </c>
      <c r="CU342" s="88" t="e">
        <f t="shared" si="842"/>
        <v>#DIV/0!</v>
      </c>
      <c r="CV342" s="88" t="e">
        <f t="shared" si="843"/>
        <v>#DIV/0!</v>
      </c>
      <c r="CW342" s="88" t="e">
        <f t="shared" si="844"/>
        <v>#DIV/0!</v>
      </c>
      <c r="CX342" s="88" t="e">
        <f t="shared" si="845"/>
        <v>#DIV/0!</v>
      </c>
      <c r="CY342" s="88" t="e">
        <f t="shared" si="846"/>
        <v>#DIV/0!</v>
      </c>
      <c r="CZ342" s="88" t="e">
        <f t="shared" si="847"/>
        <v>#DIV/0!</v>
      </c>
      <c r="DA342" s="90" t="e">
        <f t="shared" si="848"/>
        <v>#DIV/0!</v>
      </c>
      <c r="DB342" s="90" t="e">
        <f t="shared" si="849"/>
        <v>#DIV/0!</v>
      </c>
      <c r="DC342" s="88" t="e">
        <f t="shared" si="850"/>
        <v>#DIV/0!</v>
      </c>
      <c r="DD342" s="88" t="e">
        <f t="shared" si="851"/>
        <v>#DIV/0!</v>
      </c>
      <c r="AUV342" s="699">
        <v>0</v>
      </c>
      <c r="AUW342" s="699">
        <f t="shared" si="891"/>
        <v>0</v>
      </c>
      <c r="AUX342" s="699">
        <f t="shared" si="892"/>
        <v>0</v>
      </c>
      <c r="AUY342" s="699">
        <f t="shared" si="910"/>
        <v>0</v>
      </c>
      <c r="AUZ342" s="699">
        <f t="shared" si="910"/>
        <v>0</v>
      </c>
      <c r="AVA342" s="699">
        <f t="shared" si="910"/>
        <v>0</v>
      </c>
      <c r="AVB342" s="699">
        <f t="shared" si="911"/>
        <v>0</v>
      </c>
      <c r="AVC342" s="697"/>
      <c r="AVD342" s="697"/>
      <c r="AVE342" s="697"/>
      <c r="AVF342" s="697"/>
      <c r="AVG342" s="697"/>
      <c r="AVH342" s="697"/>
      <c r="AVI342" s="697"/>
      <c r="AVJ342" s="697"/>
      <c r="AVK342" s="697"/>
      <c r="AVL342" s="697"/>
      <c r="AVM342" s="697"/>
      <c r="AVN342" s="697"/>
      <c r="AVO342" s="697"/>
      <c r="AVP342" s="697"/>
      <c r="AVQ342" s="697"/>
    </row>
    <row r="343" spans="1:108 1244:1265" ht="30" customHeight="1" x14ac:dyDescent="0.25">
      <c r="A343" s="643">
        <v>1</v>
      </c>
      <c r="B343" s="643">
        <v>6</v>
      </c>
      <c r="C343" s="664" t="s">
        <v>250</v>
      </c>
      <c r="D343" s="2"/>
      <c r="E343" s="101" t="s">
        <v>344</v>
      </c>
      <c r="F343" s="643" t="s">
        <v>31</v>
      </c>
      <c r="G343" s="643">
        <v>1</v>
      </c>
      <c r="H343" s="658" t="s">
        <v>10</v>
      </c>
      <c r="I343" s="643">
        <v>0</v>
      </c>
      <c r="J343" s="101" t="s">
        <v>389</v>
      </c>
      <c r="K343" s="643">
        <v>1</v>
      </c>
      <c r="L343" s="683" t="s">
        <v>349</v>
      </c>
      <c r="M343" s="11" t="s">
        <v>314</v>
      </c>
      <c r="N343" s="101" t="s">
        <v>387</v>
      </c>
      <c r="O343" s="643">
        <v>1</v>
      </c>
      <c r="P343" s="632"/>
      <c r="Q343" s="632"/>
      <c r="R343" s="632"/>
      <c r="S343" s="675">
        <f>SUMIF('Территориальный кк'!$A:$A,'2020'!$B343,'Территориальный кк'!D:D)</f>
        <v>2.4420000000000002</v>
      </c>
      <c r="T343" s="676">
        <f>SUMIF('Территориальный кк'!$A:$A,'2020'!$B343,'Территориальный кк'!E:E)</f>
        <v>2.6</v>
      </c>
      <c r="U343" s="618">
        <f>SUMIFS(Нормативы!G:G,Нормативы!$B:$B,$G343,Нормативы!$D:$D,'2020'!$I343,Нормативы!$F:$F,'2020'!$K343)*O343</f>
        <v>54020</v>
      </c>
      <c r="V343" s="618">
        <f t="shared" si="852"/>
        <v>41490</v>
      </c>
      <c r="W343" s="618">
        <f t="shared" si="853"/>
        <v>12530</v>
      </c>
      <c r="X343" s="618">
        <f>SUMIFS(Нормативы!J:J,Нормативы!$B:$B,$G343,Нормативы!$D:$D,'2020'!$I343,Нормативы!$F:$F,'2020'!$K343)</f>
        <v>220</v>
      </c>
      <c r="Y343" s="618">
        <f>SUMIFS(Нормативы!K:K,Нормативы!$B:$B,$G343,Нормативы!$D:$D,'2020'!$I343,Нормативы!$F:$F,'2020'!$K343)</f>
        <v>44</v>
      </c>
      <c r="Z343" s="618">
        <f>SUMIFS(Нормативы!L:L,Нормативы!$B:$B,$G343,Нормативы!$D:$D,'2020'!$I343,Нормативы!$F:$F,'2020'!$K343)</f>
        <v>2320</v>
      </c>
      <c r="AA343" s="618">
        <f t="shared" si="854"/>
        <v>3710</v>
      </c>
      <c r="AB343" s="618">
        <f>SUMIFS(Нормативы!N:N,Нормативы!$B:$B,$G343,Нормативы!$D:$D,'2020'!$I343,Нормативы!$F:$F,'2020'!$K343)*O343</f>
        <v>520</v>
      </c>
      <c r="AC343" s="618">
        <f>SUMIFS(Нормативы!O:O,Нормативы!$B:$B,$G343,Нормативы!$D:$D,'2020'!$I343,Нормативы!$F:$F,'2020'!$K343)</f>
        <v>2140</v>
      </c>
      <c r="AD343" s="618">
        <f>SUMIFS(Нормативы!P:P,Нормативы!$B:$B,$G343,Нормативы!$D:$D,'2020'!$I343,Нормативы!$F:$F,'2020'!$K343)*O343</f>
        <v>310</v>
      </c>
      <c r="AE343" s="618">
        <f>SUMIFS(Нормативы!Q:Q,Нормативы!$B:$B,$G343,Нормативы!$D:$D,'2020'!$I343,Нормативы!$F:$F,'2020'!$K343)</f>
        <v>740</v>
      </c>
      <c r="AF343" s="618">
        <f>SUMIFS(Нормативы!R:R,Нормативы!$B:$B,$G343,Нормативы!$D:$D,'2020'!$I343,Нормативы!$F:$F,'2020'!$K343)</f>
        <v>2460</v>
      </c>
      <c r="AG343" s="618">
        <f>SUMIFS(Нормативы!S:S,Нормативы!$B:$B,$G343,Нормативы!$D:$D,'2020'!$I343,Нормативы!$F:$F,'2020'!$K343)</f>
        <v>5080</v>
      </c>
      <c r="AH343" s="618">
        <f>SUMIFS(Нормативы!T:T,Нормативы!$B:$B,$G343,Нормативы!$D:$D,'2020'!$I343,Нормативы!$F:$F,'2020'!$K343)</f>
        <v>540</v>
      </c>
      <c r="AI343" s="618">
        <f>SUMIFS(Нормативы!U:U,Нормативы!$B:$B,$G343,Нормативы!$D:$D,'2020'!$I343,Нормативы!$F:$F,'2020'!$K343)</f>
        <v>770</v>
      </c>
      <c r="AJ343" s="618">
        <f>SUMIFS(Нормативы!V:V,Нормативы!$B:$B,$G343,Нормативы!$D:$D,'2020'!$I343,Нормативы!$F:$F,'2020'!$K343)</f>
        <v>80</v>
      </c>
      <c r="AK343" s="618">
        <f>SUMIFS(Нормативы!W:W,Нормативы!$B:$B,$G343,Нормативы!$D:$D,'2020'!$I343,Нормативы!$F:$F,'2020'!$K343)</f>
        <v>300</v>
      </c>
      <c r="AL343" s="618">
        <f>SUMIFS(Нормативы!X:X,Нормативы!$B:$B,$G343,Нормативы!$D:$D,'2020'!$I343,Нормативы!$F:$F,'2020'!$K343)*O343</f>
        <v>13440</v>
      </c>
      <c r="AM343" s="618">
        <f t="shared" si="855"/>
        <v>10322.6</v>
      </c>
      <c r="AN343" s="618">
        <f t="shared" si="856"/>
        <v>3117.4</v>
      </c>
      <c r="AO343" s="618">
        <f>SUMIFS(Нормативы!AA:AA,Нормативы!$B:$B,$G343,Нормативы!$D:$D,'2020'!$I343,Нормативы!$F:$F,'2020'!$K343)</f>
        <v>3520</v>
      </c>
      <c r="AP343" s="619">
        <f t="shared" si="857"/>
        <v>86460</v>
      </c>
      <c r="AQ343" s="413">
        <f t="shared" si="795"/>
        <v>0</v>
      </c>
      <c r="AR343" s="618">
        <f t="shared" si="858"/>
        <v>0</v>
      </c>
      <c r="AS343" s="618">
        <f t="shared" si="859"/>
        <v>0</v>
      </c>
      <c r="AT343" s="616">
        <f t="shared" si="796"/>
        <v>0</v>
      </c>
      <c r="AU343" s="616">
        <f t="shared" si="797"/>
        <v>0</v>
      </c>
      <c r="AV343" s="616">
        <f t="shared" si="798"/>
        <v>0</v>
      </c>
      <c r="AW343" s="616">
        <f t="shared" si="799"/>
        <v>0</v>
      </c>
      <c r="AX343" s="616">
        <f t="shared" si="800"/>
        <v>0</v>
      </c>
      <c r="AY343" s="616">
        <f t="shared" si="801"/>
        <v>0</v>
      </c>
      <c r="AZ343" s="616">
        <f t="shared" si="802"/>
        <v>0</v>
      </c>
      <c r="BA343" s="616">
        <f t="shared" si="803"/>
        <v>0</v>
      </c>
      <c r="BB343" s="616">
        <f t="shared" si="804"/>
        <v>0</v>
      </c>
      <c r="BC343" s="616">
        <f t="shared" si="805"/>
        <v>0</v>
      </c>
      <c r="BD343" s="616">
        <f t="shared" si="806"/>
        <v>0</v>
      </c>
      <c r="BE343" s="616">
        <f t="shared" si="807"/>
        <v>0</v>
      </c>
      <c r="BF343" s="616">
        <f t="shared" si="808"/>
        <v>0</v>
      </c>
      <c r="BG343" s="616">
        <f t="shared" si="809"/>
        <v>0</v>
      </c>
      <c r="BH343" s="616">
        <f t="shared" si="810"/>
        <v>0</v>
      </c>
      <c r="BI343" s="618">
        <f t="shared" si="860"/>
        <v>0</v>
      </c>
      <c r="BJ343" s="618">
        <f t="shared" si="861"/>
        <v>0</v>
      </c>
      <c r="BK343" s="616">
        <f t="shared" si="811"/>
        <v>0</v>
      </c>
      <c r="BL343" s="620">
        <f t="shared" si="812"/>
        <v>0</v>
      </c>
      <c r="BM343" s="616">
        <f t="shared" si="813"/>
        <v>0</v>
      </c>
      <c r="BN343" s="618">
        <f t="shared" si="814"/>
        <v>0</v>
      </c>
      <c r="BO343" s="618">
        <f t="shared" si="815"/>
        <v>0</v>
      </c>
      <c r="BP343" s="616">
        <f t="shared" si="862"/>
        <v>0</v>
      </c>
      <c r="BQ343" s="616">
        <f t="shared" si="863"/>
        <v>0</v>
      </c>
      <c r="BR343" s="616">
        <f t="shared" si="864"/>
        <v>0</v>
      </c>
      <c r="BS343" s="616">
        <f t="shared" si="816"/>
        <v>0</v>
      </c>
      <c r="BT343" s="616">
        <f t="shared" si="817"/>
        <v>0</v>
      </c>
      <c r="BU343" s="616">
        <f t="shared" si="818"/>
        <v>0</v>
      </c>
      <c r="BV343" s="616">
        <f t="shared" si="819"/>
        <v>0</v>
      </c>
      <c r="BW343" s="616">
        <f t="shared" si="820"/>
        <v>0</v>
      </c>
      <c r="BX343" s="616">
        <f t="shared" si="821"/>
        <v>0</v>
      </c>
      <c r="BY343" s="616">
        <f t="shared" si="822"/>
        <v>0</v>
      </c>
      <c r="BZ343" s="616">
        <f t="shared" si="823"/>
        <v>0</v>
      </c>
      <c r="CA343" s="616">
        <f t="shared" si="824"/>
        <v>0</v>
      </c>
      <c r="CB343" s="616">
        <f t="shared" si="825"/>
        <v>0</v>
      </c>
      <c r="CC343" s="616">
        <f t="shared" si="826"/>
        <v>0</v>
      </c>
      <c r="CD343" s="616">
        <f t="shared" si="827"/>
        <v>0</v>
      </c>
      <c r="CE343" s="618">
        <f t="shared" si="865"/>
        <v>0</v>
      </c>
      <c r="CF343" s="618">
        <f t="shared" si="866"/>
        <v>0</v>
      </c>
      <c r="CG343" s="616">
        <f t="shared" si="828"/>
        <v>0</v>
      </c>
      <c r="CH343" s="621">
        <f t="shared" si="829"/>
        <v>0</v>
      </c>
      <c r="CI343" s="88" t="e">
        <f t="shared" si="830"/>
        <v>#DIV/0!</v>
      </c>
      <c r="CJ343" s="90" t="e">
        <f t="shared" si="831"/>
        <v>#DIV/0!</v>
      </c>
      <c r="CK343" s="90" t="e">
        <f t="shared" si="832"/>
        <v>#DIV/0!</v>
      </c>
      <c r="CL343" s="88" t="e">
        <f t="shared" si="833"/>
        <v>#DIV/0!</v>
      </c>
      <c r="CM343" s="88" t="e">
        <f t="shared" si="834"/>
        <v>#DIV/0!</v>
      </c>
      <c r="CN343" s="88" t="e">
        <f t="shared" si="835"/>
        <v>#DIV/0!</v>
      </c>
      <c r="CO343" s="88" t="e">
        <f t="shared" si="836"/>
        <v>#DIV/0!</v>
      </c>
      <c r="CP343" s="88" t="e">
        <f t="shared" si="837"/>
        <v>#DIV/0!</v>
      </c>
      <c r="CQ343" s="88" t="e">
        <f t="shared" si="838"/>
        <v>#DIV/0!</v>
      </c>
      <c r="CR343" s="88" t="e">
        <f t="shared" si="839"/>
        <v>#DIV/0!</v>
      </c>
      <c r="CS343" s="88" t="e">
        <f t="shared" si="840"/>
        <v>#DIV/0!</v>
      </c>
      <c r="CT343" s="88" t="e">
        <f t="shared" si="841"/>
        <v>#DIV/0!</v>
      </c>
      <c r="CU343" s="88" t="e">
        <f t="shared" si="842"/>
        <v>#DIV/0!</v>
      </c>
      <c r="CV343" s="88" t="e">
        <f t="shared" si="843"/>
        <v>#DIV/0!</v>
      </c>
      <c r="CW343" s="88" t="e">
        <f t="shared" si="844"/>
        <v>#DIV/0!</v>
      </c>
      <c r="CX343" s="88" t="e">
        <f t="shared" si="845"/>
        <v>#DIV/0!</v>
      </c>
      <c r="CY343" s="88" t="e">
        <f t="shared" si="846"/>
        <v>#DIV/0!</v>
      </c>
      <c r="CZ343" s="88" t="e">
        <f t="shared" si="847"/>
        <v>#DIV/0!</v>
      </c>
      <c r="DA343" s="90" t="e">
        <f t="shared" si="848"/>
        <v>#DIV/0!</v>
      </c>
      <c r="DB343" s="90" t="e">
        <f t="shared" si="849"/>
        <v>#DIV/0!</v>
      </c>
      <c r="DC343" s="88" t="e">
        <f t="shared" si="850"/>
        <v>#DIV/0!</v>
      </c>
      <c r="DD343" s="211" t="e">
        <f t="shared" si="851"/>
        <v>#DIV/0!</v>
      </c>
      <c r="AUV343" s="699">
        <v>0</v>
      </c>
      <c r="AUW343" s="699">
        <f t="shared" si="891"/>
        <v>0</v>
      </c>
      <c r="AUX343" s="699">
        <f t="shared" si="892"/>
        <v>0</v>
      </c>
      <c r="AUY343" s="699">
        <f t="shared" si="910"/>
        <v>0</v>
      </c>
      <c r="AUZ343" s="699">
        <f t="shared" si="910"/>
        <v>0</v>
      </c>
      <c r="AVA343" s="699">
        <f t="shared" si="910"/>
        <v>0</v>
      </c>
      <c r="AVB343" s="699">
        <f t="shared" si="911"/>
        <v>0</v>
      </c>
      <c r="AVC343" s="697"/>
      <c r="AVD343" s="697"/>
      <c r="AVE343" s="697"/>
      <c r="AVF343" s="697"/>
      <c r="AVG343" s="697"/>
      <c r="AVH343" s="697"/>
      <c r="AVI343" s="697"/>
      <c r="AVJ343" s="697"/>
      <c r="AVK343" s="697"/>
      <c r="AVL343" s="697"/>
      <c r="AVM343" s="697"/>
      <c r="AVN343" s="697"/>
      <c r="AVO343" s="697"/>
      <c r="AVP343" s="697"/>
      <c r="AVQ343" s="697"/>
    </row>
    <row r="344" spans="1:108 1244:1265" ht="30" customHeight="1" x14ac:dyDescent="0.25">
      <c r="A344" s="643">
        <v>1</v>
      </c>
      <c r="B344" s="643">
        <v>6</v>
      </c>
      <c r="C344" s="664" t="s">
        <v>250</v>
      </c>
      <c r="D344" s="2"/>
      <c r="E344" s="101" t="s">
        <v>344</v>
      </c>
      <c r="F344" s="643" t="s">
        <v>31</v>
      </c>
      <c r="G344" s="643">
        <v>1</v>
      </c>
      <c r="H344" s="658" t="s">
        <v>10</v>
      </c>
      <c r="I344" s="643">
        <v>0</v>
      </c>
      <c r="J344" s="101" t="s">
        <v>356</v>
      </c>
      <c r="K344" s="643">
        <v>3</v>
      </c>
      <c r="L344" s="683" t="s">
        <v>349</v>
      </c>
      <c r="M344" s="11" t="s">
        <v>255</v>
      </c>
      <c r="N344" s="101" t="s">
        <v>387</v>
      </c>
      <c r="O344" s="643">
        <v>1</v>
      </c>
      <c r="P344" s="695">
        <v>1499</v>
      </c>
      <c r="Q344" s="632">
        <v>1499</v>
      </c>
      <c r="R344" s="632">
        <v>1499</v>
      </c>
      <c r="S344" s="675">
        <f>SUMIF('Территориальный кк'!$A:$A,'2020'!$B344,'Территориальный кк'!D:D)</f>
        <v>2.4420000000000002</v>
      </c>
      <c r="T344" s="676">
        <f>SUMIF('Территориальный кк'!$A:$A,'2020'!$B344,'Территориальный кк'!E:E)</f>
        <v>2.6</v>
      </c>
      <c r="U344" s="618">
        <f>SUMIFS(Нормативы!G:G,Нормативы!$B:$B,$G344,Нормативы!$D:$D,'2020'!$I344,Нормативы!$F:$F,'2020'!$K344)*O344</f>
        <v>64190</v>
      </c>
      <c r="V344" s="618">
        <f t="shared" si="852"/>
        <v>49301.1</v>
      </c>
      <c r="W344" s="618">
        <f t="shared" si="853"/>
        <v>14888.9</v>
      </c>
      <c r="X344" s="618">
        <f>SUMIFS(Нормативы!J:J,Нормативы!$B:$B,$G344,Нормативы!$D:$D,'2020'!$I344,Нормативы!$F:$F,'2020'!$K344)</f>
        <v>8830</v>
      </c>
      <c r="Y344" s="618">
        <f>SUMIFS(Нормативы!K:K,Нормативы!$B:$B,$G344,Нормативы!$D:$D,'2020'!$I344,Нормативы!$F:$F,'2020'!$K344)</f>
        <v>1766</v>
      </c>
      <c r="Z344" s="618">
        <f>SUMIFS(Нормативы!L:L,Нормативы!$B:$B,$G344,Нормативы!$D:$D,'2020'!$I344,Нормативы!$F:$F,'2020'!$K344)</f>
        <v>8110</v>
      </c>
      <c r="AA344" s="618">
        <f t="shared" si="854"/>
        <v>19050</v>
      </c>
      <c r="AB344" s="618">
        <f>SUMIFS(Нормативы!N:N,Нормативы!$B:$B,$G344,Нормативы!$D:$D,'2020'!$I344,Нормативы!$F:$F,'2020'!$K344)*O344</f>
        <v>520</v>
      </c>
      <c r="AC344" s="618">
        <f>SUMIFS(Нормативы!O:O,Нормативы!$B:$B,$G344,Нормативы!$D:$D,'2020'!$I344,Нормативы!$F:$F,'2020'!$K344)</f>
        <v>17290</v>
      </c>
      <c r="AD344" s="618">
        <f>SUMIFS(Нормативы!P:P,Нормативы!$B:$B,$G344,Нормативы!$D:$D,'2020'!$I344,Нормативы!$F:$F,'2020'!$K344)*O344</f>
        <v>360</v>
      </c>
      <c r="AE344" s="618">
        <f>SUMIFS(Нормативы!Q:Q,Нормативы!$B:$B,$G344,Нормативы!$D:$D,'2020'!$I344,Нормативы!$F:$F,'2020'!$K344)</f>
        <v>880</v>
      </c>
      <c r="AF344" s="618">
        <f>SUMIFS(Нормативы!R:R,Нормативы!$B:$B,$G344,Нормативы!$D:$D,'2020'!$I344,Нормативы!$F:$F,'2020'!$K344)</f>
        <v>2680</v>
      </c>
      <c r="AG344" s="618">
        <f>SUMIFS(Нормативы!S:S,Нормативы!$B:$B,$G344,Нормативы!$D:$D,'2020'!$I344,Нормативы!$F:$F,'2020'!$K344)</f>
        <v>5800</v>
      </c>
      <c r="AH344" s="618">
        <f>SUMIFS(Нормативы!T:T,Нормативы!$B:$B,$G344,Нормативы!$D:$D,'2020'!$I344,Нормативы!$F:$F,'2020'!$K344)</f>
        <v>540</v>
      </c>
      <c r="AI344" s="618">
        <f>SUMIFS(Нормативы!U:U,Нормативы!$B:$B,$G344,Нормативы!$D:$D,'2020'!$I344,Нормативы!$F:$F,'2020'!$K344)</f>
        <v>770</v>
      </c>
      <c r="AJ344" s="618">
        <f>SUMIFS(Нормативы!V:V,Нормативы!$B:$B,$G344,Нормативы!$D:$D,'2020'!$I344,Нормативы!$F:$F,'2020'!$K344)</f>
        <v>80</v>
      </c>
      <c r="AK344" s="618">
        <f>SUMIFS(Нормативы!W:W,Нормативы!$B:$B,$G344,Нормативы!$D:$D,'2020'!$I344,Нормативы!$F:$F,'2020'!$K344)</f>
        <v>1050</v>
      </c>
      <c r="AL344" s="618">
        <f>SUMIFS(Нормативы!X:X,Нормативы!$B:$B,$G344,Нормативы!$D:$D,'2020'!$I344,Нормативы!$F:$F,'2020'!$K344)*O344</f>
        <v>16120</v>
      </c>
      <c r="AM344" s="618">
        <f t="shared" si="855"/>
        <v>12381</v>
      </c>
      <c r="AN344" s="618">
        <f t="shared" si="856"/>
        <v>3739</v>
      </c>
      <c r="AO344" s="618">
        <f>SUMIFS(Нормативы!AA:AA,Нормативы!$B:$B,$G344,Нормативы!$D:$D,'2020'!$I344,Нормативы!$F:$F,'2020'!$K344)</f>
        <v>3520</v>
      </c>
      <c r="AP344" s="619">
        <f t="shared" si="857"/>
        <v>130740</v>
      </c>
      <c r="AQ344" s="413">
        <f t="shared" si="795"/>
        <v>96220810</v>
      </c>
      <c r="AR344" s="618">
        <f t="shared" si="858"/>
        <v>73902311.799999997</v>
      </c>
      <c r="AS344" s="618">
        <f t="shared" si="859"/>
        <v>22318498.199999999</v>
      </c>
      <c r="AT344" s="616">
        <f t="shared" si="796"/>
        <v>13236170</v>
      </c>
      <c r="AU344" s="616">
        <f t="shared" si="797"/>
        <v>2647234</v>
      </c>
      <c r="AV344" s="616">
        <f t="shared" si="798"/>
        <v>12156890</v>
      </c>
      <c r="AW344" s="616">
        <f t="shared" si="799"/>
        <v>28555950</v>
      </c>
      <c r="AX344" s="616">
        <f t="shared" si="800"/>
        <v>779480</v>
      </c>
      <c r="AY344" s="616">
        <f t="shared" si="801"/>
        <v>25917710</v>
      </c>
      <c r="AZ344" s="616">
        <f t="shared" si="802"/>
        <v>539640</v>
      </c>
      <c r="BA344" s="616">
        <f t="shared" si="803"/>
        <v>1319120</v>
      </c>
      <c r="BB344" s="616">
        <f t="shared" si="804"/>
        <v>4017320</v>
      </c>
      <c r="BC344" s="616">
        <f t="shared" si="805"/>
        <v>8694200</v>
      </c>
      <c r="BD344" s="616">
        <f t="shared" si="806"/>
        <v>809460</v>
      </c>
      <c r="BE344" s="616">
        <f t="shared" si="807"/>
        <v>1154230</v>
      </c>
      <c r="BF344" s="616">
        <f t="shared" si="808"/>
        <v>119920</v>
      </c>
      <c r="BG344" s="616">
        <f t="shared" si="809"/>
        <v>1573950</v>
      </c>
      <c r="BH344" s="616">
        <f t="shared" si="810"/>
        <v>24163880</v>
      </c>
      <c r="BI344" s="618">
        <f t="shared" si="860"/>
        <v>18559047.600000001</v>
      </c>
      <c r="BJ344" s="618">
        <f t="shared" si="861"/>
        <v>5604832.4000000004</v>
      </c>
      <c r="BK344" s="616">
        <f t="shared" si="811"/>
        <v>5276480</v>
      </c>
      <c r="BL344" s="620">
        <f t="shared" si="812"/>
        <v>195979260</v>
      </c>
      <c r="BM344" s="616">
        <f t="shared" si="813"/>
        <v>234971218</v>
      </c>
      <c r="BN344" s="618">
        <f t="shared" si="814"/>
        <v>180469445.5</v>
      </c>
      <c r="BO344" s="618">
        <f t="shared" si="815"/>
        <v>54501772.5</v>
      </c>
      <c r="BP344" s="616">
        <f t="shared" si="862"/>
        <v>13236170</v>
      </c>
      <c r="BQ344" s="616">
        <f t="shared" si="863"/>
        <v>2647234</v>
      </c>
      <c r="BR344" s="616">
        <f t="shared" si="864"/>
        <v>12156890</v>
      </c>
      <c r="BS344" s="616">
        <f t="shared" si="816"/>
        <v>28555950</v>
      </c>
      <c r="BT344" s="616">
        <f t="shared" si="817"/>
        <v>779480</v>
      </c>
      <c r="BU344" s="616">
        <f t="shared" si="818"/>
        <v>25917710</v>
      </c>
      <c r="BV344" s="616">
        <f t="shared" si="819"/>
        <v>539640</v>
      </c>
      <c r="BW344" s="616">
        <f t="shared" si="820"/>
        <v>1319120</v>
      </c>
      <c r="BX344" s="616">
        <f t="shared" si="821"/>
        <v>10445032</v>
      </c>
      <c r="BY344" s="616">
        <f t="shared" si="822"/>
        <v>8694200</v>
      </c>
      <c r="BZ344" s="616">
        <f t="shared" si="823"/>
        <v>809460</v>
      </c>
      <c r="CA344" s="616">
        <f t="shared" si="824"/>
        <v>1154230</v>
      </c>
      <c r="CB344" s="616">
        <f t="shared" si="825"/>
        <v>119920</v>
      </c>
      <c r="CC344" s="616">
        <f t="shared" si="826"/>
        <v>1573950</v>
      </c>
      <c r="CD344" s="616">
        <f t="shared" si="827"/>
        <v>59008195</v>
      </c>
      <c r="CE344" s="618">
        <f t="shared" si="865"/>
        <v>45321194.299999997</v>
      </c>
      <c r="CF344" s="618">
        <f t="shared" si="866"/>
        <v>13687000.699999999</v>
      </c>
      <c r="CG344" s="616">
        <f t="shared" si="828"/>
        <v>5276480</v>
      </c>
      <c r="CH344" s="621">
        <f t="shared" si="829"/>
        <v>376001695</v>
      </c>
      <c r="CI344" s="88">
        <f t="shared" si="830"/>
        <v>156751.98000000001</v>
      </c>
      <c r="CJ344" s="90">
        <f t="shared" si="831"/>
        <v>120393.2258</v>
      </c>
      <c r="CK344" s="90">
        <f t="shared" si="832"/>
        <v>36358.754200000003</v>
      </c>
      <c r="CL344" s="88">
        <f t="shared" si="833"/>
        <v>8830</v>
      </c>
      <c r="CM344" s="88">
        <f t="shared" si="834"/>
        <v>1766</v>
      </c>
      <c r="CN344" s="88">
        <f t="shared" si="835"/>
        <v>8110</v>
      </c>
      <c r="CO344" s="88">
        <f t="shared" si="836"/>
        <v>19050</v>
      </c>
      <c r="CP344" s="88">
        <f t="shared" si="837"/>
        <v>520</v>
      </c>
      <c r="CQ344" s="88">
        <f t="shared" si="838"/>
        <v>17290</v>
      </c>
      <c r="CR344" s="88">
        <f t="shared" si="839"/>
        <v>360</v>
      </c>
      <c r="CS344" s="88">
        <f t="shared" si="840"/>
        <v>880</v>
      </c>
      <c r="CT344" s="88">
        <f t="shared" si="841"/>
        <v>6968</v>
      </c>
      <c r="CU344" s="88">
        <f t="shared" si="842"/>
        <v>5800</v>
      </c>
      <c r="CV344" s="88">
        <f t="shared" si="843"/>
        <v>540</v>
      </c>
      <c r="CW344" s="88">
        <f t="shared" si="844"/>
        <v>770</v>
      </c>
      <c r="CX344" s="88">
        <f t="shared" si="845"/>
        <v>80</v>
      </c>
      <c r="CY344" s="88">
        <f t="shared" si="846"/>
        <v>1050</v>
      </c>
      <c r="CZ344" s="88">
        <f t="shared" si="847"/>
        <v>39365.040000000001</v>
      </c>
      <c r="DA344" s="90">
        <f t="shared" si="848"/>
        <v>30234.2857</v>
      </c>
      <c r="DB344" s="90">
        <f t="shared" si="849"/>
        <v>9130.7543000000005</v>
      </c>
      <c r="DC344" s="88">
        <f t="shared" si="850"/>
        <v>3520</v>
      </c>
      <c r="DD344" s="211">
        <f t="shared" si="851"/>
        <v>250835.02</v>
      </c>
      <c r="AUV344" s="699">
        <f t="shared" si="890"/>
        <v>156751.98000000001</v>
      </c>
      <c r="AUW344" s="699">
        <f t="shared" si="891"/>
        <v>120393.23</v>
      </c>
      <c r="AUX344" s="699">
        <f t="shared" si="892"/>
        <v>36358.75</v>
      </c>
      <c r="AUY344" s="699">
        <f t="shared" ref="AUY344:AUY354" si="912">BP344/P344</f>
        <v>8830</v>
      </c>
      <c r="AUZ344" s="699">
        <f t="shared" si="910"/>
        <v>1018166.92</v>
      </c>
      <c r="AVA344" s="699">
        <f t="shared" si="910"/>
        <v>189.39</v>
      </c>
      <c r="AVB344" s="699">
        <f t="shared" ref="AVB344:AVB354" si="913">AVC344+AVD344+AVE344+AVF344</f>
        <v>19050</v>
      </c>
      <c r="AVC344" s="699">
        <f t="shared" ref="AVC344:AVC354" si="914">BT344/P344</f>
        <v>520</v>
      </c>
      <c r="AVD344" s="699">
        <f t="shared" ref="AVD344:AVD354" si="915">BU344/P344</f>
        <v>17290</v>
      </c>
      <c r="AVE344" s="699">
        <f t="shared" ref="AVE344:AVE354" si="916">BV344/P344</f>
        <v>360</v>
      </c>
      <c r="AVF344" s="699">
        <f t="shared" ref="AVF344:AVF354" si="917">BW344/P344</f>
        <v>880</v>
      </c>
      <c r="AVG344" s="699">
        <f t="shared" ref="AVG344:AVG354" si="918">BX344/P344</f>
        <v>6968</v>
      </c>
      <c r="AVH344" s="699">
        <f t="shared" ref="AVH344:AVH354" si="919">BY344/P344</f>
        <v>5800</v>
      </c>
      <c r="AVI344" s="699">
        <f t="shared" ref="AVI344:AVI354" si="920">BZ344/P344</f>
        <v>540</v>
      </c>
      <c r="AVJ344" s="699">
        <f t="shared" ref="AVJ344:AVJ354" si="921">CA344/P344</f>
        <v>770</v>
      </c>
      <c r="AVK344" s="699">
        <f t="shared" ref="AVK344:AVK354" si="922">CB344/P344</f>
        <v>80</v>
      </c>
      <c r="AVL344" s="699">
        <f t="shared" ref="AVL344:AVL354" si="923">CC344/P344</f>
        <v>1050</v>
      </c>
      <c r="AVM344" s="699">
        <f t="shared" ref="AVM344:AVM354" si="924">CD344/P344</f>
        <v>39365.040000000001</v>
      </c>
      <c r="AVN344" s="699">
        <f t="shared" ref="AVN344:AVN354" si="925">AVM344/1.302</f>
        <v>30234.29</v>
      </c>
      <c r="AVO344" s="699">
        <f t="shared" ref="AVO344:AVO354" si="926">AVM344-AVN344</f>
        <v>9130.75</v>
      </c>
      <c r="AVP344" s="699">
        <f t="shared" ref="AVP344:AVP354" si="927">CG344/P344</f>
        <v>3520</v>
      </c>
      <c r="AVQ344" s="699">
        <f t="shared" ref="AVQ344:AVQ354" si="928">CH344/P344</f>
        <v>250835.02</v>
      </c>
    </row>
    <row r="345" spans="1:108 1244:1265" ht="30" customHeight="1" x14ac:dyDescent="0.25">
      <c r="A345" s="643">
        <v>1</v>
      </c>
      <c r="B345" s="643">
        <v>6</v>
      </c>
      <c r="C345" s="664" t="s">
        <v>250</v>
      </c>
      <c r="D345" s="2"/>
      <c r="E345" s="101" t="s">
        <v>344</v>
      </c>
      <c r="F345" s="643" t="s">
        <v>31</v>
      </c>
      <c r="G345" s="643">
        <v>1</v>
      </c>
      <c r="H345" s="658" t="s">
        <v>10</v>
      </c>
      <c r="I345" s="643">
        <v>0</v>
      </c>
      <c r="J345" s="101" t="s">
        <v>356</v>
      </c>
      <c r="K345" s="643">
        <v>3</v>
      </c>
      <c r="L345" s="683" t="s">
        <v>349</v>
      </c>
      <c r="M345" s="11" t="s">
        <v>256</v>
      </c>
      <c r="N345" s="101" t="s">
        <v>401</v>
      </c>
      <c r="O345" s="643">
        <v>2</v>
      </c>
      <c r="P345" s="695">
        <v>1</v>
      </c>
      <c r="Q345" s="632">
        <v>1</v>
      </c>
      <c r="R345" s="632">
        <v>1</v>
      </c>
      <c r="S345" s="675">
        <f>SUMIF('Территориальный кк'!$A:$A,'2020'!$B345,'Территориальный кк'!D:D)</f>
        <v>2.4420000000000002</v>
      </c>
      <c r="T345" s="676">
        <f>SUMIF('Территориальный кк'!$A:$A,'2020'!$B345,'Территориальный кк'!E:E)</f>
        <v>2.6</v>
      </c>
      <c r="U345" s="618">
        <f>SUMIFS(Нормативы!G:G,Нормативы!$B:$B,$G345,Нормативы!$D:$D,'2020'!$I345,Нормативы!$F:$F,'2020'!$K345)*O345</f>
        <v>128380</v>
      </c>
      <c r="V345" s="618">
        <f t="shared" si="852"/>
        <v>98602.2</v>
      </c>
      <c r="W345" s="618">
        <f t="shared" si="853"/>
        <v>29777.8</v>
      </c>
      <c r="X345" s="618">
        <f>SUMIFS(Нормативы!J:J,Нормативы!$B:$B,$G345,Нормативы!$D:$D,'2020'!$I345,Нормативы!$F:$F,'2020'!$K345)</f>
        <v>8830</v>
      </c>
      <c r="Y345" s="618">
        <f>SUMIFS(Нормативы!K:K,Нормативы!$B:$B,$G345,Нормативы!$D:$D,'2020'!$I345,Нормативы!$F:$F,'2020'!$K345)</f>
        <v>1766</v>
      </c>
      <c r="Z345" s="618">
        <f>SUMIFS(Нормативы!L:L,Нормативы!$B:$B,$G345,Нормативы!$D:$D,'2020'!$I345,Нормативы!$F:$F,'2020'!$K345)</f>
        <v>8110</v>
      </c>
      <c r="AA345" s="618">
        <f t="shared" si="854"/>
        <v>19930</v>
      </c>
      <c r="AB345" s="618">
        <f>SUMIFS(Нормативы!N:N,Нормативы!$B:$B,$G345,Нормативы!$D:$D,'2020'!$I345,Нормативы!$F:$F,'2020'!$K345)*O345</f>
        <v>1040</v>
      </c>
      <c r="AC345" s="618">
        <f>SUMIFS(Нормативы!O:O,Нормативы!$B:$B,$G345,Нормативы!$D:$D,'2020'!$I345,Нормативы!$F:$F,'2020'!$K345)</f>
        <v>17290</v>
      </c>
      <c r="AD345" s="618">
        <f>SUMIFS(Нормативы!P:P,Нормативы!$B:$B,$G345,Нормативы!$D:$D,'2020'!$I345,Нормативы!$F:$F,'2020'!$K345)*O345</f>
        <v>720</v>
      </c>
      <c r="AE345" s="618">
        <f>SUMIFS(Нормативы!Q:Q,Нормативы!$B:$B,$G345,Нормативы!$D:$D,'2020'!$I345,Нормативы!$F:$F,'2020'!$K345)</f>
        <v>880</v>
      </c>
      <c r="AF345" s="618">
        <f>SUMIFS(Нормативы!R:R,Нормативы!$B:$B,$G345,Нормативы!$D:$D,'2020'!$I345,Нормативы!$F:$F,'2020'!$K345)</f>
        <v>2680</v>
      </c>
      <c r="AG345" s="618">
        <f>SUMIFS(Нормативы!S:S,Нормативы!$B:$B,$G345,Нормативы!$D:$D,'2020'!$I345,Нормативы!$F:$F,'2020'!$K345)</f>
        <v>5800</v>
      </c>
      <c r="AH345" s="618">
        <f>SUMIFS(Нормативы!T:T,Нормативы!$B:$B,$G345,Нормативы!$D:$D,'2020'!$I345,Нормативы!$F:$F,'2020'!$K345)</f>
        <v>540</v>
      </c>
      <c r="AI345" s="618">
        <f>SUMIFS(Нормативы!U:U,Нормативы!$B:$B,$G345,Нормативы!$D:$D,'2020'!$I345,Нормативы!$F:$F,'2020'!$K345)</f>
        <v>770</v>
      </c>
      <c r="AJ345" s="618">
        <f>SUMIFS(Нормативы!V:V,Нормативы!$B:$B,$G345,Нормативы!$D:$D,'2020'!$I345,Нормативы!$F:$F,'2020'!$K345)</f>
        <v>80</v>
      </c>
      <c r="AK345" s="618">
        <f>SUMIFS(Нормативы!W:W,Нормативы!$B:$B,$G345,Нормативы!$D:$D,'2020'!$I345,Нормативы!$F:$F,'2020'!$K345)</f>
        <v>1050</v>
      </c>
      <c r="AL345" s="618">
        <f>SUMIFS(Нормативы!X:X,Нормативы!$B:$B,$G345,Нормативы!$D:$D,'2020'!$I345,Нормативы!$F:$F,'2020'!$K345)*O345</f>
        <v>32240</v>
      </c>
      <c r="AM345" s="618">
        <f t="shared" si="855"/>
        <v>24761.9</v>
      </c>
      <c r="AN345" s="618">
        <f t="shared" si="856"/>
        <v>7478.1</v>
      </c>
      <c r="AO345" s="618">
        <f>SUMIFS(Нормативы!AA:AA,Нормативы!$B:$B,$G345,Нормативы!$D:$D,'2020'!$I345,Нормативы!$F:$F,'2020'!$K345)</f>
        <v>3520</v>
      </c>
      <c r="AP345" s="619">
        <f t="shared" si="857"/>
        <v>211930</v>
      </c>
      <c r="AQ345" s="413">
        <f t="shared" si="795"/>
        <v>128380</v>
      </c>
      <c r="AR345" s="618">
        <f t="shared" si="858"/>
        <v>98602.2</v>
      </c>
      <c r="AS345" s="618">
        <f t="shared" si="859"/>
        <v>29777.8</v>
      </c>
      <c r="AT345" s="616">
        <f t="shared" si="796"/>
        <v>8830</v>
      </c>
      <c r="AU345" s="616">
        <f t="shared" si="797"/>
        <v>1766</v>
      </c>
      <c r="AV345" s="616">
        <f t="shared" si="798"/>
        <v>8110</v>
      </c>
      <c r="AW345" s="616">
        <f t="shared" si="799"/>
        <v>19930</v>
      </c>
      <c r="AX345" s="616">
        <f t="shared" si="800"/>
        <v>1040</v>
      </c>
      <c r="AY345" s="616">
        <f t="shared" si="801"/>
        <v>17290</v>
      </c>
      <c r="AZ345" s="616">
        <f t="shared" si="802"/>
        <v>720</v>
      </c>
      <c r="BA345" s="616">
        <f t="shared" si="803"/>
        <v>880</v>
      </c>
      <c r="BB345" s="616">
        <f t="shared" si="804"/>
        <v>2680</v>
      </c>
      <c r="BC345" s="616">
        <f t="shared" si="805"/>
        <v>5800</v>
      </c>
      <c r="BD345" s="616">
        <f t="shared" si="806"/>
        <v>540</v>
      </c>
      <c r="BE345" s="616">
        <f t="shared" si="807"/>
        <v>770</v>
      </c>
      <c r="BF345" s="616">
        <f t="shared" si="808"/>
        <v>80</v>
      </c>
      <c r="BG345" s="616">
        <f t="shared" si="809"/>
        <v>1050</v>
      </c>
      <c r="BH345" s="616">
        <f t="shared" si="810"/>
        <v>32240</v>
      </c>
      <c r="BI345" s="618">
        <f t="shared" si="860"/>
        <v>24761.9</v>
      </c>
      <c r="BJ345" s="618">
        <f t="shared" si="861"/>
        <v>7478.1</v>
      </c>
      <c r="BK345" s="616">
        <f t="shared" si="811"/>
        <v>3520</v>
      </c>
      <c r="BL345" s="620">
        <f t="shared" si="812"/>
        <v>211930</v>
      </c>
      <c r="BM345" s="616">
        <f t="shared" si="813"/>
        <v>313504</v>
      </c>
      <c r="BN345" s="618">
        <f t="shared" si="814"/>
        <v>240786.5</v>
      </c>
      <c r="BO345" s="618">
        <f t="shared" si="815"/>
        <v>72717.5</v>
      </c>
      <c r="BP345" s="616">
        <f t="shared" si="862"/>
        <v>8830</v>
      </c>
      <c r="BQ345" s="616">
        <f t="shared" si="863"/>
        <v>1766</v>
      </c>
      <c r="BR345" s="616">
        <f t="shared" si="864"/>
        <v>8110</v>
      </c>
      <c r="BS345" s="616">
        <f t="shared" si="816"/>
        <v>19930</v>
      </c>
      <c r="BT345" s="616">
        <f t="shared" si="817"/>
        <v>1040</v>
      </c>
      <c r="BU345" s="616">
        <f t="shared" si="818"/>
        <v>17290</v>
      </c>
      <c r="BV345" s="616">
        <f t="shared" si="819"/>
        <v>720</v>
      </c>
      <c r="BW345" s="616">
        <f t="shared" si="820"/>
        <v>880</v>
      </c>
      <c r="BX345" s="616">
        <f t="shared" si="821"/>
        <v>6968</v>
      </c>
      <c r="BY345" s="616">
        <f t="shared" si="822"/>
        <v>5800</v>
      </c>
      <c r="BZ345" s="616">
        <f t="shared" si="823"/>
        <v>540</v>
      </c>
      <c r="CA345" s="616">
        <f t="shared" si="824"/>
        <v>770</v>
      </c>
      <c r="CB345" s="616">
        <f t="shared" si="825"/>
        <v>80</v>
      </c>
      <c r="CC345" s="616">
        <f t="shared" si="826"/>
        <v>1050</v>
      </c>
      <c r="CD345" s="616">
        <f t="shared" si="827"/>
        <v>78730</v>
      </c>
      <c r="CE345" s="618">
        <f t="shared" si="865"/>
        <v>60468.5</v>
      </c>
      <c r="CF345" s="618">
        <f t="shared" si="866"/>
        <v>18261.5</v>
      </c>
      <c r="CG345" s="616">
        <f t="shared" si="828"/>
        <v>3520</v>
      </c>
      <c r="CH345" s="621">
        <f t="shared" si="829"/>
        <v>447832</v>
      </c>
      <c r="CI345" s="88">
        <f t="shared" si="830"/>
        <v>313504</v>
      </c>
      <c r="CJ345" s="90">
        <f t="shared" si="831"/>
        <v>240786.5</v>
      </c>
      <c r="CK345" s="90">
        <f t="shared" si="832"/>
        <v>72717.5</v>
      </c>
      <c r="CL345" s="88">
        <f t="shared" si="833"/>
        <v>8830</v>
      </c>
      <c r="CM345" s="88">
        <f t="shared" si="834"/>
        <v>1766</v>
      </c>
      <c r="CN345" s="88">
        <f t="shared" si="835"/>
        <v>8110</v>
      </c>
      <c r="CO345" s="88">
        <f t="shared" si="836"/>
        <v>19930</v>
      </c>
      <c r="CP345" s="88">
        <f t="shared" si="837"/>
        <v>1040</v>
      </c>
      <c r="CQ345" s="88">
        <f t="shared" si="838"/>
        <v>17290</v>
      </c>
      <c r="CR345" s="88">
        <f t="shared" si="839"/>
        <v>720</v>
      </c>
      <c r="CS345" s="88">
        <f t="shared" si="840"/>
        <v>880</v>
      </c>
      <c r="CT345" s="88">
        <f t="shared" si="841"/>
        <v>6968</v>
      </c>
      <c r="CU345" s="88">
        <f t="shared" si="842"/>
        <v>5800</v>
      </c>
      <c r="CV345" s="88">
        <f t="shared" si="843"/>
        <v>540</v>
      </c>
      <c r="CW345" s="88">
        <f t="shared" si="844"/>
        <v>770</v>
      </c>
      <c r="CX345" s="88">
        <f t="shared" si="845"/>
        <v>80</v>
      </c>
      <c r="CY345" s="88">
        <f t="shared" si="846"/>
        <v>1050</v>
      </c>
      <c r="CZ345" s="88">
        <f t="shared" si="847"/>
        <v>78730</v>
      </c>
      <c r="DA345" s="90">
        <f t="shared" si="848"/>
        <v>60468.5</v>
      </c>
      <c r="DB345" s="90">
        <f t="shared" si="849"/>
        <v>18261.5</v>
      </c>
      <c r="DC345" s="88">
        <f t="shared" si="850"/>
        <v>3520</v>
      </c>
      <c r="DD345" s="211">
        <f t="shared" si="851"/>
        <v>447832</v>
      </c>
      <c r="AUV345" s="699">
        <f t="shared" si="890"/>
        <v>313504</v>
      </c>
      <c r="AUW345" s="699">
        <f t="shared" si="891"/>
        <v>240786.48</v>
      </c>
      <c r="AUX345" s="699">
        <f t="shared" si="892"/>
        <v>72717.52</v>
      </c>
      <c r="AUY345" s="699">
        <f t="shared" si="912"/>
        <v>8830</v>
      </c>
      <c r="AUZ345" s="699">
        <f t="shared" si="910"/>
        <v>679.23</v>
      </c>
      <c r="AVA345" s="699">
        <f t="shared" si="910"/>
        <v>0.06</v>
      </c>
      <c r="AVB345" s="699">
        <f t="shared" si="913"/>
        <v>19930</v>
      </c>
      <c r="AVC345" s="699">
        <f t="shared" si="914"/>
        <v>1040</v>
      </c>
      <c r="AVD345" s="699">
        <f t="shared" si="915"/>
        <v>17290</v>
      </c>
      <c r="AVE345" s="699">
        <f t="shared" si="916"/>
        <v>720</v>
      </c>
      <c r="AVF345" s="699">
        <f t="shared" si="917"/>
        <v>880</v>
      </c>
      <c r="AVG345" s="699">
        <f t="shared" si="918"/>
        <v>6968</v>
      </c>
      <c r="AVH345" s="699">
        <f t="shared" si="919"/>
        <v>5800</v>
      </c>
      <c r="AVI345" s="699">
        <f t="shared" si="920"/>
        <v>540</v>
      </c>
      <c r="AVJ345" s="699">
        <f t="shared" si="921"/>
        <v>770</v>
      </c>
      <c r="AVK345" s="699">
        <f t="shared" si="922"/>
        <v>80</v>
      </c>
      <c r="AVL345" s="699">
        <f t="shared" si="923"/>
        <v>1050</v>
      </c>
      <c r="AVM345" s="699">
        <f t="shared" si="924"/>
        <v>78730</v>
      </c>
      <c r="AVN345" s="699">
        <f t="shared" si="925"/>
        <v>60468.51</v>
      </c>
      <c r="AVO345" s="699">
        <f t="shared" si="926"/>
        <v>18261.490000000002</v>
      </c>
      <c r="AVP345" s="699">
        <f t="shared" si="927"/>
        <v>3520</v>
      </c>
      <c r="AVQ345" s="699">
        <f t="shared" si="928"/>
        <v>447832</v>
      </c>
    </row>
    <row r="346" spans="1:108 1244:1265" ht="30" customHeight="1" x14ac:dyDescent="0.25">
      <c r="A346" s="643">
        <v>1</v>
      </c>
      <c r="B346" s="643">
        <v>6</v>
      </c>
      <c r="C346" s="664" t="s">
        <v>250</v>
      </c>
      <c r="D346" s="2"/>
      <c r="E346" s="101" t="s">
        <v>344</v>
      </c>
      <c r="F346" s="643" t="s">
        <v>31</v>
      </c>
      <c r="G346" s="643">
        <v>1</v>
      </c>
      <c r="H346" s="658" t="s">
        <v>8</v>
      </c>
      <c r="I346" s="643">
        <v>3</v>
      </c>
      <c r="J346" s="101" t="s">
        <v>356</v>
      </c>
      <c r="K346" s="643">
        <v>3</v>
      </c>
      <c r="L346" s="683" t="s">
        <v>349</v>
      </c>
      <c r="M346" s="11" t="s">
        <v>257</v>
      </c>
      <c r="N346" s="101" t="s">
        <v>387</v>
      </c>
      <c r="O346" s="643">
        <v>1</v>
      </c>
      <c r="P346" s="695">
        <v>478</v>
      </c>
      <c r="Q346" s="632">
        <v>478</v>
      </c>
      <c r="R346" s="632">
        <v>478</v>
      </c>
      <c r="S346" s="675">
        <f>SUMIF('Территориальный кк'!$A:$A,'2020'!$B346,'Территориальный кк'!D:D)</f>
        <v>2.4420000000000002</v>
      </c>
      <c r="T346" s="676">
        <f>SUMIF('Территориальный кк'!$A:$A,'2020'!$B346,'Территориальный кк'!E:E)</f>
        <v>2.6</v>
      </c>
      <c r="U346" s="618">
        <f>SUMIFS(Нормативы!G:G,Нормативы!$B:$B,$G346,Нормативы!$D:$D,'2020'!$I346,Нормативы!$F:$F,'2020'!$K346)*O346</f>
        <v>6419</v>
      </c>
      <c r="V346" s="618">
        <f t="shared" si="852"/>
        <v>4930.1000000000004</v>
      </c>
      <c r="W346" s="618">
        <f t="shared" si="853"/>
        <v>1488.9</v>
      </c>
      <c r="X346" s="618">
        <f>SUMIFS(Нормативы!J:J,Нормативы!$B:$B,$G346,Нормативы!$D:$D,'2020'!$I346,Нормативы!$F:$F,'2020'!$K346)</f>
        <v>883</v>
      </c>
      <c r="Y346" s="618">
        <f>SUMIFS(Нормативы!K:K,Нормативы!$B:$B,$G346,Нормативы!$D:$D,'2020'!$I346,Нормативы!$F:$F,'2020'!$K346)</f>
        <v>177</v>
      </c>
      <c r="Z346" s="618">
        <f>SUMIFS(Нормативы!L:L,Нормативы!$B:$B,$G346,Нормативы!$D:$D,'2020'!$I346,Нормативы!$F:$F,'2020'!$K346)</f>
        <v>811</v>
      </c>
      <c r="AA346" s="618">
        <f t="shared" si="854"/>
        <v>1905</v>
      </c>
      <c r="AB346" s="618">
        <f>SUMIFS(Нормативы!N:N,Нормативы!$B:$B,$G346,Нормативы!$D:$D,'2020'!$I346,Нормативы!$F:$F,'2020'!$K346)*O346</f>
        <v>52</v>
      </c>
      <c r="AC346" s="618">
        <f>SUMIFS(Нормативы!O:O,Нормативы!$B:$B,$G346,Нормативы!$D:$D,'2020'!$I346,Нормативы!$F:$F,'2020'!$K346)</f>
        <v>1729</v>
      </c>
      <c r="AD346" s="618">
        <f>SUMIFS(Нормативы!P:P,Нормативы!$B:$B,$G346,Нормативы!$D:$D,'2020'!$I346,Нормативы!$F:$F,'2020'!$K346)*O346</f>
        <v>36</v>
      </c>
      <c r="AE346" s="618">
        <f>SUMIFS(Нормативы!Q:Q,Нормативы!$B:$B,$G346,Нормативы!$D:$D,'2020'!$I346,Нормативы!$F:$F,'2020'!$K346)</f>
        <v>88</v>
      </c>
      <c r="AF346" s="618">
        <f>SUMIFS(Нормативы!R:R,Нормативы!$B:$B,$G346,Нормативы!$D:$D,'2020'!$I346,Нормативы!$F:$F,'2020'!$K346)</f>
        <v>268</v>
      </c>
      <c r="AG346" s="618">
        <f>SUMIFS(Нормативы!S:S,Нормативы!$B:$B,$G346,Нормативы!$D:$D,'2020'!$I346,Нормативы!$F:$F,'2020'!$K346)</f>
        <v>580</v>
      </c>
      <c r="AH346" s="618">
        <f>SUMIFS(Нормативы!T:T,Нормативы!$B:$B,$G346,Нормативы!$D:$D,'2020'!$I346,Нормативы!$F:$F,'2020'!$K346)</f>
        <v>54</v>
      </c>
      <c r="AI346" s="618">
        <f>SUMIFS(Нормативы!U:U,Нормативы!$B:$B,$G346,Нормативы!$D:$D,'2020'!$I346,Нормативы!$F:$F,'2020'!$K346)</f>
        <v>77</v>
      </c>
      <c r="AJ346" s="618">
        <f>SUMIFS(Нормативы!V:V,Нормативы!$B:$B,$G346,Нормативы!$D:$D,'2020'!$I346,Нормативы!$F:$F,'2020'!$K346)</f>
        <v>8</v>
      </c>
      <c r="AK346" s="618">
        <f>SUMIFS(Нормативы!W:W,Нормативы!$B:$B,$G346,Нормативы!$D:$D,'2020'!$I346,Нормативы!$F:$F,'2020'!$K346)</f>
        <v>105</v>
      </c>
      <c r="AL346" s="618">
        <f>SUMIFS(Нормативы!X:X,Нормативы!$B:$B,$G346,Нормативы!$D:$D,'2020'!$I346,Нормативы!$F:$F,'2020'!$K346)*O346</f>
        <v>1612</v>
      </c>
      <c r="AM346" s="618">
        <f t="shared" si="855"/>
        <v>1238.0999999999999</v>
      </c>
      <c r="AN346" s="618">
        <f t="shared" si="856"/>
        <v>373.9</v>
      </c>
      <c r="AO346" s="618">
        <f>SUMIFS(Нормативы!AA:AA,Нормативы!$B:$B,$G346,Нормативы!$D:$D,'2020'!$I346,Нормативы!$F:$F,'2020'!$K346)</f>
        <v>0</v>
      </c>
      <c r="AP346" s="619">
        <f t="shared" si="857"/>
        <v>12722</v>
      </c>
      <c r="AQ346" s="413">
        <f t="shared" si="795"/>
        <v>3068282</v>
      </c>
      <c r="AR346" s="618">
        <f t="shared" si="858"/>
        <v>2356591.4</v>
      </c>
      <c r="AS346" s="618">
        <f t="shared" si="859"/>
        <v>711690.6</v>
      </c>
      <c r="AT346" s="616">
        <f t="shared" si="796"/>
        <v>422074</v>
      </c>
      <c r="AU346" s="616">
        <f t="shared" si="797"/>
        <v>84606</v>
      </c>
      <c r="AV346" s="616">
        <f t="shared" si="798"/>
        <v>387658</v>
      </c>
      <c r="AW346" s="616">
        <f t="shared" si="799"/>
        <v>910590</v>
      </c>
      <c r="AX346" s="616">
        <f t="shared" si="800"/>
        <v>24856</v>
      </c>
      <c r="AY346" s="616">
        <f t="shared" si="801"/>
        <v>826462</v>
      </c>
      <c r="AZ346" s="616">
        <f t="shared" si="802"/>
        <v>17208</v>
      </c>
      <c r="BA346" s="616">
        <f t="shared" si="803"/>
        <v>42064</v>
      </c>
      <c r="BB346" s="616">
        <f t="shared" si="804"/>
        <v>128104</v>
      </c>
      <c r="BC346" s="616">
        <f t="shared" si="805"/>
        <v>277240</v>
      </c>
      <c r="BD346" s="616">
        <f t="shared" si="806"/>
        <v>25812</v>
      </c>
      <c r="BE346" s="616">
        <f t="shared" si="807"/>
        <v>36806</v>
      </c>
      <c r="BF346" s="616">
        <f t="shared" si="808"/>
        <v>3824</v>
      </c>
      <c r="BG346" s="616">
        <f t="shared" si="809"/>
        <v>50190</v>
      </c>
      <c r="BH346" s="616">
        <f t="shared" si="810"/>
        <v>770536</v>
      </c>
      <c r="BI346" s="618">
        <f t="shared" si="860"/>
        <v>591809.5</v>
      </c>
      <c r="BJ346" s="618">
        <f t="shared" si="861"/>
        <v>178726.5</v>
      </c>
      <c r="BK346" s="616">
        <f t="shared" si="811"/>
        <v>0</v>
      </c>
      <c r="BL346" s="620">
        <f t="shared" si="812"/>
        <v>6081116</v>
      </c>
      <c r="BM346" s="616">
        <f t="shared" si="813"/>
        <v>7492745</v>
      </c>
      <c r="BN346" s="618">
        <f t="shared" si="814"/>
        <v>5754796.5</v>
      </c>
      <c r="BO346" s="618">
        <f t="shared" si="815"/>
        <v>1737948.5</v>
      </c>
      <c r="BP346" s="616">
        <f t="shared" si="862"/>
        <v>422074</v>
      </c>
      <c r="BQ346" s="616">
        <f t="shared" si="863"/>
        <v>84606</v>
      </c>
      <c r="BR346" s="616">
        <f t="shared" si="864"/>
        <v>387658</v>
      </c>
      <c r="BS346" s="616">
        <f t="shared" si="816"/>
        <v>910590</v>
      </c>
      <c r="BT346" s="616">
        <f t="shared" si="817"/>
        <v>24856</v>
      </c>
      <c r="BU346" s="616">
        <f t="shared" si="818"/>
        <v>826462</v>
      </c>
      <c r="BV346" s="616">
        <f t="shared" si="819"/>
        <v>17208</v>
      </c>
      <c r="BW346" s="616">
        <f t="shared" si="820"/>
        <v>42064</v>
      </c>
      <c r="BX346" s="616">
        <f t="shared" si="821"/>
        <v>333070</v>
      </c>
      <c r="BY346" s="616">
        <f t="shared" si="822"/>
        <v>277240</v>
      </c>
      <c r="BZ346" s="616">
        <f t="shared" si="823"/>
        <v>25812</v>
      </c>
      <c r="CA346" s="616">
        <f t="shared" si="824"/>
        <v>36806</v>
      </c>
      <c r="CB346" s="616">
        <f t="shared" si="825"/>
        <v>3824</v>
      </c>
      <c r="CC346" s="616">
        <f t="shared" si="826"/>
        <v>50190</v>
      </c>
      <c r="CD346" s="616">
        <f t="shared" si="827"/>
        <v>1881649</v>
      </c>
      <c r="CE346" s="618">
        <f t="shared" si="865"/>
        <v>1445198.9</v>
      </c>
      <c r="CF346" s="618">
        <f t="shared" si="866"/>
        <v>436450.1</v>
      </c>
      <c r="CG346" s="616">
        <f t="shared" si="828"/>
        <v>0</v>
      </c>
      <c r="CH346" s="621">
        <f t="shared" si="829"/>
        <v>11821658</v>
      </c>
      <c r="CI346" s="88">
        <f t="shared" si="830"/>
        <v>15675.198700000001</v>
      </c>
      <c r="CJ346" s="90">
        <f t="shared" si="831"/>
        <v>12039.323200000001</v>
      </c>
      <c r="CK346" s="90">
        <f t="shared" si="832"/>
        <v>3635.8755000000001</v>
      </c>
      <c r="CL346" s="88">
        <f t="shared" si="833"/>
        <v>883</v>
      </c>
      <c r="CM346" s="88">
        <f t="shared" si="834"/>
        <v>177</v>
      </c>
      <c r="CN346" s="88">
        <f t="shared" si="835"/>
        <v>811</v>
      </c>
      <c r="CO346" s="88">
        <f t="shared" si="836"/>
        <v>1905</v>
      </c>
      <c r="CP346" s="88">
        <f t="shared" si="837"/>
        <v>52</v>
      </c>
      <c r="CQ346" s="88">
        <f t="shared" si="838"/>
        <v>1729</v>
      </c>
      <c r="CR346" s="88">
        <f t="shared" si="839"/>
        <v>36</v>
      </c>
      <c r="CS346" s="88">
        <f t="shared" si="840"/>
        <v>88</v>
      </c>
      <c r="CT346" s="88">
        <f t="shared" si="841"/>
        <v>696.79920000000004</v>
      </c>
      <c r="CU346" s="88">
        <f t="shared" si="842"/>
        <v>580</v>
      </c>
      <c r="CV346" s="88">
        <f t="shared" si="843"/>
        <v>54</v>
      </c>
      <c r="CW346" s="88">
        <f t="shared" si="844"/>
        <v>77</v>
      </c>
      <c r="CX346" s="88">
        <f t="shared" si="845"/>
        <v>8</v>
      </c>
      <c r="CY346" s="88">
        <f t="shared" si="846"/>
        <v>105</v>
      </c>
      <c r="CZ346" s="88">
        <f t="shared" si="847"/>
        <v>3936.5041999999999</v>
      </c>
      <c r="DA346" s="90">
        <f t="shared" si="848"/>
        <v>3023.4286999999999</v>
      </c>
      <c r="DB346" s="90">
        <f t="shared" si="849"/>
        <v>913.07550000000003</v>
      </c>
      <c r="DC346" s="88">
        <f t="shared" si="850"/>
        <v>0</v>
      </c>
      <c r="DD346" s="211">
        <f t="shared" si="851"/>
        <v>24731.502100000002</v>
      </c>
      <c r="AUV346" s="699">
        <f t="shared" si="890"/>
        <v>15675.2</v>
      </c>
      <c r="AUW346" s="699">
        <f t="shared" si="891"/>
        <v>12039.32</v>
      </c>
      <c r="AUX346" s="699">
        <f t="shared" si="892"/>
        <v>3635.88</v>
      </c>
      <c r="AUY346" s="699">
        <f t="shared" si="912"/>
        <v>883</v>
      </c>
      <c r="AUZ346" s="699">
        <f t="shared" si="910"/>
        <v>32540.77</v>
      </c>
      <c r="AVA346" s="699">
        <f t="shared" si="910"/>
        <v>60.39</v>
      </c>
      <c r="AVB346" s="699">
        <f t="shared" si="913"/>
        <v>1905</v>
      </c>
      <c r="AVC346" s="699">
        <f t="shared" si="914"/>
        <v>52</v>
      </c>
      <c r="AVD346" s="699">
        <f t="shared" si="915"/>
        <v>1729</v>
      </c>
      <c r="AVE346" s="699">
        <f t="shared" si="916"/>
        <v>36</v>
      </c>
      <c r="AVF346" s="699">
        <f t="shared" si="917"/>
        <v>88</v>
      </c>
      <c r="AVG346" s="699">
        <f t="shared" si="918"/>
        <v>696.8</v>
      </c>
      <c r="AVH346" s="699">
        <f t="shared" si="919"/>
        <v>580</v>
      </c>
      <c r="AVI346" s="699">
        <f t="shared" si="920"/>
        <v>54</v>
      </c>
      <c r="AVJ346" s="699">
        <f t="shared" si="921"/>
        <v>77</v>
      </c>
      <c r="AVK346" s="699">
        <f t="shared" si="922"/>
        <v>8</v>
      </c>
      <c r="AVL346" s="699">
        <f t="shared" si="923"/>
        <v>105</v>
      </c>
      <c r="AVM346" s="699">
        <f t="shared" si="924"/>
        <v>3936.5</v>
      </c>
      <c r="AVN346" s="699">
        <f t="shared" si="925"/>
        <v>3023.43</v>
      </c>
      <c r="AVO346" s="699">
        <f t="shared" si="926"/>
        <v>913.07</v>
      </c>
      <c r="AVP346" s="699">
        <f t="shared" si="927"/>
        <v>0</v>
      </c>
      <c r="AVQ346" s="699">
        <f t="shared" si="928"/>
        <v>24731.5</v>
      </c>
    </row>
    <row r="347" spans="1:108 1244:1265" ht="30" customHeight="1" x14ac:dyDescent="0.25">
      <c r="A347" s="643">
        <v>1</v>
      </c>
      <c r="B347" s="643">
        <v>6</v>
      </c>
      <c r="C347" s="664" t="s">
        <v>250</v>
      </c>
      <c r="D347" s="2"/>
      <c r="E347" s="101" t="s">
        <v>344</v>
      </c>
      <c r="F347" s="643" t="s">
        <v>31</v>
      </c>
      <c r="G347" s="643">
        <v>1</v>
      </c>
      <c r="H347" s="658" t="s">
        <v>10</v>
      </c>
      <c r="I347" s="643">
        <v>0</v>
      </c>
      <c r="J347" s="101" t="s">
        <v>357</v>
      </c>
      <c r="K347" s="643">
        <v>3</v>
      </c>
      <c r="L347" s="683" t="s">
        <v>349</v>
      </c>
      <c r="M347" s="11" t="s">
        <v>258</v>
      </c>
      <c r="N347" s="101" t="s">
        <v>387</v>
      </c>
      <c r="O347" s="643">
        <v>1</v>
      </c>
      <c r="P347" s="695">
        <v>71</v>
      </c>
      <c r="Q347" s="632">
        <v>71</v>
      </c>
      <c r="R347" s="632">
        <v>71</v>
      </c>
      <c r="S347" s="675">
        <f>SUMIF('Территориальный кк'!$A:$A,'2020'!$B347,'Территориальный кк'!D:D)</f>
        <v>2.4420000000000002</v>
      </c>
      <c r="T347" s="676">
        <f>SUMIF('Территориальный кк'!$A:$A,'2020'!$B347,'Территориальный кк'!E:E)</f>
        <v>2.6</v>
      </c>
      <c r="U347" s="618">
        <f>SUMIFS(Нормативы!G:G,Нормативы!$B:$B,$G347,Нормативы!$D:$D,'2020'!$I347,Нормативы!$F:$F,'2020'!$K347)*O347</f>
        <v>64190</v>
      </c>
      <c r="V347" s="618">
        <f t="shared" si="852"/>
        <v>49301.1</v>
      </c>
      <c r="W347" s="618">
        <f t="shared" si="853"/>
        <v>14888.9</v>
      </c>
      <c r="X347" s="618">
        <f>SUMIFS(Нормативы!J:J,Нормативы!$B:$B,$G347,Нормативы!$D:$D,'2020'!$I347,Нормативы!$F:$F,'2020'!$K347)</f>
        <v>8830</v>
      </c>
      <c r="Y347" s="618">
        <f>SUMIFS(Нормативы!K:K,Нормативы!$B:$B,$G347,Нормативы!$D:$D,'2020'!$I347,Нормативы!$F:$F,'2020'!$K347)</f>
        <v>1766</v>
      </c>
      <c r="Z347" s="618">
        <f>SUMIFS(Нормативы!L:L,Нормативы!$B:$B,$G347,Нормативы!$D:$D,'2020'!$I347,Нормативы!$F:$F,'2020'!$K347)</f>
        <v>8110</v>
      </c>
      <c r="AA347" s="618">
        <f t="shared" si="854"/>
        <v>19050</v>
      </c>
      <c r="AB347" s="618">
        <f>SUMIFS(Нормативы!N:N,Нормативы!$B:$B,$G347,Нормативы!$D:$D,'2020'!$I347,Нормативы!$F:$F,'2020'!$K347)*O347</f>
        <v>520</v>
      </c>
      <c r="AC347" s="618">
        <f>SUMIFS(Нормативы!O:O,Нормативы!$B:$B,$G347,Нормативы!$D:$D,'2020'!$I347,Нормативы!$F:$F,'2020'!$K347)</f>
        <v>17290</v>
      </c>
      <c r="AD347" s="618">
        <f>SUMIFS(Нормативы!P:P,Нормативы!$B:$B,$G347,Нормативы!$D:$D,'2020'!$I347,Нормативы!$F:$F,'2020'!$K347)*O347</f>
        <v>360</v>
      </c>
      <c r="AE347" s="618">
        <f>SUMIFS(Нормативы!Q:Q,Нормативы!$B:$B,$G347,Нормативы!$D:$D,'2020'!$I347,Нормативы!$F:$F,'2020'!$K347)</f>
        <v>880</v>
      </c>
      <c r="AF347" s="618">
        <f>SUMIFS(Нормативы!R:R,Нормативы!$B:$B,$G347,Нормативы!$D:$D,'2020'!$I347,Нормативы!$F:$F,'2020'!$K347)</f>
        <v>2680</v>
      </c>
      <c r="AG347" s="618">
        <f>SUMIFS(Нормативы!S:S,Нормативы!$B:$B,$G347,Нормативы!$D:$D,'2020'!$I347,Нормативы!$F:$F,'2020'!$K347)</f>
        <v>5800</v>
      </c>
      <c r="AH347" s="618">
        <f>SUMIFS(Нормативы!T:T,Нормативы!$B:$B,$G347,Нормативы!$D:$D,'2020'!$I347,Нормативы!$F:$F,'2020'!$K347)</f>
        <v>540</v>
      </c>
      <c r="AI347" s="618">
        <f>SUMIFS(Нормативы!U:U,Нормативы!$B:$B,$G347,Нормативы!$D:$D,'2020'!$I347,Нормативы!$F:$F,'2020'!$K347)</f>
        <v>770</v>
      </c>
      <c r="AJ347" s="618">
        <f>SUMIFS(Нормативы!V:V,Нормативы!$B:$B,$G347,Нормативы!$D:$D,'2020'!$I347,Нормативы!$F:$F,'2020'!$K347)</f>
        <v>80</v>
      </c>
      <c r="AK347" s="618">
        <f>SUMIFS(Нормативы!W:W,Нормативы!$B:$B,$G347,Нормативы!$D:$D,'2020'!$I347,Нормативы!$F:$F,'2020'!$K347)</f>
        <v>1050</v>
      </c>
      <c r="AL347" s="618">
        <f>SUMIFS(Нормативы!X:X,Нормативы!$B:$B,$G347,Нормативы!$D:$D,'2020'!$I347,Нормативы!$F:$F,'2020'!$K347)*O347</f>
        <v>16120</v>
      </c>
      <c r="AM347" s="618">
        <f t="shared" si="855"/>
        <v>12381</v>
      </c>
      <c r="AN347" s="618">
        <f t="shared" si="856"/>
        <v>3739</v>
      </c>
      <c r="AO347" s="618">
        <f>SUMIFS(Нормативы!AA:AA,Нормативы!$B:$B,$G347,Нормативы!$D:$D,'2020'!$I347,Нормативы!$F:$F,'2020'!$K347)</f>
        <v>3520</v>
      </c>
      <c r="AP347" s="619">
        <f t="shared" si="857"/>
        <v>130740</v>
      </c>
      <c r="AQ347" s="413">
        <f t="shared" si="795"/>
        <v>4557490</v>
      </c>
      <c r="AR347" s="618">
        <f t="shared" si="858"/>
        <v>3500376.3</v>
      </c>
      <c r="AS347" s="618">
        <f t="shared" si="859"/>
        <v>1057113.7</v>
      </c>
      <c r="AT347" s="616">
        <f t="shared" si="796"/>
        <v>626930</v>
      </c>
      <c r="AU347" s="616">
        <f t="shared" si="797"/>
        <v>125386</v>
      </c>
      <c r="AV347" s="616">
        <f t="shared" si="798"/>
        <v>575810</v>
      </c>
      <c r="AW347" s="616">
        <f t="shared" si="799"/>
        <v>1352550</v>
      </c>
      <c r="AX347" s="616">
        <f t="shared" si="800"/>
        <v>36920</v>
      </c>
      <c r="AY347" s="616">
        <f t="shared" si="801"/>
        <v>1227590</v>
      </c>
      <c r="AZ347" s="616">
        <f t="shared" si="802"/>
        <v>25560</v>
      </c>
      <c r="BA347" s="616">
        <f t="shared" si="803"/>
        <v>62480</v>
      </c>
      <c r="BB347" s="616">
        <f t="shared" si="804"/>
        <v>190280</v>
      </c>
      <c r="BC347" s="616">
        <f t="shared" si="805"/>
        <v>411800</v>
      </c>
      <c r="BD347" s="616">
        <f t="shared" si="806"/>
        <v>38340</v>
      </c>
      <c r="BE347" s="616">
        <f t="shared" si="807"/>
        <v>54670</v>
      </c>
      <c r="BF347" s="616">
        <f t="shared" si="808"/>
        <v>5680</v>
      </c>
      <c r="BG347" s="616">
        <f t="shared" si="809"/>
        <v>74550</v>
      </c>
      <c r="BH347" s="616">
        <f t="shared" si="810"/>
        <v>1144520</v>
      </c>
      <c r="BI347" s="618">
        <f t="shared" si="860"/>
        <v>879047.6</v>
      </c>
      <c r="BJ347" s="618">
        <f t="shared" si="861"/>
        <v>265472.40000000002</v>
      </c>
      <c r="BK347" s="616">
        <f t="shared" si="811"/>
        <v>249920</v>
      </c>
      <c r="BL347" s="620">
        <f t="shared" si="812"/>
        <v>9282540</v>
      </c>
      <c r="BM347" s="616">
        <f t="shared" si="813"/>
        <v>11129391</v>
      </c>
      <c r="BN347" s="618">
        <f t="shared" si="814"/>
        <v>8547919.4000000004</v>
      </c>
      <c r="BO347" s="618">
        <f t="shared" si="815"/>
        <v>2581471.6</v>
      </c>
      <c r="BP347" s="616">
        <f t="shared" si="862"/>
        <v>626930</v>
      </c>
      <c r="BQ347" s="616">
        <f t="shared" si="863"/>
        <v>125386</v>
      </c>
      <c r="BR347" s="616">
        <f t="shared" si="864"/>
        <v>575810</v>
      </c>
      <c r="BS347" s="616">
        <f t="shared" si="816"/>
        <v>1352550</v>
      </c>
      <c r="BT347" s="616">
        <f t="shared" si="817"/>
        <v>36920</v>
      </c>
      <c r="BU347" s="616">
        <f t="shared" si="818"/>
        <v>1227590</v>
      </c>
      <c r="BV347" s="616">
        <f t="shared" si="819"/>
        <v>25560</v>
      </c>
      <c r="BW347" s="616">
        <f t="shared" si="820"/>
        <v>62480</v>
      </c>
      <c r="BX347" s="616">
        <f t="shared" si="821"/>
        <v>494728</v>
      </c>
      <c r="BY347" s="616">
        <f t="shared" si="822"/>
        <v>411800</v>
      </c>
      <c r="BZ347" s="616">
        <f t="shared" si="823"/>
        <v>38340</v>
      </c>
      <c r="CA347" s="616">
        <f t="shared" si="824"/>
        <v>54670</v>
      </c>
      <c r="CB347" s="616">
        <f t="shared" si="825"/>
        <v>5680</v>
      </c>
      <c r="CC347" s="616">
        <f t="shared" si="826"/>
        <v>74550</v>
      </c>
      <c r="CD347" s="616">
        <f t="shared" si="827"/>
        <v>2794918</v>
      </c>
      <c r="CE347" s="618">
        <f t="shared" si="865"/>
        <v>2146634.4</v>
      </c>
      <c r="CF347" s="618">
        <f t="shared" si="866"/>
        <v>648283.6</v>
      </c>
      <c r="CG347" s="616">
        <f t="shared" si="828"/>
        <v>249920</v>
      </c>
      <c r="CH347" s="621">
        <f t="shared" si="829"/>
        <v>17809287</v>
      </c>
      <c r="CI347" s="88">
        <f t="shared" si="830"/>
        <v>156751.9859</v>
      </c>
      <c r="CJ347" s="90">
        <f t="shared" si="831"/>
        <v>120393.231</v>
      </c>
      <c r="CK347" s="90">
        <f t="shared" si="832"/>
        <v>36358.7549</v>
      </c>
      <c r="CL347" s="88">
        <f t="shared" si="833"/>
        <v>8830</v>
      </c>
      <c r="CM347" s="88">
        <f t="shared" si="834"/>
        <v>1766</v>
      </c>
      <c r="CN347" s="88">
        <f t="shared" si="835"/>
        <v>8110</v>
      </c>
      <c r="CO347" s="88">
        <f t="shared" si="836"/>
        <v>19050</v>
      </c>
      <c r="CP347" s="88">
        <f t="shared" si="837"/>
        <v>520</v>
      </c>
      <c r="CQ347" s="88">
        <f t="shared" si="838"/>
        <v>17290</v>
      </c>
      <c r="CR347" s="88">
        <f t="shared" si="839"/>
        <v>360</v>
      </c>
      <c r="CS347" s="88">
        <f t="shared" si="840"/>
        <v>880</v>
      </c>
      <c r="CT347" s="88">
        <f t="shared" si="841"/>
        <v>6968</v>
      </c>
      <c r="CU347" s="88">
        <f t="shared" si="842"/>
        <v>5800</v>
      </c>
      <c r="CV347" s="88">
        <f t="shared" si="843"/>
        <v>540</v>
      </c>
      <c r="CW347" s="88">
        <f t="shared" si="844"/>
        <v>770</v>
      </c>
      <c r="CX347" s="88">
        <f t="shared" si="845"/>
        <v>80</v>
      </c>
      <c r="CY347" s="88">
        <f t="shared" si="846"/>
        <v>1050</v>
      </c>
      <c r="CZ347" s="88">
        <f t="shared" si="847"/>
        <v>39365.042300000001</v>
      </c>
      <c r="DA347" s="90">
        <f t="shared" si="848"/>
        <v>30234.2873</v>
      </c>
      <c r="DB347" s="90">
        <f t="shared" si="849"/>
        <v>9130.7548999999999</v>
      </c>
      <c r="DC347" s="88">
        <f t="shared" si="850"/>
        <v>3520</v>
      </c>
      <c r="DD347" s="211">
        <f t="shared" si="851"/>
        <v>250835.0282</v>
      </c>
      <c r="AUV347" s="699">
        <f t="shared" si="890"/>
        <v>156751.99</v>
      </c>
      <c r="AUW347" s="699">
        <f t="shared" si="891"/>
        <v>120393.23</v>
      </c>
      <c r="AUX347" s="699">
        <f t="shared" si="892"/>
        <v>36358.76</v>
      </c>
      <c r="AUY347" s="699">
        <f t="shared" si="912"/>
        <v>8830</v>
      </c>
      <c r="AUZ347" s="699">
        <f t="shared" si="910"/>
        <v>48225.38</v>
      </c>
      <c r="AVA347" s="699">
        <f t="shared" si="910"/>
        <v>8.9700000000000006</v>
      </c>
      <c r="AVB347" s="699">
        <f t="shared" si="913"/>
        <v>19050</v>
      </c>
      <c r="AVC347" s="699">
        <f t="shared" si="914"/>
        <v>520</v>
      </c>
      <c r="AVD347" s="699">
        <f t="shared" si="915"/>
        <v>17290</v>
      </c>
      <c r="AVE347" s="699">
        <f t="shared" si="916"/>
        <v>360</v>
      </c>
      <c r="AVF347" s="699">
        <f t="shared" si="917"/>
        <v>880</v>
      </c>
      <c r="AVG347" s="699">
        <f t="shared" si="918"/>
        <v>6968</v>
      </c>
      <c r="AVH347" s="699">
        <f t="shared" si="919"/>
        <v>5800</v>
      </c>
      <c r="AVI347" s="699">
        <f t="shared" si="920"/>
        <v>540</v>
      </c>
      <c r="AVJ347" s="699">
        <f t="shared" si="921"/>
        <v>770</v>
      </c>
      <c r="AVK347" s="699">
        <f t="shared" si="922"/>
        <v>80</v>
      </c>
      <c r="AVL347" s="699">
        <f t="shared" si="923"/>
        <v>1050</v>
      </c>
      <c r="AVM347" s="699">
        <f t="shared" si="924"/>
        <v>39365.040000000001</v>
      </c>
      <c r="AVN347" s="699">
        <f t="shared" si="925"/>
        <v>30234.29</v>
      </c>
      <c r="AVO347" s="699">
        <f t="shared" si="926"/>
        <v>9130.75</v>
      </c>
      <c r="AVP347" s="699">
        <f t="shared" si="927"/>
        <v>3520</v>
      </c>
      <c r="AVQ347" s="699">
        <f t="shared" si="928"/>
        <v>250835.03</v>
      </c>
    </row>
    <row r="348" spans="1:108 1244:1265" ht="30" customHeight="1" x14ac:dyDescent="0.25">
      <c r="A348" s="643">
        <v>1</v>
      </c>
      <c r="B348" s="643">
        <v>6</v>
      </c>
      <c r="C348" s="664" t="s">
        <v>250</v>
      </c>
      <c r="D348" s="2"/>
      <c r="E348" s="101" t="s">
        <v>344</v>
      </c>
      <c r="F348" s="643" t="s">
        <v>31</v>
      </c>
      <c r="G348" s="643">
        <v>1</v>
      </c>
      <c r="H348" s="658" t="s">
        <v>10</v>
      </c>
      <c r="I348" s="643">
        <v>0</v>
      </c>
      <c r="J348" s="101" t="s">
        <v>357</v>
      </c>
      <c r="K348" s="643">
        <v>3</v>
      </c>
      <c r="L348" s="683" t="s">
        <v>349</v>
      </c>
      <c r="M348" s="11" t="s">
        <v>259</v>
      </c>
      <c r="N348" s="101" t="s">
        <v>401</v>
      </c>
      <c r="O348" s="643">
        <v>2</v>
      </c>
      <c r="P348" s="695">
        <v>9</v>
      </c>
      <c r="Q348" s="632">
        <v>9</v>
      </c>
      <c r="R348" s="632">
        <v>9</v>
      </c>
      <c r="S348" s="675">
        <f>SUMIF('Территориальный кк'!$A:$A,'2020'!$B348,'Территориальный кк'!D:D)</f>
        <v>2.4420000000000002</v>
      </c>
      <c r="T348" s="676">
        <f>SUMIF('Территориальный кк'!$A:$A,'2020'!$B348,'Территориальный кк'!E:E)</f>
        <v>2.6</v>
      </c>
      <c r="U348" s="618">
        <f>SUMIFS(Нормативы!G:G,Нормативы!$B:$B,$G348,Нормативы!$D:$D,'2020'!$I348,Нормативы!$F:$F,'2020'!$K348)*O348</f>
        <v>128380</v>
      </c>
      <c r="V348" s="618">
        <f t="shared" si="852"/>
        <v>98602.2</v>
      </c>
      <c r="W348" s="618">
        <f t="shared" si="853"/>
        <v>29777.8</v>
      </c>
      <c r="X348" s="618">
        <f>SUMIFS(Нормативы!J:J,Нормативы!$B:$B,$G348,Нормативы!$D:$D,'2020'!$I348,Нормативы!$F:$F,'2020'!$K348)</f>
        <v>8830</v>
      </c>
      <c r="Y348" s="618">
        <f>SUMIFS(Нормативы!K:K,Нормативы!$B:$B,$G348,Нормативы!$D:$D,'2020'!$I348,Нормативы!$F:$F,'2020'!$K348)</f>
        <v>1766</v>
      </c>
      <c r="Z348" s="618">
        <f>SUMIFS(Нормативы!L:L,Нормативы!$B:$B,$G348,Нормативы!$D:$D,'2020'!$I348,Нормативы!$F:$F,'2020'!$K348)</f>
        <v>8110</v>
      </c>
      <c r="AA348" s="618">
        <f t="shared" si="854"/>
        <v>19930</v>
      </c>
      <c r="AB348" s="618">
        <f>SUMIFS(Нормативы!N:N,Нормативы!$B:$B,$G348,Нормативы!$D:$D,'2020'!$I348,Нормативы!$F:$F,'2020'!$K348)*O348</f>
        <v>1040</v>
      </c>
      <c r="AC348" s="618">
        <f>SUMIFS(Нормативы!O:O,Нормативы!$B:$B,$G348,Нормативы!$D:$D,'2020'!$I348,Нормативы!$F:$F,'2020'!$K348)</f>
        <v>17290</v>
      </c>
      <c r="AD348" s="618">
        <f>SUMIFS(Нормативы!P:P,Нормативы!$B:$B,$G348,Нормативы!$D:$D,'2020'!$I348,Нормативы!$F:$F,'2020'!$K348)*O348</f>
        <v>720</v>
      </c>
      <c r="AE348" s="618">
        <f>SUMIFS(Нормативы!Q:Q,Нормативы!$B:$B,$G348,Нормативы!$D:$D,'2020'!$I348,Нормативы!$F:$F,'2020'!$K348)</f>
        <v>880</v>
      </c>
      <c r="AF348" s="618">
        <f>SUMIFS(Нормативы!R:R,Нормативы!$B:$B,$G348,Нормативы!$D:$D,'2020'!$I348,Нормативы!$F:$F,'2020'!$K348)</f>
        <v>2680</v>
      </c>
      <c r="AG348" s="618">
        <f>SUMIFS(Нормативы!S:S,Нормативы!$B:$B,$G348,Нормативы!$D:$D,'2020'!$I348,Нормативы!$F:$F,'2020'!$K348)</f>
        <v>5800</v>
      </c>
      <c r="AH348" s="618">
        <f>SUMIFS(Нормативы!T:T,Нормативы!$B:$B,$G348,Нормативы!$D:$D,'2020'!$I348,Нормативы!$F:$F,'2020'!$K348)</f>
        <v>540</v>
      </c>
      <c r="AI348" s="618">
        <f>SUMIFS(Нормативы!U:U,Нормативы!$B:$B,$G348,Нормативы!$D:$D,'2020'!$I348,Нормативы!$F:$F,'2020'!$K348)</f>
        <v>770</v>
      </c>
      <c r="AJ348" s="618">
        <f>SUMIFS(Нормативы!V:V,Нормативы!$B:$B,$G348,Нормативы!$D:$D,'2020'!$I348,Нормативы!$F:$F,'2020'!$K348)</f>
        <v>80</v>
      </c>
      <c r="AK348" s="618">
        <f>SUMIFS(Нормативы!W:W,Нормативы!$B:$B,$G348,Нормативы!$D:$D,'2020'!$I348,Нормативы!$F:$F,'2020'!$K348)</f>
        <v>1050</v>
      </c>
      <c r="AL348" s="618">
        <f>SUMIFS(Нормативы!X:X,Нормативы!$B:$B,$G348,Нормативы!$D:$D,'2020'!$I348,Нормативы!$F:$F,'2020'!$K348)*O348</f>
        <v>32240</v>
      </c>
      <c r="AM348" s="618">
        <f t="shared" si="855"/>
        <v>24761.9</v>
      </c>
      <c r="AN348" s="618">
        <f t="shared" si="856"/>
        <v>7478.1</v>
      </c>
      <c r="AO348" s="618">
        <f>SUMIFS(Нормативы!AA:AA,Нормативы!$B:$B,$G348,Нормативы!$D:$D,'2020'!$I348,Нормативы!$F:$F,'2020'!$K348)</f>
        <v>3520</v>
      </c>
      <c r="AP348" s="619">
        <f t="shared" si="857"/>
        <v>211930</v>
      </c>
      <c r="AQ348" s="413">
        <f t="shared" si="795"/>
        <v>1155420</v>
      </c>
      <c r="AR348" s="618">
        <f t="shared" si="858"/>
        <v>887419.4</v>
      </c>
      <c r="AS348" s="618">
        <f t="shared" si="859"/>
        <v>268000.59999999998</v>
      </c>
      <c r="AT348" s="616">
        <f t="shared" si="796"/>
        <v>79470</v>
      </c>
      <c r="AU348" s="616">
        <f t="shared" si="797"/>
        <v>15894</v>
      </c>
      <c r="AV348" s="616">
        <f t="shared" si="798"/>
        <v>72990</v>
      </c>
      <c r="AW348" s="616">
        <f t="shared" si="799"/>
        <v>179370</v>
      </c>
      <c r="AX348" s="616">
        <f t="shared" si="800"/>
        <v>9360</v>
      </c>
      <c r="AY348" s="616">
        <f t="shared" si="801"/>
        <v>155610</v>
      </c>
      <c r="AZ348" s="616">
        <f t="shared" si="802"/>
        <v>6480</v>
      </c>
      <c r="BA348" s="616">
        <f t="shared" si="803"/>
        <v>7920</v>
      </c>
      <c r="BB348" s="616">
        <f t="shared" si="804"/>
        <v>24120</v>
      </c>
      <c r="BC348" s="616">
        <f t="shared" si="805"/>
        <v>52200</v>
      </c>
      <c r="BD348" s="616">
        <f t="shared" si="806"/>
        <v>4860</v>
      </c>
      <c r="BE348" s="616">
        <f t="shared" si="807"/>
        <v>6930</v>
      </c>
      <c r="BF348" s="616">
        <f t="shared" si="808"/>
        <v>720</v>
      </c>
      <c r="BG348" s="616">
        <f t="shared" si="809"/>
        <v>9450</v>
      </c>
      <c r="BH348" s="616">
        <f t="shared" si="810"/>
        <v>290160</v>
      </c>
      <c r="BI348" s="618">
        <f t="shared" si="860"/>
        <v>222857.1</v>
      </c>
      <c r="BJ348" s="618">
        <f t="shared" si="861"/>
        <v>67302.899999999994</v>
      </c>
      <c r="BK348" s="616">
        <f t="shared" si="811"/>
        <v>31680</v>
      </c>
      <c r="BL348" s="620">
        <f t="shared" si="812"/>
        <v>1907370</v>
      </c>
      <c r="BM348" s="616">
        <f t="shared" si="813"/>
        <v>2821536</v>
      </c>
      <c r="BN348" s="618">
        <f t="shared" si="814"/>
        <v>2167078.2999999998</v>
      </c>
      <c r="BO348" s="618">
        <f t="shared" si="815"/>
        <v>654457.69999999995</v>
      </c>
      <c r="BP348" s="616">
        <f t="shared" si="862"/>
        <v>79470</v>
      </c>
      <c r="BQ348" s="616">
        <f t="shared" si="863"/>
        <v>15894</v>
      </c>
      <c r="BR348" s="616">
        <f t="shared" si="864"/>
        <v>72990</v>
      </c>
      <c r="BS348" s="616">
        <f t="shared" si="816"/>
        <v>179370</v>
      </c>
      <c r="BT348" s="616">
        <f t="shared" si="817"/>
        <v>9360</v>
      </c>
      <c r="BU348" s="616">
        <f t="shared" si="818"/>
        <v>155610</v>
      </c>
      <c r="BV348" s="616">
        <f t="shared" si="819"/>
        <v>6480</v>
      </c>
      <c r="BW348" s="616">
        <f t="shared" si="820"/>
        <v>7920</v>
      </c>
      <c r="BX348" s="616">
        <f t="shared" si="821"/>
        <v>62712</v>
      </c>
      <c r="BY348" s="616">
        <f t="shared" si="822"/>
        <v>52200</v>
      </c>
      <c r="BZ348" s="616">
        <f t="shared" si="823"/>
        <v>4860</v>
      </c>
      <c r="CA348" s="616">
        <f t="shared" si="824"/>
        <v>6930</v>
      </c>
      <c r="CB348" s="616">
        <f t="shared" si="825"/>
        <v>720</v>
      </c>
      <c r="CC348" s="616">
        <f t="shared" si="826"/>
        <v>9450</v>
      </c>
      <c r="CD348" s="616">
        <f t="shared" si="827"/>
        <v>708571</v>
      </c>
      <c r="CE348" s="618">
        <f t="shared" si="865"/>
        <v>544217.4</v>
      </c>
      <c r="CF348" s="618">
        <f t="shared" si="866"/>
        <v>164353.60000000001</v>
      </c>
      <c r="CG348" s="616">
        <f t="shared" si="828"/>
        <v>31680</v>
      </c>
      <c r="CH348" s="621">
        <f t="shared" si="829"/>
        <v>4030489</v>
      </c>
      <c r="CI348" s="88">
        <f t="shared" si="830"/>
        <v>313504</v>
      </c>
      <c r="CJ348" s="90">
        <f t="shared" si="831"/>
        <v>240786.47779999999</v>
      </c>
      <c r="CK348" s="90">
        <f t="shared" si="832"/>
        <v>72717.522200000007</v>
      </c>
      <c r="CL348" s="88">
        <f t="shared" si="833"/>
        <v>8830</v>
      </c>
      <c r="CM348" s="88">
        <f t="shared" si="834"/>
        <v>1766</v>
      </c>
      <c r="CN348" s="88">
        <f t="shared" si="835"/>
        <v>8110</v>
      </c>
      <c r="CO348" s="88">
        <f t="shared" si="836"/>
        <v>19930</v>
      </c>
      <c r="CP348" s="88">
        <f t="shared" si="837"/>
        <v>1040</v>
      </c>
      <c r="CQ348" s="88">
        <f t="shared" si="838"/>
        <v>17290</v>
      </c>
      <c r="CR348" s="88">
        <f t="shared" si="839"/>
        <v>720</v>
      </c>
      <c r="CS348" s="88">
        <f t="shared" si="840"/>
        <v>880</v>
      </c>
      <c r="CT348" s="88">
        <f t="shared" si="841"/>
        <v>6968</v>
      </c>
      <c r="CU348" s="88">
        <f t="shared" si="842"/>
        <v>5800</v>
      </c>
      <c r="CV348" s="88">
        <f t="shared" si="843"/>
        <v>540</v>
      </c>
      <c r="CW348" s="88">
        <f t="shared" si="844"/>
        <v>770</v>
      </c>
      <c r="CX348" s="88">
        <f t="shared" si="845"/>
        <v>80</v>
      </c>
      <c r="CY348" s="88">
        <f t="shared" si="846"/>
        <v>1050</v>
      </c>
      <c r="CZ348" s="88">
        <f t="shared" si="847"/>
        <v>78730.111099999995</v>
      </c>
      <c r="DA348" s="90">
        <f t="shared" si="848"/>
        <v>60468.6</v>
      </c>
      <c r="DB348" s="90">
        <f t="shared" si="849"/>
        <v>18261.5111</v>
      </c>
      <c r="DC348" s="88">
        <f t="shared" si="850"/>
        <v>3520</v>
      </c>
      <c r="DD348" s="211">
        <f t="shared" si="851"/>
        <v>447832.11109999998</v>
      </c>
      <c r="AUV348" s="699">
        <f t="shared" si="890"/>
        <v>313504</v>
      </c>
      <c r="AUW348" s="699">
        <f t="shared" si="891"/>
        <v>240786.48</v>
      </c>
      <c r="AUX348" s="699">
        <f t="shared" si="892"/>
        <v>72717.52</v>
      </c>
      <c r="AUY348" s="699">
        <f t="shared" si="912"/>
        <v>8830</v>
      </c>
      <c r="AUZ348" s="699">
        <f t="shared" si="910"/>
        <v>6113.08</v>
      </c>
      <c r="AVA348" s="699">
        <f t="shared" si="910"/>
        <v>0.56999999999999995</v>
      </c>
      <c r="AVB348" s="699">
        <f t="shared" si="913"/>
        <v>19930</v>
      </c>
      <c r="AVC348" s="699">
        <f t="shared" si="914"/>
        <v>1040</v>
      </c>
      <c r="AVD348" s="699">
        <f t="shared" si="915"/>
        <v>17290</v>
      </c>
      <c r="AVE348" s="699">
        <f t="shared" si="916"/>
        <v>720</v>
      </c>
      <c r="AVF348" s="699">
        <f t="shared" si="917"/>
        <v>880</v>
      </c>
      <c r="AVG348" s="699">
        <f t="shared" si="918"/>
        <v>6968</v>
      </c>
      <c r="AVH348" s="699">
        <f t="shared" si="919"/>
        <v>5800</v>
      </c>
      <c r="AVI348" s="699">
        <f t="shared" si="920"/>
        <v>540</v>
      </c>
      <c r="AVJ348" s="699">
        <f t="shared" si="921"/>
        <v>770</v>
      </c>
      <c r="AVK348" s="699">
        <f t="shared" si="922"/>
        <v>80</v>
      </c>
      <c r="AVL348" s="699">
        <f t="shared" si="923"/>
        <v>1050</v>
      </c>
      <c r="AVM348" s="699">
        <f t="shared" si="924"/>
        <v>78730.11</v>
      </c>
      <c r="AVN348" s="699">
        <f t="shared" si="925"/>
        <v>60468.59</v>
      </c>
      <c r="AVO348" s="699">
        <f t="shared" si="926"/>
        <v>18261.52</v>
      </c>
      <c r="AVP348" s="699">
        <f t="shared" si="927"/>
        <v>3520</v>
      </c>
      <c r="AVQ348" s="699">
        <f t="shared" si="928"/>
        <v>447832.11</v>
      </c>
    </row>
    <row r="349" spans="1:108 1244:1265" ht="30" customHeight="1" x14ac:dyDescent="0.25">
      <c r="A349" s="643">
        <v>1</v>
      </c>
      <c r="B349" s="643">
        <v>6</v>
      </c>
      <c r="C349" s="664" t="s">
        <v>250</v>
      </c>
      <c r="D349" s="2"/>
      <c r="E349" s="101" t="s">
        <v>344</v>
      </c>
      <c r="F349" s="643" t="s">
        <v>31</v>
      </c>
      <c r="G349" s="643">
        <v>1</v>
      </c>
      <c r="H349" s="658" t="s">
        <v>8</v>
      </c>
      <c r="I349" s="643">
        <v>3</v>
      </c>
      <c r="J349" s="101" t="s">
        <v>357</v>
      </c>
      <c r="K349" s="643">
        <v>3</v>
      </c>
      <c r="L349" s="683" t="s">
        <v>349</v>
      </c>
      <c r="M349" s="11" t="s">
        <v>260</v>
      </c>
      <c r="N349" s="101" t="s">
        <v>387</v>
      </c>
      <c r="O349" s="643">
        <v>1</v>
      </c>
      <c r="P349" s="695">
        <v>73</v>
      </c>
      <c r="Q349" s="632">
        <v>73</v>
      </c>
      <c r="R349" s="632">
        <v>73</v>
      </c>
      <c r="S349" s="675">
        <f>SUMIF('Территориальный кк'!$A:$A,'2020'!$B349,'Территориальный кк'!D:D)</f>
        <v>2.4420000000000002</v>
      </c>
      <c r="T349" s="676">
        <f>SUMIF('Территориальный кк'!$A:$A,'2020'!$B349,'Территориальный кк'!E:E)</f>
        <v>2.6</v>
      </c>
      <c r="U349" s="618">
        <f>SUMIFS(Нормативы!G:G,Нормативы!$B:$B,$G349,Нормативы!$D:$D,'2020'!$I349,Нормативы!$F:$F,'2020'!$K349)*O349</f>
        <v>6419</v>
      </c>
      <c r="V349" s="618">
        <f t="shared" si="852"/>
        <v>4930.1000000000004</v>
      </c>
      <c r="W349" s="618">
        <f t="shared" si="853"/>
        <v>1488.9</v>
      </c>
      <c r="X349" s="618">
        <f>SUMIFS(Нормативы!J:J,Нормативы!$B:$B,$G349,Нормативы!$D:$D,'2020'!$I349,Нормативы!$F:$F,'2020'!$K349)</f>
        <v>883</v>
      </c>
      <c r="Y349" s="618">
        <f>SUMIFS(Нормативы!K:K,Нормативы!$B:$B,$G349,Нормативы!$D:$D,'2020'!$I349,Нормативы!$F:$F,'2020'!$K349)</f>
        <v>177</v>
      </c>
      <c r="Z349" s="618">
        <f>SUMIFS(Нормативы!L:L,Нормативы!$B:$B,$G349,Нормативы!$D:$D,'2020'!$I349,Нормативы!$F:$F,'2020'!$K349)</f>
        <v>811</v>
      </c>
      <c r="AA349" s="618">
        <f t="shared" si="854"/>
        <v>1905</v>
      </c>
      <c r="AB349" s="618">
        <f>SUMIFS(Нормативы!N:N,Нормативы!$B:$B,$G349,Нормативы!$D:$D,'2020'!$I349,Нормативы!$F:$F,'2020'!$K349)*O349</f>
        <v>52</v>
      </c>
      <c r="AC349" s="618">
        <f>SUMIFS(Нормативы!O:O,Нормативы!$B:$B,$G349,Нормативы!$D:$D,'2020'!$I349,Нормативы!$F:$F,'2020'!$K349)</f>
        <v>1729</v>
      </c>
      <c r="AD349" s="618">
        <f>SUMIFS(Нормативы!P:P,Нормативы!$B:$B,$G349,Нормативы!$D:$D,'2020'!$I349,Нормативы!$F:$F,'2020'!$K349)*O349</f>
        <v>36</v>
      </c>
      <c r="AE349" s="618">
        <f>SUMIFS(Нормативы!Q:Q,Нормативы!$B:$B,$G349,Нормативы!$D:$D,'2020'!$I349,Нормативы!$F:$F,'2020'!$K349)</f>
        <v>88</v>
      </c>
      <c r="AF349" s="618">
        <f>SUMIFS(Нормативы!R:R,Нормативы!$B:$B,$G349,Нормативы!$D:$D,'2020'!$I349,Нормативы!$F:$F,'2020'!$K349)</f>
        <v>268</v>
      </c>
      <c r="AG349" s="618">
        <f>SUMIFS(Нормативы!S:S,Нормативы!$B:$B,$G349,Нормативы!$D:$D,'2020'!$I349,Нормативы!$F:$F,'2020'!$K349)</f>
        <v>580</v>
      </c>
      <c r="AH349" s="618">
        <f>SUMIFS(Нормативы!T:T,Нормативы!$B:$B,$G349,Нормативы!$D:$D,'2020'!$I349,Нормативы!$F:$F,'2020'!$K349)</f>
        <v>54</v>
      </c>
      <c r="AI349" s="618">
        <f>SUMIFS(Нормативы!U:U,Нормативы!$B:$B,$G349,Нормативы!$D:$D,'2020'!$I349,Нормативы!$F:$F,'2020'!$K349)</f>
        <v>77</v>
      </c>
      <c r="AJ349" s="618">
        <f>SUMIFS(Нормативы!V:V,Нормативы!$B:$B,$G349,Нормативы!$D:$D,'2020'!$I349,Нормативы!$F:$F,'2020'!$K349)</f>
        <v>8</v>
      </c>
      <c r="AK349" s="618">
        <f>SUMIFS(Нормативы!W:W,Нормативы!$B:$B,$G349,Нормативы!$D:$D,'2020'!$I349,Нормативы!$F:$F,'2020'!$K349)</f>
        <v>105</v>
      </c>
      <c r="AL349" s="618">
        <f>SUMIFS(Нормативы!X:X,Нормативы!$B:$B,$G349,Нормативы!$D:$D,'2020'!$I349,Нормативы!$F:$F,'2020'!$K349)*O349</f>
        <v>1612</v>
      </c>
      <c r="AM349" s="618">
        <f t="shared" si="855"/>
        <v>1238.0999999999999</v>
      </c>
      <c r="AN349" s="618">
        <f t="shared" si="856"/>
        <v>373.9</v>
      </c>
      <c r="AO349" s="618">
        <f>SUMIFS(Нормативы!AA:AA,Нормативы!$B:$B,$G349,Нормативы!$D:$D,'2020'!$I349,Нормативы!$F:$F,'2020'!$K349)</f>
        <v>0</v>
      </c>
      <c r="AP349" s="619">
        <f t="shared" si="857"/>
        <v>12722</v>
      </c>
      <c r="AQ349" s="413">
        <f t="shared" si="795"/>
        <v>468587</v>
      </c>
      <c r="AR349" s="618">
        <f t="shared" si="858"/>
        <v>359897.8</v>
      </c>
      <c r="AS349" s="618">
        <f t="shared" si="859"/>
        <v>108689.2</v>
      </c>
      <c r="AT349" s="616">
        <f t="shared" si="796"/>
        <v>64459</v>
      </c>
      <c r="AU349" s="616">
        <f t="shared" si="797"/>
        <v>12921</v>
      </c>
      <c r="AV349" s="616">
        <f t="shared" si="798"/>
        <v>59203</v>
      </c>
      <c r="AW349" s="616">
        <f t="shared" si="799"/>
        <v>139065</v>
      </c>
      <c r="AX349" s="616">
        <f t="shared" si="800"/>
        <v>3796</v>
      </c>
      <c r="AY349" s="616">
        <f t="shared" si="801"/>
        <v>126217</v>
      </c>
      <c r="AZ349" s="616">
        <f t="shared" si="802"/>
        <v>2628</v>
      </c>
      <c r="BA349" s="616">
        <f t="shared" si="803"/>
        <v>6424</v>
      </c>
      <c r="BB349" s="616">
        <f t="shared" si="804"/>
        <v>19564</v>
      </c>
      <c r="BC349" s="616">
        <f t="shared" si="805"/>
        <v>42340</v>
      </c>
      <c r="BD349" s="616">
        <f t="shared" si="806"/>
        <v>3942</v>
      </c>
      <c r="BE349" s="616">
        <f t="shared" si="807"/>
        <v>5621</v>
      </c>
      <c r="BF349" s="616">
        <f t="shared" si="808"/>
        <v>584</v>
      </c>
      <c r="BG349" s="616">
        <f t="shared" si="809"/>
        <v>7665</v>
      </c>
      <c r="BH349" s="616">
        <f t="shared" si="810"/>
        <v>117676</v>
      </c>
      <c r="BI349" s="618">
        <f t="shared" si="860"/>
        <v>90381</v>
      </c>
      <c r="BJ349" s="618">
        <f t="shared" si="861"/>
        <v>27295</v>
      </c>
      <c r="BK349" s="616">
        <f t="shared" si="811"/>
        <v>0</v>
      </c>
      <c r="BL349" s="620">
        <f t="shared" si="812"/>
        <v>928706</v>
      </c>
      <c r="BM349" s="616">
        <f t="shared" si="813"/>
        <v>1144289</v>
      </c>
      <c r="BN349" s="618">
        <f t="shared" si="814"/>
        <v>878870.2</v>
      </c>
      <c r="BO349" s="618">
        <f t="shared" si="815"/>
        <v>265418.8</v>
      </c>
      <c r="BP349" s="616">
        <f t="shared" si="862"/>
        <v>64459</v>
      </c>
      <c r="BQ349" s="616">
        <f t="shared" si="863"/>
        <v>12921</v>
      </c>
      <c r="BR349" s="616">
        <f t="shared" si="864"/>
        <v>59203</v>
      </c>
      <c r="BS349" s="616">
        <f t="shared" si="816"/>
        <v>139065</v>
      </c>
      <c r="BT349" s="616">
        <f t="shared" si="817"/>
        <v>3796</v>
      </c>
      <c r="BU349" s="616">
        <f t="shared" si="818"/>
        <v>126217</v>
      </c>
      <c r="BV349" s="616">
        <f t="shared" si="819"/>
        <v>2628</v>
      </c>
      <c r="BW349" s="616">
        <f t="shared" si="820"/>
        <v>6424</v>
      </c>
      <c r="BX349" s="616">
        <f t="shared" si="821"/>
        <v>50866</v>
      </c>
      <c r="BY349" s="616">
        <f t="shared" si="822"/>
        <v>42340</v>
      </c>
      <c r="BZ349" s="616">
        <f t="shared" si="823"/>
        <v>3942</v>
      </c>
      <c r="CA349" s="616">
        <f t="shared" si="824"/>
        <v>5621</v>
      </c>
      <c r="CB349" s="616">
        <f t="shared" si="825"/>
        <v>584</v>
      </c>
      <c r="CC349" s="616">
        <f t="shared" si="826"/>
        <v>7665</v>
      </c>
      <c r="CD349" s="616">
        <f t="shared" si="827"/>
        <v>287365</v>
      </c>
      <c r="CE349" s="618">
        <f t="shared" si="865"/>
        <v>220710.39999999999</v>
      </c>
      <c r="CF349" s="618">
        <f t="shared" si="866"/>
        <v>66654.600000000006</v>
      </c>
      <c r="CG349" s="616">
        <f t="shared" si="828"/>
        <v>0</v>
      </c>
      <c r="CH349" s="621">
        <f t="shared" si="829"/>
        <v>1805399</v>
      </c>
      <c r="CI349" s="88">
        <f t="shared" si="830"/>
        <v>15675.191800000001</v>
      </c>
      <c r="CJ349" s="90">
        <f t="shared" si="831"/>
        <v>12039.317800000001</v>
      </c>
      <c r="CK349" s="90">
        <f t="shared" si="832"/>
        <v>3635.8739999999998</v>
      </c>
      <c r="CL349" s="88">
        <f t="shared" si="833"/>
        <v>883</v>
      </c>
      <c r="CM349" s="88">
        <f t="shared" si="834"/>
        <v>177</v>
      </c>
      <c r="CN349" s="88">
        <f t="shared" si="835"/>
        <v>811</v>
      </c>
      <c r="CO349" s="88">
        <f t="shared" si="836"/>
        <v>1905</v>
      </c>
      <c r="CP349" s="88">
        <f t="shared" si="837"/>
        <v>52</v>
      </c>
      <c r="CQ349" s="88">
        <f t="shared" si="838"/>
        <v>1729</v>
      </c>
      <c r="CR349" s="88">
        <f t="shared" si="839"/>
        <v>36</v>
      </c>
      <c r="CS349" s="88">
        <f t="shared" si="840"/>
        <v>88</v>
      </c>
      <c r="CT349" s="88">
        <f t="shared" si="841"/>
        <v>696.79449999999997</v>
      </c>
      <c r="CU349" s="88">
        <f t="shared" si="842"/>
        <v>580</v>
      </c>
      <c r="CV349" s="88">
        <f t="shared" si="843"/>
        <v>54</v>
      </c>
      <c r="CW349" s="88">
        <f t="shared" si="844"/>
        <v>77</v>
      </c>
      <c r="CX349" s="88">
        <f t="shared" si="845"/>
        <v>8</v>
      </c>
      <c r="CY349" s="88">
        <f t="shared" si="846"/>
        <v>105</v>
      </c>
      <c r="CZ349" s="88">
        <f t="shared" si="847"/>
        <v>3936.5068000000001</v>
      </c>
      <c r="DA349" s="90">
        <f t="shared" si="848"/>
        <v>3023.4301</v>
      </c>
      <c r="DB349" s="90">
        <f t="shared" si="849"/>
        <v>913.07669999999996</v>
      </c>
      <c r="DC349" s="88">
        <f t="shared" si="850"/>
        <v>0</v>
      </c>
      <c r="DD349" s="211">
        <f t="shared" si="851"/>
        <v>24731.493200000001</v>
      </c>
      <c r="AUV349" s="699">
        <f t="shared" si="890"/>
        <v>15675.19</v>
      </c>
      <c r="AUW349" s="699">
        <f t="shared" si="891"/>
        <v>12039.32</v>
      </c>
      <c r="AUX349" s="699">
        <f t="shared" si="892"/>
        <v>3635.87</v>
      </c>
      <c r="AUY349" s="699">
        <f t="shared" si="912"/>
        <v>883</v>
      </c>
      <c r="AUZ349" s="699">
        <f t="shared" si="910"/>
        <v>4969.62</v>
      </c>
      <c r="AVA349" s="699">
        <f t="shared" si="910"/>
        <v>9.2200000000000006</v>
      </c>
      <c r="AVB349" s="699">
        <f t="shared" si="913"/>
        <v>1905</v>
      </c>
      <c r="AVC349" s="699">
        <f t="shared" si="914"/>
        <v>52</v>
      </c>
      <c r="AVD349" s="699">
        <f t="shared" si="915"/>
        <v>1729</v>
      </c>
      <c r="AVE349" s="699">
        <f t="shared" si="916"/>
        <v>36</v>
      </c>
      <c r="AVF349" s="699">
        <f t="shared" si="917"/>
        <v>88</v>
      </c>
      <c r="AVG349" s="699">
        <f t="shared" si="918"/>
        <v>696.79</v>
      </c>
      <c r="AVH349" s="699">
        <f t="shared" si="919"/>
        <v>580</v>
      </c>
      <c r="AVI349" s="699">
        <f t="shared" si="920"/>
        <v>54</v>
      </c>
      <c r="AVJ349" s="699">
        <f t="shared" si="921"/>
        <v>77</v>
      </c>
      <c r="AVK349" s="699">
        <f t="shared" si="922"/>
        <v>8</v>
      </c>
      <c r="AVL349" s="699">
        <f t="shared" si="923"/>
        <v>105</v>
      </c>
      <c r="AVM349" s="699">
        <f t="shared" si="924"/>
        <v>3936.51</v>
      </c>
      <c r="AVN349" s="699">
        <f t="shared" si="925"/>
        <v>3023.43</v>
      </c>
      <c r="AVO349" s="699">
        <f t="shared" si="926"/>
        <v>913.08</v>
      </c>
      <c r="AVP349" s="699">
        <f t="shared" si="927"/>
        <v>0</v>
      </c>
      <c r="AVQ349" s="699">
        <f t="shared" si="928"/>
        <v>24731.49</v>
      </c>
    </row>
    <row r="350" spans="1:108 1244:1265" ht="30" customHeight="1" x14ac:dyDescent="0.25">
      <c r="A350" s="643">
        <v>1</v>
      </c>
      <c r="B350" s="643">
        <v>6</v>
      </c>
      <c r="C350" s="664" t="s">
        <v>250</v>
      </c>
      <c r="D350" s="2"/>
      <c r="E350" s="101" t="s">
        <v>344</v>
      </c>
      <c r="F350" s="643" t="s">
        <v>31</v>
      </c>
      <c r="G350" s="643">
        <v>1</v>
      </c>
      <c r="H350" s="658" t="s">
        <v>8</v>
      </c>
      <c r="I350" s="643">
        <v>3</v>
      </c>
      <c r="J350" s="101" t="s">
        <v>357</v>
      </c>
      <c r="K350" s="643">
        <v>3</v>
      </c>
      <c r="L350" s="683" t="s">
        <v>349</v>
      </c>
      <c r="M350" s="11" t="s">
        <v>261</v>
      </c>
      <c r="N350" s="101" t="s">
        <v>401</v>
      </c>
      <c r="O350" s="643">
        <v>2</v>
      </c>
      <c r="P350" s="695">
        <v>11</v>
      </c>
      <c r="Q350" s="632">
        <v>11</v>
      </c>
      <c r="R350" s="632">
        <v>11</v>
      </c>
      <c r="S350" s="675">
        <f>SUMIF('Территориальный кк'!$A:$A,'2020'!$B350,'Территориальный кк'!D:D)</f>
        <v>2.4420000000000002</v>
      </c>
      <c r="T350" s="676">
        <f>SUMIF('Территориальный кк'!$A:$A,'2020'!$B350,'Территориальный кк'!E:E)</f>
        <v>2.6</v>
      </c>
      <c r="U350" s="618">
        <f>SUMIFS(Нормативы!G:G,Нормативы!$B:$B,$G350,Нормативы!$D:$D,'2020'!$I350,Нормативы!$F:$F,'2020'!$K350)*O350</f>
        <v>12838</v>
      </c>
      <c r="V350" s="618">
        <f t="shared" si="852"/>
        <v>9860.2000000000007</v>
      </c>
      <c r="W350" s="618">
        <f t="shared" si="853"/>
        <v>2977.8</v>
      </c>
      <c r="X350" s="618">
        <f>SUMIFS(Нормативы!J:J,Нормативы!$B:$B,$G350,Нормативы!$D:$D,'2020'!$I350,Нормативы!$F:$F,'2020'!$K350)</f>
        <v>883</v>
      </c>
      <c r="Y350" s="618">
        <f>SUMIFS(Нормативы!K:K,Нормативы!$B:$B,$G350,Нормативы!$D:$D,'2020'!$I350,Нормативы!$F:$F,'2020'!$K350)</f>
        <v>177</v>
      </c>
      <c r="Z350" s="618">
        <f>SUMIFS(Нормативы!L:L,Нормативы!$B:$B,$G350,Нормативы!$D:$D,'2020'!$I350,Нормативы!$F:$F,'2020'!$K350)</f>
        <v>811</v>
      </c>
      <c r="AA350" s="618">
        <f t="shared" si="854"/>
        <v>1993</v>
      </c>
      <c r="AB350" s="618">
        <f>SUMIFS(Нормативы!N:N,Нормативы!$B:$B,$G350,Нормативы!$D:$D,'2020'!$I350,Нормативы!$F:$F,'2020'!$K350)*O350</f>
        <v>104</v>
      </c>
      <c r="AC350" s="618">
        <f>SUMIFS(Нормативы!O:O,Нормативы!$B:$B,$G350,Нормативы!$D:$D,'2020'!$I350,Нормативы!$F:$F,'2020'!$K350)</f>
        <v>1729</v>
      </c>
      <c r="AD350" s="618">
        <f>SUMIFS(Нормативы!P:P,Нормативы!$B:$B,$G350,Нормативы!$D:$D,'2020'!$I350,Нормативы!$F:$F,'2020'!$K350)*O350</f>
        <v>72</v>
      </c>
      <c r="AE350" s="618">
        <f>SUMIFS(Нормативы!Q:Q,Нормативы!$B:$B,$G350,Нормативы!$D:$D,'2020'!$I350,Нормативы!$F:$F,'2020'!$K350)</f>
        <v>88</v>
      </c>
      <c r="AF350" s="618">
        <f>SUMIFS(Нормативы!R:R,Нормативы!$B:$B,$G350,Нормативы!$D:$D,'2020'!$I350,Нормативы!$F:$F,'2020'!$K350)</f>
        <v>268</v>
      </c>
      <c r="AG350" s="618">
        <f>SUMIFS(Нормативы!S:S,Нормативы!$B:$B,$G350,Нормативы!$D:$D,'2020'!$I350,Нормативы!$F:$F,'2020'!$K350)</f>
        <v>580</v>
      </c>
      <c r="AH350" s="618">
        <f>SUMIFS(Нормативы!T:T,Нормативы!$B:$B,$G350,Нормативы!$D:$D,'2020'!$I350,Нормативы!$F:$F,'2020'!$K350)</f>
        <v>54</v>
      </c>
      <c r="AI350" s="618">
        <f>SUMIFS(Нормативы!U:U,Нормативы!$B:$B,$G350,Нормативы!$D:$D,'2020'!$I350,Нормативы!$F:$F,'2020'!$K350)</f>
        <v>77</v>
      </c>
      <c r="AJ350" s="618">
        <f>SUMIFS(Нормативы!V:V,Нормативы!$B:$B,$G350,Нормативы!$D:$D,'2020'!$I350,Нормативы!$F:$F,'2020'!$K350)</f>
        <v>8</v>
      </c>
      <c r="AK350" s="618">
        <f>SUMIFS(Нормативы!W:W,Нормативы!$B:$B,$G350,Нормативы!$D:$D,'2020'!$I350,Нормативы!$F:$F,'2020'!$K350)</f>
        <v>105</v>
      </c>
      <c r="AL350" s="618">
        <f>SUMIFS(Нормативы!X:X,Нормативы!$B:$B,$G350,Нормативы!$D:$D,'2020'!$I350,Нормативы!$F:$F,'2020'!$K350)*O350</f>
        <v>3224</v>
      </c>
      <c r="AM350" s="618">
        <f t="shared" si="855"/>
        <v>2476.1999999999998</v>
      </c>
      <c r="AN350" s="618">
        <f t="shared" si="856"/>
        <v>747.8</v>
      </c>
      <c r="AO350" s="618">
        <f>SUMIFS(Нормативы!AA:AA,Нормативы!$B:$B,$G350,Нормативы!$D:$D,'2020'!$I350,Нормативы!$F:$F,'2020'!$K350)</f>
        <v>0</v>
      </c>
      <c r="AP350" s="619">
        <f t="shared" si="857"/>
        <v>20841</v>
      </c>
      <c r="AQ350" s="413">
        <f t="shared" si="795"/>
        <v>141218</v>
      </c>
      <c r="AR350" s="618">
        <f t="shared" si="858"/>
        <v>108462.39999999999</v>
      </c>
      <c r="AS350" s="618">
        <f t="shared" si="859"/>
        <v>32755.599999999999</v>
      </c>
      <c r="AT350" s="616">
        <f t="shared" si="796"/>
        <v>9713</v>
      </c>
      <c r="AU350" s="616">
        <f t="shared" si="797"/>
        <v>1947</v>
      </c>
      <c r="AV350" s="616">
        <f t="shared" si="798"/>
        <v>8921</v>
      </c>
      <c r="AW350" s="616">
        <f t="shared" si="799"/>
        <v>21923</v>
      </c>
      <c r="AX350" s="616">
        <f t="shared" si="800"/>
        <v>1144</v>
      </c>
      <c r="AY350" s="616">
        <f t="shared" si="801"/>
        <v>19019</v>
      </c>
      <c r="AZ350" s="616">
        <f t="shared" si="802"/>
        <v>792</v>
      </c>
      <c r="BA350" s="616">
        <f t="shared" si="803"/>
        <v>968</v>
      </c>
      <c r="BB350" s="616">
        <f t="shared" si="804"/>
        <v>2948</v>
      </c>
      <c r="BC350" s="616">
        <f t="shared" si="805"/>
        <v>6380</v>
      </c>
      <c r="BD350" s="616">
        <f t="shared" si="806"/>
        <v>594</v>
      </c>
      <c r="BE350" s="616">
        <f t="shared" si="807"/>
        <v>847</v>
      </c>
      <c r="BF350" s="616">
        <f t="shared" si="808"/>
        <v>88</v>
      </c>
      <c r="BG350" s="616">
        <f t="shared" si="809"/>
        <v>1155</v>
      </c>
      <c r="BH350" s="616">
        <f t="shared" si="810"/>
        <v>35464</v>
      </c>
      <c r="BI350" s="618">
        <f t="shared" si="860"/>
        <v>27238.1</v>
      </c>
      <c r="BJ350" s="618">
        <f t="shared" si="861"/>
        <v>8225.9</v>
      </c>
      <c r="BK350" s="616">
        <f t="shared" si="811"/>
        <v>0</v>
      </c>
      <c r="BL350" s="620">
        <f t="shared" si="812"/>
        <v>229251</v>
      </c>
      <c r="BM350" s="616">
        <f t="shared" si="813"/>
        <v>344854</v>
      </c>
      <c r="BN350" s="618">
        <f t="shared" si="814"/>
        <v>264864.8</v>
      </c>
      <c r="BO350" s="618">
        <f t="shared" si="815"/>
        <v>79989.2</v>
      </c>
      <c r="BP350" s="616">
        <f t="shared" si="862"/>
        <v>9713</v>
      </c>
      <c r="BQ350" s="616">
        <f t="shared" si="863"/>
        <v>1947</v>
      </c>
      <c r="BR350" s="616">
        <f t="shared" si="864"/>
        <v>8921</v>
      </c>
      <c r="BS350" s="616">
        <f t="shared" si="816"/>
        <v>21923</v>
      </c>
      <c r="BT350" s="616">
        <f t="shared" si="817"/>
        <v>1144</v>
      </c>
      <c r="BU350" s="616">
        <f t="shared" si="818"/>
        <v>19019</v>
      </c>
      <c r="BV350" s="616">
        <f t="shared" si="819"/>
        <v>792</v>
      </c>
      <c r="BW350" s="616">
        <f t="shared" si="820"/>
        <v>968</v>
      </c>
      <c r="BX350" s="616">
        <f t="shared" si="821"/>
        <v>7665</v>
      </c>
      <c r="BY350" s="616">
        <f t="shared" si="822"/>
        <v>6380</v>
      </c>
      <c r="BZ350" s="616">
        <f t="shared" si="823"/>
        <v>594</v>
      </c>
      <c r="CA350" s="616">
        <f t="shared" si="824"/>
        <v>847</v>
      </c>
      <c r="CB350" s="616">
        <f t="shared" si="825"/>
        <v>88</v>
      </c>
      <c r="CC350" s="616">
        <f t="shared" si="826"/>
        <v>1155</v>
      </c>
      <c r="CD350" s="616">
        <f t="shared" si="827"/>
        <v>86603</v>
      </c>
      <c r="CE350" s="618">
        <f t="shared" si="865"/>
        <v>66515.399999999994</v>
      </c>
      <c r="CF350" s="618">
        <f t="shared" si="866"/>
        <v>20087.599999999999</v>
      </c>
      <c r="CG350" s="616">
        <f t="shared" si="828"/>
        <v>0</v>
      </c>
      <c r="CH350" s="621">
        <f t="shared" si="829"/>
        <v>488743</v>
      </c>
      <c r="CI350" s="88">
        <f t="shared" si="830"/>
        <v>31350.363600000001</v>
      </c>
      <c r="CJ350" s="90">
        <f t="shared" si="831"/>
        <v>24078.618200000001</v>
      </c>
      <c r="CK350" s="90">
        <f t="shared" si="832"/>
        <v>7271.7455</v>
      </c>
      <c r="CL350" s="88">
        <f t="shared" si="833"/>
        <v>883</v>
      </c>
      <c r="CM350" s="88">
        <f t="shared" si="834"/>
        <v>177</v>
      </c>
      <c r="CN350" s="88">
        <f t="shared" si="835"/>
        <v>811</v>
      </c>
      <c r="CO350" s="88">
        <f t="shared" si="836"/>
        <v>1993</v>
      </c>
      <c r="CP350" s="88">
        <f t="shared" si="837"/>
        <v>104</v>
      </c>
      <c r="CQ350" s="88">
        <f t="shared" si="838"/>
        <v>1729</v>
      </c>
      <c r="CR350" s="88">
        <f t="shared" si="839"/>
        <v>72</v>
      </c>
      <c r="CS350" s="88">
        <f t="shared" si="840"/>
        <v>88</v>
      </c>
      <c r="CT350" s="88">
        <f t="shared" si="841"/>
        <v>696.81820000000005</v>
      </c>
      <c r="CU350" s="88">
        <f t="shared" si="842"/>
        <v>580</v>
      </c>
      <c r="CV350" s="88">
        <f t="shared" si="843"/>
        <v>54</v>
      </c>
      <c r="CW350" s="88">
        <f t="shared" si="844"/>
        <v>77</v>
      </c>
      <c r="CX350" s="88">
        <f t="shared" si="845"/>
        <v>8</v>
      </c>
      <c r="CY350" s="88">
        <f t="shared" si="846"/>
        <v>105</v>
      </c>
      <c r="CZ350" s="88">
        <f t="shared" si="847"/>
        <v>7873</v>
      </c>
      <c r="DA350" s="90">
        <f t="shared" si="848"/>
        <v>6046.8545000000004</v>
      </c>
      <c r="DB350" s="90">
        <f t="shared" si="849"/>
        <v>1826.1455000000001</v>
      </c>
      <c r="DC350" s="88">
        <f t="shared" si="850"/>
        <v>0</v>
      </c>
      <c r="DD350" s="211">
        <f t="shared" si="851"/>
        <v>44431.181799999998</v>
      </c>
      <c r="AUV350" s="699">
        <f t="shared" si="890"/>
        <v>31350.36</v>
      </c>
      <c r="AUW350" s="699">
        <f t="shared" si="891"/>
        <v>24078.62</v>
      </c>
      <c r="AUX350" s="699">
        <f t="shared" si="892"/>
        <v>7271.74</v>
      </c>
      <c r="AUY350" s="699">
        <f t="shared" si="912"/>
        <v>883</v>
      </c>
      <c r="AUZ350" s="699">
        <f t="shared" si="910"/>
        <v>748.85</v>
      </c>
      <c r="AVA350" s="699">
        <f t="shared" si="910"/>
        <v>0.69</v>
      </c>
      <c r="AVB350" s="699">
        <f t="shared" si="913"/>
        <v>1993</v>
      </c>
      <c r="AVC350" s="699">
        <f t="shared" si="914"/>
        <v>104</v>
      </c>
      <c r="AVD350" s="699">
        <f t="shared" si="915"/>
        <v>1729</v>
      </c>
      <c r="AVE350" s="699">
        <f t="shared" si="916"/>
        <v>72</v>
      </c>
      <c r="AVF350" s="699">
        <f t="shared" si="917"/>
        <v>88</v>
      </c>
      <c r="AVG350" s="699">
        <f t="shared" si="918"/>
        <v>696.82</v>
      </c>
      <c r="AVH350" s="699">
        <f t="shared" si="919"/>
        <v>580</v>
      </c>
      <c r="AVI350" s="699">
        <f t="shared" si="920"/>
        <v>54</v>
      </c>
      <c r="AVJ350" s="699">
        <f t="shared" si="921"/>
        <v>77</v>
      </c>
      <c r="AVK350" s="699">
        <f t="shared" si="922"/>
        <v>8</v>
      </c>
      <c r="AVL350" s="699">
        <f t="shared" si="923"/>
        <v>105</v>
      </c>
      <c r="AVM350" s="699">
        <f t="shared" si="924"/>
        <v>7873</v>
      </c>
      <c r="AVN350" s="699">
        <f t="shared" si="925"/>
        <v>6046.85</v>
      </c>
      <c r="AVO350" s="699">
        <f t="shared" si="926"/>
        <v>1826.15</v>
      </c>
      <c r="AVP350" s="699">
        <f t="shared" si="927"/>
        <v>0</v>
      </c>
      <c r="AVQ350" s="699">
        <f t="shared" si="928"/>
        <v>44431.18</v>
      </c>
    </row>
    <row r="351" spans="1:108 1244:1265" ht="30" customHeight="1" x14ac:dyDescent="0.25">
      <c r="A351" s="643">
        <v>1</v>
      </c>
      <c r="B351" s="643">
        <v>6</v>
      </c>
      <c r="C351" s="664" t="s">
        <v>250</v>
      </c>
      <c r="D351" s="2"/>
      <c r="E351" s="101" t="s">
        <v>344</v>
      </c>
      <c r="F351" s="643" t="s">
        <v>31</v>
      </c>
      <c r="G351" s="643">
        <v>1</v>
      </c>
      <c r="H351" s="658" t="s">
        <v>10</v>
      </c>
      <c r="I351" s="643">
        <v>0</v>
      </c>
      <c r="J351" s="101" t="s">
        <v>360</v>
      </c>
      <c r="K351" s="643">
        <v>3</v>
      </c>
      <c r="L351" s="683" t="s">
        <v>349</v>
      </c>
      <c r="M351" s="11" t="s">
        <v>265</v>
      </c>
      <c r="N351" s="101" t="s">
        <v>387</v>
      </c>
      <c r="O351" s="643">
        <v>1</v>
      </c>
      <c r="P351" s="695">
        <v>825</v>
      </c>
      <c r="Q351" s="632">
        <v>825</v>
      </c>
      <c r="R351" s="632">
        <v>825</v>
      </c>
      <c r="S351" s="675">
        <f>SUMIF('Территориальный кк'!$A:$A,'2020'!$B351,'Территориальный кк'!D:D)</f>
        <v>2.4420000000000002</v>
      </c>
      <c r="T351" s="676">
        <f>SUMIF('Территориальный кк'!$A:$A,'2020'!$B351,'Территориальный кк'!E:E)</f>
        <v>2.6</v>
      </c>
      <c r="U351" s="618">
        <f>SUMIFS(Нормативы!G:G,Нормативы!$B:$B,$G351,Нормативы!$D:$D,'2020'!$I351,Нормативы!$F:$F,'2020'!$K351)*O351</f>
        <v>64190</v>
      </c>
      <c r="V351" s="618">
        <f t="shared" si="852"/>
        <v>49301.1</v>
      </c>
      <c r="W351" s="618">
        <f t="shared" si="853"/>
        <v>14888.9</v>
      </c>
      <c r="X351" s="618">
        <f>SUMIFS(Нормативы!J:J,Нормативы!$B:$B,$G351,Нормативы!$D:$D,'2020'!$I351,Нормативы!$F:$F,'2020'!$K351)</f>
        <v>8830</v>
      </c>
      <c r="Y351" s="618">
        <f>SUMIFS(Нормативы!K:K,Нормативы!$B:$B,$G351,Нормативы!$D:$D,'2020'!$I351,Нормативы!$F:$F,'2020'!$K351)</f>
        <v>1766</v>
      </c>
      <c r="Z351" s="618">
        <f>SUMIFS(Нормативы!L:L,Нормативы!$B:$B,$G351,Нормативы!$D:$D,'2020'!$I351,Нормативы!$F:$F,'2020'!$K351)</f>
        <v>8110</v>
      </c>
      <c r="AA351" s="618">
        <f t="shared" si="854"/>
        <v>19050</v>
      </c>
      <c r="AB351" s="618">
        <f>SUMIFS(Нормативы!N:N,Нормативы!$B:$B,$G351,Нормативы!$D:$D,'2020'!$I351,Нормативы!$F:$F,'2020'!$K351)*O351</f>
        <v>520</v>
      </c>
      <c r="AC351" s="618">
        <f>SUMIFS(Нормативы!O:O,Нормативы!$B:$B,$G351,Нормативы!$D:$D,'2020'!$I351,Нормативы!$F:$F,'2020'!$K351)</f>
        <v>17290</v>
      </c>
      <c r="AD351" s="618">
        <f>SUMIFS(Нормативы!P:P,Нормативы!$B:$B,$G351,Нормативы!$D:$D,'2020'!$I351,Нормативы!$F:$F,'2020'!$K351)*O351</f>
        <v>360</v>
      </c>
      <c r="AE351" s="618">
        <f>SUMIFS(Нормативы!Q:Q,Нормативы!$B:$B,$G351,Нормативы!$D:$D,'2020'!$I351,Нормативы!$F:$F,'2020'!$K351)</f>
        <v>880</v>
      </c>
      <c r="AF351" s="618">
        <f>SUMIFS(Нормативы!R:R,Нормативы!$B:$B,$G351,Нормативы!$D:$D,'2020'!$I351,Нормативы!$F:$F,'2020'!$K351)</f>
        <v>2680</v>
      </c>
      <c r="AG351" s="618">
        <f>SUMIFS(Нормативы!S:S,Нормативы!$B:$B,$G351,Нормативы!$D:$D,'2020'!$I351,Нормативы!$F:$F,'2020'!$K351)</f>
        <v>5800</v>
      </c>
      <c r="AH351" s="618">
        <f>SUMIFS(Нормативы!T:T,Нормативы!$B:$B,$G351,Нормативы!$D:$D,'2020'!$I351,Нормативы!$F:$F,'2020'!$K351)</f>
        <v>540</v>
      </c>
      <c r="AI351" s="618">
        <f>SUMIFS(Нормативы!U:U,Нормативы!$B:$B,$G351,Нормативы!$D:$D,'2020'!$I351,Нормативы!$F:$F,'2020'!$K351)</f>
        <v>770</v>
      </c>
      <c r="AJ351" s="618">
        <f>SUMIFS(Нормативы!V:V,Нормативы!$B:$B,$G351,Нормативы!$D:$D,'2020'!$I351,Нормативы!$F:$F,'2020'!$K351)</f>
        <v>80</v>
      </c>
      <c r="AK351" s="618">
        <f>SUMIFS(Нормативы!W:W,Нормативы!$B:$B,$G351,Нормативы!$D:$D,'2020'!$I351,Нормативы!$F:$F,'2020'!$K351)</f>
        <v>1050</v>
      </c>
      <c r="AL351" s="618">
        <f>SUMIFS(Нормативы!X:X,Нормативы!$B:$B,$G351,Нормативы!$D:$D,'2020'!$I351,Нормативы!$F:$F,'2020'!$K351)*O351</f>
        <v>16120</v>
      </c>
      <c r="AM351" s="618">
        <f t="shared" si="855"/>
        <v>12381</v>
      </c>
      <c r="AN351" s="618">
        <f t="shared" si="856"/>
        <v>3739</v>
      </c>
      <c r="AO351" s="618">
        <f>SUMIFS(Нормативы!AA:AA,Нормативы!$B:$B,$G351,Нормативы!$D:$D,'2020'!$I351,Нормативы!$F:$F,'2020'!$K351)</f>
        <v>3520</v>
      </c>
      <c r="AP351" s="619">
        <f t="shared" si="857"/>
        <v>130740</v>
      </c>
      <c r="AQ351" s="413">
        <f t="shared" si="795"/>
        <v>52956750</v>
      </c>
      <c r="AR351" s="618">
        <f t="shared" si="858"/>
        <v>40673387.100000001</v>
      </c>
      <c r="AS351" s="618">
        <f t="shared" si="859"/>
        <v>12283362.9</v>
      </c>
      <c r="AT351" s="616">
        <f t="shared" si="796"/>
        <v>7284750</v>
      </c>
      <c r="AU351" s="616">
        <f t="shared" si="797"/>
        <v>1456950</v>
      </c>
      <c r="AV351" s="616">
        <f t="shared" si="798"/>
        <v>6690750</v>
      </c>
      <c r="AW351" s="616">
        <f t="shared" si="799"/>
        <v>15716250</v>
      </c>
      <c r="AX351" s="616">
        <f t="shared" si="800"/>
        <v>429000</v>
      </c>
      <c r="AY351" s="616">
        <f t="shared" si="801"/>
        <v>14264250</v>
      </c>
      <c r="AZ351" s="616">
        <f t="shared" si="802"/>
        <v>297000</v>
      </c>
      <c r="BA351" s="616">
        <f t="shared" si="803"/>
        <v>726000</v>
      </c>
      <c r="BB351" s="616">
        <f t="shared" si="804"/>
        <v>2211000</v>
      </c>
      <c r="BC351" s="616">
        <f t="shared" si="805"/>
        <v>4785000</v>
      </c>
      <c r="BD351" s="616">
        <f t="shared" si="806"/>
        <v>445500</v>
      </c>
      <c r="BE351" s="616">
        <f t="shared" si="807"/>
        <v>635250</v>
      </c>
      <c r="BF351" s="616">
        <f t="shared" si="808"/>
        <v>66000</v>
      </c>
      <c r="BG351" s="616">
        <f t="shared" si="809"/>
        <v>866250</v>
      </c>
      <c r="BH351" s="616">
        <f t="shared" si="810"/>
        <v>13299000</v>
      </c>
      <c r="BI351" s="618">
        <f t="shared" si="860"/>
        <v>10214285.699999999</v>
      </c>
      <c r="BJ351" s="618">
        <f t="shared" si="861"/>
        <v>3084714.3</v>
      </c>
      <c r="BK351" s="616">
        <f t="shared" si="811"/>
        <v>2904000</v>
      </c>
      <c r="BL351" s="620">
        <f t="shared" si="812"/>
        <v>107860500</v>
      </c>
      <c r="BM351" s="616">
        <f t="shared" si="813"/>
        <v>129320384</v>
      </c>
      <c r="BN351" s="618">
        <f t="shared" si="814"/>
        <v>99324411.700000003</v>
      </c>
      <c r="BO351" s="618">
        <f t="shared" si="815"/>
        <v>29995972.300000001</v>
      </c>
      <c r="BP351" s="616">
        <f t="shared" si="862"/>
        <v>7284750</v>
      </c>
      <c r="BQ351" s="616">
        <f t="shared" si="863"/>
        <v>1456950</v>
      </c>
      <c r="BR351" s="616">
        <f t="shared" si="864"/>
        <v>6690750</v>
      </c>
      <c r="BS351" s="616">
        <f t="shared" si="816"/>
        <v>15716250</v>
      </c>
      <c r="BT351" s="616">
        <f t="shared" si="817"/>
        <v>429000</v>
      </c>
      <c r="BU351" s="616">
        <f t="shared" si="818"/>
        <v>14264250</v>
      </c>
      <c r="BV351" s="616">
        <f t="shared" si="819"/>
        <v>297000</v>
      </c>
      <c r="BW351" s="616">
        <f t="shared" si="820"/>
        <v>726000</v>
      </c>
      <c r="BX351" s="616">
        <f t="shared" si="821"/>
        <v>5748600</v>
      </c>
      <c r="BY351" s="616">
        <f t="shared" si="822"/>
        <v>4785000</v>
      </c>
      <c r="BZ351" s="616">
        <f t="shared" si="823"/>
        <v>445500</v>
      </c>
      <c r="CA351" s="616">
        <f t="shared" si="824"/>
        <v>635250</v>
      </c>
      <c r="CB351" s="616">
        <f t="shared" si="825"/>
        <v>66000</v>
      </c>
      <c r="CC351" s="616">
        <f t="shared" si="826"/>
        <v>866250</v>
      </c>
      <c r="CD351" s="616">
        <f t="shared" si="827"/>
        <v>32476158</v>
      </c>
      <c r="CE351" s="618">
        <f t="shared" si="865"/>
        <v>24943285.699999999</v>
      </c>
      <c r="CF351" s="618">
        <f t="shared" si="866"/>
        <v>7532872.2999999998</v>
      </c>
      <c r="CG351" s="616">
        <f t="shared" si="828"/>
        <v>2904000</v>
      </c>
      <c r="CH351" s="621">
        <f t="shared" si="829"/>
        <v>206938892</v>
      </c>
      <c r="CI351" s="88">
        <f t="shared" si="830"/>
        <v>156751.98060000001</v>
      </c>
      <c r="CJ351" s="90">
        <f t="shared" si="831"/>
        <v>120393.22629999999</v>
      </c>
      <c r="CK351" s="90">
        <f t="shared" si="832"/>
        <v>36358.754300000001</v>
      </c>
      <c r="CL351" s="88">
        <f t="shared" si="833"/>
        <v>8830</v>
      </c>
      <c r="CM351" s="88">
        <f t="shared" si="834"/>
        <v>1766</v>
      </c>
      <c r="CN351" s="88">
        <f t="shared" si="835"/>
        <v>8110</v>
      </c>
      <c r="CO351" s="88">
        <f t="shared" si="836"/>
        <v>19050</v>
      </c>
      <c r="CP351" s="88">
        <f t="shared" si="837"/>
        <v>520</v>
      </c>
      <c r="CQ351" s="88">
        <f t="shared" si="838"/>
        <v>17290</v>
      </c>
      <c r="CR351" s="88">
        <f t="shared" si="839"/>
        <v>360</v>
      </c>
      <c r="CS351" s="88">
        <f t="shared" si="840"/>
        <v>880</v>
      </c>
      <c r="CT351" s="88">
        <f t="shared" si="841"/>
        <v>6968</v>
      </c>
      <c r="CU351" s="88">
        <f t="shared" si="842"/>
        <v>5800</v>
      </c>
      <c r="CV351" s="88">
        <f t="shared" si="843"/>
        <v>540</v>
      </c>
      <c r="CW351" s="88">
        <f t="shared" si="844"/>
        <v>770</v>
      </c>
      <c r="CX351" s="88">
        <f t="shared" si="845"/>
        <v>80</v>
      </c>
      <c r="CY351" s="88">
        <f t="shared" si="846"/>
        <v>1050</v>
      </c>
      <c r="CZ351" s="88">
        <f t="shared" si="847"/>
        <v>39365.040000000001</v>
      </c>
      <c r="DA351" s="90">
        <f t="shared" si="848"/>
        <v>30234.2857</v>
      </c>
      <c r="DB351" s="90">
        <f t="shared" si="849"/>
        <v>9130.7543000000005</v>
      </c>
      <c r="DC351" s="88">
        <f t="shared" si="850"/>
        <v>3520</v>
      </c>
      <c r="DD351" s="211">
        <f t="shared" si="851"/>
        <v>250835.02059999999</v>
      </c>
      <c r="AUV351" s="699">
        <f t="shared" si="890"/>
        <v>156751.98000000001</v>
      </c>
      <c r="AUW351" s="699">
        <f t="shared" si="891"/>
        <v>120393.23</v>
      </c>
      <c r="AUX351" s="699">
        <f t="shared" si="892"/>
        <v>36358.75</v>
      </c>
      <c r="AUY351" s="699">
        <f t="shared" si="912"/>
        <v>8830</v>
      </c>
      <c r="AUZ351" s="699">
        <f t="shared" si="910"/>
        <v>560365.38</v>
      </c>
      <c r="AVA351" s="699">
        <f t="shared" si="910"/>
        <v>104.23</v>
      </c>
      <c r="AVB351" s="699">
        <f t="shared" si="913"/>
        <v>19050</v>
      </c>
      <c r="AVC351" s="699">
        <f t="shared" si="914"/>
        <v>520</v>
      </c>
      <c r="AVD351" s="699">
        <f t="shared" si="915"/>
        <v>17290</v>
      </c>
      <c r="AVE351" s="699">
        <f t="shared" si="916"/>
        <v>360</v>
      </c>
      <c r="AVF351" s="699">
        <f t="shared" si="917"/>
        <v>880</v>
      </c>
      <c r="AVG351" s="699">
        <f t="shared" si="918"/>
        <v>6968</v>
      </c>
      <c r="AVH351" s="699">
        <f t="shared" si="919"/>
        <v>5800</v>
      </c>
      <c r="AVI351" s="699">
        <f t="shared" si="920"/>
        <v>540</v>
      </c>
      <c r="AVJ351" s="699">
        <f t="shared" si="921"/>
        <v>770</v>
      </c>
      <c r="AVK351" s="699">
        <f t="shared" si="922"/>
        <v>80</v>
      </c>
      <c r="AVL351" s="699">
        <f t="shared" si="923"/>
        <v>1050</v>
      </c>
      <c r="AVM351" s="699">
        <f t="shared" si="924"/>
        <v>39365.040000000001</v>
      </c>
      <c r="AVN351" s="699">
        <f t="shared" si="925"/>
        <v>30234.29</v>
      </c>
      <c r="AVO351" s="699">
        <f t="shared" si="926"/>
        <v>9130.75</v>
      </c>
      <c r="AVP351" s="699">
        <f t="shared" si="927"/>
        <v>3520</v>
      </c>
      <c r="AVQ351" s="699">
        <f t="shared" si="928"/>
        <v>250835.02</v>
      </c>
    </row>
    <row r="352" spans="1:108 1244:1265" ht="30" customHeight="1" x14ac:dyDescent="0.25">
      <c r="A352" s="643">
        <v>1</v>
      </c>
      <c r="B352" s="643">
        <v>6</v>
      </c>
      <c r="C352" s="664" t="s">
        <v>250</v>
      </c>
      <c r="D352" s="2"/>
      <c r="E352" s="101" t="s">
        <v>344</v>
      </c>
      <c r="F352" s="716" t="s">
        <v>31</v>
      </c>
      <c r="G352" s="643">
        <v>1</v>
      </c>
      <c r="H352" s="658" t="s">
        <v>8</v>
      </c>
      <c r="I352" s="643">
        <v>3</v>
      </c>
      <c r="J352" s="101" t="s">
        <v>360</v>
      </c>
      <c r="K352" s="643">
        <v>3</v>
      </c>
      <c r="L352" s="683" t="s">
        <v>349</v>
      </c>
      <c r="M352" s="11" t="s">
        <v>266</v>
      </c>
      <c r="N352" s="101" t="s">
        <v>387</v>
      </c>
      <c r="O352" s="643">
        <v>1</v>
      </c>
      <c r="P352" s="695">
        <v>273</v>
      </c>
      <c r="Q352" s="632">
        <v>273</v>
      </c>
      <c r="R352" s="632">
        <v>273</v>
      </c>
      <c r="S352" s="675">
        <f>SUMIF('Территориальный кк'!$A:$A,'2020'!$B352,'Территориальный кк'!D:D)</f>
        <v>2.4420000000000002</v>
      </c>
      <c r="T352" s="676">
        <f>SUMIF('Территориальный кк'!$A:$A,'2020'!$B352,'Территориальный кк'!E:E)</f>
        <v>2.6</v>
      </c>
      <c r="U352" s="618">
        <f>SUMIFS(Нормативы!G:G,Нормативы!$B:$B,$G352,Нормативы!$D:$D,'2020'!$I352,Нормативы!$F:$F,'2020'!$K352)*O352</f>
        <v>6419</v>
      </c>
      <c r="V352" s="618">
        <f t="shared" si="852"/>
        <v>4930.1000000000004</v>
      </c>
      <c r="W352" s="618">
        <f t="shared" si="853"/>
        <v>1488.9</v>
      </c>
      <c r="X352" s="618">
        <f>SUMIFS(Нормативы!J:J,Нормативы!$B:$B,$G352,Нормативы!$D:$D,'2020'!$I352,Нормативы!$F:$F,'2020'!$K352)</f>
        <v>883</v>
      </c>
      <c r="Y352" s="618">
        <f>SUMIFS(Нормативы!K:K,Нормативы!$B:$B,$G352,Нормативы!$D:$D,'2020'!$I352,Нормативы!$F:$F,'2020'!$K352)</f>
        <v>177</v>
      </c>
      <c r="Z352" s="618">
        <f>SUMIFS(Нормативы!L:L,Нормативы!$B:$B,$G352,Нормативы!$D:$D,'2020'!$I352,Нормативы!$F:$F,'2020'!$K352)</f>
        <v>811</v>
      </c>
      <c r="AA352" s="618">
        <f t="shared" si="854"/>
        <v>1905</v>
      </c>
      <c r="AB352" s="618">
        <f>SUMIFS(Нормативы!N:N,Нормативы!$B:$B,$G352,Нормативы!$D:$D,'2020'!$I352,Нормативы!$F:$F,'2020'!$K352)*O352</f>
        <v>52</v>
      </c>
      <c r="AC352" s="618">
        <f>SUMIFS(Нормативы!O:O,Нормативы!$B:$B,$G352,Нормативы!$D:$D,'2020'!$I352,Нормативы!$F:$F,'2020'!$K352)</f>
        <v>1729</v>
      </c>
      <c r="AD352" s="618">
        <f>SUMIFS(Нормативы!P:P,Нормативы!$B:$B,$G352,Нормативы!$D:$D,'2020'!$I352,Нормативы!$F:$F,'2020'!$K352)*O352</f>
        <v>36</v>
      </c>
      <c r="AE352" s="618">
        <f>SUMIFS(Нормативы!Q:Q,Нормативы!$B:$B,$G352,Нормативы!$D:$D,'2020'!$I352,Нормативы!$F:$F,'2020'!$K352)</f>
        <v>88</v>
      </c>
      <c r="AF352" s="618">
        <f>SUMIFS(Нормативы!R:R,Нормативы!$B:$B,$G352,Нормативы!$D:$D,'2020'!$I352,Нормативы!$F:$F,'2020'!$K352)</f>
        <v>268</v>
      </c>
      <c r="AG352" s="618">
        <f>SUMIFS(Нормативы!S:S,Нормативы!$B:$B,$G352,Нормативы!$D:$D,'2020'!$I352,Нормативы!$F:$F,'2020'!$K352)</f>
        <v>580</v>
      </c>
      <c r="AH352" s="618">
        <f>SUMIFS(Нормативы!T:T,Нормативы!$B:$B,$G352,Нормативы!$D:$D,'2020'!$I352,Нормативы!$F:$F,'2020'!$K352)</f>
        <v>54</v>
      </c>
      <c r="AI352" s="618">
        <f>SUMIFS(Нормативы!U:U,Нормативы!$B:$B,$G352,Нормативы!$D:$D,'2020'!$I352,Нормативы!$F:$F,'2020'!$K352)</f>
        <v>77</v>
      </c>
      <c r="AJ352" s="618">
        <f>SUMIFS(Нормативы!V:V,Нормативы!$B:$B,$G352,Нормативы!$D:$D,'2020'!$I352,Нормативы!$F:$F,'2020'!$K352)</f>
        <v>8</v>
      </c>
      <c r="AK352" s="618">
        <f>SUMIFS(Нормативы!W:W,Нормативы!$B:$B,$G352,Нормативы!$D:$D,'2020'!$I352,Нормативы!$F:$F,'2020'!$K352)</f>
        <v>105</v>
      </c>
      <c r="AL352" s="618">
        <f>SUMIFS(Нормативы!X:X,Нормативы!$B:$B,$G352,Нормативы!$D:$D,'2020'!$I352,Нормативы!$F:$F,'2020'!$K352)*O352</f>
        <v>1612</v>
      </c>
      <c r="AM352" s="618">
        <f t="shared" si="855"/>
        <v>1238.0999999999999</v>
      </c>
      <c r="AN352" s="618">
        <f t="shared" si="856"/>
        <v>373.9</v>
      </c>
      <c r="AO352" s="618">
        <f>SUMIFS(Нормативы!AA:AA,Нормативы!$B:$B,$G352,Нормативы!$D:$D,'2020'!$I352,Нормативы!$F:$F,'2020'!$K352)</f>
        <v>0</v>
      </c>
      <c r="AP352" s="619">
        <f t="shared" si="857"/>
        <v>12722</v>
      </c>
      <c r="AQ352" s="413">
        <f t="shared" si="795"/>
        <v>1752387</v>
      </c>
      <c r="AR352" s="618">
        <f t="shared" si="858"/>
        <v>1345919.4</v>
      </c>
      <c r="AS352" s="618">
        <f t="shared" si="859"/>
        <v>406467.6</v>
      </c>
      <c r="AT352" s="616">
        <f t="shared" si="796"/>
        <v>241059</v>
      </c>
      <c r="AU352" s="616">
        <f t="shared" si="797"/>
        <v>48321</v>
      </c>
      <c r="AV352" s="616">
        <f t="shared" si="798"/>
        <v>221403</v>
      </c>
      <c r="AW352" s="616">
        <f t="shared" si="799"/>
        <v>520065</v>
      </c>
      <c r="AX352" s="616">
        <f t="shared" si="800"/>
        <v>14196</v>
      </c>
      <c r="AY352" s="616">
        <f t="shared" si="801"/>
        <v>472017</v>
      </c>
      <c r="AZ352" s="616">
        <f t="shared" si="802"/>
        <v>9828</v>
      </c>
      <c r="BA352" s="616">
        <f t="shared" si="803"/>
        <v>24024</v>
      </c>
      <c r="BB352" s="616">
        <f t="shared" si="804"/>
        <v>73164</v>
      </c>
      <c r="BC352" s="616">
        <f t="shared" si="805"/>
        <v>158340</v>
      </c>
      <c r="BD352" s="616">
        <f t="shared" si="806"/>
        <v>14742</v>
      </c>
      <c r="BE352" s="616">
        <f t="shared" si="807"/>
        <v>21021</v>
      </c>
      <c r="BF352" s="616">
        <f t="shared" si="808"/>
        <v>2184</v>
      </c>
      <c r="BG352" s="616">
        <f t="shared" si="809"/>
        <v>28665</v>
      </c>
      <c r="BH352" s="616">
        <f t="shared" si="810"/>
        <v>440076</v>
      </c>
      <c r="BI352" s="618">
        <f t="shared" si="860"/>
        <v>338000</v>
      </c>
      <c r="BJ352" s="618">
        <f t="shared" si="861"/>
        <v>102076</v>
      </c>
      <c r="BK352" s="616">
        <f t="shared" si="811"/>
        <v>0</v>
      </c>
      <c r="BL352" s="620">
        <f t="shared" si="812"/>
        <v>3473106</v>
      </c>
      <c r="BM352" s="616">
        <f t="shared" si="813"/>
        <v>4279329</v>
      </c>
      <c r="BN352" s="618">
        <f t="shared" si="814"/>
        <v>3286735</v>
      </c>
      <c r="BO352" s="618">
        <f t="shared" si="815"/>
        <v>992594</v>
      </c>
      <c r="BP352" s="616">
        <f t="shared" si="862"/>
        <v>241059</v>
      </c>
      <c r="BQ352" s="616">
        <f t="shared" si="863"/>
        <v>48321</v>
      </c>
      <c r="BR352" s="616">
        <f t="shared" si="864"/>
        <v>221403</v>
      </c>
      <c r="BS352" s="616">
        <f t="shared" si="816"/>
        <v>520065</v>
      </c>
      <c r="BT352" s="616">
        <f t="shared" si="817"/>
        <v>14196</v>
      </c>
      <c r="BU352" s="616">
        <f t="shared" si="818"/>
        <v>472017</v>
      </c>
      <c r="BV352" s="616">
        <f t="shared" si="819"/>
        <v>9828</v>
      </c>
      <c r="BW352" s="616">
        <f t="shared" si="820"/>
        <v>24024</v>
      </c>
      <c r="BX352" s="616">
        <f t="shared" si="821"/>
        <v>190226</v>
      </c>
      <c r="BY352" s="616">
        <f t="shared" si="822"/>
        <v>158340</v>
      </c>
      <c r="BZ352" s="616">
        <f t="shared" si="823"/>
        <v>14742</v>
      </c>
      <c r="CA352" s="616">
        <f t="shared" si="824"/>
        <v>21021</v>
      </c>
      <c r="CB352" s="616">
        <f t="shared" si="825"/>
        <v>2184</v>
      </c>
      <c r="CC352" s="616">
        <f t="shared" si="826"/>
        <v>28665</v>
      </c>
      <c r="CD352" s="616">
        <f t="shared" si="827"/>
        <v>1074666</v>
      </c>
      <c r="CE352" s="618">
        <f t="shared" si="865"/>
        <v>825396.3</v>
      </c>
      <c r="CF352" s="618">
        <f t="shared" si="866"/>
        <v>249269.7</v>
      </c>
      <c r="CG352" s="616">
        <f t="shared" si="828"/>
        <v>0</v>
      </c>
      <c r="CH352" s="621">
        <f t="shared" si="829"/>
        <v>6751700</v>
      </c>
      <c r="CI352" s="88">
        <f t="shared" si="830"/>
        <v>15675.1978</v>
      </c>
      <c r="CJ352" s="90">
        <f t="shared" si="831"/>
        <v>12039.3223</v>
      </c>
      <c r="CK352" s="90">
        <f t="shared" si="832"/>
        <v>3635.8755000000001</v>
      </c>
      <c r="CL352" s="88">
        <f t="shared" si="833"/>
        <v>883</v>
      </c>
      <c r="CM352" s="88">
        <f t="shared" si="834"/>
        <v>177</v>
      </c>
      <c r="CN352" s="88">
        <f t="shared" si="835"/>
        <v>811</v>
      </c>
      <c r="CO352" s="88">
        <f t="shared" si="836"/>
        <v>1905</v>
      </c>
      <c r="CP352" s="88">
        <f t="shared" si="837"/>
        <v>52</v>
      </c>
      <c r="CQ352" s="88">
        <f t="shared" si="838"/>
        <v>1729</v>
      </c>
      <c r="CR352" s="88">
        <f t="shared" si="839"/>
        <v>36</v>
      </c>
      <c r="CS352" s="88">
        <f t="shared" si="840"/>
        <v>88</v>
      </c>
      <c r="CT352" s="88">
        <f t="shared" si="841"/>
        <v>696.79849999999999</v>
      </c>
      <c r="CU352" s="88">
        <f t="shared" si="842"/>
        <v>580</v>
      </c>
      <c r="CV352" s="88">
        <f t="shared" si="843"/>
        <v>54</v>
      </c>
      <c r="CW352" s="88">
        <f t="shared" si="844"/>
        <v>77</v>
      </c>
      <c r="CX352" s="88">
        <f t="shared" si="845"/>
        <v>8</v>
      </c>
      <c r="CY352" s="88">
        <f t="shared" si="846"/>
        <v>105</v>
      </c>
      <c r="CZ352" s="88">
        <f t="shared" si="847"/>
        <v>3936.5055000000002</v>
      </c>
      <c r="DA352" s="90">
        <f t="shared" si="848"/>
        <v>3023.4297000000001</v>
      </c>
      <c r="DB352" s="90">
        <f t="shared" si="849"/>
        <v>913.07579999999996</v>
      </c>
      <c r="DC352" s="88">
        <f t="shared" si="850"/>
        <v>0</v>
      </c>
      <c r="DD352" s="211">
        <f t="shared" si="851"/>
        <v>24731.501799999998</v>
      </c>
      <c r="AUV352" s="699">
        <f t="shared" si="890"/>
        <v>15675.2</v>
      </c>
      <c r="AUW352" s="699">
        <f t="shared" si="891"/>
        <v>12039.32</v>
      </c>
      <c r="AUX352" s="699">
        <f t="shared" si="892"/>
        <v>3635.88</v>
      </c>
      <c r="AUY352" s="699">
        <f t="shared" si="912"/>
        <v>883</v>
      </c>
      <c r="AUZ352" s="699">
        <f t="shared" si="910"/>
        <v>18585</v>
      </c>
      <c r="AVA352" s="699">
        <f t="shared" si="910"/>
        <v>34.49</v>
      </c>
      <c r="AVB352" s="699">
        <f t="shared" si="913"/>
        <v>1905</v>
      </c>
      <c r="AVC352" s="699">
        <f t="shared" si="914"/>
        <v>52</v>
      </c>
      <c r="AVD352" s="699">
        <f t="shared" si="915"/>
        <v>1729</v>
      </c>
      <c r="AVE352" s="699">
        <f t="shared" si="916"/>
        <v>36</v>
      </c>
      <c r="AVF352" s="699">
        <f t="shared" si="917"/>
        <v>88</v>
      </c>
      <c r="AVG352" s="699">
        <f t="shared" si="918"/>
        <v>696.8</v>
      </c>
      <c r="AVH352" s="699">
        <f t="shared" si="919"/>
        <v>580</v>
      </c>
      <c r="AVI352" s="699">
        <f t="shared" si="920"/>
        <v>54</v>
      </c>
      <c r="AVJ352" s="699">
        <f t="shared" si="921"/>
        <v>77</v>
      </c>
      <c r="AVK352" s="699">
        <f t="shared" si="922"/>
        <v>8</v>
      </c>
      <c r="AVL352" s="699">
        <f t="shared" si="923"/>
        <v>105</v>
      </c>
      <c r="AVM352" s="699">
        <f t="shared" si="924"/>
        <v>3936.51</v>
      </c>
      <c r="AVN352" s="699">
        <f t="shared" si="925"/>
        <v>3023.43</v>
      </c>
      <c r="AVO352" s="699">
        <f t="shared" si="926"/>
        <v>913.08</v>
      </c>
      <c r="AVP352" s="699">
        <f t="shared" si="927"/>
        <v>0</v>
      </c>
      <c r="AVQ352" s="699">
        <f t="shared" si="928"/>
        <v>24731.5</v>
      </c>
    </row>
    <row r="353" spans="1:1265" s="712" customFormat="1" ht="30" customHeight="1" x14ac:dyDescent="0.25">
      <c r="A353" s="701">
        <v>1</v>
      </c>
      <c r="B353" s="701">
        <v>6</v>
      </c>
      <c r="C353" s="702" t="s">
        <v>250</v>
      </c>
      <c r="D353" s="2"/>
      <c r="E353" s="703" t="s">
        <v>345</v>
      </c>
      <c r="F353" s="713" t="s">
        <v>31</v>
      </c>
      <c r="G353" s="701">
        <v>1</v>
      </c>
      <c r="H353" s="704" t="s">
        <v>8</v>
      </c>
      <c r="I353" s="701">
        <v>3</v>
      </c>
      <c r="J353" s="703" t="s">
        <v>482</v>
      </c>
      <c r="K353" s="701">
        <v>1</v>
      </c>
      <c r="L353" s="705" t="s">
        <v>350</v>
      </c>
      <c r="M353" s="706"/>
      <c r="N353" s="703" t="s">
        <v>387</v>
      </c>
      <c r="O353" s="701">
        <v>1</v>
      </c>
      <c r="P353" s="702">
        <v>3</v>
      </c>
      <c r="Q353" s="702">
        <v>3</v>
      </c>
      <c r="R353" s="702">
        <v>3</v>
      </c>
      <c r="S353" s="675">
        <f>SUMIF('Территориальный кк'!$A:$A,'2020'!$B353,'Территориальный кк'!D:D)</f>
        <v>2.4420000000000002</v>
      </c>
      <c r="T353" s="676">
        <f>SUMIF('Территориальный кк'!$A:$A,'2020'!$B353,'Территориальный кк'!E:E)</f>
        <v>2.6</v>
      </c>
      <c r="U353" s="618">
        <f>SUMIFS(Нормативы!G:G,Нормативы!$B:$B,$G353,Нормативы!$D:$D,'2020'!$I353,Нормативы!$F:$F,'2020'!$K353)*O353</f>
        <v>5402</v>
      </c>
      <c r="V353" s="618">
        <f t="shared" ref="V353:V354" si="929">ROUND(U353/1.302,1)</f>
        <v>4149</v>
      </c>
      <c r="W353" s="618">
        <f t="shared" ref="W353:W354" si="930">U353-V353</f>
        <v>1253</v>
      </c>
      <c r="X353" s="618">
        <f>SUMIFS(Нормативы!J:J,Нормативы!$B:$B,$G353,Нормативы!$D:$D,'2020'!$I353,Нормативы!$F:$F,'2020'!$K353)</f>
        <v>22</v>
      </c>
      <c r="Y353" s="618">
        <f>SUMIFS(Нормативы!K:K,Нормативы!$B:$B,$G353,Нормативы!$D:$D,'2020'!$I353,Нормативы!$F:$F,'2020'!$K353)</f>
        <v>4</v>
      </c>
      <c r="Z353" s="618">
        <f>SUMIFS(Нормативы!L:L,Нормативы!$B:$B,$G353,Нормативы!$D:$D,'2020'!$I353,Нормативы!$F:$F,'2020'!$K353)</f>
        <v>232</v>
      </c>
      <c r="AA353" s="618">
        <f t="shared" ref="AA353:AA354" si="931">AB353+AC353+AD353+AE353</f>
        <v>371</v>
      </c>
      <c r="AB353" s="618">
        <f>SUMIFS(Нормативы!N:N,Нормативы!$B:$B,$G353,Нормативы!$D:$D,'2020'!$I353,Нормативы!$F:$F,'2020'!$K353)*O353</f>
        <v>52</v>
      </c>
      <c r="AC353" s="618">
        <f>SUMIFS(Нормативы!O:O,Нормативы!$B:$B,$G353,Нормативы!$D:$D,'2020'!$I353,Нормативы!$F:$F,'2020'!$K353)</f>
        <v>214</v>
      </c>
      <c r="AD353" s="618">
        <f>SUMIFS(Нормативы!P:P,Нормативы!$B:$B,$G353,Нормативы!$D:$D,'2020'!$I353,Нормативы!$F:$F,'2020'!$K353)*O353</f>
        <v>31</v>
      </c>
      <c r="AE353" s="618">
        <f>SUMIFS(Нормативы!Q:Q,Нормативы!$B:$B,$G353,Нормативы!$D:$D,'2020'!$I353,Нормативы!$F:$F,'2020'!$K353)</f>
        <v>74</v>
      </c>
      <c r="AF353" s="618">
        <f>SUMIFS(Нормативы!R:R,Нормативы!$B:$B,$G353,Нормативы!$D:$D,'2020'!$I353,Нормативы!$F:$F,'2020'!$K353)</f>
        <v>246</v>
      </c>
      <c r="AG353" s="618">
        <f>SUMIFS(Нормативы!S:S,Нормативы!$B:$B,$G353,Нормативы!$D:$D,'2020'!$I353,Нормативы!$F:$F,'2020'!$K353)</f>
        <v>508</v>
      </c>
      <c r="AH353" s="618">
        <f>SUMIFS(Нормативы!T:T,Нормативы!$B:$B,$G353,Нормативы!$D:$D,'2020'!$I353,Нормативы!$F:$F,'2020'!$K353)</f>
        <v>54</v>
      </c>
      <c r="AI353" s="618">
        <f>SUMIFS(Нормативы!U:U,Нормативы!$B:$B,$G353,Нормативы!$D:$D,'2020'!$I353,Нормативы!$F:$F,'2020'!$K353)</f>
        <v>77</v>
      </c>
      <c r="AJ353" s="618">
        <f>SUMIFS(Нормативы!V:V,Нормативы!$B:$B,$G353,Нормативы!$D:$D,'2020'!$I353,Нормативы!$F:$F,'2020'!$K353)</f>
        <v>8</v>
      </c>
      <c r="AK353" s="618">
        <f>SUMIFS(Нормативы!W:W,Нормативы!$B:$B,$G353,Нормативы!$D:$D,'2020'!$I353,Нормативы!$F:$F,'2020'!$K353)</f>
        <v>30</v>
      </c>
      <c r="AL353" s="618">
        <f>SUMIFS(Нормативы!X:X,Нормативы!$B:$B,$G353,Нормативы!$D:$D,'2020'!$I353,Нормативы!$F:$F,'2020'!$K353)*O353</f>
        <v>1344</v>
      </c>
      <c r="AM353" s="618">
        <f t="shared" ref="AM353:AM354" si="932">ROUND(AL353/1.302,1)</f>
        <v>1032.3</v>
      </c>
      <c r="AN353" s="618">
        <f t="shared" ref="AN353:AN354" si="933">AL353-AM353</f>
        <v>311.7</v>
      </c>
      <c r="AO353" s="618">
        <f>SUMIFS(Нормативы!AA:AA,Нормативы!$B:$B,$G353,Нормативы!$D:$D,'2020'!$I353,Нормативы!$F:$F,'2020'!$K353)</f>
        <v>0</v>
      </c>
      <c r="AP353" s="619">
        <f t="shared" ref="AP353:AP354" si="934">U353+X353+Z353+AA353++AF353+AG353+AH353+AI353+AJ353+AK353+AL353+AO353</f>
        <v>8294</v>
      </c>
      <c r="AQ353" s="413">
        <f t="shared" ref="AQ353" si="935">ROUND($P353*U353,0)</f>
        <v>16206</v>
      </c>
      <c r="AR353" s="618">
        <f t="shared" ref="AR353" si="936">ROUND(AQ353/1.302,1)</f>
        <v>12447</v>
      </c>
      <c r="AS353" s="618">
        <f t="shared" ref="AS353" si="937">AQ353-AR353</f>
        <v>3759</v>
      </c>
      <c r="AT353" s="616">
        <f t="shared" ref="AT353" si="938">ROUND($P353*X353,0)</f>
        <v>66</v>
      </c>
      <c r="AU353" s="616">
        <f t="shared" ref="AU353" si="939">ROUND($P353*Y353,0)</f>
        <v>12</v>
      </c>
      <c r="AV353" s="616">
        <f t="shared" ref="AV353" si="940">ROUND($P353*Z353,0)</f>
        <v>696</v>
      </c>
      <c r="AW353" s="616">
        <f t="shared" ref="AW353" si="941">ROUND($P353*AA353,0)</f>
        <v>1113</v>
      </c>
      <c r="AX353" s="616">
        <f t="shared" ref="AX353" si="942">ROUND($P353*AB353,0)</f>
        <v>156</v>
      </c>
      <c r="AY353" s="616">
        <f t="shared" ref="AY353" si="943">ROUND($P353*AC353,0)</f>
        <v>642</v>
      </c>
      <c r="AZ353" s="616">
        <f t="shared" ref="AZ353" si="944">ROUND($P353*AD353,0)</f>
        <v>93</v>
      </c>
      <c r="BA353" s="616">
        <f t="shared" ref="BA353" si="945">ROUND($P353*AE353,0)</f>
        <v>222</v>
      </c>
      <c r="BB353" s="616">
        <f t="shared" ref="BB353" si="946">ROUND($P353*AF353,0)</f>
        <v>738</v>
      </c>
      <c r="BC353" s="616">
        <f t="shared" ref="BC353" si="947">ROUND($P353*AG353,0)</f>
        <v>1524</v>
      </c>
      <c r="BD353" s="616">
        <f t="shared" ref="BD353" si="948">ROUND($P353*AH353,0)</f>
        <v>162</v>
      </c>
      <c r="BE353" s="616">
        <f t="shared" ref="BE353" si="949">ROUND($P353*AI353,0)</f>
        <v>231</v>
      </c>
      <c r="BF353" s="616">
        <f t="shared" ref="BF353" si="950">ROUND($P353*AJ353,0)</f>
        <v>24</v>
      </c>
      <c r="BG353" s="616">
        <f t="shared" ref="BG353" si="951">ROUND($P353*AK353,0)</f>
        <v>90</v>
      </c>
      <c r="BH353" s="616">
        <f t="shared" ref="BH353" si="952">ROUND($P353*AL353,0)</f>
        <v>4032</v>
      </c>
      <c r="BI353" s="618">
        <f t="shared" ref="BI353" si="953">ROUND(BH353/1.302,1)</f>
        <v>3096.8</v>
      </c>
      <c r="BJ353" s="618">
        <f t="shared" ref="BJ353" si="954">BH353-BI353</f>
        <v>935.2</v>
      </c>
      <c r="BK353" s="616">
        <f t="shared" ref="BK353" si="955">ROUND($P353*AO353,0)</f>
        <v>0</v>
      </c>
      <c r="BL353" s="620">
        <f t="shared" ref="BL353" si="956">AQ353+AT353+AV353+AW353++BB353+BC353+BD353+BE353+BF353+BG353+BH353+BK353</f>
        <v>24882</v>
      </c>
      <c r="BM353" s="616">
        <f t="shared" ref="BM353" si="957">ROUND(AQ353*S353,0)</f>
        <v>39575</v>
      </c>
      <c r="BN353" s="618">
        <f t="shared" ref="BN353" si="958">ROUND(BM353/1.302,1)</f>
        <v>30395.5</v>
      </c>
      <c r="BO353" s="618">
        <f t="shared" ref="BO353" si="959">BM353-BN353</f>
        <v>9179.5</v>
      </c>
      <c r="BP353" s="616">
        <f t="shared" ref="BP353" si="960">AT353</f>
        <v>66</v>
      </c>
      <c r="BQ353" s="616">
        <f t="shared" ref="BQ353" si="961">AU353</f>
        <v>12</v>
      </c>
      <c r="BR353" s="616">
        <f t="shared" ref="BR353" si="962">AV353</f>
        <v>696</v>
      </c>
      <c r="BS353" s="616">
        <f t="shared" ref="BS353" si="963">AW353</f>
        <v>1113</v>
      </c>
      <c r="BT353" s="616">
        <f t="shared" ref="BT353" si="964">AX353</f>
        <v>156</v>
      </c>
      <c r="BU353" s="616">
        <f t="shared" ref="BU353" si="965">AY353</f>
        <v>642</v>
      </c>
      <c r="BV353" s="616">
        <f t="shared" ref="BV353" si="966">AZ353</f>
        <v>93</v>
      </c>
      <c r="BW353" s="616">
        <f t="shared" ref="BW353" si="967">BA353</f>
        <v>222</v>
      </c>
      <c r="BX353" s="616">
        <f t="shared" ref="BX353" si="968">ROUND(BB353*T353,0)</f>
        <v>1919</v>
      </c>
      <c r="BY353" s="616">
        <f t="shared" ref="BY353" si="969">BC353</f>
        <v>1524</v>
      </c>
      <c r="BZ353" s="616">
        <f t="shared" ref="BZ353" si="970">BD353</f>
        <v>162</v>
      </c>
      <c r="CA353" s="616">
        <f t="shared" ref="CA353" si="971">BE353</f>
        <v>231</v>
      </c>
      <c r="CB353" s="616">
        <f t="shared" ref="CB353" si="972">BF353</f>
        <v>24</v>
      </c>
      <c r="CC353" s="616">
        <f t="shared" ref="CC353" si="973">BG353</f>
        <v>90</v>
      </c>
      <c r="CD353" s="616">
        <f t="shared" ref="CD353" si="974">ROUND(BH353*S353,0)</f>
        <v>9846</v>
      </c>
      <c r="CE353" s="618">
        <f t="shared" ref="CE353" si="975">ROUND(CD353/1.302,1)</f>
        <v>7562.2</v>
      </c>
      <c r="CF353" s="618">
        <f t="shared" ref="CF353" si="976">CD353-CE353</f>
        <v>2283.8000000000002</v>
      </c>
      <c r="CG353" s="616">
        <f t="shared" ref="CG353" si="977">BK353</f>
        <v>0</v>
      </c>
      <c r="CH353" s="621">
        <f t="shared" ref="CH353" si="978">BM353+BP353+BR353+BS353++BX353+BY353+BZ353+CA353+CB353+CC353+CD353+CG353</f>
        <v>55246</v>
      </c>
      <c r="CI353" s="88">
        <f t="shared" ref="CI353" si="979">ROUND(BM353/$P353,4)</f>
        <v>13191.6667</v>
      </c>
      <c r="CJ353" s="90">
        <f t="shared" ref="CJ353" si="980">ROUND(BN353/$P353,4)</f>
        <v>10131.8333</v>
      </c>
      <c r="CK353" s="90">
        <f t="shared" ref="CK353" si="981">ROUND(BO353/$P353,4)</f>
        <v>3059.8332999999998</v>
      </c>
      <c r="CL353" s="88">
        <f t="shared" ref="CL353" si="982">ROUND(BP353/$P353,4)</f>
        <v>22</v>
      </c>
      <c r="CM353" s="88">
        <f t="shared" ref="CM353" si="983">ROUND(BQ353/$P353,4)</f>
        <v>4</v>
      </c>
      <c r="CN353" s="88">
        <f t="shared" ref="CN353" si="984">ROUND(BR353/$P353,4)</f>
        <v>232</v>
      </c>
      <c r="CO353" s="88">
        <f t="shared" ref="CO353" si="985">ROUND(BS353/$P353,4)</f>
        <v>371</v>
      </c>
      <c r="CP353" s="88">
        <f t="shared" ref="CP353" si="986">ROUND(BT353/$P353,4)</f>
        <v>52</v>
      </c>
      <c r="CQ353" s="88">
        <f t="shared" ref="CQ353" si="987">ROUND(BU353/$P353,4)</f>
        <v>214</v>
      </c>
      <c r="CR353" s="88">
        <f t="shared" ref="CR353" si="988">ROUND(BV353/$P353,4)</f>
        <v>31</v>
      </c>
      <c r="CS353" s="88">
        <f t="shared" ref="CS353" si="989">ROUND(BW353/$P353,4)</f>
        <v>74</v>
      </c>
      <c r="CT353" s="88">
        <f t="shared" ref="CT353" si="990">ROUND(BX353/$P353,4)</f>
        <v>639.66669999999999</v>
      </c>
      <c r="CU353" s="88">
        <f t="shared" ref="CU353" si="991">ROUND(BY353/$P353,4)</f>
        <v>508</v>
      </c>
      <c r="CV353" s="88">
        <f t="shared" ref="CV353" si="992">ROUND(BZ353/$P353,4)</f>
        <v>54</v>
      </c>
      <c r="CW353" s="88">
        <f t="shared" ref="CW353" si="993">ROUND(CA353/$P353,4)</f>
        <v>77</v>
      </c>
      <c r="CX353" s="88">
        <f t="shared" ref="CX353" si="994">ROUND(CB353/$P353,4)</f>
        <v>8</v>
      </c>
      <c r="CY353" s="88">
        <f t="shared" ref="CY353" si="995">ROUND(CC353/$P353,4)</f>
        <v>30</v>
      </c>
      <c r="CZ353" s="88">
        <f t="shared" ref="CZ353" si="996">ROUND(CD353/$P353,4)</f>
        <v>3282</v>
      </c>
      <c r="DA353" s="90">
        <f t="shared" ref="DA353" si="997">ROUND(CE353/$P353,4)</f>
        <v>2520.7332999999999</v>
      </c>
      <c r="DB353" s="90">
        <f t="shared" ref="DB353" si="998">ROUND(CF353/$P353,4)</f>
        <v>761.26670000000001</v>
      </c>
      <c r="DC353" s="88">
        <f t="shared" ref="DC353" si="999">ROUND(CG353/$P353,4)</f>
        <v>0</v>
      </c>
      <c r="DD353" s="211">
        <f t="shared" ref="DD353" si="1000">ROUND(CH353/$P353,4)</f>
        <v>18415.333299999998</v>
      </c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  <c r="JB353" s="4"/>
      <c r="JC353" s="4"/>
      <c r="JD353" s="4"/>
      <c r="JE353" s="4"/>
      <c r="JF353" s="4"/>
      <c r="JG353" s="4"/>
      <c r="JH353" s="4"/>
      <c r="JI353" s="4"/>
      <c r="JJ353" s="4"/>
      <c r="JK353" s="4"/>
      <c r="JL353" s="4"/>
      <c r="JM353" s="4"/>
      <c r="JN353" s="4"/>
      <c r="JO353" s="4"/>
      <c r="JP353" s="4"/>
      <c r="JQ353" s="4"/>
      <c r="JR353" s="4"/>
      <c r="JS353" s="4"/>
      <c r="JT353" s="4"/>
      <c r="JU353" s="4"/>
      <c r="JV353" s="4"/>
      <c r="JW353" s="4"/>
      <c r="JX353" s="4"/>
      <c r="JY353" s="4"/>
      <c r="JZ353" s="4"/>
      <c r="KA353" s="4"/>
      <c r="KB353" s="4"/>
      <c r="KC353" s="4"/>
      <c r="KD353" s="4"/>
      <c r="KE353" s="4"/>
      <c r="KF353" s="4"/>
      <c r="KG353" s="4"/>
      <c r="KH353" s="4"/>
      <c r="KI353" s="4"/>
      <c r="KJ353" s="4"/>
      <c r="KK353" s="4"/>
      <c r="KL353" s="4"/>
      <c r="KM353" s="4"/>
      <c r="KN353" s="4"/>
      <c r="KO353" s="4"/>
      <c r="KP353" s="4"/>
      <c r="KQ353" s="4"/>
      <c r="KR353" s="4"/>
      <c r="KS353" s="4"/>
      <c r="KT353" s="4"/>
      <c r="KU353" s="4"/>
      <c r="KV353" s="4"/>
      <c r="KW353" s="4"/>
      <c r="KX353" s="4"/>
      <c r="KY353" s="4"/>
      <c r="KZ353" s="4"/>
      <c r="LA353" s="4"/>
      <c r="LB353" s="4"/>
      <c r="LC353" s="4"/>
      <c r="LD353" s="4"/>
      <c r="LE353" s="4"/>
      <c r="LF353" s="4"/>
      <c r="LG353" s="4"/>
      <c r="LH353" s="4"/>
      <c r="LI353" s="4"/>
      <c r="LJ353" s="4"/>
      <c r="LK353" s="4"/>
      <c r="LL353" s="4"/>
      <c r="LM353" s="4"/>
      <c r="LN353" s="4"/>
      <c r="LO353" s="4"/>
      <c r="LP353" s="4"/>
      <c r="LQ353" s="4"/>
      <c r="LR353" s="4"/>
      <c r="LS353" s="4"/>
      <c r="LT353" s="4"/>
      <c r="LU353" s="4"/>
      <c r="LV353" s="4"/>
      <c r="LW353" s="4"/>
      <c r="LX353" s="4"/>
      <c r="LY353" s="4"/>
      <c r="LZ353" s="4"/>
      <c r="MA353" s="4"/>
      <c r="MB353" s="4"/>
      <c r="MC353" s="4"/>
      <c r="MD353" s="4"/>
      <c r="ME353" s="4"/>
      <c r="MF353" s="4"/>
      <c r="MG353" s="4"/>
      <c r="MH353" s="4"/>
      <c r="MI353" s="4"/>
      <c r="MJ353" s="4"/>
      <c r="MK353" s="4"/>
      <c r="ML353" s="4"/>
      <c r="MM353" s="4"/>
      <c r="MN353" s="4"/>
      <c r="MO353" s="4"/>
      <c r="MP353" s="4"/>
      <c r="MQ353" s="4"/>
      <c r="MR353" s="4"/>
      <c r="MS353" s="4"/>
      <c r="MT353" s="4"/>
      <c r="MU353" s="4"/>
      <c r="MV353" s="4"/>
      <c r="MW353" s="4"/>
      <c r="MX353" s="4"/>
      <c r="MY353" s="4"/>
      <c r="MZ353" s="4"/>
      <c r="NA353" s="4"/>
      <c r="NB353" s="4"/>
      <c r="NC353" s="4"/>
      <c r="ND353" s="4"/>
      <c r="NE353" s="4"/>
      <c r="NF353" s="4"/>
      <c r="NG353" s="4"/>
      <c r="NH353" s="4"/>
      <c r="NI353" s="4"/>
      <c r="NJ353" s="4"/>
      <c r="NK353" s="4"/>
      <c r="NL353" s="4"/>
      <c r="NM353" s="4"/>
      <c r="NN353" s="4"/>
      <c r="NO353" s="4"/>
      <c r="NP353" s="4"/>
      <c r="NQ353" s="4"/>
      <c r="NR353" s="4"/>
      <c r="NS353" s="4"/>
      <c r="NT353" s="4"/>
      <c r="NU353" s="4"/>
      <c r="NV353" s="4"/>
      <c r="NW353" s="4"/>
      <c r="NX353" s="4"/>
      <c r="NY353" s="4"/>
      <c r="NZ353" s="4"/>
      <c r="OA353" s="4"/>
      <c r="OB353" s="4"/>
      <c r="OC353" s="4"/>
      <c r="OD353" s="4"/>
      <c r="OE353" s="4"/>
      <c r="OF353" s="4"/>
      <c r="OG353" s="4"/>
      <c r="OH353" s="4"/>
      <c r="OI353" s="4"/>
      <c r="OJ353" s="4"/>
      <c r="OK353" s="4"/>
      <c r="OL353" s="4"/>
      <c r="OM353" s="4"/>
      <c r="ON353" s="4"/>
      <c r="OO353" s="4"/>
      <c r="OP353" s="4"/>
      <c r="OQ353" s="4"/>
      <c r="OR353" s="4"/>
      <c r="OS353" s="4"/>
      <c r="OT353" s="4"/>
      <c r="OU353" s="4"/>
      <c r="OV353" s="4"/>
      <c r="OW353" s="4"/>
      <c r="OX353" s="4"/>
      <c r="OY353" s="4"/>
      <c r="OZ353" s="4"/>
      <c r="PA353" s="4"/>
      <c r="PB353" s="4"/>
      <c r="PC353" s="4"/>
      <c r="PD353" s="4"/>
      <c r="PE353" s="4"/>
      <c r="PF353" s="4"/>
      <c r="PG353" s="4"/>
      <c r="PH353" s="4"/>
      <c r="PI353" s="4"/>
      <c r="PJ353" s="4"/>
      <c r="PK353" s="4"/>
      <c r="PL353" s="4"/>
      <c r="PM353" s="4"/>
      <c r="PN353" s="4"/>
      <c r="PO353" s="4"/>
      <c r="PP353" s="4"/>
      <c r="PQ353" s="4"/>
      <c r="PR353" s="4"/>
      <c r="PS353" s="4"/>
      <c r="PT353" s="4"/>
      <c r="PU353" s="4"/>
      <c r="PV353" s="4"/>
      <c r="PW353" s="4"/>
      <c r="PX353" s="4"/>
      <c r="PY353" s="4"/>
      <c r="PZ353" s="4"/>
      <c r="QA353" s="4"/>
      <c r="QB353" s="4"/>
      <c r="QC353" s="4"/>
      <c r="QD353" s="4"/>
      <c r="QE353" s="4"/>
      <c r="QF353" s="4"/>
      <c r="QG353" s="4"/>
      <c r="QH353" s="4"/>
      <c r="QI353" s="4"/>
      <c r="QJ353" s="4"/>
      <c r="QK353" s="4"/>
      <c r="QL353" s="4"/>
      <c r="QM353" s="4"/>
      <c r="QN353" s="4"/>
      <c r="QO353" s="4"/>
      <c r="QP353" s="4"/>
      <c r="QQ353" s="4"/>
      <c r="QR353" s="4"/>
      <c r="QS353" s="4"/>
      <c r="QT353" s="4"/>
      <c r="QU353" s="4"/>
      <c r="QV353" s="4"/>
      <c r="QW353" s="4"/>
      <c r="QX353" s="4"/>
      <c r="QY353" s="4"/>
      <c r="QZ353" s="4"/>
      <c r="RA353" s="4"/>
      <c r="RB353" s="4"/>
      <c r="RC353" s="4"/>
      <c r="RD353" s="4"/>
      <c r="RE353" s="4"/>
      <c r="RF353" s="4"/>
      <c r="RG353" s="4"/>
      <c r="RH353" s="4"/>
      <c r="RI353" s="4"/>
      <c r="RJ353" s="4"/>
      <c r="RK353" s="4"/>
      <c r="RL353" s="4"/>
      <c r="RM353" s="4"/>
      <c r="RN353" s="4"/>
      <c r="RO353" s="4"/>
      <c r="RP353" s="4"/>
      <c r="RQ353" s="4"/>
      <c r="RR353" s="4"/>
      <c r="RS353" s="4"/>
      <c r="RT353" s="4"/>
      <c r="RU353" s="4"/>
      <c r="RV353" s="4"/>
      <c r="RW353" s="4"/>
      <c r="RX353" s="4"/>
      <c r="RY353" s="4"/>
      <c r="RZ353" s="4"/>
      <c r="SA353" s="4"/>
      <c r="SB353" s="4"/>
      <c r="SC353" s="4"/>
      <c r="SD353" s="4"/>
      <c r="SE353" s="4"/>
      <c r="SF353" s="4"/>
      <c r="SG353" s="4"/>
      <c r="SH353" s="4"/>
      <c r="SI353" s="4"/>
      <c r="SJ353" s="4"/>
      <c r="SK353" s="4"/>
      <c r="SL353" s="4"/>
      <c r="SM353" s="4"/>
      <c r="SN353" s="4"/>
      <c r="SO353" s="4"/>
      <c r="SP353" s="4"/>
      <c r="SQ353" s="4"/>
      <c r="SR353" s="4"/>
      <c r="SS353" s="4"/>
      <c r="ST353" s="4"/>
      <c r="SU353" s="4"/>
      <c r="SV353" s="4"/>
      <c r="SW353" s="4"/>
      <c r="SX353" s="4"/>
      <c r="SY353" s="4"/>
      <c r="SZ353" s="4"/>
      <c r="TA353" s="4"/>
      <c r="TB353" s="4"/>
      <c r="TC353" s="4"/>
      <c r="TD353" s="4"/>
      <c r="TE353" s="4"/>
      <c r="TF353" s="4"/>
      <c r="TG353" s="4"/>
      <c r="TH353" s="4"/>
      <c r="TI353" s="4"/>
      <c r="TJ353" s="4"/>
      <c r="TK353" s="4"/>
      <c r="TL353" s="4"/>
      <c r="TM353" s="4"/>
      <c r="TN353" s="4"/>
      <c r="TO353" s="4"/>
      <c r="TP353" s="4"/>
      <c r="TQ353" s="4"/>
      <c r="TR353" s="4"/>
      <c r="TS353" s="4"/>
      <c r="TT353" s="4"/>
      <c r="TU353" s="4"/>
      <c r="TV353" s="4"/>
      <c r="TW353" s="4"/>
      <c r="TX353" s="4"/>
      <c r="TY353" s="4"/>
      <c r="TZ353" s="4"/>
      <c r="UA353" s="4"/>
      <c r="UB353" s="4"/>
      <c r="UC353" s="4"/>
      <c r="UD353" s="4"/>
      <c r="UE353" s="4"/>
      <c r="UF353" s="4"/>
      <c r="UG353" s="4"/>
      <c r="UH353" s="4"/>
      <c r="UI353" s="4"/>
      <c r="UJ353" s="4"/>
      <c r="UK353" s="4"/>
      <c r="UL353" s="4"/>
      <c r="UM353" s="4"/>
      <c r="UN353" s="4"/>
      <c r="UO353" s="4"/>
      <c r="UP353" s="4"/>
      <c r="UQ353" s="4"/>
      <c r="UR353" s="4"/>
      <c r="US353" s="4"/>
      <c r="UT353" s="4"/>
      <c r="UU353" s="4"/>
      <c r="UV353" s="4"/>
      <c r="UW353" s="4"/>
      <c r="UX353" s="4"/>
      <c r="UY353" s="4"/>
      <c r="UZ353" s="4"/>
      <c r="VA353" s="4"/>
      <c r="VB353" s="4"/>
      <c r="VC353" s="4"/>
      <c r="VD353" s="4"/>
      <c r="VE353" s="4"/>
      <c r="VF353" s="4"/>
      <c r="VG353" s="4"/>
      <c r="VH353" s="4"/>
      <c r="VI353" s="4"/>
      <c r="VJ353" s="4"/>
      <c r="VK353" s="4"/>
      <c r="VL353" s="4"/>
      <c r="VM353" s="4"/>
      <c r="VN353" s="4"/>
      <c r="VO353" s="4"/>
      <c r="VP353" s="4"/>
      <c r="VQ353" s="4"/>
      <c r="VR353" s="4"/>
      <c r="VS353" s="4"/>
      <c r="VT353" s="4"/>
      <c r="VU353" s="4"/>
      <c r="VV353" s="4"/>
      <c r="VW353" s="4"/>
      <c r="VX353" s="4"/>
      <c r="VY353" s="4"/>
      <c r="VZ353" s="4"/>
      <c r="WA353" s="4"/>
      <c r="WB353" s="4"/>
      <c r="WC353" s="4"/>
      <c r="WD353" s="4"/>
      <c r="WE353" s="4"/>
      <c r="WF353" s="4"/>
      <c r="WG353" s="4"/>
      <c r="WH353" s="4"/>
      <c r="WI353" s="4"/>
      <c r="WJ353" s="4"/>
      <c r="WK353" s="4"/>
      <c r="WL353" s="4"/>
      <c r="WM353" s="4"/>
      <c r="WN353" s="4"/>
      <c r="WO353" s="4"/>
      <c r="WP353" s="4"/>
      <c r="WQ353" s="4"/>
      <c r="WR353" s="4"/>
      <c r="WS353" s="4"/>
      <c r="WT353" s="4"/>
      <c r="WU353" s="4"/>
      <c r="WV353" s="4"/>
      <c r="WW353" s="4"/>
      <c r="WX353" s="4"/>
      <c r="WY353" s="4"/>
      <c r="WZ353" s="4"/>
      <c r="XA353" s="4"/>
      <c r="XB353" s="4"/>
      <c r="XC353" s="4"/>
      <c r="XD353" s="4"/>
      <c r="XE353" s="4"/>
      <c r="XF353" s="4"/>
      <c r="XG353" s="4"/>
      <c r="XH353" s="4"/>
      <c r="XI353" s="4"/>
      <c r="XJ353" s="4"/>
      <c r="XK353" s="4"/>
      <c r="XL353" s="4"/>
      <c r="XM353" s="4"/>
      <c r="XN353" s="4"/>
      <c r="XO353" s="4"/>
      <c r="XP353" s="4"/>
      <c r="XQ353" s="4"/>
      <c r="XR353" s="4"/>
      <c r="XS353" s="4"/>
      <c r="XT353" s="4"/>
      <c r="XU353" s="4"/>
      <c r="XV353" s="4"/>
      <c r="XW353" s="4"/>
      <c r="XX353" s="4"/>
      <c r="XY353" s="4"/>
      <c r="XZ353" s="4"/>
      <c r="YA353" s="4"/>
      <c r="YB353" s="4"/>
      <c r="YC353" s="4"/>
      <c r="YD353" s="4"/>
      <c r="YE353" s="4"/>
      <c r="YF353" s="4"/>
      <c r="YG353" s="4"/>
      <c r="YH353" s="4"/>
      <c r="YI353" s="4"/>
      <c r="YJ353" s="4"/>
      <c r="YK353" s="4"/>
      <c r="YL353" s="4"/>
      <c r="YM353" s="4"/>
      <c r="YN353" s="4"/>
      <c r="YO353" s="4"/>
      <c r="YP353" s="4"/>
      <c r="YQ353" s="4"/>
      <c r="YR353" s="4"/>
      <c r="YS353" s="4"/>
      <c r="YT353" s="4"/>
      <c r="YU353" s="4"/>
      <c r="YV353" s="4"/>
      <c r="YW353" s="4"/>
      <c r="YX353" s="4"/>
      <c r="YY353" s="4"/>
      <c r="YZ353" s="4"/>
      <c r="ZA353" s="4"/>
      <c r="ZB353" s="4"/>
      <c r="ZC353" s="4"/>
      <c r="ZD353" s="4"/>
      <c r="ZE353" s="4"/>
      <c r="ZF353" s="4"/>
      <c r="ZG353" s="4"/>
      <c r="ZH353" s="4"/>
      <c r="ZI353" s="4"/>
      <c r="ZJ353" s="4"/>
      <c r="ZK353" s="4"/>
      <c r="ZL353" s="4"/>
      <c r="ZM353" s="4"/>
      <c r="ZN353" s="4"/>
      <c r="ZO353" s="4"/>
      <c r="ZP353" s="4"/>
      <c r="ZQ353" s="4"/>
      <c r="ZR353" s="4"/>
      <c r="ZS353" s="4"/>
      <c r="ZT353" s="4"/>
      <c r="ZU353" s="4"/>
      <c r="ZV353" s="4"/>
      <c r="ZW353" s="4"/>
      <c r="ZX353" s="4"/>
      <c r="ZY353" s="4"/>
      <c r="ZZ353" s="4"/>
      <c r="AAA353" s="4"/>
      <c r="AAB353" s="4"/>
      <c r="AAC353" s="4"/>
      <c r="AAD353" s="4"/>
      <c r="AAE353" s="4"/>
      <c r="AAF353" s="4"/>
      <c r="AAG353" s="4"/>
      <c r="AAH353" s="4"/>
      <c r="AAI353" s="4"/>
      <c r="AAJ353" s="4"/>
      <c r="AAK353" s="4"/>
      <c r="AAL353" s="4"/>
      <c r="AAM353" s="4"/>
      <c r="AAN353" s="4"/>
      <c r="AAO353" s="4"/>
      <c r="AAP353" s="4"/>
      <c r="AAQ353" s="4"/>
      <c r="AAR353" s="4"/>
      <c r="AAS353" s="4"/>
      <c r="AAT353" s="4"/>
      <c r="AAU353" s="4"/>
      <c r="AAV353" s="4"/>
      <c r="AAW353" s="4"/>
      <c r="AAX353" s="4"/>
      <c r="AAY353" s="4"/>
      <c r="AAZ353" s="4"/>
      <c r="ABA353" s="4"/>
      <c r="ABB353" s="4"/>
      <c r="ABC353" s="4"/>
      <c r="ABD353" s="4"/>
      <c r="ABE353" s="4"/>
      <c r="ABF353" s="4"/>
      <c r="ABG353" s="4"/>
      <c r="ABH353" s="4"/>
      <c r="ABI353" s="4"/>
      <c r="ABJ353" s="4"/>
      <c r="ABK353" s="4"/>
      <c r="ABL353" s="4"/>
      <c r="ABM353" s="4"/>
      <c r="ABN353" s="4"/>
      <c r="ABO353" s="4"/>
      <c r="ABP353" s="4"/>
      <c r="ABQ353" s="4"/>
      <c r="ABR353" s="4"/>
      <c r="ABS353" s="4"/>
      <c r="ABT353" s="4"/>
      <c r="ABU353" s="4"/>
      <c r="ABV353" s="4"/>
      <c r="ABW353" s="4"/>
      <c r="ABX353" s="4"/>
      <c r="ABY353" s="4"/>
      <c r="ABZ353" s="4"/>
      <c r="ACA353" s="4"/>
      <c r="ACB353" s="4"/>
      <c r="ACC353" s="4"/>
      <c r="ACD353" s="4"/>
      <c r="ACE353" s="4"/>
      <c r="ACF353" s="4"/>
      <c r="ACG353" s="4"/>
      <c r="ACH353" s="4"/>
      <c r="ACI353" s="4"/>
      <c r="ACJ353" s="4"/>
      <c r="ACK353" s="4"/>
      <c r="ACL353" s="4"/>
      <c r="ACM353" s="4"/>
      <c r="ACN353" s="4"/>
      <c r="ACO353" s="4"/>
      <c r="ACP353" s="4"/>
      <c r="ACQ353" s="4"/>
      <c r="ACR353" s="4"/>
      <c r="ACS353" s="4"/>
      <c r="ACT353" s="4"/>
      <c r="ACU353" s="4"/>
      <c r="ACV353" s="4"/>
      <c r="ACW353" s="4"/>
      <c r="ACX353" s="4"/>
      <c r="ACY353" s="4"/>
      <c r="ACZ353" s="4"/>
      <c r="ADA353" s="4"/>
      <c r="ADB353" s="4"/>
      <c r="ADC353" s="4"/>
      <c r="ADD353" s="4"/>
      <c r="ADE353" s="4"/>
      <c r="ADF353" s="4"/>
      <c r="ADG353" s="4"/>
      <c r="ADH353" s="4"/>
      <c r="ADI353" s="4"/>
      <c r="ADJ353" s="4"/>
      <c r="ADK353" s="4"/>
      <c r="ADL353" s="4"/>
      <c r="ADM353" s="4"/>
      <c r="ADN353" s="4"/>
      <c r="ADO353" s="4"/>
      <c r="ADP353" s="4"/>
      <c r="ADQ353" s="4"/>
      <c r="ADR353" s="4"/>
      <c r="ADS353" s="4"/>
      <c r="ADT353" s="4"/>
      <c r="ADU353" s="4"/>
      <c r="ADV353" s="4"/>
      <c r="ADW353" s="4"/>
      <c r="ADX353" s="4"/>
      <c r="ADY353" s="4"/>
      <c r="ADZ353" s="4"/>
      <c r="AEA353" s="4"/>
      <c r="AEB353" s="4"/>
      <c r="AEC353" s="4"/>
      <c r="AED353" s="4"/>
      <c r="AEE353" s="4"/>
      <c r="AEF353" s="4"/>
      <c r="AEG353" s="4"/>
      <c r="AEH353" s="4"/>
      <c r="AEI353" s="4"/>
      <c r="AEJ353" s="4"/>
      <c r="AEK353" s="4"/>
      <c r="AEL353" s="4"/>
      <c r="AEM353" s="4"/>
      <c r="AEN353" s="4"/>
      <c r="AEO353" s="4"/>
      <c r="AEP353" s="4"/>
      <c r="AEQ353" s="4"/>
      <c r="AER353" s="4"/>
      <c r="AES353" s="4"/>
      <c r="AET353" s="4"/>
      <c r="AEU353" s="4"/>
      <c r="AEV353" s="4"/>
      <c r="AEW353" s="4"/>
      <c r="AEX353" s="4"/>
      <c r="AEY353" s="4"/>
      <c r="AEZ353" s="4"/>
      <c r="AFA353" s="4"/>
      <c r="AFB353" s="4"/>
      <c r="AFC353" s="4"/>
      <c r="AFD353" s="4"/>
      <c r="AFE353" s="4"/>
      <c r="AFF353" s="4"/>
      <c r="AFG353" s="4"/>
      <c r="AFH353" s="4"/>
      <c r="AFI353" s="4"/>
      <c r="AFJ353" s="4"/>
      <c r="AFK353" s="4"/>
      <c r="AFL353" s="4"/>
      <c r="AFM353" s="4"/>
      <c r="AFN353" s="4"/>
      <c r="AFO353" s="4"/>
      <c r="AFP353" s="4"/>
      <c r="AFQ353" s="4"/>
      <c r="AFR353" s="4"/>
      <c r="AFS353" s="4"/>
      <c r="AFT353" s="4"/>
      <c r="AFU353" s="4"/>
      <c r="AFV353" s="4"/>
      <c r="AFW353" s="4"/>
      <c r="AFX353" s="4"/>
      <c r="AFY353" s="4"/>
      <c r="AFZ353" s="4"/>
      <c r="AGA353" s="4"/>
      <c r="AGB353" s="4"/>
      <c r="AGC353" s="4"/>
      <c r="AGD353" s="4"/>
      <c r="AGE353" s="4"/>
      <c r="AGF353" s="4"/>
      <c r="AGG353" s="4"/>
      <c r="AGH353" s="4"/>
      <c r="AGI353" s="4"/>
      <c r="AGJ353" s="4"/>
      <c r="AGK353" s="4"/>
      <c r="AGL353" s="4"/>
      <c r="AGM353" s="4"/>
      <c r="AGN353" s="4"/>
      <c r="AGO353" s="4"/>
      <c r="AGP353" s="4"/>
      <c r="AGQ353" s="4"/>
      <c r="AGR353" s="4"/>
      <c r="AGS353" s="4"/>
      <c r="AGT353" s="4"/>
      <c r="AGU353" s="4"/>
      <c r="AGV353" s="4"/>
      <c r="AGW353" s="4"/>
      <c r="AGX353" s="4"/>
      <c r="AGY353" s="4"/>
      <c r="AGZ353" s="4"/>
      <c r="AHA353" s="4"/>
      <c r="AHB353" s="4"/>
      <c r="AHC353" s="4"/>
      <c r="AHD353" s="4"/>
      <c r="AHE353" s="4"/>
      <c r="AHF353" s="4"/>
      <c r="AHG353" s="4"/>
      <c r="AHH353" s="4"/>
      <c r="AHI353" s="4"/>
      <c r="AHJ353" s="4"/>
      <c r="AHK353" s="4"/>
      <c r="AHL353" s="4"/>
      <c r="AHM353" s="4"/>
      <c r="AHN353" s="4"/>
      <c r="AHO353" s="4"/>
      <c r="AHP353" s="4"/>
      <c r="AHQ353" s="4"/>
      <c r="AHR353" s="4"/>
      <c r="AHS353" s="4"/>
      <c r="AHT353" s="4"/>
      <c r="AHU353" s="4"/>
      <c r="AHV353" s="4"/>
      <c r="AHW353" s="4"/>
      <c r="AHX353" s="4"/>
      <c r="AHY353" s="4"/>
      <c r="AHZ353" s="4"/>
      <c r="AIA353" s="4"/>
      <c r="AIB353" s="4"/>
      <c r="AIC353" s="4"/>
      <c r="AID353" s="4"/>
      <c r="AIE353" s="4"/>
      <c r="AIF353" s="4"/>
      <c r="AIG353" s="4"/>
      <c r="AIH353" s="4"/>
      <c r="AII353" s="4"/>
      <c r="AIJ353" s="4"/>
      <c r="AIK353" s="4"/>
      <c r="AIL353" s="4"/>
      <c r="AIM353" s="4"/>
      <c r="AIN353" s="4"/>
      <c r="AIO353" s="4"/>
      <c r="AIP353" s="4"/>
      <c r="AIQ353" s="4"/>
      <c r="AIR353" s="4"/>
      <c r="AIS353" s="4"/>
      <c r="AIT353" s="4"/>
      <c r="AIU353" s="4"/>
      <c r="AIV353" s="4"/>
      <c r="AIW353" s="4"/>
      <c r="AIX353" s="4"/>
      <c r="AIY353" s="4"/>
      <c r="AIZ353" s="4"/>
      <c r="AJA353" s="4"/>
      <c r="AJB353" s="4"/>
      <c r="AJC353" s="4"/>
      <c r="AJD353" s="4"/>
      <c r="AJE353" s="4"/>
      <c r="AJF353" s="4"/>
      <c r="AJG353" s="4"/>
      <c r="AJH353" s="4"/>
      <c r="AJI353" s="4"/>
      <c r="AJJ353" s="4"/>
      <c r="AJK353" s="4"/>
      <c r="AJL353" s="4"/>
      <c r="AJM353" s="4"/>
      <c r="AJN353" s="4"/>
      <c r="AJO353" s="4"/>
      <c r="AJP353" s="4"/>
      <c r="AJQ353" s="4"/>
      <c r="AJR353" s="4"/>
      <c r="AJS353" s="4"/>
      <c r="AJT353" s="4"/>
      <c r="AJU353" s="4"/>
      <c r="AJV353" s="4"/>
      <c r="AJW353" s="4"/>
      <c r="AJX353" s="4"/>
      <c r="AJY353" s="4"/>
      <c r="AJZ353" s="4"/>
      <c r="AKA353" s="4"/>
      <c r="AKB353" s="4"/>
      <c r="AKC353" s="4"/>
      <c r="AKD353" s="4"/>
      <c r="AKE353" s="4"/>
      <c r="AKF353" s="4"/>
      <c r="AKG353" s="4"/>
      <c r="AKH353" s="4"/>
      <c r="AKI353" s="4"/>
      <c r="AKJ353" s="4"/>
      <c r="AKK353" s="4"/>
      <c r="AKL353" s="4"/>
      <c r="AKM353" s="4"/>
      <c r="AKN353" s="4"/>
      <c r="AKO353" s="4"/>
      <c r="AKP353" s="4"/>
      <c r="AKQ353" s="4"/>
      <c r="AKR353" s="4"/>
      <c r="AKS353" s="4"/>
      <c r="AKT353" s="4"/>
      <c r="AKU353" s="4"/>
      <c r="AKV353" s="4"/>
      <c r="AKW353" s="4"/>
      <c r="AKX353" s="4"/>
      <c r="AKY353" s="4"/>
      <c r="AKZ353" s="4"/>
      <c r="ALA353" s="4"/>
      <c r="ALB353" s="4"/>
      <c r="ALC353" s="4"/>
      <c r="ALD353" s="4"/>
      <c r="ALE353" s="4"/>
      <c r="ALF353" s="4"/>
      <c r="ALG353" s="4"/>
      <c r="ALH353" s="4"/>
      <c r="ALI353" s="4"/>
      <c r="ALJ353" s="4"/>
      <c r="ALK353" s="4"/>
      <c r="ALL353" s="4"/>
      <c r="ALM353" s="4"/>
      <c r="ALN353" s="4"/>
      <c r="ALO353" s="4"/>
      <c r="ALP353" s="4"/>
      <c r="ALQ353" s="4"/>
      <c r="ALR353" s="4"/>
      <c r="ALS353" s="4"/>
      <c r="ALT353" s="4"/>
      <c r="ALU353" s="4"/>
      <c r="ALV353" s="4"/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  <c r="AMK353" s="4"/>
      <c r="AML353" s="4"/>
      <c r="AMM353" s="4"/>
      <c r="AMN353" s="4"/>
      <c r="AMO353" s="4"/>
      <c r="AMP353" s="4"/>
      <c r="AMQ353" s="4"/>
      <c r="AMR353" s="4"/>
      <c r="AMS353" s="4"/>
      <c r="AMT353" s="4"/>
      <c r="AMU353" s="4"/>
      <c r="AMV353" s="4"/>
      <c r="AMW353" s="4"/>
      <c r="AMX353" s="4"/>
      <c r="AMY353" s="4"/>
      <c r="AMZ353" s="4"/>
      <c r="ANA353" s="4"/>
      <c r="ANB353" s="4"/>
      <c r="ANC353" s="4"/>
      <c r="AND353" s="4"/>
      <c r="ANE353" s="4"/>
      <c r="ANF353" s="4"/>
      <c r="ANG353" s="4"/>
      <c r="ANH353" s="4"/>
      <c r="ANI353" s="4"/>
      <c r="ANJ353" s="4"/>
      <c r="ANK353" s="4"/>
      <c r="ANL353" s="4"/>
      <c r="ANM353" s="4"/>
      <c r="ANN353" s="4"/>
      <c r="ANO353" s="4"/>
      <c r="ANP353" s="4"/>
      <c r="ANQ353" s="4"/>
      <c r="ANR353" s="4"/>
      <c r="ANS353" s="4"/>
      <c r="ANT353" s="4"/>
      <c r="ANU353" s="4"/>
      <c r="ANV353" s="4"/>
      <c r="ANW353" s="4"/>
      <c r="ANX353" s="4"/>
      <c r="ANY353" s="4"/>
      <c r="ANZ353" s="4"/>
      <c r="AOA353" s="4"/>
      <c r="AOB353" s="4"/>
      <c r="AOC353" s="4"/>
      <c r="AOD353" s="4"/>
      <c r="AOE353" s="4"/>
      <c r="AOF353" s="4"/>
      <c r="AOG353" s="4"/>
      <c r="AOH353" s="4"/>
      <c r="AOI353" s="4"/>
      <c r="AOJ353" s="4"/>
      <c r="AOK353" s="4"/>
      <c r="AOL353" s="4"/>
      <c r="AOM353" s="4"/>
      <c r="AON353" s="4"/>
      <c r="AOO353" s="4"/>
      <c r="AOP353" s="4"/>
      <c r="AOQ353" s="4"/>
      <c r="AOR353" s="4"/>
      <c r="AOS353" s="4"/>
      <c r="AOT353" s="4"/>
      <c r="AOU353" s="4"/>
      <c r="AOV353" s="4"/>
      <c r="AOW353" s="4"/>
      <c r="AOX353" s="4"/>
      <c r="AOY353" s="4"/>
      <c r="AOZ353" s="4"/>
      <c r="APA353" s="4"/>
      <c r="APB353" s="4"/>
      <c r="APC353" s="4"/>
      <c r="APD353" s="4"/>
      <c r="APE353" s="4"/>
      <c r="APF353" s="4"/>
      <c r="APG353" s="4"/>
      <c r="APH353" s="4"/>
      <c r="API353" s="4"/>
      <c r="APJ353" s="4"/>
      <c r="APK353" s="4"/>
      <c r="APL353" s="4"/>
      <c r="APM353" s="4"/>
      <c r="APN353" s="4"/>
      <c r="APO353" s="4"/>
      <c r="APP353" s="4"/>
      <c r="APQ353" s="4"/>
      <c r="APR353" s="4"/>
      <c r="APS353" s="4"/>
      <c r="APT353" s="4"/>
      <c r="APU353" s="4"/>
      <c r="APV353" s="4"/>
      <c r="APW353" s="4"/>
      <c r="APX353" s="4"/>
      <c r="APY353" s="4"/>
      <c r="APZ353" s="4"/>
      <c r="AQA353" s="4"/>
      <c r="AQB353" s="4"/>
      <c r="AQC353" s="4"/>
      <c r="AQD353" s="4"/>
      <c r="AQE353" s="4"/>
      <c r="AQF353" s="4"/>
      <c r="AQG353" s="4"/>
      <c r="AQH353" s="4"/>
      <c r="AQI353" s="4"/>
      <c r="AQJ353" s="4"/>
      <c r="AQK353" s="4"/>
      <c r="AQL353" s="4"/>
      <c r="AQM353" s="4"/>
      <c r="AQN353" s="4"/>
      <c r="AQO353" s="4"/>
      <c r="AQP353" s="4"/>
      <c r="AQQ353" s="4"/>
      <c r="AQR353" s="4"/>
      <c r="AQS353" s="4"/>
      <c r="AQT353" s="4"/>
      <c r="AQU353" s="4"/>
      <c r="AQV353" s="4"/>
      <c r="AQW353" s="4"/>
      <c r="AQX353" s="4"/>
      <c r="AQY353" s="4"/>
      <c r="AQZ353" s="4"/>
      <c r="ARA353" s="4"/>
      <c r="ARB353" s="4"/>
      <c r="ARC353" s="4"/>
      <c r="ARD353" s="4"/>
      <c r="ARE353" s="4"/>
      <c r="ARF353" s="4"/>
      <c r="ARG353" s="4"/>
      <c r="ARH353" s="4"/>
      <c r="ARI353" s="4"/>
      <c r="ARJ353" s="4"/>
      <c r="ARK353" s="4"/>
      <c r="ARL353" s="4"/>
      <c r="ARM353" s="4"/>
      <c r="ARN353" s="4"/>
      <c r="ARO353" s="4"/>
      <c r="ARP353" s="4"/>
      <c r="ARQ353" s="4"/>
      <c r="ARR353" s="4"/>
      <c r="ARS353" s="4"/>
      <c r="ART353" s="4"/>
      <c r="ARU353" s="4"/>
      <c r="ARV353" s="4"/>
      <c r="ARW353" s="4"/>
      <c r="ARX353" s="4"/>
      <c r="ARY353" s="4"/>
      <c r="ARZ353" s="4"/>
      <c r="ASA353" s="4"/>
      <c r="ASB353" s="4"/>
      <c r="ASC353" s="4"/>
      <c r="ASD353" s="4"/>
      <c r="ASE353" s="4"/>
      <c r="ASF353" s="4"/>
      <c r="ASG353" s="4"/>
      <c r="ASH353" s="4"/>
      <c r="ASI353" s="4"/>
      <c r="ASJ353" s="4"/>
      <c r="ASK353" s="4"/>
      <c r="ASL353" s="4"/>
      <c r="ASM353" s="4"/>
      <c r="ASN353" s="4"/>
      <c r="ASO353" s="4"/>
      <c r="ASP353" s="4"/>
      <c r="ASQ353" s="4"/>
      <c r="ASR353" s="4"/>
      <c r="ASS353" s="4"/>
      <c r="AST353" s="4"/>
      <c r="ASU353" s="4"/>
      <c r="ASV353" s="4"/>
      <c r="ASW353" s="4"/>
      <c r="ASX353" s="4"/>
      <c r="ASY353" s="4"/>
      <c r="ASZ353" s="4"/>
      <c r="ATA353" s="4"/>
      <c r="ATB353" s="4"/>
      <c r="ATC353" s="4"/>
      <c r="ATD353" s="4"/>
      <c r="ATE353" s="4"/>
      <c r="ATF353" s="4"/>
      <c r="ATG353" s="4"/>
      <c r="ATH353" s="4"/>
      <c r="ATI353" s="4"/>
      <c r="ATJ353" s="4"/>
      <c r="ATK353" s="4"/>
      <c r="ATL353" s="4"/>
      <c r="ATM353" s="4"/>
      <c r="ATN353" s="4"/>
      <c r="ATO353" s="4"/>
      <c r="ATP353" s="4"/>
      <c r="ATQ353" s="4"/>
      <c r="ATR353" s="4"/>
      <c r="ATS353" s="4"/>
      <c r="ATT353" s="4"/>
      <c r="ATU353" s="4"/>
      <c r="ATV353" s="4"/>
      <c r="ATW353" s="4"/>
      <c r="ATX353" s="4"/>
      <c r="ATY353" s="4"/>
      <c r="ATZ353" s="4"/>
      <c r="AUA353" s="4"/>
      <c r="AUB353" s="4"/>
      <c r="AUC353" s="4"/>
      <c r="AUD353" s="4"/>
      <c r="AUE353" s="4"/>
      <c r="AUF353" s="4"/>
      <c r="AUG353" s="4"/>
      <c r="AUH353" s="4"/>
      <c r="AUI353" s="4"/>
      <c r="AUJ353" s="4"/>
      <c r="AUK353" s="4"/>
      <c r="AUL353" s="4"/>
      <c r="AUM353" s="4"/>
      <c r="AUN353" s="4"/>
      <c r="AUO353" s="4"/>
      <c r="AUP353" s="4"/>
      <c r="AUQ353" s="4"/>
      <c r="AUR353" s="4"/>
      <c r="AUS353" s="4"/>
      <c r="AUT353" s="4"/>
      <c r="AUU353" s="4"/>
      <c r="AUV353" s="699">
        <f t="shared" ref="AUV353" si="1001">BM353/P353</f>
        <v>13191.67</v>
      </c>
      <c r="AUW353" s="699">
        <f t="shared" ref="AUW353" si="1002">AUV353/1.302</f>
        <v>10131.85</v>
      </c>
      <c r="AUX353" s="699">
        <f t="shared" ref="AUX353" si="1003">AUV353-AUW353</f>
        <v>3059.82</v>
      </c>
      <c r="AUY353" s="699">
        <f t="shared" ref="AUY353" si="1004">BP353/P353</f>
        <v>22</v>
      </c>
      <c r="AUZ353" s="699">
        <f t="shared" ref="AUZ353" si="1005">BQ353/T353</f>
        <v>4.62</v>
      </c>
      <c r="AVA353" s="699">
        <f t="shared" ref="AVA353" si="1006">BR353/U353</f>
        <v>0.13</v>
      </c>
      <c r="AVB353" s="699">
        <f t="shared" ref="AVB353" si="1007">AVC353+AVD353+AVE353+AVF353</f>
        <v>371</v>
      </c>
      <c r="AVC353" s="699">
        <f t="shared" ref="AVC353" si="1008">BT353/P353</f>
        <v>52</v>
      </c>
      <c r="AVD353" s="699">
        <f t="shared" ref="AVD353" si="1009">BU353/P353</f>
        <v>214</v>
      </c>
      <c r="AVE353" s="699">
        <f t="shared" ref="AVE353" si="1010">BV353/P353</f>
        <v>31</v>
      </c>
      <c r="AVF353" s="699">
        <f t="shared" ref="AVF353" si="1011">BW353/P353</f>
        <v>74</v>
      </c>
      <c r="AVG353" s="699">
        <f t="shared" ref="AVG353" si="1012">BX353/P353</f>
        <v>639.66999999999996</v>
      </c>
      <c r="AVH353" s="699">
        <f t="shared" ref="AVH353" si="1013">BY353/P353</f>
        <v>508</v>
      </c>
      <c r="AVI353" s="699">
        <f t="shared" ref="AVI353" si="1014">BZ353/P353</f>
        <v>54</v>
      </c>
      <c r="AVJ353" s="699">
        <f t="shared" ref="AVJ353" si="1015">CA353/P353</f>
        <v>77</v>
      </c>
      <c r="AVK353" s="699">
        <f t="shared" ref="AVK353" si="1016">CB353/P353</f>
        <v>8</v>
      </c>
      <c r="AVL353" s="699">
        <f t="shared" ref="AVL353" si="1017">CC353/P353</f>
        <v>30</v>
      </c>
      <c r="AVM353" s="699">
        <f t="shared" ref="AVM353" si="1018">CD353/P353</f>
        <v>3282</v>
      </c>
      <c r="AVN353" s="699">
        <f t="shared" ref="AVN353" si="1019">AVM353/1.302</f>
        <v>2520.7399999999998</v>
      </c>
      <c r="AVO353" s="699">
        <f t="shared" ref="AVO353" si="1020">AVM353-AVN353</f>
        <v>761.26</v>
      </c>
      <c r="AVP353" s="699">
        <f t="shared" ref="AVP353" si="1021">CG353/P353</f>
        <v>0</v>
      </c>
      <c r="AVQ353" s="699">
        <f t="shared" ref="AVQ353" si="1022">CH353/P353</f>
        <v>18415.330000000002</v>
      </c>
    </row>
    <row r="354" spans="1:1265" s="608" customFormat="1" ht="30" customHeight="1" x14ac:dyDescent="0.25">
      <c r="A354" s="634">
        <v>1</v>
      </c>
      <c r="B354" s="634">
        <v>6</v>
      </c>
      <c r="C354" s="633" t="s">
        <v>250</v>
      </c>
      <c r="D354" s="2"/>
      <c r="E354" s="602" t="s">
        <v>345</v>
      </c>
      <c r="F354" s="634" t="s">
        <v>38</v>
      </c>
      <c r="G354" s="634">
        <v>2</v>
      </c>
      <c r="H354" s="656" t="s">
        <v>10</v>
      </c>
      <c r="I354" s="634">
        <v>0</v>
      </c>
      <c r="J354" s="602" t="s">
        <v>398</v>
      </c>
      <c r="K354" s="634">
        <v>1</v>
      </c>
      <c r="L354" s="681" t="s">
        <v>350</v>
      </c>
      <c r="M354" s="601"/>
      <c r="N354" s="602" t="s">
        <v>387</v>
      </c>
      <c r="O354" s="634">
        <v>1</v>
      </c>
      <c r="P354" s="695">
        <v>3</v>
      </c>
      <c r="Q354" s="633">
        <v>3</v>
      </c>
      <c r="R354" s="633">
        <v>3</v>
      </c>
      <c r="S354" s="671">
        <f>'Территориальный кк'!D9</f>
        <v>2.4420000000000002</v>
      </c>
      <c r="T354" s="672">
        <f>'Территориальный кк'!E9</f>
        <v>2.6</v>
      </c>
      <c r="U354" s="618">
        <f>SUMIFS(Нормативы!G:G,Нормативы!$B:$B,$G354,Нормативы!$D:$D,'2020'!$I354,Нормативы!$F:$F,'2020'!$K354)*O354</f>
        <v>59740</v>
      </c>
      <c r="V354" s="618">
        <f t="shared" si="929"/>
        <v>45883.3</v>
      </c>
      <c r="W354" s="618">
        <f t="shared" si="930"/>
        <v>13856.7</v>
      </c>
      <c r="X354" s="618">
        <f>SUMIFS(Нормативы!J:J,Нормативы!$B:$B,$G354,Нормативы!$D:$D,'2020'!$I354,Нормативы!$F:$F,'2020'!$K354)</f>
        <v>220</v>
      </c>
      <c r="Y354" s="618">
        <f>SUMIFS(Нормативы!K:K,Нормативы!$B:$B,$G354,Нормативы!$D:$D,'2020'!$I354,Нормативы!$F:$F,'2020'!$K354)</f>
        <v>44</v>
      </c>
      <c r="Z354" s="618">
        <f>SUMIFS(Нормативы!L:L,Нормативы!$B:$B,$G354,Нормативы!$D:$D,'2020'!$I354,Нормативы!$F:$F,'2020'!$K354)</f>
        <v>2320</v>
      </c>
      <c r="AA354" s="618">
        <f t="shared" si="931"/>
        <v>4350</v>
      </c>
      <c r="AB354" s="618">
        <f>SUMIFS(Нормативы!N:N,Нормативы!$B:$B,$G354,Нормативы!$D:$D,'2020'!$I354,Нормативы!$F:$F,'2020'!$K354)*O354</f>
        <v>520</v>
      </c>
      <c r="AC354" s="618">
        <f>SUMIFS(Нормативы!O:O,Нормативы!$B:$B,$G354,Нормативы!$D:$D,'2020'!$I354,Нормативы!$F:$F,'2020'!$K354)</f>
        <v>2670</v>
      </c>
      <c r="AD354" s="618">
        <f>SUMIFS(Нормативы!P:P,Нормативы!$B:$B,$G354,Нормативы!$D:$D,'2020'!$I354,Нормативы!$F:$F,'2020'!$K354)*O354</f>
        <v>340</v>
      </c>
      <c r="AE354" s="618">
        <f>SUMIFS(Нормативы!Q:Q,Нормативы!$B:$B,$G354,Нормативы!$D:$D,'2020'!$I354,Нормативы!$F:$F,'2020'!$K354)</f>
        <v>820</v>
      </c>
      <c r="AF354" s="618">
        <f>SUMIFS(Нормативы!R:R,Нормативы!$B:$B,$G354,Нормативы!$D:$D,'2020'!$I354,Нормативы!$F:$F,'2020'!$K354)</f>
        <v>2460</v>
      </c>
      <c r="AG354" s="618">
        <f>SUMIFS(Нормативы!S:S,Нормативы!$B:$B,$G354,Нормативы!$D:$D,'2020'!$I354,Нормативы!$F:$F,'2020'!$K354)</f>
        <v>5080</v>
      </c>
      <c r="AH354" s="618">
        <f>SUMIFS(Нормативы!T:T,Нормативы!$B:$B,$G354,Нормативы!$D:$D,'2020'!$I354,Нормативы!$F:$F,'2020'!$K354)</f>
        <v>540</v>
      </c>
      <c r="AI354" s="618">
        <f>SUMIFS(Нормативы!U:U,Нормативы!$B:$B,$G354,Нормативы!$D:$D,'2020'!$I354,Нормативы!$F:$F,'2020'!$K354)</f>
        <v>770</v>
      </c>
      <c r="AJ354" s="618">
        <f>SUMIFS(Нормативы!V:V,Нормативы!$B:$B,$G354,Нормативы!$D:$D,'2020'!$I354,Нормативы!$F:$F,'2020'!$K354)</f>
        <v>80</v>
      </c>
      <c r="AK354" s="618">
        <f>SUMIFS(Нормативы!W:W,Нормативы!$B:$B,$G354,Нормативы!$D:$D,'2020'!$I354,Нормативы!$F:$F,'2020'!$K354)</f>
        <v>120</v>
      </c>
      <c r="AL354" s="618">
        <f>SUMIFS(Нормативы!X:X,Нормативы!$B:$B,$G354,Нормативы!$D:$D,'2020'!$I354,Нормативы!$F:$F,'2020'!$K354)*O354</f>
        <v>13440</v>
      </c>
      <c r="AM354" s="618">
        <f t="shared" si="932"/>
        <v>10322.6</v>
      </c>
      <c r="AN354" s="618">
        <f t="shared" si="933"/>
        <v>3117.4</v>
      </c>
      <c r="AO354" s="618">
        <f>SUMIFS(Нормативы!AA:AA,Нормативы!$B:$B,$G354,Нормативы!$D:$D,'2020'!$I354,Нормативы!$F:$F,'2020'!$K354)</f>
        <v>3520</v>
      </c>
      <c r="AP354" s="619">
        <f t="shared" si="934"/>
        <v>92640</v>
      </c>
      <c r="AQ354" s="611">
        <f t="shared" si="795"/>
        <v>179220</v>
      </c>
      <c r="AR354" s="622">
        <f t="shared" si="858"/>
        <v>137649.79999999999</v>
      </c>
      <c r="AS354" s="622">
        <f t="shared" si="859"/>
        <v>41570.199999999997</v>
      </c>
      <c r="AT354" s="614">
        <f t="shared" si="796"/>
        <v>660</v>
      </c>
      <c r="AU354" s="614">
        <f t="shared" si="797"/>
        <v>132</v>
      </c>
      <c r="AV354" s="614">
        <f t="shared" si="798"/>
        <v>6960</v>
      </c>
      <c r="AW354" s="614">
        <f t="shared" si="799"/>
        <v>13050</v>
      </c>
      <c r="AX354" s="614">
        <f t="shared" si="800"/>
        <v>1560</v>
      </c>
      <c r="AY354" s="614">
        <f t="shared" si="801"/>
        <v>8010</v>
      </c>
      <c r="AZ354" s="614">
        <f t="shared" si="802"/>
        <v>1020</v>
      </c>
      <c r="BA354" s="614">
        <f t="shared" si="803"/>
        <v>2460</v>
      </c>
      <c r="BB354" s="614">
        <f t="shared" si="804"/>
        <v>7380</v>
      </c>
      <c r="BC354" s="614">
        <f t="shared" si="805"/>
        <v>15240</v>
      </c>
      <c r="BD354" s="614">
        <f t="shared" si="806"/>
        <v>1620</v>
      </c>
      <c r="BE354" s="614">
        <f t="shared" si="807"/>
        <v>2310</v>
      </c>
      <c r="BF354" s="614">
        <f t="shared" si="808"/>
        <v>240</v>
      </c>
      <c r="BG354" s="614">
        <f t="shared" si="809"/>
        <v>360</v>
      </c>
      <c r="BH354" s="614">
        <f t="shared" si="810"/>
        <v>40320</v>
      </c>
      <c r="BI354" s="622">
        <f t="shared" si="860"/>
        <v>30967.7</v>
      </c>
      <c r="BJ354" s="622">
        <f t="shared" si="861"/>
        <v>9352.2999999999993</v>
      </c>
      <c r="BK354" s="614">
        <f t="shared" si="811"/>
        <v>10560</v>
      </c>
      <c r="BL354" s="620">
        <f t="shared" si="812"/>
        <v>277920</v>
      </c>
      <c r="BM354" s="614">
        <f t="shared" si="813"/>
        <v>437655</v>
      </c>
      <c r="BN354" s="622">
        <f t="shared" si="814"/>
        <v>336140.6</v>
      </c>
      <c r="BO354" s="622">
        <f t="shared" si="815"/>
        <v>101514.4</v>
      </c>
      <c r="BP354" s="614">
        <f t="shared" si="862"/>
        <v>660</v>
      </c>
      <c r="BQ354" s="614">
        <f t="shared" si="863"/>
        <v>132</v>
      </c>
      <c r="BR354" s="614">
        <f t="shared" si="864"/>
        <v>6960</v>
      </c>
      <c r="BS354" s="614">
        <f t="shared" si="816"/>
        <v>13050</v>
      </c>
      <c r="BT354" s="614">
        <f t="shared" si="817"/>
        <v>1560</v>
      </c>
      <c r="BU354" s="614">
        <f t="shared" si="818"/>
        <v>8010</v>
      </c>
      <c r="BV354" s="614">
        <f t="shared" si="819"/>
        <v>1020</v>
      </c>
      <c r="BW354" s="614">
        <f t="shared" si="820"/>
        <v>2460</v>
      </c>
      <c r="BX354" s="614">
        <f t="shared" si="821"/>
        <v>19188</v>
      </c>
      <c r="BY354" s="614">
        <f t="shared" si="822"/>
        <v>15240</v>
      </c>
      <c r="BZ354" s="614">
        <f t="shared" si="823"/>
        <v>1620</v>
      </c>
      <c r="CA354" s="614">
        <f t="shared" si="824"/>
        <v>2310</v>
      </c>
      <c r="CB354" s="614">
        <f t="shared" si="825"/>
        <v>240</v>
      </c>
      <c r="CC354" s="614">
        <f t="shared" si="826"/>
        <v>360</v>
      </c>
      <c r="CD354" s="614">
        <f t="shared" si="827"/>
        <v>98461</v>
      </c>
      <c r="CE354" s="622">
        <f t="shared" si="865"/>
        <v>75622.899999999994</v>
      </c>
      <c r="CF354" s="622">
        <f t="shared" si="866"/>
        <v>22838.1</v>
      </c>
      <c r="CG354" s="614">
        <f t="shared" si="828"/>
        <v>10560</v>
      </c>
      <c r="CH354" s="621">
        <f t="shared" si="829"/>
        <v>606304</v>
      </c>
      <c r="CI354" s="607"/>
      <c r="CJ354" s="607"/>
      <c r="CK354" s="607"/>
      <c r="CL354" s="607"/>
      <c r="CM354" s="607"/>
      <c r="CN354" s="607"/>
      <c r="CO354" s="607"/>
      <c r="CP354" s="607"/>
      <c r="CQ354" s="607"/>
      <c r="CR354" s="607"/>
      <c r="CS354" s="607"/>
      <c r="CT354" s="607"/>
      <c r="CU354" s="607"/>
      <c r="CV354" s="607"/>
      <c r="CW354" s="607"/>
      <c r="CX354" s="607"/>
      <c r="CY354" s="607"/>
      <c r="CZ354" s="607"/>
      <c r="DA354" s="607"/>
      <c r="DB354" s="607"/>
      <c r="DC354" s="607"/>
      <c r="DD354" s="607"/>
      <c r="AUV354" s="699">
        <f t="shared" si="890"/>
        <v>145885</v>
      </c>
      <c r="AUW354" s="699">
        <f t="shared" si="891"/>
        <v>112046.85</v>
      </c>
      <c r="AUX354" s="699">
        <f t="shared" si="892"/>
        <v>33838.15</v>
      </c>
      <c r="AUY354" s="699">
        <f t="shared" si="912"/>
        <v>220</v>
      </c>
      <c r="AUZ354" s="699">
        <f t="shared" si="910"/>
        <v>50.77</v>
      </c>
      <c r="AVA354" s="699">
        <f t="shared" si="910"/>
        <v>0.12</v>
      </c>
      <c r="AVB354" s="699">
        <f t="shared" si="913"/>
        <v>4350</v>
      </c>
      <c r="AVC354" s="699">
        <f t="shared" si="914"/>
        <v>520</v>
      </c>
      <c r="AVD354" s="699">
        <f t="shared" si="915"/>
        <v>2670</v>
      </c>
      <c r="AVE354" s="699">
        <f t="shared" si="916"/>
        <v>340</v>
      </c>
      <c r="AVF354" s="699">
        <f t="shared" si="917"/>
        <v>820</v>
      </c>
      <c r="AVG354" s="699">
        <f t="shared" si="918"/>
        <v>6396</v>
      </c>
      <c r="AVH354" s="699">
        <f t="shared" si="919"/>
        <v>5080</v>
      </c>
      <c r="AVI354" s="699">
        <f t="shared" si="920"/>
        <v>540</v>
      </c>
      <c r="AVJ354" s="699">
        <f t="shared" si="921"/>
        <v>770</v>
      </c>
      <c r="AVK354" s="699">
        <f t="shared" si="922"/>
        <v>80</v>
      </c>
      <c r="AVL354" s="699">
        <f t="shared" si="923"/>
        <v>120</v>
      </c>
      <c r="AVM354" s="699">
        <f t="shared" si="924"/>
        <v>32820.33</v>
      </c>
      <c r="AVN354" s="699">
        <f t="shared" si="925"/>
        <v>25207.63</v>
      </c>
      <c r="AVO354" s="699">
        <f t="shared" si="926"/>
        <v>7612.7</v>
      </c>
      <c r="AVP354" s="699">
        <f t="shared" si="927"/>
        <v>3520</v>
      </c>
      <c r="AVQ354" s="699">
        <f t="shared" si="928"/>
        <v>202101.33</v>
      </c>
    </row>
    <row r="355" spans="1:1265" ht="30" customHeight="1" x14ac:dyDescent="0.25">
      <c r="A355" s="643">
        <v>1</v>
      </c>
      <c r="B355" s="643">
        <v>6</v>
      </c>
      <c r="C355" s="664" t="s">
        <v>250</v>
      </c>
      <c r="D355" s="2"/>
      <c r="E355" s="101" t="s">
        <v>345</v>
      </c>
      <c r="F355" s="643" t="s">
        <v>38</v>
      </c>
      <c r="G355" s="643">
        <v>2</v>
      </c>
      <c r="H355" s="658" t="s">
        <v>8</v>
      </c>
      <c r="I355" s="643">
        <v>3</v>
      </c>
      <c r="J355" s="101" t="s">
        <v>398</v>
      </c>
      <c r="K355" s="643">
        <v>1</v>
      </c>
      <c r="L355" s="683" t="s">
        <v>350</v>
      </c>
      <c r="M355" s="11" t="s">
        <v>337</v>
      </c>
      <c r="N355" s="101" t="s">
        <v>387</v>
      </c>
      <c r="O355" s="643">
        <v>1</v>
      </c>
      <c r="P355" s="632"/>
      <c r="Q355" s="632"/>
      <c r="R355" s="632"/>
      <c r="S355" s="675">
        <f>SUMIF('Территориальный кк'!$A:$A,'2020'!$B355,'Территориальный кк'!D:D)</f>
        <v>2.4420000000000002</v>
      </c>
      <c r="T355" s="676">
        <f>SUMIF('Территориальный кк'!$A:$A,'2020'!$B355,'Территориальный кк'!E:E)</f>
        <v>2.6</v>
      </c>
      <c r="U355" s="618">
        <f>SUMIFS(Нормативы!G:G,Нормативы!$B:$B,$G355,Нормативы!$D:$D,'2020'!$I355,Нормативы!$F:$F,'2020'!$K355)*O355</f>
        <v>5974</v>
      </c>
      <c r="V355" s="618">
        <f t="shared" si="852"/>
        <v>4588.3</v>
      </c>
      <c r="W355" s="618">
        <f t="shared" si="853"/>
        <v>1385.7</v>
      </c>
      <c r="X355" s="618">
        <f>SUMIFS(Нормативы!J:J,Нормативы!$B:$B,$G355,Нормативы!$D:$D,'2020'!$I355,Нормативы!$F:$F,'2020'!$K355)</f>
        <v>22</v>
      </c>
      <c r="Y355" s="618">
        <f>SUMIFS(Нормативы!K:K,Нормативы!$B:$B,$G355,Нормативы!$D:$D,'2020'!$I355,Нормативы!$F:$F,'2020'!$K355)</f>
        <v>4</v>
      </c>
      <c r="Z355" s="618">
        <f>SUMIFS(Нормативы!L:L,Нормативы!$B:$B,$G355,Нормативы!$D:$D,'2020'!$I355,Нормативы!$F:$F,'2020'!$K355)</f>
        <v>232</v>
      </c>
      <c r="AA355" s="618">
        <f t="shared" si="854"/>
        <v>435</v>
      </c>
      <c r="AB355" s="618">
        <f>SUMIFS(Нормативы!N:N,Нормативы!$B:$B,$G355,Нормативы!$D:$D,'2020'!$I355,Нормативы!$F:$F,'2020'!$K355)*O355</f>
        <v>52</v>
      </c>
      <c r="AC355" s="618">
        <f>SUMIFS(Нормативы!O:O,Нормативы!$B:$B,$G355,Нормативы!$D:$D,'2020'!$I355,Нормативы!$F:$F,'2020'!$K355)</f>
        <v>267</v>
      </c>
      <c r="AD355" s="618">
        <f>SUMIFS(Нормативы!P:P,Нормативы!$B:$B,$G355,Нормативы!$D:$D,'2020'!$I355,Нормативы!$F:$F,'2020'!$K355)*O355</f>
        <v>34</v>
      </c>
      <c r="AE355" s="618">
        <f>SUMIFS(Нормативы!Q:Q,Нормативы!$B:$B,$G355,Нормативы!$D:$D,'2020'!$I355,Нормативы!$F:$F,'2020'!$K355)</f>
        <v>82</v>
      </c>
      <c r="AF355" s="618">
        <f>SUMIFS(Нормативы!R:R,Нормативы!$B:$B,$G355,Нормативы!$D:$D,'2020'!$I355,Нормативы!$F:$F,'2020'!$K355)</f>
        <v>246</v>
      </c>
      <c r="AG355" s="618">
        <f>SUMIFS(Нормативы!S:S,Нормативы!$B:$B,$G355,Нормативы!$D:$D,'2020'!$I355,Нормативы!$F:$F,'2020'!$K355)</f>
        <v>508</v>
      </c>
      <c r="AH355" s="618">
        <f>SUMIFS(Нормативы!T:T,Нормативы!$B:$B,$G355,Нормативы!$D:$D,'2020'!$I355,Нормативы!$F:$F,'2020'!$K355)</f>
        <v>54</v>
      </c>
      <c r="AI355" s="618">
        <f>SUMIFS(Нормативы!U:U,Нормативы!$B:$B,$G355,Нормативы!$D:$D,'2020'!$I355,Нормативы!$F:$F,'2020'!$K355)</f>
        <v>77</v>
      </c>
      <c r="AJ355" s="618">
        <f>SUMIFS(Нормативы!V:V,Нормативы!$B:$B,$G355,Нормативы!$D:$D,'2020'!$I355,Нормативы!$F:$F,'2020'!$K355)</f>
        <v>8</v>
      </c>
      <c r="AK355" s="618">
        <f>SUMIFS(Нормативы!W:W,Нормативы!$B:$B,$G355,Нормативы!$D:$D,'2020'!$I355,Нормативы!$F:$F,'2020'!$K355)</f>
        <v>12</v>
      </c>
      <c r="AL355" s="618">
        <f>SUMIFS(Нормативы!X:X,Нормативы!$B:$B,$G355,Нормативы!$D:$D,'2020'!$I355,Нормативы!$F:$F,'2020'!$K355)*O355</f>
        <v>1344</v>
      </c>
      <c r="AM355" s="618">
        <f t="shared" si="855"/>
        <v>1032.3</v>
      </c>
      <c r="AN355" s="618">
        <f t="shared" si="856"/>
        <v>311.7</v>
      </c>
      <c r="AO355" s="618">
        <f>SUMIFS(Нормативы!AA:AA,Нормативы!$B:$B,$G355,Нормативы!$D:$D,'2020'!$I355,Нормативы!$F:$F,'2020'!$K355)</f>
        <v>0</v>
      </c>
      <c r="AP355" s="619">
        <f t="shared" si="857"/>
        <v>8912</v>
      </c>
      <c r="AQ355" s="413">
        <f t="shared" si="795"/>
        <v>0</v>
      </c>
      <c r="AR355" s="618">
        <f t="shared" si="858"/>
        <v>0</v>
      </c>
      <c r="AS355" s="618">
        <f t="shared" si="859"/>
        <v>0</v>
      </c>
      <c r="AT355" s="616">
        <f t="shared" si="796"/>
        <v>0</v>
      </c>
      <c r="AU355" s="616">
        <f t="shared" si="797"/>
        <v>0</v>
      </c>
      <c r="AV355" s="616">
        <f t="shared" si="798"/>
        <v>0</v>
      </c>
      <c r="AW355" s="616">
        <f t="shared" si="799"/>
        <v>0</v>
      </c>
      <c r="AX355" s="616">
        <f t="shared" si="800"/>
        <v>0</v>
      </c>
      <c r="AY355" s="616">
        <f t="shared" si="801"/>
        <v>0</v>
      </c>
      <c r="AZ355" s="616">
        <f t="shared" si="802"/>
        <v>0</v>
      </c>
      <c r="BA355" s="616">
        <f t="shared" si="803"/>
        <v>0</v>
      </c>
      <c r="BB355" s="616">
        <f t="shared" si="804"/>
        <v>0</v>
      </c>
      <c r="BC355" s="616">
        <f t="shared" si="805"/>
        <v>0</v>
      </c>
      <c r="BD355" s="616">
        <f t="shared" si="806"/>
        <v>0</v>
      </c>
      <c r="BE355" s="616">
        <f t="shared" si="807"/>
        <v>0</v>
      </c>
      <c r="BF355" s="616">
        <f t="shared" si="808"/>
        <v>0</v>
      </c>
      <c r="BG355" s="616">
        <f t="shared" si="809"/>
        <v>0</v>
      </c>
      <c r="BH355" s="616">
        <f t="shared" si="810"/>
        <v>0</v>
      </c>
      <c r="BI355" s="618">
        <f t="shared" si="860"/>
        <v>0</v>
      </c>
      <c r="BJ355" s="618">
        <f t="shared" si="861"/>
        <v>0</v>
      </c>
      <c r="BK355" s="616">
        <f t="shared" si="811"/>
        <v>0</v>
      </c>
      <c r="BL355" s="620">
        <f t="shared" si="812"/>
        <v>0</v>
      </c>
      <c r="BM355" s="616">
        <f t="shared" si="813"/>
        <v>0</v>
      </c>
      <c r="BN355" s="618">
        <f t="shared" si="814"/>
        <v>0</v>
      </c>
      <c r="BO355" s="618">
        <f t="shared" si="815"/>
        <v>0</v>
      </c>
      <c r="BP355" s="616">
        <f t="shared" si="862"/>
        <v>0</v>
      </c>
      <c r="BQ355" s="616">
        <f t="shared" si="863"/>
        <v>0</v>
      </c>
      <c r="BR355" s="616">
        <f t="shared" si="864"/>
        <v>0</v>
      </c>
      <c r="BS355" s="616">
        <f t="shared" si="816"/>
        <v>0</v>
      </c>
      <c r="BT355" s="616">
        <f t="shared" si="817"/>
        <v>0</v>
      </c>
      <c r="BU355" s="616">
        <f t="shared" si="818"/>
        <v>0</v>
      </c>
      <c r="BV355" s="616">
        <f t="shared" si="819"/>
        <v>0</v>
      </c>
      <c r="BW355" s="616">
        <f t="shared" si="820"/>
        <v>0</v>
      </c>
      <c r="BX355" s="616">
        <f t="shared" si="821"/>
        <v>0</v>
      </c>
      <c r="BY355" s="616">
        <f t="shared" si="822"/>
        <v>0</v>
      </c>
      <c r="BZ355" s="616">
        <f t="shared" si="823"/>
        <v>0</v>
      </c>
      <c r="CA355" s="616">
        <f t="shared" si="824"/>
        <v>0</v>
      </c>
      <c r="CB355" s="616">
        <f t="shared" si="825"/>
        <v>0</v>
      </c>
      <c r="CC355" s="616">
        <f t="shared" si="826"/>
        <v>0</v>
      </c>
      <c r="CD355" s="616">
        <f t="shared" si="827"/>
        <v>0</v>
      </c>
      <c r="CE355" s="618">
        <f t="shared" si="865"/>
        <v>0</v>
      </c>
      <c r="CF355" s="618">
        <f t="shared" si="866"/>
        <v>0</v>
      </c>
      <c r="CG355" s="616">
        <f t="shared" si="828"/>
        <v>0</v>
      </c>
      <c r="CH355" s="621">
        <f t="shared" si="829"/>
        <v>0</v>
      </c>
      <c r="CI355" s="88" t="e">
        <f t="shared" si="830"/>
        <v>#DIV/0!</v>
      </c>
      <c r="CJ355" s="90" t="e">
        <f t="shared" si="831"/>
        <v>#DIV/0!</v>
      </c>
      <c r="CK355" s="90" t="e">
        <f t="shared" si="832"/>
        <v>#DIV/0!</v>
      </c>
      <c r="CL355" s="88" t="e">
        <f t="shared" si="833"/>
        <v>#DIV/0!</v>
      </c>
      <c r="CM355" s="88" t="e">
        <f t="shared" si="834"/>
        <v>#DIV/0!</v>
      </c>
      <c r="CN355" s="88" t="e">
        <f t="shared" si="835"/>
        <v>#DIV/0!</v>
      </c>
      <c r="CO355" s="88" t="e">
        <f t="shared" si="836"/>
        <v>#DIV/0!</v>
      </c>
      <c r="CP355" s="88" t="e">
        <f t="shared" si="837"/>
        <v>#DIV/0!</v>
      </c>
      <c r="CQ355" s="88" t="e">
        <f t="shared" si="838"/>
        <v>#DIV/0!</v>
      </c>
      <c r="CR355" s="88" t="e">
        <f t="shared" si="839"/>
        <v>#DIV/0!</v>
      </c>
      <c r="CS355" s="88" t="e">
        <f t="shared" si="840"/>
        <v>#DIV/0!</v>
      </c>
      <c r="CT355" s="88" t="e">
        <f t="shared" si="841"/>
        <v>#DIV/0!</v>
      </c>
      <c r="CU355" s="88" t="e">
        <f t="shared" si="842"/>
        <v>#DIV/0!</v>
      </c>
      <c r="CV355" s="88" t="e">
        <f t="shared" si="843"/>
        <v>#DIV/0!</v>
      </c>
      <c r="CW355" s="88" t="e">
        <f t="shared" si="844"/>
        <v>#DIV/0!</v>
      </c>
      <c r="CX355" s="88" t="e">
        <f t="shared" si="845"/>
        <v>#DIV/0!</v>
      </c>
      <c r="CY355" s="88" t="e">
        <f t="shared" si="846"/>
        <v>#DIV/0!</v>
      </c>
      <c r="CZ355" s="88" t="e">
        <f t="shared" si="847"/>
        <v>#DIV/0!</v>
      </c>
      <c r="DA355" s="90" t="e">
        <f t="shared" si="848"/>
        <v>#DIV/0!</v>
      </c>
      <c r="DB355" s="90" t="e">
        <f t="shared" si="849"/>
        <v>#DIV/0!</v>
      </c>
      <c r="DC355" s="88" t="e">
        <f t="shared" si="850"/>
        <v>#DIV/0!</v>
      </c>
      <c r="DD355" s="211" t="e">
        <f t="shared" si="851"/>
        <v>#DIV/0!</v>
      </c>
      <c r="AUV355" s="699">
        <v>0</v>
      </c>
      <c r="AUW355" s="699">
        <f t="shared" si="891"/>
        <v>0</v>
      </c>
      <c r="AUX355" s="699">
        <f t="shared" si="892"/>
        <v>0</v>
      </c>
      <c r="AUY355" s="699">
        <f t="shared" si="910"/>
        <v>0</v>
      </c>
      <c r="AUZ355" s="699">
        <f t="shared" si="910"/>
        <v>0</v>
      </c>
      <c r="AVA355" s="699">
        <f t="shared" si="910"/>
        <v>0</v>
      </c>
      <c r="AVB355" s="699">
        <f t="shared" si="911"/>
        <v>0</v>
      </c>
      <c r="AVC355" s="697"/>
      <c r="AVD355" s="697"/>
      <c r="AVE355" s="697"/>
      <c r="AVF355" s="697"/>
      <c r="AVG355" s="697"/>
      <c r="AVH355" s="697"/>
      <c r="AVI355" s="697"/>
      <c r="AVJ355" s="697"/>
      <c r="AVK355" s="697"/>
      <c r="AVL355" s="697"/>
      <c r="AVM355" s="697"/>
      <c r="AVN355" s="697"/>
      <c r="AVO355" s="697"/>
      <c r="AVP355" s="697"/>
      <c r="AVQ355" s="697"/>
    </row>
    <row r="356" spans="1:1265" ht="30" customHeight="1" x14ac:dyDescent="0.25">
      <c r="A356" s="643">
        <v>1</v>
      </c>
      <c r="B356" s="643">
        <v>6</v>
      </c>
      <c r="C356" s="664" t="s">
        <v>250</v>
      </c>
      <c r="D356" s="2"/>
      <c r="E356" s="101" t="s">
        <v>345</v>
      </c>
      <c r="F356" s="643" t="s">
        <v>38</v>
      </c>
      <c r="G356" s="643">
        <v>2</v>
      </c>
      <c r="H356" s="658" t="s">
        <v>10</v>
      </c>
      <c r="I356" s="643">
        <v>0</v>
      </c>
      <c r="J356" s="101" t="s">
        <v>399</v>
      </c>
      <c r="K356" s="643">
        <v>1</v>
      </c>
      <c r="L356" s="683" t="s">
        <v>350</v>
      </c>
      <c r="M356" s="11" t="s">
        <v>338</v>
      </c>
      <c r="N356" s="101" t="s">
        <v>387</v>
      </c>
      <c r="O356" s="643">
        <v>1</v>
      </c>
      <c r="P356" s="695">
        <v>3</v>
      </c>
      <c r="Q356" s="632">
        <v>3</v>
      </c>
      <c r="R356" s="632">
        <v>3</v>
      </c>
      <c r="S356" s="675">
        <f>SUMIF('Территориальный кк'!$A:$A,'2020'!$B356,'Территориальный кк'!D:D)</f>
        <v>2.4420000000000002</v>
      </c>
      <c r="T356" s="676">
        <f>SUMIF('Территориальный кк'!$A:$A,'2020'!$B356,'Территориальный кк'!E:E)</f>
        <v>2.6</v>
      </c>
      <c r="U356" s="618">
        <f>SUMIFS(Нормативы!G:G,Нормативы!$B:$B,$G356,Нормативы!$D:$D,'2020'!$I356,Нормативы!$F:$F,'2020'!$K356)*O356</f>
        <v>59740</v>
      </c>
      <c r="V356" s="618">
        <f t="shared" si="852"/>
        <v>45883.3</v>
      </c>
      <c r="W356" s="618">
        <f t="shared" si="853"/>
        <v>13856.7</v>
      </c>
      <c r="X356" s="618">
        <f>SUMIFS(Нормативы!J:J,Нормативы!$B:$B,$G356,Нормативы!$D:$D,'2020'!$I356,Нормативы!$F:$F,'2020'!$K356)</f>
        <v>220</v>
      </c>
      <c r="Y356" s="618">
        <f>SUMIFS(Нормативы!K:K,Нормативы!$B:$B,$G356,Нормативы!$D:$D,'2020'!$I356,Нормативы!$F:$F,'2020'!$K356)</f>
        <v>44</v>
      </c>
      <c r="Z356" s="618">
        <f>SUMIFS(Нормативы!L:L,Нормативы!$B:$B,$G356,Нормативы!$D:$D,'2020'!$I356,Нормативы!$F:$F,'2020'!$K356)</f>
        <v>2320</v>
      </c>
      <c r="AA356" s="618">
        <f t="shared" si="854"/>
        <v>4350</v>
      </c>
      <c r="AB356" s="618">
        <f>SUMIFS(Нормативы!N:N,Нормативы!$B:$B,$G356,Нормативы!$D:$D,'2020'!$I356,Нормативы!$F:$F,'2020'!$K356)*O356</f>
        <v>520</v>
      </c>
      <c r="AC356" s="618">
        <f>SUMIFS(Нормативы!O:O,Нормативы!$B:$B,$G356,Нормативы!$D:$D,'2020'!$I356,Нормативы!$F:$F,'2020'!$K356)</f>
        <v>2670</v>
      </c>
      <c r="AD356" s="618">
        <f>SUMIFS(Нормативы!P:P,Нормативы!$B:$B,$G356,Нормативы!$D:$D,'2020'!$I356,Нормативы!$F:$F,'2020'!$K356)*O356</f>
        <v>340</v>
      </c>
      <c r="AE356" s="618">
        <f>SUMIFS(Нормативы!Q:Q,Нормативы!$B:$B,$G356,Нормативы!$D:$D,'2020'!$I356,Нормативы!$F:$F,'2020'!$K356)</f>
        <v>820</v>
      </c>
      <c r="AF356" s="618">
        <f>SUMIFS(Нормативы!R:R,Нормативы!$B:$B,$G356,Нормативы!$D:$D,'2020'!$I356,Нормативы!$F:$F,'2020'!$K356)</f>
        <v>2460</v>
      </c>
      <c r="AG356" s="618">
        <f>SUMIFS(Нормативы!S:S,Нормативы!$B:$B,$G356,Нормативы!$D:$D,'2020'!$I356,Нормативы!$F:$F,'2020'!$K356)</f>
        <v>5080</v>
      </c>
      <c r="AH356" s="618">
        <f>SUMIFS(Нормативы!T:T,Нормативы!$B:$B,$G356,Нормативы!$D:$D,'2020'!$I356,Нормативы!$F:$F,'2020'!$K356)</f>
        <v>540</v>
      </c>
      <c r="AI356" s="618">
        <f>SUMIFS(Нормативы!U:U,Нормативы!$B:$B,$G356,Нормативы!$D:$D,'2020'!$I356,Нормативы!$F:$F,'2020'!$K356)</f>
        <v>770</v>
      </c>
      <c r="AJ356" s="618">
        <f>SUMIFS(Нормативы!V:V,Нормативы!$B:$B,$G356,Нормативы!$D:$D,'2020'!$I356,Нормативы!$F:$F,'2020'!$K356)</f>
        <v>80</v>
      </c>
      <c r="AK356" s="618">
        <f>SUMIFS(Нормативы!W:W,Нормативы!$B:$B,$G356,Нормативы!$D:$D,'2020'!$I356,Нормативы!$F:$F,'2020'!$K356)</f>
        <v>120</v>
      </c>
      <c r="AL356" s="618">
        <f>SUMIFS(Нормативы!X:X,Нормативы!$B:$B,$G356,Нормативы!$D:$D,'2020'!$I356,Нормативы!$F:$F,'2020'!$K356)*O356</f>
        <v>13440</v>
      </c>
      <c r="AM356" s="618">
        <f t="shared" si="855"/>
        <v>10322.6</v>
      </c>
      <c r="AN356" s="618">
        <f t="shared" si="856"/>
        <v>3117.4</v>
      </c>
      <c r="AO356" s="618">
        <f>SUMIFS(Нормативы!AA:AA,Нормативы!$B:$B,$G356,Нормативы!$D:$D,'2020'!$I356,Нормативы!$F:$F,'2020'!$K356)</f>
        <v>3520</v>
      </c>
      <c r="AP356" s="619">
        <f t="shared" si="857"/>
        <v>92640</v>
      </c>
      <c r="AQ356" s="413">
        <f t="shared" si="795"/>
        <v>179220</v>
      </c>
      <c r="AR356" s="618">
        <f t="shared" si="858"/>
        <v>137649.79999999999</v>
      </c>
      <c r="AS356" s="618">
        <f t="shared" si="859"/>
        <v>41570.199999999997</v>
      </c>
      <c r="AT356" s="616">
        <f t="shared" si="796"/>
        <v>660</v>
      </c>
      <c r="AU356" s="616">
        <f t="shared" si="797"/>
        <v>132</v>
      </c>
      <c r="AV356" s="616">
        <f t="shared" si="798"/>
        <v>6960</v>
      </c>
      <c r="AW356" s="616">
        <f t="shared" si="799"/>
        <v>13050</v>
      </c>
      <c r="AX356" s="616">
        <f t="shared" si="800"/>
        <v>1560</v>
      </c>
      <c r="AY356" s="616">
        <f t="shared" si="801"/>
        <v>8010</v>
      </c>
      <c r="AZ356" s="616">
        <f t="shared" si="802"/>
        <v>1020</v>
      </c>
      <c r="BA356" s="616">
        <f t="shared" si="803"/>
        <v>2460</v>
      </c>
      <c r="BB356" s="616">
        <f t="shared" si="804"/>
        <v>7380</v>
      </c>
      <c r="BC356" s="616">
        <f t="shared" si="805"/>
        <v>15240</v>
      </c>
      <c r="BD356" s="616">
        <f t="shared" si="806"/>
        <v>1620</v>
      </c>
      <c r="BE356" s="616">
        <f t="shared" si="807"/>
        <v>2310</v>
      </c>
      <c r="BF356" s="616">
        <f t="shared" si="808"/>
        <v>240</v>
      </c>
      <c r="BG356" s="616">
        <f t="shared" si="809"/>
        <v>360</v>
      </c>
      <c r="BH356" s="616">
        <f t="shared" si="810"/>
        <v>40320</v>
      </c>
      <c r="BI356" s="618">
        <f t="shared" si="860"/>
        <v>30967.7</v>
      </c>
      <c r="BJ356" s="618">
        <f t="shared" si="861"/>
        <v>9352.2999999999993</v>
      </c>
      <c r="BK356" s="616">
        <f t="shared" si="811"/>
        <v>10560</v>
      </c>
      <c r="BL356" s="620">
        <f t="shared" si="812"/>
        <v>277920</v>
      </c>
      <c r="BM356" s="616">
        <f t="shared" si="813"/>
        <v>437655</v>
      </c>
      <c r="BN356" s="618">
        <f t="shared" si="814"/>
        <v>336140.6</v>
      </c>
      <c r="BO356" s="618">
        <f t="shared" si="815"/>
        <v>101514.4</v>
      </c>
      <c r="BP356" s="616">
        <f t="shared" si="862"/>
        <v>660</v>
      </c>
      <c r="BQ356" s="616">
        <f t="shared" si="863"/>
        <v>132</v>
      </c>
      <c r="BR356" s="616">
        <f t="shared" si="864"/>
        <v>6960</v>
      </c>
      <c r="BS356" s="616">
        <f t="shared" si="816"/>
        <v>13050</v>
      </c>
      <c r="BT356" s="616">
        <f t="shared" si="817"/>
        <v>1560</v>
      </c>
      <c r="BU356" s="616">
        <f t="shared" si="818"/>
        <v>8010</v>
      </c>
      <c r="BV356" s="616">
        <f t="shared" si="819"/>
        <v>1020</v>
      </c>
      <c r="BW356" s="616">
        <f t="shared" si="820"/>
        <v>2460</v>
      </c>
      <c r="BX356" s="616">
        <f t="shared" si="821"/>
        <v>19188</v>
      </c>
      <c r="BY356" s="616">
        <f t="shared" si="822"/>
        <v>15240</v>
      </c>
      <c r="BZ356" s="616">
        <f t="shared" si="823"/>
        <v>1620</v>
      </c>
      <c r="CA356" s="616">
        <f t="shared" si="824"/>
        <v>2310</v>
      </c>
      <c r="CB356" s="616">
        <f t="shared" si="825"/>
        <v>240</v>
      </c>
      <c r="CC356" s="616">
        <f t="shared" si="826"/>
        <v>360</v>
      </c>
      <c r="CD356" s="616">
        <f t="shared" si="827"/>
        <v>98461</v>
      </c>
      <c r="CE356" s="618">
        <f t="shared" si="865"/>
        <v>75622.899999999994</v>
      </c>
      <c r="CF356" s="618">
        <f t="shared" si="866"/>
        <v>22838.1</v>
      </c>
      <c r="CG356" s="616">
        <f t="shared" si="828"/>
        <v>10560</v>
      </c>
      <c r="CH356" s="621">
        <f t="shared" si="829"/>
        <v>606304</v>
      </c>
      <c r="CI356" s="88">
        <f t="shared" si="830"/>
        <v>145885</v>
      </c>
      <c r="CJ356" s="90">
        <f t="shared" si="831"/>
        <v>112046.8667</v>
      </c>
      <c r="CK356" s="90">
        <f t="shared" si="832"/>
        <v>33838.133300000001</v>
      </c>
      <c r="CL356" s="88">
        <f t="shared" si="833"/>
        <v>220</v>
      </c>
      <c r="CM356" s="88">
        <f t="shared" si="834"/>
        <v>44</v>
      </c>
      <c r="CN356" s="88">
        <f t="shared" si="835"/>
        <v>2320</v>
      </c>
      <c r="CO356" s="88">
        <f t="shared" si="836"/>
        <v>4350</v>
      </c>
      <c r="CP356" s="88">
        <f t="shared" si="837"/>
        <v>520</v>
      </c>
      <c r="CQ356" s="88">
        <f t="shared" si="838"/>
        <v>2670</v>
      </c>
      <c r="CR356" s="88">
        <f t="shared" si="839"/>
        <v>340</v>
      </c>
      <c r="CS356" s="88">
        <f t="shared" si="840"/>
        <v>820</v>
      </c>
      <c r="CT356" s="88">
        <f t="shared" si="841"/>
        <v>6396</v>
      </c>
      <c r="CU356" s="88">
        <f t="shared" si="842"/>
        <v>5080</v>
      </c>
      <c r="CV356" s="88">
        <f t="shared" si="843"/>
        <v>540</v>
      </c>
      <c r="CW356" s="88">
        <f t="shared" si="844"/>
        <v>770</v>
      </c>
      <c r="CX356" s="88">
        <f t="shared" si="845"/>
        <v>80</v>
      </c>
      <c r="CY356" s="88">
        <f t="shared" si="846"/>
        <v>120</v>
      </c>
      <c r="CZ356" s="88">
        <f t="shared" si="847"/>
        <v>32820.333299999998</v>
      </c>
      <c r="DA356" s="90">
        <f t="shared" si="848"/>
        <v>25207.633300000001</v>
      </c>
      <c r="DB356" s="90">
        <f t="shared" si="849"/>
        <v>7612.7</v>
      </c>
      <c r="DC356" s="88">
        <f t="shared" si="850"/>
        <v>3520</v>
      </c>
      <c r="DD356" s="211">
        <f t="shared" si="851"/>
        <v>202101.3333</v>
      </c>
      <c r="AUV356" s="699">
        <f t="shared" si="890"/>
        <v>145885</v>
      </c>
      <c r="AUW356" s="699">
        <f t="shared" si="891"/>
        <v>112046.85</v>
      </c>
      <c r="AUX356" s="699">
        <f t="shared" si="892"/>
        <v>33838.15</v>
      </c>
      <c r="AUY356" s="699">
        <f t="shared" ref="AUY356:AUY368" si="1023">BP356/P356</f>
        <v>220</v>
      </c>
      <c r="AUZ356" s="699">
        <f t="shared" si="910"/>
        <v>50.77</v>
      </c>
      <c r="AVA356" s="699">
        <f t="shared" si="910"/>
        <v>0.12</v>
      </c>
      <c r="AVB356" s="699">
        <f t="shared" ref="AVB356:AVB368" si="1024">AVC356+AVD356+AVE356+AVF356</f>
        <v>4350</v>
      </c>
      <c r="AVC356" s="699">
        <f t="shared" ref="AVC356:AVC368" si="1025">BT356/P356</f>
        <v>520</v>
      </c>
      <c r="AVD356" s="699">
        <f t="shared" ref="AVD356:AVD368" si="1026">BU356/P356</f>
        <v>2670</v>
      </c>
      <c r="AVE356" s="699">
        <f t="shared" ref="AVE356:AVE368" si="1027">BV356/P356</f>
        <v>340</v>
      </c>
      <c r="AVF356" s="699">
        <f t="shared" ref="AVF356:AVF368" si="1028">BW356/P356</f>
        <v>820</v>
      </c>
      <c r="AVG356" s="699">
        <f t="shared" ref="AVG356:AVG368" si="1029">BX356/P356</f>
        <v>6396</v>
      </c>
      <c r="AVH356" s="699">
        <f t="shared" ref="AVH356:AVH368" si="1030">BY356/P356</f>
        <v>5080</v>
      </c>
      <c r="AVI356" s="699">
        <f t="shared" ref="AVI356:AVI368" si="1031">BZ356/P356</f>
        <v>540</v>
      </c>
      <c r="AVJ356" s="699">
        <f t="shared" ref="AVJ356:AVJ368" si="1032">CA356/P356</f>
        <v>770</v>
      </c>
      <c r="AVK356" s="699">
        <f t="shared" ref="AVK356:AVK368" si="1033">CB356/P356</f>
        <v>80</v>
      </c>
      <c r="AVL356" s="699">
        <f t="shared" ref="AVL356:AVL368" si="1034">CC356/P356</f>
        <v>120</v>
      </c>
      <c r="AVM356" s="699">
        <f t="shared" ref="AVM356:AVM368" si="1035">CD356/P356</f>
        <v>32820.33</v>
      </c>
      <c r="AVN356" s="699">
        <f t="shared" ref="AVN356:AVN368" si="1036">AVM356/1.302</f>
        <v>25207.63</v>
      </c>
      <c r="AVO356" s="699">
        <f t="shared" ref="AVO356:AVO368" si="1037">AVM356-AVN356</f>
        <v>7612.7</v>
      </c>
      <c r="AVP356" s="699">
        <f t="shared" ref="AVP356:AVP368" si="1038">CG356/P356</f>
        <v>3520</v>
      </c>
      <c r="AVQ356" s="699">
        <f t="shared" ref="AVQ356:AVQ368" si="1039">CH356/P356</f>
        <v>202101.33</v>
      </c>
    </row>
    <row r="357" spans="1:1265" ht="30" customHeight="1" x14ac:dyDescent="0.25">
      <c r="A357" s="643">
        <v>1</v>
      </c>
      <c r="B357" s="643">
        <v>6</v>
      </c>
      <c r="C357" s="664" t="s">
        <v>250</v>
      </c>
      <c r="D357" s="2"/>
      <c r="E357" s="101" t="s">
        <v>345</v>
      </c>
      <c r="F357" s="643" t="s">
        <v>38</v>
      </c>
      <c r="G357" s="643">
        <v>2</v>
      </c>
      <c r="H357" s="658" t="s">
        <v>10</v>
      </c>
      <c r="I357" s="643">
        <v>0</v>
      </c>
      <c r="J357" s="101" t="s">
        <v>400</v>
      </c>
      <c r="K357" s="643">
        <v>1</v>
      </c>
      <c r="L357" s="683" t="s">
        <v>350</v>
      </c>
      <c r="M357" s="11" t="s">
        <v>339</v>
      </c>
      <c r="N357" s="101" t="s">
        <v>387</v>
      </c>
      <c r="O357" s="643">
        <v>1</v>
      </c>
      <c r="P357" s="695">
        <v>10</v>
      </c>
      <c r="Q357" s="632">
        <v>10</v>
      </c>
      <c r="R357" s="632">
        <v>10</v>
      </c>
      <c r="S357" s="675">
        <f>SUMIF('Территориальный кк'!$A:$A,'2020'!$B357,'Территориальный кк'!D:D)</f>
        <v>2.4420000000000002</v>
      </c>
      <c r="T357" s="676">
        <f>SUMIF('Территориальный кк'!$A:$A,'2020'!$B357,'Территориальный кк'!E:E)</f>
        <v>2.6</v>
      </c>
      <c r="U357" s="618">
        <f>SUMIFS(Нормативы!G:G,Нормативы!$B:$B,$G357,Нормативы!$D:$D,'2020'!$I357,Нормативы!$F:$F,'2020'!$K357)*O357</f>
        <v>59740</v>
      </c>
      <c r="V357" s="618">
        <f t="shared" si="852"/>
        <v>45883.3</v>
      </c>
      <c r="W357" s="618">
        <f t="shared" si="853"/>
        <v>13856.7</v>
      </c>
      <c r="X357" s="618">
        <f>SUMIFS(Нормативы!J:J,Нормативы!$B:$B,$G357,Нормативы!$D:$D,'2020'!$I357,Нормативы!$F:$F,'2020'!$K357)</f>
        <v>220</v>
      </c>
      <c r="Y357" s="618">
        <f>SUMIFS(Нормативы!K:K,Нормативы!$B:$B,$G357,Нормативы!$D:$D,'2020'!$I357,Нормативы!$F:$F,'2020'!$K357)</f>
        <v>44</v>
      </c>
      <c r="Z357" s="618">
        <f>SUMIFS(Нормативы!L:L,Нормативы!$B:$B,$G357,Нормативы!$D:$D,'2020'!$I357,Нормативы!$F:$F,'2020'!$K357)</f>
        <v>2320</v>
      </c>
      <c r="AA357" s="618">
        <f t="shared" si="854"/>
        <v>4350</v>
      </c>
      <c r="AB357" s="618">
        <f>SUMIFS(Нормативы!N:N,Нормативы!$B:$B,$G357,Нормативы!$D:$D,'2020'!$I357,Нормативы!$F:$F,'2020'!$K357)*O357</f>
        <v>520</v>
      </c>
      <c r="AC357" s="618">
        <f>SUMIFS(Нормативы!O:O,Нормативы!$B:$B,$G357,Нормативы!$D:$D,'2020'!$I357,Нормативы!$F:$F,'2020'!$K357)</f>
        <v>2670</v>
      </c>
      <c r="AD357" s="618">
        <f>SUMIFS(Нормативы!P:P,Нормативы!$B:$B,$G357,Нормативы!$D:$D,'2020'!$I357,Нормативы!$F:$F,'2020'!$K357)*O357</f>
        <v>340</v>
      </c>
      <c r="AE357" s="618">
        <f>SUMIFS(Нормативы!Q:Q,Нормативы!$B:$B,$G357,Нормативы!$D:$D,'2020'!$I357,Нормативы!$F:$F,'2020'!$K357)</f>
        <v>820</v>
      </c>
      <c r="AF357" s="618">
        <f>SUMIFS(Нормативы!R:R,Нормативы!$B:$B,$G357,Нормативы!$D:$D,'2020'!$I357,Нормативы!$F:$F,'2020'!$K357)</f>
        <v>2460</v>
      </c>
      <c r="AG357" s="618">
        <f>SUMIFS(Нормативы!S:S,Нормативы!$B:$B,$G357,Нормативы!$D:$D,'2020'!$I357,Нормативы!$F:$F,'2020'!$K357)</f>
        <v>5080</v>
      </c>
      <c r="AH357" s="618">
        <f>SUMIFS(Нормативы!T:T,Нормативы!$B:$B,$G357,Нормативы!$D:$D,'2020'!$I357,Нормативы!$F:$F,'2020'!$K357)</f>
        <v>540</v>
      </c>
      <c r="AI357" s="618">
        <f>SUMIFS(Нормативы!U:U,Нормативы!$B:$B,$G357,Нормативы!$D:$D,'2020'!$I357,Нормативы!$F:$F,'2020'!$K357)</f>
        <v>770</v>
      </c>
      <c r="AJ357" s="618">
        <f>SUMIFS(Нормативы!V:V,Нормативы!$B:$B,$G357,Нормативы!$D:$D,'2020'!$I357,Нормативы!$F:$F,'2020'!$K357)</f>
        <v>80</v>
      </c>
      <c r="AK357" s="618">
        <f>SUMIFS(Нормативы!W:W,Нормативы!$B:$B,$G357,Нормативы!$D:$D,'2020'!$I357,Нормативы!$F:$F,'2020'!$K357)</f>
        <v>120</v>
      </c>
      <c r="AL357" s="618">
        <f>SUMIFS(Нормативы!X:X,Нормативы!$B:$B,$G357,Нормативы!$D:$D,'2020'!$I357,Нормативы!$F:$F,'2020'!$K357)*O357</f>
        <v>13440</v>
      </c>
      <c r="AM357" s="618">
        <f t="shared" si="855"/>
        <v>10322.6</v>
      </c>
      <c r="AN357" s="618">
        <f t="shared" si="856"/>
        <v>3117.4</v>
      </c>
      <c r="AO357" s="618">
        <f>SUMIFS(Нормативы!AA:AA,Нормативы!$B:$B,$G357,Нормативы!$D:$D,'2020'!$I357,Нормативы!$F:$F,'2020'!$K357)</f>
        <v>3520</v>
      </c>
      <c r="AP357" s="619">
        <f t="shared" si="857"/>
        <v>92640</v>
      </c>
      <c r="AQ357" s="413">
        <f t="shared" si="795"/>
        <v>597400</v>
      </c>
      <c r="AR357" s="618">
        <f t="shared" si="858"/>
        <v>458832.6</v>
      </c>
      <c r="AS357" s="618">
        <f t="shared" si="859"/>
        <v>138567.4</v>
      </c>
      <c r="AT357" s="616">
        <f t="shared" si="796"/>
        <v>2200</v>
      </c>
      <c r="AU357" s="616">
        <f t="shared" si="797"/>
        <v>440</v>
      </c>
      <c r="AV357" s="616">
        <f t="shared" si="798"/>
        <v>23200</v>
      </c>
      <c r="AW357" s="616">
        <f t="shared" si="799"/>
        <v>43500</v>
      </c>
      <c r="AX357" s="616">
        <f t="shared" si="800"/>
        <v>5200</v>
      </c>
      <c r="AY357" s="616">
        <f t="shared" si="801"/>
        <v>26700</v>
      </c>
      <c r="AZ357" s="616">
        <f t="shared" si="802"/>
        <v>3400</v>
      </c>
      <c r="BA357" s="616">
        <f t="shared" si="803"/>
        <v>8200</v>
      </c>
      <c r="BB357" s="616">
        <f t="shared" si="804"/>
        <v>24600</v>
      </c>
      <c r="BC357" s="616">
        <f t="shared" si="805"/>
        <v>50800</v>
      </c>
      <c r="BD357" s="616">
        <f t="shared" si="806"/>
        <v>5400</v>
      </c>
      <c r="BE357" s="616">
        <f t="shared" si="807"/>
        <v>7700</v>
      </c>
      <c r="BF357" s="616">
        <f t="shared" si="808"/>
        <v>800</v>
      </c>
      <c r="BG357" s="616">
        <f t="shared" si="809"/>
        <v>1200</v>
      </c>
      <c r="BH357" s="616">
        <f t="shared" si="810"/>
        <v>134400</v>
      </c>
      <c r="BI357" s="618">
        <f t="shared" si="860"/>
        <v>103225.8</v>
      </c>
      <c r="BJ357" s="618">
        <f t="shared" si="861"/>
        <v>31174.2</v>
      </c>
      <c r="BK357" s="616">
        <f t="shared" si="811"/>
        <v>35200</v>
      </c>
      <c r="BL357" s="620">
        <f t="shared" si="812"/>
        <v>926400</v>
      </c>
      <c r="BM357" s="616">
        <f t="shared" si="813"/>
        <v>1458851</v>
      </c>
      <c r="BN357" s="618">
        <f t="shared" si="814"/>
        <v>1120469.3</v>
      </c>
      <c r="BO357" s="618">
        <f t="shared" si="815"/>
        <v>338381.7</v>
      </c>
      <c r="BP357" s="616">
        <f t="shared" si="862"/>
        <v>2200</v>
      </c>
      <c r="BQ357" s="616">
        <f t="shared" si="863"/>
        <v>440</v>
      </c>
      <c r="BR357" s="616">
        <f t="shared" si="864"/>
        <v>23200</v>
      </c>
      <c r="BS357" s="616">
        <f t="shared" si="816"/>
        <v>43500</v>
      </c>
      <c r="BT357" s="616">
        <f t="shared" si="817"/>
        <v>5200</v>
      </c>
      <c r="BU357" s="616">
        <f t="shared" si="818"/>
        <v>26700</v>
      </c>
      <c r="BV357" s="616">
        <f t="shared" si="819"/>
        <v>3400</v>
      </c>
      <c r="BW357" s="616">
        <f t="shared" si="820"/>
        <v>8200</v>
      </c>
      <c r="BX357" s="616">
        <f t="shared" si="821"/>
        <v>63960</v>
      </c>
      <c r="BY357" s="616">
        <f t="shared" si="822"/>
        <v>50800</v>
      </c>
      <c r="BZ357" s="616">
        <f t="shared" si="823"/>
        <v>5400</v>
      </c>
      <c r="CA357" s="616">
        <f t="shared" si="824"/>
        <v>7700</v>
      </c>
      <c r="CB357" s="616">
        <f t="shared" si="825"/>
        <v>800</v>
      </c>
      <c r="CC357" s="616">
        <f t="shared" si="826"/>
        <v>1200</v>
      </c>
      <c r="CD357" s="616">
        <f t="shared" si="827"/>
        <v>328205</v>
      </c>
      <c r="CE357" s="618">
        <f t="shared" si="865"/>
        <v>252077.6</v>
      </c>
      <c r="CF357" s="618">
        <f t="shared" si="866"/>
        <v>76127.399999999994</v>
      </c>
      <c r="CG357" s="616">
        <f t="shared" si="828"/>
        <v>35200</v>
      </c>
      <c r="CH357" s="621">
        <f t="shared" si="829"/>
        <v>2021016</v>
      </c>
      <c r="CI357" s="88">
        <f t="shared" si="830"/>
        <v>145885.1</v>
      </c>
      <c r="CJ357" s="90">
        <f t="shared" si="831"/>
        <v>112046.93</v>
      </c>
      <c r="CK357" s="90">
        <f t="shared" si="832"/>
        <v>33838.17</v>
      </c>
      <c r="CL357" s="88">
        <f t="shared" si="833"/>
        <v>220</v>
      </c>
      <c r="CM357" s="88">
        <f t="shared" si="834"/>
        <v>44</v>
      </c>
      <c r="CN357" s="88">
        <f t="shared" si="835"/>
        <v>2320</v>
      </c>
      <c r="CO357" s="88">
        <f t="shared" si="836"/>
        <v>4350</v>
      </c>
      <c r="CP357" s="88">
        <f t="shared" si="837"/>
        <v>520</v>
      </c>
      <c r="CQ357" s="88">
        <f t="shared" si="838"/>
        <v>2670</v>
      </c>
      <c r="CR357" s="88">
        <f t="shared" si="839"/>
        <v>340</v>
      </c>
      <c r="CS357" s="88">
        <f t="shared" si="840"/>
        <v>820</v>
      </c>
      <c r="CT357" s="88">
        <f t="shared" si="841"/>
        <v>6396</v>
      </c>
      <c r="CU357" s="88">
        <f t="shared" si="842"/>
        <v>5080</v>
      </c>
      <c r="CV357" s="88">
        <f t="shared" si="843"/>
        <v>540</v>
      </c>
      <c r="CW357" s="88">
        <f t="shared" si="844"/>
        <v>770</v>
      </c>
      <c r="CX357" s="88">
        <f t="shared" si="845"/>
        <v>80</v>
      </c>
      <c r="CY357" s="88">
        <f t="shared" si="846"/>
        <v>120</v>
      </c>
      <c r="CZ357" s="88">
        <f t="shared" si="847"/>
        <v>32820.5</v>
      </c>
      <c r="DA357" s="90">
        <f t="shared" si="848"/>
        <v>25207.759999999998</v>
      </c>
      <c r="DB357" s="90">
        <f t="shared" si="849"/>
        <v>7612.74</v>
      </c>
      <c r="DC357" s="88">
        <f t="shared" si="850"/>
        <v>3520</v>
      </c>
      <c r="DD357" s="211">
        <f t="shared" si="851"/>
        <v>202101.6</v>
      </c>
      <c r="AUV357" s="699">
        <f t="shared" si="890"/>
        <v>145885.1</v>
      </c>
      <c r="AUW357" s="699">
        <f t="shared" si="891"/>
        <v>112046.93</v>
      </c>
      <c r="AUX357" s="699">
        <f t="shared" si="892"/>
        <v>33838.17</v>
      </c>
      <c r="AUY357" s="699">
        <f t="shared" si="1023"/>
        <v>220</v>
      </c>
      <c r="AUZ357" s="699">
        <f t="shared" si="910"/>
        <v>169.23</v>
      </c>
      <c r="AVA357" s="699">
        <f t="shared" si="910"/>
        <v>0.39</v>
      </c>
      <c r="AVB357" s="699">
        <f t="shared" si="1024"/>
        <v>4350</v>
      </c>
      <c r="AVC357" s="699">
        <f t="shared" si="1025"/>
        <v>520</v>
      </c>
      <c r="AVD357" s="699">
        <f t="shared" si="1026"/>
        <v>2670</v>
      </c>
      <c r="AVE357" s="699">
        <f t="shared" si="1027"/>
        <v>340</v>
      </c>
      <c r="AVF357" s="699">
        <f t="shared" si="1028"/>
        <v>820</v>
      </c>
      <c r="AVG357" s="699">
        <f t="shared" si="1029"/>
        <v>6396</v>
      </c>
      <c r="AVH357" s="699">
        <f t="shared" si="1030"/>
        <v>5080</v>
      </c>
      <c r="AVI357" s="699">
        <f t="shared" si="1031"/>
        <v>540</v>
      </c>
      <c r="AVJ357" s="699">
        <f t="shared" si="1032"/>
        <v>770</v>
      </c>
      <c r="AVK357" s="699">
        <f t="shared" si="1033"/>
        <v>80</v>
      </c>
      <c r="AVL357" s="699">
        <f t="shared" si="1034"/>
        <v>120</v>
      </c>
      <c r="AVM357" s="699">
        <f t="shared" si="1035"/>
        <v>32820.5</v>
      </c>
      <c r="AVN357" s="699">
        <f t="shared" si="1036"/>
        <v>25207.759999999998</v>
      </c>
      <c r="AVO357" s="699">
        <f t="shared" si="1037"/>
        <v>7612.74</v>
      </c>
      <c r="AVP357" s="699">
        <f t="shared" si="1038"/>
        <v>3520</v>
      </c>
      <c r="AVQ357" s="699">
        <f t="shared" si="1039"/>
        <v>202101.6</v>
      </c>
    </row>
    <row r="358" spans="1:1265" ht="30" customHeight="1" x14ac:dyDescent="0.25">
      <c r="A358" s="643">
        <v>1</v>
      </c>
      <c r="B358" s="643">
        <v>6</v>
      </c>
      <c r="C358" s="664" t="s">
        <v>250</v>
      </c>
      <c r="D358" s="2"/>
      <c r="E358" s="101" t="s">
        <v>345</v>
      </c>
      <c r="F358" s="643" t="s">
        <v>38</v>
      </c>
      <c r="G358" s="643">
        <v>2</v>
      </c>
      <c r="H358" s="658" t="s">
        <v>10</v>
      </c>
      <c r="I358" s="643">
        <v>0</v>
      </c>
      <c r="J358" s="101" t="s">
        <v>361</v>
      </c>
      <c r="K358" s="643">
        <v>3</v>
      </c>
      <c r="L358" s="683" t="s">
        <v>350</v>
      </c>
      <c r="M358" s="11" t="s">
        <v>267</v>
      </c>
      <c r="N358" s="101" t="s">
        <v>387</v>
      </c>
      <c r="O358" s="643">
        <v>1</v>
      </c>
      <c r="P358" s="695">
        <v>124</v>
      </c>
      <c r="Q358" s="632">
        <v>124</v>
      </c>
      <c r="R358" s="632">
        <v>124</v>
      </c>
      <c r="S358" s="675">
        <f>SUMIF('Территориальный кк'!$A:$A,'2020'!$B358,'Территориальный кк'!D:D)</f>
        <v>2.4420000000000002</v>
      </c>
      <c r="T358" s="676">
        <f>SUMIF('Территориальный кк'!$A:$A,'2020'!$B358,'Территориальный кк'!E:E)</f>
        <v>2.6</v>
      </c>
      <c r="U358" s="618">
        <f>SUMIFS(Нормативы!G:G,Нормативы!$B:$B,$G358,Нормативы!$D:$D,'2020'!$I358,Нормативы!$F:$F,'2020'!$K358)*O358</f>
        <v>70600</v>
      </c>
      <c r="V358" s="618">
        <f t="shared" si="852"/>
        <v>54224.3</v>
      </c>
      <c r="W358" s="618">
        <f t="shared" si="853"/>
        <v>16375.7</v>
      </c>
      <c r="X358" s="618">
        <f>SUMIFS(Нормативы!J:J,Нормативы!$B:$B,$G358,Нормативы!$D:$D,'2020'!$I358,Нормативы!$F:$F,'2020'!$K358)</f>
        <v>8860</v>
      </c>
      <c r="Y358" s="618">
        <f>SUMIFS(Нормативы!K:K,Нормативы!$B:$B,$G358,Нормативы!$D:$D,'2020'!$I358,Нормативы!$F:$F,'2020'!$K358)</f>
        <v>0</v>
      </c>
      <c r="Z358" s="618">
        <f>SUMIFS(Нормативы!L:L,Нормативы!$B:$B,$G358,Нормативы!$D:$D,'2020'!$I358,Нормативы!$F:$F,'2020'!$K358)</f>
        <v>8110</v>
      </c>
      <c r="AA358" s="618">
        <f t="shared" si="854"/>
        <v>21610</v>
      </c>
      <c r="AB358" s="618">
        <f>SUMIFS(Нормативы!N:N,Нормативы!$B:$B,$G358,Нормативы!$D:$D,'2020'!$I358,Нормативы!$F:$F,'2020'!$K358)*O358</f>
        <v>520</v>
      </c>
      <c r="AC358" s="618">
        <f>SUMIFS(Нормативы!O:O,Нормативы!$B:$B,$G358,Нормативы!$D:$D,'2020'!$I358,Нормативы!$F:$F,'2020'!$K358)</f>
        <v>19720</v>
      </c>
      <c r="AD358" s="618">
        <f>SUMIFS(Нормативы!P:P,Нормативы!$B:$B,$G358,Нормативы!$D:$D,'2020'!$I358,Нормативы!$F:$F,'2020'!$K358)*O358</f>
        <v>400</v>
      </c>
      <c r="AE358" s="618">
        <f>SUMIFS(Нормативы!Q:Q,Нормативы!$B:$B,$G358,Нормативы!$D:$D,'2020'!$I358,Нормативы!$F:$F,'2020'!$K358)</f>
        <v>970</v>
      </c>
      <c r="AF358" s="618">
        <f>SUMIFS(Нормативы!R:R,Нормативы!$B:$B,$G358,Нормативы!$D:$D,'2020'!$I358,Нормативы!$F:$F,'2020'!$K358)</f>
        <v>2680</v>
      </c>
      <c r="AG358" s="618">
        <f>SUMIFS(Нормативы!S:S,Нормативы!$B:$B,$G358,Нормативы!$D:$D,'2020'!$I358,Нормативы!$F:$F,'2020'!$K358)</f>
        <v>5800</v>
      </c>
      <c r="AH358" s="618">
        <f>SUMIFS(Нормативы!T:T,Нормативы!$B:$B,$G358,Нормативы!$D:$D,'2020'!$I358,Нормативы!$F:$F,'2020'!$K358)</f>
        <v>540</v>
      </c>
      <c r="AI358" s="618">
        <f>SUMIFS(Нормативы!U:U,Нормативы!$B:$B,$G358,Нормативы!$D:$D,'2020'!$I358,Нормативы!$F:$F,'2020'!$K358)</f>
        <v>770</v>
      </c>
      <c r="AJ358" s="618">
        <f>SUMIFS(Нормативы!V:V,Нормативы!$B:$B,$G358,Нормативы!$D:$D,'2020'!$I358,Нормативы!$F:$F,'2020'!$K358)</f>
        <v>80</v>
      </c>
      <c r="AK358" s="618">
        <f>SUMIFS(Нормативы!W:W,Нормативы!$B:$B,$G358,Нормативы!$D:$D,'2020'!$I358,Нормативы!$F:$F,'2020'!$K358)</f>
        <v>330</v>
      </c>
      <c r="AL358" s="618">
        <f>SUMIFS(Нормативы!X:X,Нормативы!$B:$B,$G358,Нормативы!$D:$D,'2020'!$I358,Нормативы!$F:$F,'2020'!$K358)*O358</f>
        <v>16120</v>
      </c>
      <c r="AM358" s="618">
        <f t="shared" si="855"/>
        <v>12381</v>
      </c>
      <c r="AN358" s="618">
        <f t="shared" si="856"/>
        <v>3739</v>
      </c>
      <c r="AO358" s="618">
        <f>SUMIFS(Нормативы!AA:AA,Нормативы!$B:$B,$G358,Нормативы!$D:$D,'2020'!$I358,Нормативы!$F:$F,'2020'!$K358)</f>
        <v>3520</v>
      </c>
      <c r="AP358" s="619">
        <f t="shared" si="857"/>
        <v>139020</v>
      </c>
      <c r="AQ358" s="413">
        <f t="shared" si="795"/>
        <v>8754400</v>
      </c>
      <c r="AR358" s="618">
        <f t="shared" si="858"/>
        <v>6723809.5</v>
      </c>
      <c r="AS358" s="618">
        <f t="shared" si="859"/>
        <v>2030590.5</v>
      </c>
      <c r="AT358" s="616">
        <f t="shared" si="796"/>
        <v>1098640</v>
      </c>
      <c r="AU358" s="616">
        <f t="shared" si="797"/>
        <v>0</v>
      </c>
      <c r="AV358" s="616">
        <f t="shared" si="798"/>
        <v>1005640</v>
      </c>
      <c r="AW358" s="616">
        <f t="shared" si="799"/>
        <v>2679640</v>
      </c>
      <c r="AX358" s="616">
        <f t="shared" si="800"/>
        <v>64480</v>
      </c>
      <c r="AY358" s="616">
        <f t="shared" si="801"/>
        <v>2445280</v>
      </c>
      <c r="AZ358" s="616">
        <f t="shared" si="802"/>
        <v>49600</v>
      </c>
      <c r="BA358" s="616">
        <f t="shared" si="803"/>
        <v>120280</v>
      </c>
      <c r="BB358" s="616">
        <f t="shared" si="804"/>
        <v>332320</v>
      </c>
      <c r="BC358" s="616">
        <f t="shared" si="805"/>
        <v>719200</v>
      </c>
      <c r="BD358" s="616">
        <f t="shared" si="806"/>
        <v>66960</v>
      </c>
      <c r="BE358" s="616">
        <f t="shared" si="807"/>
        <v>95480</v>
      </c>
      <c r="BF358" s="616">
        <f t="shared" si="808"/>
        <v>9920</v>
      </c>
      <c r="BG358" s="616">
        <f t="shared" si="809"/>
        <v>40920</v>
      </c>
      <c r="BH358" s="616">
        <f t="shared" si="810"/>
        <v>1998880</v>
      </c>
      <c r="BI358" s="618">
        <f t="shared" si="860"/>
        <v>1535238.1</v>
      </c>
      <c r="BJ358" s="618">
        <f t="shared" si="861"/>
        <v>463641.9</v>
      </c>
      <c r="BK358" s="616">
        <f t="shared" si="811"/>
        <v>436480</v>
      </c>
      <c r="BL358" s="620">
        <f t="shared" si="812"/>
        <v>17238480</v>
      </c>
      <c r="BM358" s="616">
        <f t="shared" si="813"/>
        <v>21378245</v>
      </c>
      <c r="BN358" s="618">
        <f t="shared" si="814"/>
        <v>16419543</v>
      </c>
      <c r="BO358" s="618">
        <f t="shared" si="815"/>
        <v>4958702</v>
      </c>
      <c r="BP358" s="616">
        <f t="shared" si="862"/>
        <v>1098640</v>
      </c>
      <c r="BQ358" s="616">
        <f t="shared" si="863"/>
        <v>0</v>
      </c>
      <c r="BR358" s="616">
        <f t="shared" si="864"/>
        <v>1005640</v>
      </c>
      <c r="BS358" s="616">
        <f t="shared" si="816"/>
        <v>2679640</v>
      </c>
      <c r="BT358" s="616">
        <f t="shared" si="817"/>
        <v>64480</v>
      </c>
      <c r="BU358" s="616">
        <f t="shared" si="818"/>
        <v>2445280</v>
      </c>
      <c r="BV358" s="616">
        <f t="shared" si="819"/>
        <v>49600</v>
      </c>
      <c r="BW358" s="616">
        <f t="shared" si="820"/>
        <v>120280</v>
      </c>
      <c r="BX358" s="616">
        <f t="shared" si="821"/>
        <v>864032</v>
      </c>
      <c r="BY358" s="616">
        <f t="shared" si="822"/>
        <v>719200</v>
      </c>
      <c r="BZ358" s="616">
        <f t="shared" si="823"/>
        <v>66960</v>
      </c>
      <c r="CA358" s="616">
        <f t="shared" si="824"/>
        <v>95480</v>
      </c>
      <c r="CB358" s="616">
        <f t="shared" si="825"/>
        <v>9920</v>
      </c>
      <c r="CC358" s="616">
        <f t="shared" si="826"/>
        <v>40920</v>
      </c>
      <c r="CD358" s="616">
        <f t="shared" si="827"/>
        <v>4881265</v>
      </c>
      <c r="CE358" s="618">
        <f t="shared" si="865"/>
        <v>3749051.5</v>
      </c>
      <c r="CF358" s="618">
        <f t="shared" si="866"/>
        <v>1132213.5</v>
      </c>
      <c r="CG358" s="616">
        <f t="shared" si="828"/>
        <v>436480</v>
      </c>
      <c r="CH358" s="621">
        <f t="shared" si="829"/>
        <v>33276422</v>
      </c>
      <c r="CI358" s="88">
        <f t="shared" si="830"/>
        <v>172405.2016</v>
      </c>
      <c r="CJ358" s="90">
        <f t="shared" si="831"/>
        <v>132415.66940000001</v>
      </c>
      <c r="CK358" s="90">
        <f t="shared" si="832"/>
        <v>39989.532299999999</v>
      </c>
      <c r="CL358" s="88">
        <f t="shared" si="833"/>
        <v>8860</v>
      </c>
      <c r="CM358" s="88">
        <f t="shared" si="834"/>
        <v>0</v>
      </c>
      <c r="CN358" s="88">
        <f t="shared" si="835"/>
        <v>8110</v>
      </c>
      <c r="CO358" s="88">
        <f t="shared" si="836"/>
        <v>21610</v>
      </c>
      <c r="CP358" s="88">
        <f t="shared" si="837"/>
        <v>520</v>
      </c>
      <c r="CQ358" s="88">
        <f t="shared" si="838"/>
        <v>19720</v>
      </c>
      <c r="CR358" s="88">
        <f t="shared" si="839"/>
        <v>400</v>
      </c>
      <c r="CS358" s="88">
        <f t="shared" si="840"/>
        <v>970</v>
      </c>
      <c r="CT358" s="88">
        <f t="shared" si="841"/>
        <v>6968</v>
      </c>
      <c r="CU358" s="88">
        <f t="shared" si="842"/>
        <v>5800</v>
      </c>
      <c r="CV358" s="88">
        <f t="shared" si="843"/>
        <v>540</v>
      </c>
      <c r="CW358" s="88">
        <f t="shared" si="844"/>
        <v>770</v>
      </c>
      <c r="CX358" s="88">
        <f t="shared" si="845"/>
        <v>80</v>
      </c>
      <c r="CY358" s="88">
        <f t="shared" si="846"/>
        <v>330</v>
      </c>
      <c r="CZ358" s="88">
        <f t="shared" si="847"/>
        <v>39365.040300000001</v>
      </c>
      <c r="DA358" s="90">
        <f t="shared" si="848"/>
        <v>30234.2863</v>
      </c>
      <c r="DB358" s="90">
        <f t="shared" si="849"/>
        <v>9130.7540000000008</v>
      </c>
      <c r="DC358" s="88">
        <f t="shared" si="850"/>
        <v>3520</v>
      </c>
      <c r="DD358" s="211">
        <f t="shared" si="851"/>
        <v>268358.24190000002</v>
      </c>
      <c r="AUV358" s="699">
        <f t="shared" si="890"/>
        <v>172405.2</v>
      </c>
      <c r="AUW358" s="699">
        <f t="shared" si="891"/>
        <v>132415.67000000001</v>
      </c>
      <c r="AUX358" s="699">
        <f t="shared" si="892"/>
        <v>39989.53</v>
      </c>
      <c r="AUY358" s="699">
        <f t="shared" si="1023"/>
        <v>8860</v>
      </c>
      <c r="AUZ358" s="699">
        <f t="shared" si="910"/>
        <v>0</v>
      </c>
      <c r="AVA358" s="699">
        <f t="shared" si="910"/>
        <v>14.24</v>
      </c>
      <c r="AVB358" s="699">
        <f t="shared" si="1024"/>
        <v>21610</v>
      </c>
      <c r="AVC358" s="699">
        <f t="shared" si="1025"/>
        <v>520</v>
      </c>
      <c r="AVD358" s="699">
        <f t="shared" si="1026"/>
        <v>19720</v>
      </c>
      <c r="AVE358" s="699">
        <f t="shared" si="1027"/>
        <v>400</v>
      </c>
      <c r="AVF358" s="699">
        <f t="shared" si="1028"/>
        <v>970</v>
      </c>
      <c r="AVG358" s="699">
        <f t="shared" si="1029"/>
        <v>6968</v>
      </c>
      <c r="AVH358" s="699">
        <f t="shared" si="1030"/>
        <v>5800</v>
      </c>
      <c r="AVI358" s="699">
        <f t="shared" si="1031"/>
        <v>540</v>
      </c>
      <c r="AVJ358" s="699">
        <f t="shared" si="1032"/>
        <v>770</v>
      </c>
      <c r="AVK358" s="699">
        <f t="shared" si="1033"/>
        <v>80</v>
      </c>
      <c r="AVL358" s="699">
        <f t="shared" si="1034"/>
        <v>330</v>
      </c>
      <c r="AVM358" s="699">
        <f t="shared" si="1035"/>
        <v>39365.040000000001</v>
      </c>
      <c r="AVN358" s="699">
        <f t="shared" si="1036"/>
        <v>30234.29</v>
      </c>
      <c r="AVO358" s="699">
        <f t="shared" si="1037"/>
        <v>9130.75</v>
      </c>
      <c r="AVP358" s="699">
        <f t="shared" si="1038"/>
        <v>3520</v>
      </c>
      <c r="AVQ358" s="699">
        <f t="shared" si="1039"/>
        <v>268358.24</v>
      </c>
    </row>
    <row r="359" spans="1:1265" ht="30" customHeight="1" x14ac:dyDescent="0.25">
      <c r="A359" s="643">
        <v>1</v>
      </c>
      <c r="B359" s="643">
        <v>6</v>
      </c>
      <c r="C359" s="664" t="s">
        <v>250</v>
      </c>
      <c r="D359" s="2"/>
      <c r="E359" s="101" t="s">
        <v>345</v>
      </c>
      <c r="F359" s="643" t="s">
        <v>38</v>
      </c>
      <c r="G359" s="643">
        <v>2</v>
      </c>
      <c r="H359" s="658" t="s">
        <v>8</v>
      </c>
      <c r="I359" s="643">
        <v>3</v>
      </c>
      <c r="J359" s="101" t="s">
        <v>361</v>
      </c>
      <c r="K359" s="643">
        <v>3</v>
      </c>
      <c r="L359" s="683" t="s">
        <v>350</v>
      </c>
      <c r="M359" s="11" t="s">
        <v>294</v>
      </c>
      <c r="N359" s="101" t="s">
        <v>387</v>
      </c>
      <c r="O359" s="643">
        <v>1</v>
      </c>
      <c r="P359" s="695">
        <v>40</v>
      </c>
      <c r="Q359" s="632">
        <v>40</v>
      </c>
      <c r="R359" s="632">
        <v>40</v>
      </c>
      <c r="S359" s="675">
        <f>SUMIF('Территориальный кк'!$A:$A,'2020'!$B359,'Территориальный кк'!D:D)</f>
        <v>2.4420000000000002</v>
      </c>
      <c r="T359" s="676">
        <f>SUMIF('Территориальный кк'!$A:$A,'2020'!$B359,'Территориальный кк'!E:E)</f>
        <v>2.6</v>
      </c>
      <c r="U359" s="618">
        <f>SUMIFS(Нормативы!G:G,Нормативы!$B:$B,$G359,Нормативы!$D:$D,'2020'!$I359,Нормативы!$F:$F,'2020'!$K359)*O359</f>
        <v>12944</v>
      </c>
      <c r="V359" s="618">
        <f t="shared" si="852"/>
        <v>9941.6</v>
      </c>
      <c r="W359" s="618">
        <f t="shared" si="853"/>
        <v>3002.4</v>
      </c>
      <c r="X359" s="618">
        <f>SUMIFS(Нормативы!J:J,Нормативы!$B:$B,$G359,Нормативы!$D:$D,'2020'!$I359,Нормативы!$F:$F,'2020'!$K359)</f>
        <v>486</v>
      </c>
      <c r="Y359" s="618">
        <f>SUMIFS(Нормативы!K:K,Нормативы!$B:$B,$G359,Нормативы!$D:$D,'2020'!$I359,Нормативы!$F:$F,'2020'!$K359)</f>
        <v>97</v>
      </c>
      <c r="Z359" s="618">
        <f>SUMIFS(Нормативы!L:L,Нормативы!$B:$B,$G359,Нормативы!$D:$D,'2020'!$I359,Нормативы!$F:$F,'2020'!$K359)</f>
        <v>348</v>
      </c>
      <c r="AA359" s="618">
        <f t="shared" si="854"/>
        <v>2031</v>
      </c>
      <c r="AB359" s="618">
        <f>SUMIFS(Нормативы!N:N,Нормативы!$B:$B,$G359,Нормативы!$D:$D,'2020'!$I359,Нормативы!$F:$F,'2020'!$K359)*O359</f>
        <v>52</v>
      </c>
      <c r="AC359" s="618">
        <f>SUMIFS(Нормативы!O:O,Нормативы!$B:$B,$G359,Нормативы!$D:$D,'2020'!$I359,Нормативы!$F:$F,'2020'!$K359)</f>
        <v>1728</v>
      </c>
      <c r="AD359" s="618">
        <f>SUMIFS(Нормативы!P:P,Нормативы!$B:$B,$G359,Нормативы!$D:$D,'2020'!$I359,Нормативы!$F:$F,'2020'!$K359)*O359</f>
        <v>73</v>
      </c>
      <c r="AE359" s="618">
        <f>SUMIFS(Нормативы!Q:Q,Нормативы!$B:$B,$G359,Нормативы!$D:$D,'2020'!$I359,Нормативы!$F:$F,'2020'!$K359)</f>
        <v>178</v>
      </c>
      <c r="AF359" s="618">
        <f>SUMIFS(Нормативы!R:R,Нормативы!$B:$B,$G359,Нормативы!$D:$D,'2020'!$I359,Нормативы!$F:$F,'2020'!$K359)</f>
        <v>275</v>
      </c>
      <c r="AG359" s="618">
        <f>SUMIFS(Нормативы!S:S,Нормативы!$B:$B,$G359,Нормативы!$D:$D,'2020'!$I359,Нормативы!$F:$F,'2020'!$K359)</f>
        <v>580</v>
      </c>
      <c r="AH359" s="618">
        <f>SUMIFS(Нормативы!T:T,Нормативы!$B:$B,$G359,Нормативы!$D:$D,'2020'!$I359,Нормативы!$F:$F,'2020'!$K359)</f>
        <v>54</v>
      </c>
      <c r="AI359" s="618">
        <f>SUMIFS(Нормативы!U:U,Нормативы!$B:$B,$G359,Нормативы!$D:$D,'2020'!$I359,Нормативы!$F:$F,'2020'!$K359)</f>
        <v>77</v>
      </c>
      <c r="AJ359" s="618">
        <f>SUMIFS(Нормативы!V:V,Нормативы!$B:$B,$G359,Нормативы!$D:$D,'2020'!$I359,Нормативы!$F:$F,'2020'!$K359)</f>
        <v>8</v>
      </c>
      <c r="AK359" s="618">
        <f>SUMIFS(Нормативы!W:W,Нормативы!$B:$B,$G359,Нормативы!$D:$D,'2020'!$I359,Нормативы!$F:$F,'2020'!$K359)</f>
        <v>39</v>
      </c>
      <c r="AL359" s="618">
        <f>SUMIFS(Нормативы!X:X,Нормативы!$B:$B,$G359,Нормативы!$D:$D,'2020'!$I359,Нормативы!$F:$F,'2020'!$K359)*O359</f>
        <v>1612</v>
      </c>
      <c r="AM359" s="618">
        <f t="shared" si="855"/>
        <v>1238.0999999999999</v>
      </c>
      <c r="AN359" s="618">
        <f t="shared" si="856"/>
        <v>373.9</v>
      </c>
      <c r="AO359" s="618">
        <f>SUMIFS(Нормативы!AA:AA,Нормативы!$B:$B,$G359,Нормативы!$D:$D,'2020'!$I359,Нормативы!$F:$F,'2020'!$K359)</f>
        <v>0</v>
      </c>
      <c r="AP359" s="619">
        <f t="shared" si="857"/>
        <v>18454</v>
      </c>
      <c r="AQ359" s="413">
        <f t="shared" si="795"/>
        <v>517760</v>
      </c>
      <c r="AR359" s="618">
        <f t="shared" si="858"/>
        <v>397665.1</v>
      </c>
      <c r="AS359" s="618">
        <f t="shared" si="859"/>
        <v>120094.9</v>
      </c>
      <c r="AT359" s="616">
        <f t="shared" si="796"/>
        <v>19440</v>
      </c>
      <c r="AU359" s="616">
        <f t="shared" si="797"/>
        <v>3880</v>
      </c>
      <c r="AV359" s="616">
        <f t="shared" si="798"/>
        <v>13920</v>
      </c>
      <c r="AW359" s="616">
        <f t="shared" si="799"/>
        <v>81240</v>
      </c>
      <c r="AX359" s="616">
        <f t="shared" si="800"/>
        <v>2080</v>
      </c>
      <c r="AY359" s="616">
        <f t="shared" si="801"/>
        <v>69120</v>
      </c>
      <c r="AZ359" s="616">
        <f t="shared" si="802"/>
        <v>2920</v>
      </c>
      <c r="BA359" s="616">
        <f t="shared" si="803"/>
        <v>7120</v>
      </c>
      <c r="BB359" s="616">
        <f t="shared" si="804"/>
        <v>11000</v>
      </c>
      <c r="BC359" s="616">
        <f t="shared" si="805"/>
        <v>23200</v>
      </c>
      <c r="BD359" s="616">
        <f t="shared" si="806"/>
        <v>2160</v>
      </c>
      <c r="BE359" s="616">
        <f t="shared" si="807"/>
        <v>3080</v>
      </c>
      <c r="BF359" s="616">
        <f t="shared" si="808"/>
        <v>320</v>
      </c>
      <c r="BG359" s="616">
        <f t="shared" si="809"/>
        <v>1560</v>
      </c>
      <c r="BH359" s="616">
        <f t="shared" si="810"/>
        <v>64480</v>
      </c>
      <c r="BI359" s="618">
        <f t="shared" si="860"/>
        <v>49523.8</v>
      </c>
      <c r="BJ359" s="618">
        <f t="shared" si="861"/>
        <v>14956.2</v>
      </c>
      <c r="BK359" s="616">
        <f t="shared" si="811"/>
        <v>0</v>
      </c>
      <c r="BL359" s="620">
        <f t="shared" si="812"/>
        <v>738160</v>
      </c>
      <c r="BM359" s="616">
        <f t="shared" si="813"/>
        <v>1264370</v>
      </c>
      <c r="BN359" s="618">
        <f t="shared" si="814"/>
        <v>971098.3</v>
      </c>
      <c r="BO359" s="618">
        <f t="shared" si="815"/>
        <v>293271.7</v>
      </c>
      <c r="BP359" s="616">
        <f t="shared" si="862"/>
        <v>19440</v>
      </c>
      <c r="BQ359" s="616">
        <f t="shared" si="863"/>
        <v>3880</v>
      </c>
      <c r="BR359" s="616">
        <f t="shared" si="864"/>
        <v>13920</v>
      </c>
      <c r="BS359" s="616">
        <f t="shared" si="816"/>
        <v>81240</v>
      </c>
      <c r="BT359" s="616">
        <f t="shared" si="817"/>
        <v>2080</v>
      </c>
      <c r="BU359" s="616">
        <f t="shared" si="818"/>
        <v>69120</v>
      </c>
      <c r="BV359" s="616">
        <f t="shared" si="819"/>
        <v>2920</v>
      </c>
      <c r="BW359" s="616">
        <f t="shared" si="820"/>
        <v>7120</v>
      </c>
      <c r="BX359" s="616">
        <f t="shared" si="821"/>
        <v>28600</v>
      </c>
      <c r="BY359" s="616">
        <f t="shared" si="822"/>
        <v>23200</v>
      </c>
      <c r="BZ359" s="616">
        <f t="shared" si="823"/>
        <v>2160</v>
      </c>
      <c r="CA359" s="616">
        <f t="shared" si="824"/>
        <v>3080</v>
      </c>
      <c r="CB359" s="616">
        <f t="shared" si="825"/>
        <v>320</v>
      </c>
      <c r="CC359" s="616">
        <f t="shared" si="826"/>
        <v>1560</v>
      </c>
      <c r="CD359" s="616">
        <f t="shared" si="827"/>
        <v>157460</v>
      </c>
      <c r="CE359" s="618">
        <f t="shared" si="865"/>
        <v>120937</v>
      </c>
      <c r="CF359" s="618">
        <f t="shared" si="866"/>
        <v>36523</v>
      </c>
      <c r="CG359" s="616">
        <f t="shared" si="828"/>
        <v>0</v>
      </c>
      <c r="CH359" s="621">
        <f t="shared" si="829"/>
        <v>1595350</v>
      </c>
      <c r="CI359" s="88">
        <f t="shared" si="830"/>
        <v>31609.25</v>
      </c>
      <c r="CJ359" s="90">
        <f t="shared" si="831"/>
        <v>24277.4575</v>
      </c>
      <c r="CK359" s="90">
        <f t="shared" si="832"/>
        <v>7331.7924999999996</v>
      </c>
      <c r="CL359" s="88">
        <f t="shared" si="833"/>
        <v>486</v>
      </c>
      <c r="CM359" s="88">
        <f t="shared" si="834"/>
        <v>97</v>
      </c>
      <c r="CN359" s="88">
        <f t="shared" si="835"/>
        <v>348</v>
      </c>
      <c r="CO359" s="88">
        <f t="shared" si="836"/>
        <v>2031</v>
      </c>
      <c r="CP359" s="88">
        <f t="shared" si="837"/>
        <v>52</v>
      </c>
      <c r="CQ359" s="88">
        <f t="shared" si="838"/>
        <v>1728</v>
      </c>
      <c r="CR359" s="88">
        <f t="shared" si="839"/>
        <v>73</v>
      </c>
      <c r="CS359" s="88">
        <f t="shared" si="840"/>
        <v>178</v>
      </c>
      <c r="CT359" s="88">
        <f t="shared" si="841"/>
        <v>715</v>
      </c>
      <c r="CU359" s="88">
        <f t="shared" si="842"/>
        <v>580</v>
      </c>
      <c r="CV359" s="88">
        <f t="shared" si="843"/>
        <v>54</v>
      </c>
      <c r="CW359" s="88">
        <f t="shared" si="844"/>
        <v>77</v>
      </c>
      <c r="CX359" s="88">
        <f t="shared" si="845"/>
        <v>8</v>
      </c>
      <c r="CY359" s="88">
        <f t="shared" si="846"/>
        <v>39</v>
      </c>
      <c r="CZ359" s="88">
        <f t="shared" si="847"/>
        <v>3936.5</v>
      </c>
      <c r="DA359" s="90">
        <f t="shared" si="848"/>
        <v>3023.4250000000002</v>
      </c>
      <c r="DB359" s="90">
        <f t="shared" si="849"/>
        <v>913.07500000000005</v>
      </c>
      <c r="DC359" s="88">
        <f t="shared" si="850"/>
        <v>0</v>
      </c>
      <c r="DD359" s="211">
        <f t="shared" si="851"/>
        <v>39883.75</v>
      </c>
      <c r="AUV359" s="699">
        <f t="shared" si="890"/>
        <v>31609.25</v>
      </c>
      <c r="AUW359" s="699">
        <f t="shared" si="891"/>
        <v>24277.46</v>
      </c>
      <c r="AUX359" s="699">
        <f t="shared" si="892"/>
        <v>7331.79</v>
      </c>
      <c r="AUY359" s="699">
        <f t="shared" si="1023"/>
        <v>486</v>
      </c>
      <c r="AUZ359" s="699">
        <f t="shared" si="910"/>
        <v>1492.31</v>
      </c>
      <c r="AVA359" s="699">
        <f t="shared" si="910"/>
        <v>1.08</v>
      </c>
      <c r="AVB359" s="699">
        <f t="shared" si="1024"/>
        <v>2031</v>
      </c>
      <c r="AVC359" s="699">
        <f t="shared" si="1025"/>
        <v>52</v>
      </c>
      <c r="AVD359" s="699">
        <f t="shared" si="1026"/>
        <v>1728</v>
      </c>
      <c r="AVE359" s="699">
        <f t="shared" si="1027"/>
        <v>73</v>
      </c>
      <c r="AVF359" s="699">
        <f t="shared" si="1028"/>
        <v>178</v>
      </c>
      <c r="AVG359" s="699">
        <f t="shared" si="1029"/>
        <v>715</v>
      </c>
      <c r="AVH359" s="699">
        <f t="shared" si="1030"/>
        <v>580</v>
      </c>
      <c r="AVI359" s="699">
        <f t="shared" si="1031"/>
        <v>54</v>
      </c>
      <c r="AVJ359" s="699">
        <f t="shared" si="1032"/>
        <v>77</v>
      </c>
      <c r="AVK359" s="699">
        <f t="shared" si="1033"/>
        <v>8</v>
      </c>
      <c r="AVL359" s="699">
        <f t="shared" si="1034"/>
        <v>39</v>
      </c>
      <c r="AVM359" s="699">
        <f t="shared" si="1035"/>
        <v>3936.5</v>
      </c>
      <c r="AVN359" s="699">
        <f t="shared" si="1036"/>
        <v>3023.43</v>
      </c>
      <c r="AVO359" s="699">
        <f t="shared" si="1037"/>
        <v>913.07</v>
      </c>
      <c r="AVP359" s="699">
        <f t="shared" si="1038"/>
        <v>0</v>
      </c>
      <c r="AVQ359" s="699">
        <f t="shared" si="1039"/>
        <v>39883.75</v>
      </c>
    </row>
    <row r="360" spans="1:1265" ht="30" customHeight="1" x14ac:dyDescent="0.25">
      <c r="A360" s="643">
        <v>1</v>
      </c>
      <c r="B360" s="643">
        <v>6</v>
      </c>
      <c r="C360" s="664" t="s">
        <v>250</v>
      </c>
      <c r="D360" s="2"/>
      <c r="E360" s="101" t="s">
        <v>345</v>
      </c>
      <c r="F360" s="643" t="s">
        <v>38</v>
      </c>
      <c r="G360" s="643">
        <v>2</v>
      </c>
      <c r="H360" s="658" t="s">
        <v>10</v>
      </c>
      <c r="I360" s="643">
        <v>0</v>
      </c>
      <c r="J360" s="101" t="s">
        <v>362</v>
      </c>
      <c r="K360" s="643">
        <v>3</v>
      </c>
      <c r="L360" s="683" t="s">
        <v>350</v>
      </c>
      <c r="M360" s="11" t="s">
        <v>268</v>
      </c>
      <c r="N360" s="101" t="s">
        <v>387</v>
      </c>
      <c r="O360" s="643">
        <v>1</v>
      </c>
      <c r="P360" s="695">
        <v>20</v>
      </c>
      <c r="Q360" s="632">
        <v>20</v>
      </c>
      <c r="R360" s="632">
        <v>20</v>
      </c>
      <c r="S360" s="675">
        <f>SUMIF('Территориальный кк'!$A:$A,'2020'!$B360,'Территориальный кк'!D:D)</f>
        <v>2.4420000000000002</v>
      </c>
      <c r="T360" s="676">
        <f>SUMIF('Территориальный кк'!$A:$A,'2020'!$B360,'Территориальный кк'!E:E)</f>
        <v>2.6</v>
      </c>
      <c r="U360" s="618">
        <f>SUMIFS(Нормативы!G:G,Нормативы!$B:$B,$G360,Нормативы!$D:$D,'2020'!$I360,Нормативы!$F:$F,'2020'!$K360)*O360</f>
        <v>70600</v>
      </c>
      <c r="V360" s="618">
        <f t="shared" si="852"/>
        <v>54224.3</v>
      </c>
      <c r="W360" s="618">
        <f t="shared" si="853"/>
        <v>16375.7</v>
      </c>
      <c r="X360" s="618">
        <f>SUMIFS(Нормативы!J:J,Нормативы!$B:$B,$G360,Нормативы!$D:$D,'2020'!$I360,Нормативы!$F:$F,'2020'!$K360)</f>
        <v>8860</v>
      </c>
      <c r="Y360" s="618">
        <f>SUMIFS(Нормативы!K:K,Нормативы!$B:$B,$G360,Нормативы!$D:$D,'2020'!$I360,Нормативы!$F:$F,'2020'!$K360)</f>
        <v>0</v>
      </c>
      <c r="Z360" s="618">
        <f>SUMIFS(Нормативы!L:L,Нормативы!$B:$B,$G360,Нормативы!$D:$D,'2020'!$I360,Нормативы!$F:$F,'2020'!$K360)</f>
        <v>8110</v>
      </c>
      <c r="AA360" s="618">
        <f t="shared" si="854"/>
        <v>21610</v>
      </c>
      <c r="AB360" s="618">
        <f>SUMIFS(Нормативы!N:N,Нормативы!$B:$B,$G360,Нормативы!$D:$D,'2020'!$I360,Нормативы!$F:$F,'2020'!$K360)*O360</f>
        <v>520</v>
      </c>
      <c r="AC360" s="618">
        <f>SUMIFS(Нормативы!O:O,Нормативы!$B:$B,$G360,Нормативы!$D:$D,'2020'!$I360,Нормативы!$F:$F,'2020'!$K360)</f>
        <v>19720</v>
      </c>
      <c r="AD360" s="618">
        <f>SUMIFS(Нормативы!P:P,Нормативы!$B:$B,$G360,Нормативы!$D:$D,'2020'!$I360,Нормативы!$F:$F,'2020'!$K360)*O360</f>
        <v>400</v>
      </c>
      <c r="AE360" s="618">
        <f>SUMIFS(Нормативы!Q:Q,Нормативы!$B:$B,$G360,Нормативы!$D:$D,'2020'!$I360,Нормативы!$F:$F,'2020'!$K360)</f>
        <v>970</v>
      </c>
      <c r="AF360" s="618">
        <f>SUMIFS(Нормативы!R:R,Нормативы!$B:$B,$G360,Нормативы!$D:$D,'2020'!$I360,Нормативы!$F:$F,'2020'!$K360)</f>
        <v>2680</v>
      </c>
      <c r="AG360" s="618">
        <f>SUMIFS(Нормативы!S:S,Нормативы!$B:$B,$G360,Нормативы!$D:$D,'2020'!$I360,Нормативы!$F:$F,'2020'!$K360)</f>
        <v>5800</v>
      </c>
      <c r="AH360" s="618">
        <f>SUMIFS(Нормативы!T:T,Нормативы!$B:$B,$G360,Нормативы!$D:$D,'2020'!$I360,Нормативы!$F:$F,'2020'!$K360)</f>
        <v>540</v>
      </c>
      <c r="AI360" s="618">
        <f>SUMIFS(Нормативы!U:U,Нормативы!$B:$B,$G360,Нормативы!$D:$D,'2020'!$I360,Нормативы!$F:$F,'2020'!$K360)</f>
        <v>770</v>
      </c>
      <c r="AJ360" s="618">
        <f>SUMIFS(Нормативы!V:V,Нормативы!$B:$B,$G360,Нормативы!$D:$D,'2020'!$I360,Нормативы!$F:$F,'2020'!$K360)</f>
        <v>80</v>
      </c>
      <c r="AK360" s="618">
        <f>SUMIFS(Нормативы!W:W,Нормативы!$B:$B,$G360,Нормативы!$D:$D,'2020'!$I360,Нормативы!$F:$F,'2020'!$K360)</f>
        <v>330</v>
      </c>
      <c r="AL360" s="618">
        <f>SUMIFS(Нормативы!X:X,Нормативы!$B:$B,$G360,Нормативы!$D:$D,'2020'!$I360,Нормативы!$F:$F,'2020'!$K360)*O360</f>
        <v>16120</v>
      </c>
      <c r="AM360" s="618">
        <f t="shared" si="855"/>
        <v>12381</v>
      </c>
      <c r="AN360" s="618">
        <f t="shared" si="856"/>
        <v>3739</v>
      </c>
      <c r="AO360" s="618">
        <f>SUMIFS(Нормативы!AA:AA,Нормативы!$B:$B,$G360,Нормативы!$D:$D,'2020'!$I360,Нормативы!$F:$F,'2020'!$K360)</f>
        <v>3520</v>
      </c>
      <c r="AP360" s="619">
        <f t="shared" si="857"/>
        <v>139020</v>
      </c>
      <c r="AQ360" s="413">
        <f t="shared" si="795"/>
        <v>1412000</v>
      </c>
      <c r="AR360" s="618">
        <f t="shared" si="858"/>
        <v>1084485.3999999999</v>
      </c>
      <c r="AS360" s="618">
        <f t="shared" si="859"/>
        <v>327514.59999999998</v>
      </c>
      <c r="AT360" s="616">
        <f t="shared" si="796"/>
        <v>177200</v>
      </c>
      <c r="AU360" s="616">
        <f t="shared" si="797"/>
        <v>0</v>
      </c>
      <c r="AV360" s="616">
        <f t="shared" si="798"/>
        <v>162200</v>
      </c>
      <c r="AW360" s="616">
        <f t="shared" si="799"/>
        <v>432200</v>
      </c>
      <c r="AX360" s="616">
        <f t="shared" si="800"/>
        <v>10400</v>
      </c>
      <c r="AY360" s="616">
        <f t="shared" si="801"/>
        <v>394400</v>
      </c>
      <c r="AZ360" s="616">
        <f t="shared" si="802"/>
        <v>8000</v>
      </c>
      <c r="BA360" s="616">
        <f t="shared" si="803"/>
        <v>19400</v>
      </c>
      <c r="BB360" s="616">
        <f t="shared" si="804"/>
        <v>53600</v>
      </c>
      <c r="BC360" s="616">
        <f t="shared" si="805"/>
        <v>116000</v>
      </c>
      <c r="BD360" s="616">
        <f t="shared" si="806"/>
        <v>10800</v>
      </c>
      <c r="BE360" s="616">
        <f t="shared" si="807"/>
        <v>15400</v>
      </c>
      <c r="BF360" s="616">
        <f t="shared" si="808"/>
        <v>1600</v>
      </c>
      <c r="BG360" s="616">
        <f t="shared" si="809"/>
        <v>6600</v>
      </c>
      <c r="BH360" s="616">
        <f t="shared" si="810"/>
        <v>322400</v>
      </c>
      <c r="BI360" s="618">
        <f t="shared" si="860"/>
        <v>247619</v>
      </c>
      <c r="BJ360" s="618">
        <f t="shared" si="861"/>
        <v>74781</v>
      </c>
      <c r="BK360" s="616">
        <f t="shared" si="811"/>
        <v>70400</v>
      </c>
      <c r="BL360" s="620">
        <f t="shared" si="812"/>
        <v>2780400</v>
      </c>
      <c r="BM360" s="616">
        <f t="shared" si="813"/>
        <v>3448104</v>
      </c>
      <c r="BN360" s="618">
        <f t="shared" si="814"/>
        <v>2648313.4</v>
      </c>
      <c r="BO360" s="618">
        <f t="shared" si="815"/>
        <v>799790.6</v>
      </c>
      <c r="BP360" s="616">
        <f t="shared" si="862"/>
        <v>177200</v>
      </c>
      <c r="BQ360" s="616">
        <f t="shared" si="863"/>
        <v>0</v>
      </c>
      <c r="BR360" s="616">
        <f t="shared" si="864"/>
        <v>162200</v>
      </c>
      <c r="BS360" s="616">
        <f t="shared" si="816"/>
        <v>432200</v>
      </c>
      <c r="BT360" s="616">
        <f t="shared" si="817"/>
        <v>10400</v>
      </c>
      <c r="BU360" s="616">
        <f t="shared" si="818"/>
        <v>394400</v>
      </c>
      <c r="BV360" s="616">
        <f t="shared" si="819"/>
        <v>8000</v>
      </c>
      <c r="BW360" s="616">
        <f t="shared" si="820"/>
        <v>19400</v>
      </c>
      <c r="BX360" s="616">
        <f t="shared" si="821"/>
        <v>139360</v>
      </c>
      <c r="BY360" s="616">
        <f t="shared" si="822"/>
        <v>116000</v>
      </c>
      <c r="BZ360" s="616">
        <f t="shared" si="823"/>
        <v>10800</v>
      </c>
      <c r="CA360" s="616">
        <f t="shared" si="824"/>
        <v>15400</v>
      </c>
      <c r="CB360" s="616">
        <f t="shared" si="825"/>
        <v>1600</v>
      </c>
      <c r="CC360" s="616">
        <f t="shared" si="826"/>
        <v>6600</v>
      </c>
      <c r="CD360" s="616">
        <f t="shared" si="827"/>
        <v>787301</v>
      </c>
      <c r="CE360" s="618">
        <f t="shared" si="865"/>
        <v>604685.9</v>
      </c>
      <c r="CF360" s="618">
        <f t="shared" si="866"/>
        <v>182615.1</v>
      </c>
      <c r="CG360" s="616">
        <f t="shared" si="828"/>
        <v>70400</v>
      </c>
      <c r="CH360" s="621">
        <f t="shared" si="829"/>
        <v>5367165</v>
      </c>
      <c r="CI360" s="88">
        <f t="shared" si="830"/>
        <v>172405.2</v>
      </c>
      <c r="CJ360" s="90">
        <f t="shared" si="831"/>
        <v>132415.67000000001</v>
      </c>
      <c r="CK360" s="90">
        <f t="shared" si="832"/>
        <v>39989.53</v>
      </c>
      <c r="CL360" s="88">
        <f t="shared" si="833"/>
        <v>8860</v>
      </c>
      <c r="CM360" s="88">
        <f t="shared" si="834"/>
        <v>0</v>
      </c>
      <c r="CN360" s="88">
        <f t="shared" si="835"/>
        <v>8110</v>
      </c>
      <c r="CO360" s="88">
        <f t="shared" si="836"/>
        <v>21610</v>
      </c>
      <c r="CP360" s="88">
        <f t="shared" si="837"/>
        <v>520</v>
      </c>
      <c r="CQ360" s="88">
        <f t="shared" si="838"/>
        <v>19720</v>
      </c>
      <c r="CR360" s="88">
        <f t="shared" si="839"/>
        <v>400</v>
      </c>
      <c r="CS360" s="88">
        <f t="shared" si="840"/>
        <v>970</v>
      </c>
      <c r="CT360" s="88">
        <f t="shared" si="841"/>
        <v>6968</v>
      </c>
      <c r="CU360" s="88">
        <f t="shared" si="842"/>
        <v>5800</v>
      </c>
      <c r="CV360" s="88">
        <f t="shared" si="843"/>
        <v>540</v>
      </c>
      <c r="CW360" s="88">
        <f t="shared" si="844"/>
        <v>770</v>
      </c>
      <c r="CX360" s="88">
        <f t="shared" si="845"/>
        <v>80</v>
      </c>
      <c r="CY360" s="88">
        <f t="shared" si="846"/>
        <v>330</v>
      </c>
      <c r="CZ360" s="88">
        <f t="shared" si="847"/>
        <v>39365.050000000003</v>
      </c>
      <c r="DA360" s="90">
        <f t="shared" si="848"/>
        <v>30234.294999999998</v>
      </c>
      <c r="DB360" s="90">
        <f t="shared" si="849"/>
        <v>9130.7549999999992</v>
      </c>
      <c r="DC360" s="88">
        <f t="shared" si="850"/>
        <v>3520</v>
      </c>
      <c r="DD360" s="211">
        <f t="shared" si="851"/>
        <v>268358.25</v>
      </c>
      <c r="AUV360" s="699">
        <f t="shared" si="890"/>
        <v>172405.2</v>
      </c>
      <c r="AUW360" s="699">
        <f t="shared" si="891"/>
        <v>132415.67000000001</v>
      </c>
      <c r="AUX360" s="699">
        <f t="shared" si="892"/>
        <v>39989.53</v>
      </c>
      <c r="AUY360" s="699">
        <f t="shared" si="1023"/>
        <v>8860</v>
      </c>
      <c r="AUZ360" s="699">
        <f t="shared" si="910"/>
        <v>0</v>
      </c>
      <c r="AVA360" s="699">
        <f t="shared" si="910"/>
        <v>2.2999999999999998</v>
      </c>
      <c r="AVB360" s="699">
        <f t="shared" si="1024"/>
        <v>21610</v>
      </c>
      <c r="AVC360" s="699">
        <f t="shared" si="1025"/>
        <v>520</v>
      </c>
      <c r="AVD360" s="699">
        <f t="shared" si="1026"/>
        <v>19720</v>
      </c>
      <c r="AVE360" s="699">
        <f t="shared" si="1027"/>
        <v>400</v>
      </c>
      <c r="AVF360" s="699">
        <f t="shared" si="1028"/>
        <v>970</v>
      </c>
      <c r="AVG360" s="699">
        <f t="shared" si="1029"/>
        <v>6968</v>
      </c>
      <c r="AVH360" s="699">
        <f t="shared" si="1030"/>
        <v>5800</v>
      </c>
      <c r="AVI360" s="699">
        <f t="shared" si="1031"/>
        <v>540</v>
      </c>
      <c r="AVJ360" s="699">
        <f t="shared" si="1032"/>
        <v>770</v>
      </c>
      <c r="AVK360" s="699">
        <f t="shared" si="1033"/>
        <v>80</v>
      </c>
      <c r="AVL360" s="699">
        <f t="shared" si="1034"/>
        <v>330</v>
      </c>
      <c r="AVM360" s="699">
        <f t="shared" si="1035"/>
        <v>39365.050000000003</v>
      </c>
      <c r="AVN360" s="699">
        <f t="shared" si="1036"/>
        <v>30234.29</v>
      </c>
      <c r="AVO360" s="699">
        <f t="shared" si="1037"/>
        <v>9130.76</v>
      </c>
      <c r="AVP360" s="699">
        <f t="shared" si="1038"/>
        <v>3520</v>
      </c>
      <c r="AVQ360" s="699">
        <f t="shared" si="1039"/>
        <v>268358.25</v>
      </c>
    </row>
    <row r="361" spans="1:1265" ht="30" customHeight="1" x14ac:dyDescent="0.25">
      <c r="A361" s="643">
        <v>1</v>
      </c>
      <c r="B361" s="643">
        <v>6</v>
      </c>
      <c r="C361" s="664" t="s">
        <v>250</v>
      </c>
      <c r="D361" s="2"/>
      <c r="E361" s="101" t="s">
        <v>345</v>
      </c>
      <c r="F361" s="643" t="s">
        <v>38</v>
      </c>
      <c r="G361" s="643">
        <v>2</v>
      </c>
      <c r="H361" s="658" t="s">
        <v>8</v>
      </c>
      <c r="I361" s="643">
        <v>3</v>
      </c>
      <c r="J361" s="101" t="s">
        <v>362</v>
      </c>
      <c r="K361" s="643">
        <v>3</v>
      </c>
      <c r="L361" s="683" t="s">
        <v>350</v>
      </c>
      <c r="M361" s="11" t="s">
        <v>297</v>
      </c>
      <c r="N361" s="101" t="s">
        <v>387</v>
      </c>
      <c r="O361" s="643">
        <v>1</v>
      </c>
      <c r="P361" s="695">
        <v>20</v>
      </c>
      <c r="Q361" s="632">
        <v>20</v>
      </c>
      <c r="R361" s="632">
        <v>20</v>
      </c>
      <c r="S361" s="675">
        <f>SUMIF('Территориальный кк'!$A:$A,'2020'!$B361,'Территориальный кк'!D:D)</f>
        <v>2.4420000000000002</v>
      </c>
      <c r="T361" s="676">
        <f>SUMIF('Территориальный кк'!$A:$A,'2020'!$B361,'Территориальный кк'!E:E)</f>
        <v>2.6</v>
      </c>
      <c r="U361" s="618">
        <f>SUMIFS(Нормативы!G:G,Нормативы!$B:$B,$G361,Нормативы!$D:$D,'2020'!$I361,Нормативы!$F:$F,'2020'!$K361)*O361</f>
        <v>12944</v>
      </c>
      <c r="V361" s="618">
        <f t="shared" si="852"/>
        <v>9941.6</v>
      </c>
      <c r="W361" s="618">
        <f t="shared" si="853"/>
        <v>3002.4</v>
      </c>
      <c r="X361" s="618">
        <f>SUMIFS(Нормативы!J:J,Нормативы!$B:$B,$G361,Нормативы!$D:$D,'2020'!$I361,Нормативы!$F:$F,'2020'!$K361)</f>
        <v>486</v>
      </c>
      <c r="Y361" s="618">
        <f>SUMIFS(Нормативы!K:K,Нормативы!$B:$B,$G361,Нормативы!$D:$D,'2020'!$I361,Нормативы!$F:$F,'2020'!$K361)</f>
        <v>97</v>
      </c>
      <c r="Z361" s="618">
        <f>SUMIFS(Нормативы!L:L,Нормативы!$B:$B,$G361,Нормативы!$D:$D,'2020'!$I361,Нормативы!$F:$F,'2020'!$K361)</f>
        <v>348</v>
      </c>
      <c r="AA361" s="618">
        <f t="shared" si="854"/>
        <v>2031</v>
      </c>
      <c r="AB361" s="618">
        <f>SUMIFS(Нормативы!N:N,Нормативы!$B:$B,$G361,Нормативы!$D:$D,'2020'!$I361,Нормативы!$F:$F,'2020'!$K361)*O361</f>
        <v>52</v>
      </c>
      <c r="AC361" s="618">
        <f>SUMIFS(Нормативы!O:O,Нормативы!$B:$B,$G361,Нормативы!$D:$D,'2020'!$I361,Нормативы!$F:$F,'2020'!$K361)</f>
        <v>1728</v>
      </c>
      <c r="AD361" s="618">
        <f>SUMIFS(Нормативы!P:P,Нормативы!$B:$B,$G361,Нормативы!$D:$D,'2020'!$I361,Нормативы!$F:$F,'2020'!$K361)*O361</f>
        <v>73</v>
      </c>
      <c r="AE361" s="618">
        <f>SUMIFS(Нормативы!Q:Q,Нормативы!$B:$B,$G361,Нормативы!$D:$D,'2020'!$I361,Нормативы!$F:$F,'2020'!$K361)</f>
        <v>178</v>
      </c>
      <c r="AF361" s="618">
        <f>SUMIFS(Нормативы!R:R,Нормативы!$B:$B,$G361,Нормативы!$D:$D,'2020'!$I361,Нормативы!$F:$F,'2020'!$K361)</f>
        <v>275</v>
      </c>
      <c r="AG361" s="618">
        <f>SUMIFS(Нормативы!S:S,Нормативы!$B:$B,$G361,Нормативы!$D:$D,'2020'!$I361,Нормативы!$F:$F,'2020'!$K361)</f>
        <v>580</v>
      </c>
      <c r="AH361" s="618">
        <f>SUMIFS(Нормативы!T:T,Нормативы!$B:$B,$G361,Нормативы!$D:$D,'2020'!$I361,Нормативы!$F:$F,'2020'!$K361)</f>
        <v>54</v>
      </c>
      <c r="AI361" s="618">
        <f>SUMIFS(Нормативы!U:U,Нормативы!$B:$B,$G361,Нормативы!$D:$D,'2020'!$I361,Нормативы!$F:$F,'2020'!$K361)</f>
        <v>77</v>
      </c>
      <c r="AJ361" s="618">
        <f>SUMIFS(Нормативы!V:V,Нормативы!$B:$B,$G361,Нормативы!$D:$D,'2020'!$I361,Нормативы!$F:$F,'2020'!$K361)</f>
        <v>8</v>
      </c>
      <c r="AK361" s="618">
        <f>SUMIFS(Нормативы!W:W,Нормативы!$B:$B,$G361,Нормативы!$D:$D,'2020'!$I361,Нормативы!$F:$F,'2020'!$K361)</f>
        <v>39</v>
      </c>
      <c r="AL361" s="618">
        <f>SUMIFS(Нормативы!X:X,Нормативы!$B:$B,$G361,Нормативы!$D:$D,'2020'!$I361,Нормативы!$F:$F,'2020'!$K361)*O361</f>
        <v>1612</v>
      </c>
      <c r="AM361" s="618">
        <f t="shared" si="855"/>
        <v>1238.0999999999999</v>
      </c>
      <c r="AN361" s="618">
        <f t="shared" si="856"/>
        <v>373.9</v>
      </c>
      <c r="AO361" s="618">
        <f>SUMIFS(Нормативы!AA:AA,Нормативы!$B:$B,$G361,Нормативы!$D:$D,'2020'!$I361,Нормативы!$F:$F,'2020'!$K361)</f>
        <v>0</v>
      </c>
      <c r="AP361" s="619">
        <f t="shared" si="857"/>
        <v>18454</v>
      </c>
      <c r="AQ361" s="413">
        <f t="shared" ref="AQ361:AQ431" si="1040">ROUND($P361*U361,0)</f>
        <v>258880</v>
      </c>
      <c r="AR361" s="618">
        <f t="shared" si="858"/>
        <v>198832.6</v>
      </c>
      <c r="AS361" s="618">
        <f t="shared" si="859"/>
        <v>60047.4</v>
      </c>
      <c r="AT361" s="616">
        <f t="shared" ref="AT361:AT431" si="1041">ROUND($P361*X361,0)</f>
        <v>9720</v>
      </c>
      <c r="AU361" s="616">
        <f t="shared" ref="AU361:AU431" si="1042">ROUND($P361*Y361,0)</f>
        <v>1940</v>
      </c>
      <c r="AV361" s="616">
        <f t="shared" ref="AV361:AV431" si="1043">ROUND($P361*Z361,0)</f>
        <v>6960</v>
      </c>
      <c r="AW361" s="616">
        <f t="shared" ref="AW361:AW431" si="1044">ROUND($P361*AA361,0)</f>
        <v>40620</v>
      </c>
      <c r="AX361" s="616">
        <f t="shared" ref="AX361:AX431" si="1045">ROUND($P361*AB361,0)</f>
        <v>1040</v>
      </c>
      <c r="AY361" s="616">
        <f t="shared" ref="AY361:AY431" si="1046">ROUND($P361*AC361,0)</f>
        <v>34560</v>
      </c>
      <c r="AZ361" s="616">
        <f t="shared" ref="AZ361:AZ431" si="1047">ROUND($P361*AD361,0)</f>
        <v>1460</v>
      </c>
      <c r="BA361" s="616">
        <f t="shared" ref="BA361:BA431" si="1048">ROUND($P361*AE361,0)</f>
        <v>3560</v>
      </c>
      <c r="BB361" s="616">
        <f t="shared" ref="BB361:BB431" si="1049">ROUND($P361*AF361,0)</f>
        <v>5500</v>
      </c>
      <c r="BC361" s="616">
        <f t="shared" ref="BC361:BC431" si="1050">ROUND($P361*AG361,0)</f>
        <v>11600</v>
      </c>
      <c r="BD361" s="616">
        <f t="shared" ref="BD361:BD431" si="1051">ROUND($P361*AH361,0)</f>
        <v>1080</v>
      </c>
      <c r="BE361" s="616">
        <f t="shared" ref="BE361:BE431" si="1052">ROUND($P361*AI361,0)</f>
        <v>1540</v>
      </c>
      <c r="BF361" s="616">
        <f t="shared" ref="BF361:BF431" si="1053">ROUND($P361*AJ361,0)</f>
        <v>160</v>
      </c>
      <c r="BG361" s="616">
        <f t="shared" ref="BG361:BG431" si="1054">ROUND($P361*AK361,0)</f>
        <v>780</v>
      </c>
      <c r="BH361" s="616">
        <f t="shared" ref="BH361:BH431" si="1055">ROUND($P361*AL361,0)</f>
        <v>32240</v>
      </c>
      <c r="BI361" s="618">
        <f t="shared" si="860"/>
        <v>24761.9</v>
      </c>
      <c r="BJ361" s="618">
        <f t="shared" si="861"/>
        <v>7478.1</v>
      </c>
      <c r="BK361" s="616">
        <f t="shared" ref="BK361:BK418" si="1056">ROUND($P361*AO361,0)</f>
        <v>0</v>
      </c>
      <c r="BL361" s="620">
        <f t="shared" ref="BL361:BL431" si="1057">AQ361+AT361+AV361+AW361++BB361+BC361+BD361+BE361+BF361+BG361+BH361+BK361</f>
        <v>369080</v>
      </c>
      <c r="BM361" s="616">
        <f t="shared" ref="BM361:BM431" si="1058">ROUND(AQ361*S361,0)</f>
        <v>632185</v>
      </c>
      <c r="BN361" s="618">
        <f t="shared" ref="BN361:BN418" si="1059">ROUND(BM361/1.302,1)</f>
        <v>485549.2</v>
      </c>
      <c r="BO361" s="618">
        <f t="shared" ref="BO361:BO418" si="1060">BM361-BN361</f>
        <v>146635.79999999999</v>
      </c>
      <c r="BP361" s="616">
        <f t="shared" si="862"/>
        <v>9720</v>
      </c>
      <c r="BQ361" s="616">
        <f t="shared" si="863"/>
        <v>1940</v>
      </c>
      <c r="BR361" s="616">
        <f t="shared" si="864"/>
        <v>6960</v>
      </c>
      <c r="BS361" s="616">
        <f t="shared" ref="BS361:BS418" si="1061">AW361</f>
        <v>40620</v>
      </c>
      <c r="BT361" s="616">
        <f t="shared" ref="BT361:BT418" si="1062">AX361</f>
        <v>1040</v>
      </c>
      <c r="BU361" s="616">
        <f t="shared" ref="BU361:BU418" si="1063">AY361</f>
        <v>34560</v>
      </c>
      <c r="BV361" s="616">
        <f t="shared" ref="BV361:BV418" si="1064">AZ361</f>
        <v>1460</v>
      </c>
      <c r="BW361" s="616">
        <f t="shared" ref="BW361:BW418" si="1065">BA361</f>
        <v>3560</v>
      </c>
      <c r="BX361" s="616">
        <f t="shared" ref="BX361:BX431" si="1066">ROUND(BB361*T361,0)</f>
        <v>14300</v>
      </c>
      <c r="BY361" s="616">
        <f t="shared" ref="BY361:BY418" si="1067">BC361</f>
        <v>11600</v>
      </c>
      <c r="BZ361" s="616">
        <f t="shared" ref="BZ361:BZ418" si="1068">BD361</f>
        <v>1080</v>
      </c>
      <c r="CA361" s="616">
        <f t="shared" ref="CA361:CA418" si="1069">BE361</f>
        <v>1540</v>
      </c>
      <c r="CB361" s="616">
        <f t="shared" ref="CB361:CB418" si="1070">BF361</f>
        <v>160</v>
      </c>
      <c r="CC361" s="616">
        <f t="shared" ref="CC361:CC418" si="1071">BG361</f>
        <v>780</v>
      </c>
      <c r="CD361" s="616">
        <f t="shared" ref="CD361:CD431" si="1072">ROUND(BH361*S361,0)</f>
        <v>78730</v>
      </c>
      <c r="CE361" s="618">
        <f t="shared" si="865"/>
        <v>60468.5</v>
      </c>
      <c r="CF361" s="618">
        <f t="shared" si="866"/>
        <v>18261.5</v>
      </c>
      <c r="CG361" s="616">
        <f t="shared" ref="CG361:CG418" si="1073">BK361</f>
        <v>0</v>
      </c>
      <c r="CH361" s="621">
        <f t="shared" ref="CH361:CH431" si="1074">BM361+BP361+BR361+BS361++BX361+BY361+BZ361+CA361+CB361+CC361+CD361+CG361</f>
        <v>797675</v>
      </c>
      <c r="CI361" s="88">
        <f t="shared" ref="CI361:CI424" si="1075">ROUND(BM361/$P361,4)</f>
        <v>31609.25</v>
      </c>
      <c r="CJ361" s="90">
        <f t="shared" ref="CJ361:CJ424" si="1076">ROUND(BN361/$P361,4)</f>
        <v>24277.46</v>
      </c>
      <c r="CK361" s="90">
        <f t="shared" ref="CK361:CK424" si="1077">ROUND(BO361/$P361,4)</f>
        <v>7331.79</v>
      </c>
      <c r="CL361" s="88">
        <f t="shared" ref="CL361:CL424" si="1078">ROUND(BP361/$P361,4)</f>
        <v>486</v>
      </c>
      <c r="CM361" s="88">
        <f t="shared" ref="CM361:CM424" si="1079">ROUND(BQ361/$P361,4)</f>
        <v>97</v>
      </c>
      <c r="CN361" s="88">
        <f t="shared" ref="CN361:CN424" si="1080">ROUND(BR361/$P361,4)</f>
        <v>348</v>
      </c>
      <c r="CO361" s="88">
        <f t="shared" ref="CO361:CO424" si="1081">ROUND(BS361/$P361,4)</f>
        <v>2031</v>
      </c>
      <c r="CP361" s="88">
        <f t="shared" ref="CP361:CP424" si="1082">ROUND(BT361/$P361,4)</f>
        <v>52</v>
      </c>
      <c r="CQ361" s="88">
        <f t="shared" ref="CQ361:CQ424" si="1083">ROUND(BU361/$P361,4)</f>
        <v>1728</v>
      </c>
      <c r="CR361" s="88">
        <f t="shared" ref="CR361:CR424" si="1084">ROUND(BV361/$P361,4)</f>
        <v>73</v>
      </c>
      <c r="CS361" s="88">
        <f t="shared" ref="CS361:CS424" si="1085">ROUND(BW361/$P361,4)</f>
        <v>178</v>
      </c>
      <c r="CT361" s="88">
        <f t="shared" ref="CT361:CT424" si="1086">ROUND(BX361/$P361,4)</f>
        <v>715</v>
      </c>
      <c r="CU361" s="88">
        <f t="shared" ref="CU361:CU424" si="1087">ROUND(BY361/$P361,4)</f>
        <v>580</v>
      </c>
      <c r="CV361" s="88">
        <f t="shared" ref="CV361:CV424" si="1088">ROUND(BZ361/$P361,4)</f>
        <v>54</v>
      </c>
      <c r="CW361" s="88">
        <f t="shared" ref="CW361:CW424" si="1089">ROUND(CA361/$P361,4)</f>
        <v>77</v>
      </c>
      <c r="CX361" s="88">
        <f t="shared" ref="CX361:CX424" si="1090">ROUND(CB361/$P361,4)</f>
        <v>8</v>
      </c>
      <c r="CY361" s="88">
        <f t="shared" ref="CY361:CY424" si="1091">ROUND(CC361/$P361,4)</f>
        <v>39</v>
      </c>
      <c r="CZ361" s="88">
        <f t="shared" ref="CZ361:CZ424" si="1092">ROUND(CD361/$P361,4)</f>
        <v>3936.5</v>
      </c>
      <c r="DA361" s="90">
        <f t="shared" ref="DA361:DA424" si="1093">ROUND(CE361/$P361,4)</f>
        <v>3023.4250000000002</v>
      </c>
      <c r="DB361" s="90">
        <f t="shared" ref="DB361:DB424" si="1094">ROUND(CF361/$P361,4)</f>
        <v>913.07500000000005</v>
      </c>
      <c r="DC361" s="88">
        <f t="shared" ref="DC361:DC424" si="1095">ROUND(CG361/$P361,4)</f>
        <v>0</v>
      </c>
      <c r="DD361" s="211">
        <f t="shared" ref="DD361:DD424" si="1096">ROUND(CH361/$P361,4)</f>
        <v>39883.75</v>
      </c>
      <c r="AUV361" s="699">
        <f t="shared" si="890"/>
        <v>31609.25</v>
      </c>
      <c r="AUW361" s="699">
        <f t="shared" si="891"/>
        <v>24277.46</v>
      </c>
      <c r="AUX361" s="699">
        <f t="shared" si="892"/>
        <v>7331.79</v>
      </c>
      <c r="AUY361" s="699">
        <f t="shared" si="1023"/>
        <v>486</v>
      </c>
      <c r="AUZ361" s="699">
        <f t="shared" si="910"/>
        <v>746.15</v>
      </c>
      <c r="AVA361" s="699">
        <f t="shared" si="910"/>
        <v>0.54</v>
      </c>
      <c r="AVB361" s="699">
        <f t="shared" si="1024"/>
        <v>2031</v>
      </c>
      <c r="AVC361" s="699">
        <f t="shared" si="1025"/>
        <v>52</v>
      </c>
      <c r="AVD361" s="699">
        <f t="shared" si="1026"/>
        <v>1728</v>
      </c>
      <c r="AVE361" s="699">
        <f t="shared" si="1027"/>
        <v>73</v>
      </c>
      <c r="AVF361" s="699">
        <f t="shared" si="1028"/>
        <v>178</v>
      </c>
      <c r="AVG361" s="699">
        <f t="shared" si="1029"/>
        <v>715</v>
      </c>
      <c r="AVH361" s="699">
        <f t="shared" si="1030"/>
        <v>580</v>
      </c>
      <c r="AVI361" s="699">
        <f t="shared" si="1031"/>
        <v>54</v>
      </c>
      <c r="AVJ361" s="699">
        <f t="shared" si="1032"/>
        <v>77</v>
      </c>
      <c r="AVK361" s="699">
        <f t="shared" si="1033"/>
        <v>8</v>
      </c>
      <c r="AVL361" s="699">
        <f t="shared" si="1034"/>
        <v>39</v>
      </c>
      <c r="AVM361" s="699">
        <f t="shared" si="1035"/>
        <v>3936.5</v>
      </c>
      <c r="AVN361" s="699">
        <f t="shared" si="1036"/>
        <v>3023.43</v>
      </c>
      <c r="AVO361" s="699">
        <f t="shared" si="1037"/>
        <v>913.07</v>
      </c>
      <c r="AVP361" s="699">
        <f t="shared" si="1038"/>
        <v>0</v>
      </c>
      <c r="AVQ361" s="699">
        <f t="shared" si="1039"/>
        <v>39883.75</v>
      </c>
    </row>
    <row r="362" spans="1:1265" ht="30" customHeight="1" x14ac:dyDescent="0.25">
      <c r="A362" s="643">
        <v>1</v>
      </c>
      <c r="B362" s="643">
        <v>6</v>
      </c>
      <c r="C362" s="664" t="s">
        <v>250</v>
      </c>
      <c r="D362" s="2"/>
      <c r="E362" s="101" t="s">
        <v>345</v>
      </c>
      <c r="F362" s="643" t="s">
        <v>38</v>
      </c>
      <c r="G362" s="643">
        <v>2</v>
      </c>
      <c r="H362" s="658" t="s">
        <v>10</v>
      </c>
      <c r="I362" s="643">
        <v>0</v>
      </c>
      <c r="J362" s="101" t="s">
        <v>363</v>
      </c>
      <c r="K362" s="643">
        <v>3</v>
      </c>
      <c r="L362" s="683" t="s">
        <v>350</v>
      </c>
      <c r="M362" s="11" t="s">
        <v>269</v>
      </c>
      <c r="N362" s="101" t="s">
        <v>387</v>
      </c>
      <c r="O362" s="643">
        <v>1</v>
      </c>
      <c r="P362" s="695">
        <v>13</v>
      </c>
      <c r="Q362" s="632">
        <v>13</v>
      </c>
      <c r="R362" s="632">
        <v>13</v>
      </c>
      <c r="S362" s="675">
        <f>SUMIF('Территориальный кк'!$A:$A,'2020'!$B362,'Территориальный кк'!D:D)</f>
        <v>2.4420000000000002</v>
      </c>
      <c r="T362" s="676">
        <f>SUMIF('Территориальный кк'!$A:$A,'2020'!$B362,'Территориальный кк'!E:E)</f>
        <v>2.6</v>
      </c>
      <c r="U362" s="618">
        <f>SUMIFS(Нормативы!G:G,Нормативы!$B:$B,$G362,Нормативы!$D:$D,'2020'!$I362,Нормативы!$F:$F,'2020'!$K362)*O362</f>
        <v>70600</v>
      </c>
      <c r="V362" s="618">
        <f t="shared" ref="V362:V432" si="1097">ROUND(U362/1.302,1)</f>
        <v>54224.3</v>
      </c>
      <c r="W362" s="618">
        <f t="shared" ref="W362:W432" si="1098">U362-V362</f>
        <v>16375.7</v>
      </c>
      <c r="X362" s="618">
        <f>SUMIFS(Нормативы!J:J,Нормативы!$B:$B,$G362,Нормативы!$D:$D,'2020'!$I362,Нормативы!$F:$F,'2020'!$K362)</f>
        <v>8860</v>
      </c>
      <c r="Y362" s="618">
        <f>SUMIFS(Нормативы!K:K,Нормативы!$B:$B,$G362,Нормативы!$D:$D,'2020'!$I362,Нормативы!$F:$F,'2020'!$K362)</f>
        <v>0</v>
      </c>
      <c r="Z362" s="618">
        <f>SUMIFS(Нормативы!L:L,Нормативы!$B:$B,$G362,Нормативы!$D:$D,'2020'!$I362,Нормативы!$F:$F,'2020'!$K362)</f>
        <v>8110</v>
      </c>
      <c r="AA362" s="618">
        <f t="shared" ref="AA362:AA432" si="1099">AB362+AC362+AD362+AE362</f>
        <v>21610</v>
      </c>
      <c r="AB362" s="618">
        <f>SUMIFS(Нормативы!N:N,Нормативы!$B:$B,$G362,Нормативы!$D:$D,'2020'!$I362,Нормативы!$F:$F,'2020'!$K362)*O362</f>
        <v>520</v>
      </c>
      <c r="AC362" s="618">
        <f>SUMIFS(Нормативы!O:O,Нормативы!$B:$B,$G362,Нормативы!$D:$D,'2020'!$I362,Нормативы!$F:$F,'2020'!$K362)</f>
        <v>19720</v>
      </c>
      <c r="AD362" s="618">
        <f>SUMIFS(Нормативы!P:P,Нормативы!$B:$B,$G362,Нормативы!$D:$D,'2020'!$I362,Нормативы!$F:$F,'2020'!$K362)*O362</f>
        <v>400</v>
      </c>
      <c r="AE362" s="618">
        <f>SUMIFS(Нормативы!Q:Q,Нормативы!$B:$B,$G362,Нормативы!$D:$D,'2020'!$I362,Нормативы!$F:$F,'2020'!$K362)</f>
        <v>970</v>
      </c>
      <c r="AF362" s="618">
        <f>SUMIFS(Нормативы!R:R,Нормативы!$B:$B,$G362,Нормативы!$D:$D,'2020'!$I362,Нормативы!$F:$F,'2020'!$K362)</f>
        <v>2680</v>
      </c>
      <c r="AG362" s="618">
        <f>SUMIFS(Нормативы!S:S,Нормативы!$B:$B,$G362,Нормативы!$D:$D,'2020'!$I362,Нормативы!$F:$F,'2020'!$K362)</f>
        <v>5800</v>
      </c>
      <c r="AH362" s="618">
        <f>SUMIFS(Нормативы!T:T,Нормативы!$B:$B,$G362,Нормативы!$D:$D,'2020'!$I362,Нормативы!$F:$F,'2020'!$K362)</f>
        <v>540</v>
      </c>
      <c r="AI362" s="618">
        <f>SUMIFS(Нормативы!U:U,Нормативы!$B:$B,$G362,Нормативы!$D:$D,'2020'!$I362,Нормативы!$F:$F,'2020'!$K362)</f>
        <v>770</v>
      </c>
      <c r="AJ362" s="618">
        <f>SUMIFS(Нормативы!V:V,Нормативы!$B:$B,$G362,Нормативы!$D:$D,'2020'!$I362,Нормативы!$F:$F,'2020'!$K362)</f>
        <v>80</v>
      </c>
      <c r="AK362" s="618">
        <f>SUMIFS(Нормативы!W:W,Нормативы!$B:$B,$G362,Нормативы!$D:$D,'2020'!$I362,Нормативы!$F:$F,'2020'!$K362)</f>
        <v>330</v>
      </c>
      <c r="AL362" s="618">
        <f>SUMIFS(Нормативы!X:X,Нормативы!$B:$B,$G362,Нормативы!$D:$D,'2020'!$I362,Нормативы!$F:$F,'2020'!$K362)*O362</f>
        <v>16120</v>
      </c>
      <c r="AM362" s="618">
        <f t="shared" ref="AM362:AM432" si="1100">ROUND(AL362/1.302,1)</f>
        <v>12381</v>
      </c>
      <c r="AN362" s="618">
        <f t="shared" ref="AN362:AN432" si="1101">AL362-AM362</f>
        <v>3739</v>
      </c>
      <c r="AO362" s="618">
        <f>SUMIFS(Нормативы!AA:AA,Нормативы!$B:$B,$G362,Нормативы!$D:$D,'2020'!$I362,Нормативы!$F:$F,'2020'!$K362)</f>
        <v>3520</v>
      </c>
      <c r="AP362" s="619">
        <f t="shared" ref="AP362:AP432" si="1102">U362+X362+Z362+AA362++AF362+AG362+AH362+AI362+AJ362+AK362+AL362+AO362</f>
        <v>139020</v>
      </c>
      <c r="AQ362" s="413">
        <f t="shared" si="1040"/>
        <v>917800</v>
      </c>
      <c r="AR362" s="618">
        <f t="shared" ref="AR362:AR418" si="1103">ROUND(AQ362/1.302,1)</f>
        <v>704915.5</v>
      </c>
      <c r="AS362" s="618">
        <f t="shared" ref="AS362:AS418" si="1104">AQ362-AR362</f>
        <v>212884.5</v>
      </c>
      <c r="AT362" s="616">
        <f t="shared" si="1041"/>
        <v>115180</v>
      </c>
      <c r="AU362" s="616">
        <f t="shared" si="1042"/>
        <v>0</v>
      </c>
      <c r="AV362" s="616">
        <f t="shared" si="1043"/>
        <v>105430</v>
      </c>
      <c r="AW362" s="616">
        <f t="shared" si="1044"/>
        <v>280930</v>
      </c>
      <c r="AX362" s="616">
        <f t="shared" si="1045"/>
        <v>6760</v>
      </c>
      <c r="AY362" s="616">
        <f t="shared" si="1046"/>
        <v>256360</v>
      </c>
      <c r="AZ362" s="616">
        <f t="shared" si="1047"/>
        <v>5200</v>
      </c>
      <c r="BA362" s="616">
        <f t="shared" si="1048"/>
        <v>12610</v>
      </c>
      <c r="BB362" s="616">
        <f t="shared" si="1049"/>
        <v>34840</v>
      </c>
      <c r="BC362" s="616">
        <f t="shared" si="1050"/>
        <v>75400</v>
      </c>
      <c r="BD362" s="616">
        <f t="shared" si="1051"/>
        <v>7020</v>
      </c>
      <c r="BE362" s="616">
        <f t="shared" si="1052"/>
        <v>10010</v>
      </c>
      <c r="BF362" s="616">
        <f t="shared" si="1053"/>
        <v>1040</v>
      </c>
      <c r="BG362" s="616">
        <f t="shared" si="1054"/>
        <v>4290</v>
      </c>
      <c r="BH362" s="616">
        <f t="shared" si="1055"/>
        <v>209560</v>
      </c>
      <c r="BI362" s="618">
        <f t="shared" ref="BI362:BI418" si="1105">ROUND(BH362/1.302,1)</f>
        <v>160952.4</v>
      </c>
      <c r="BJ362" s="618">
        <f t="shared" ref="BJ362:BJ418" si="1106">BH362-BI362</f>
        <v>48607.6</v>
      </c>
      <c r="BK362" s="616">
        <f t="shared" si="1056"/>
        <v>45760</v>
      </c>
      <c r="BL362" s="620">
        <f t="shared" si="1057"/>
        <v>1807260</v>
      </c>
      <c r="BM362" s="616">
        <f t="shared" si="1058"/>
        <v>2241268</v>
      </c>
      <c r="BN362" s="618">
        <f t="shared" si="1059"/>
        <v>1721404</v>
      </c>
      <c r="BO362" s="618">
        <f t="shared" si="1060"/>
        <v>519864</v>
      </c>
      <c r="BP362" s="616">
        <f t="shared" ref="BP362:BP418" si="1107">AT362</f>
        <v>115180</v>
      </c>
      <c r="BQ362" s="616">
        <f t="shared" ref="BQ362:BQ432" si="1108">AU362</f>
        <v>0</v>
      </c>
      <c r="BR362" s="616">
        <f t="shared" ref="BR362:BR418" si="1109">AV362</f>
        <v>105430</v>
      </c>
      <c r="BS362" s="616">
        <f t="shared" si="1061"/>
        <v>280930</v>
      </c>
      <c r="BT362" s="616">
        <f t="shared" si="1062"/>
        <v>6760</v>
      </c>
      <c r="BU362" s="616">
        <f t="shared" si="1063"/>
        <v>256360</v>
      </c>
      <c r="BV362" s="616">
        <f t="shared" si="1064"/>
        <v>5200</v>
      </c>
      <c r="BW362" s="616">
        <f t="shared" si="1065"/>
        <v>12610</v>
      </c>
      <c r="BX362" s="616">
        <f t="shared" si="1066"/>
        <v>90584</v>
      </c>
      <c r="BY362" s="616">
        <f t="shared" si="1067"/>
        <v>75400</v>
      </c>
      <c r="BZ362" s="616">
        <f t="shared" si="1068"/>
        <v>7020</v>
      </c>
      <c r="CA362" s="616">
        <f t="shared" si="1069"/>
        <v>10010</v>
      </c>
      <c r="CB362" s="616">
        <f t="shared" si="1070"/>
        <v>1040</v>
      </c>
      <c r="CC362" s="616">
        <f t="shared" si="1071"/>
        <v>4290</v>
      </c>
      <c r="CD362" s="616">
        <f t="shared" si="1072"/>
        <v>511746</v>
      </c>
      <c r="CE362" s="618">
        <f t="shared" ref="CE362:CE418" si="1110">ROUND(CD362/1.302,1)</f>
        <v>393046.1</v>
      </c>
      <c r="CF362" s="618">
        <f t="shared" ref="CF362:CF418" si="1111">CD362-CE362</f>
        <v>118699.9</v>
      </c>
      <c r="CG362" s="616">
        <f t="shared" si="1073"/>
        <v>45760</v>
      </c>
      <c r="CH362" s="621">
        <f t="shared" si="1074"/>
        <v>3488658</v>
      </c>
      <c r="CI362" s="88">
        <f t="shared" si="1075"/>
        <v>172405.23079999999</v>
      </c>
      <c r="CJ362" s="90">
        <f t="shared" si="1076"/>
        <v>132415.6923</v>
      </c>
      <c r="CK362" s="90">
        <f t="shared" si="1077"/>
        <v>39989.538500000002</v>
      </c>
      <c r="CL362" s="88">
        <f t="shared" si="1078"/>
        <v>8860</v>
      </c>
      <c r="CM362" s="88">
        <f t="shared" si="1079"/>
        <v>0</v>
      </c>
      <c r="CN362" s="88">
        <f t="shared" si="1080"/>
        <v>8110</v>
      </c>
      <c r="CO362" s="88">
        <f t="shared" si="1081"/>
        <v>21610</v>
      </c>
      <c r="CP362" s="88">
        <f t="shared" si="1082"/>
        <v>520</v>
      </c>
      <c r="CQ362" s="88">
        <f t="shared" si="1083"/>
        <v>19720</v>
      </c>
      <c r="CR362" s="88">
        <f t="shared" si="1084"/>
        <v>400</v>
      </c>
      <c r="CS362" s="88">
        <f t="shared" si="1085"/>
        <v>970</v>
      </c>
      <c r="CT362" s="88">
        <f t="shared" si="1086"/>
        <v>6968</v>
      </c>
      <c r="CU362" s="88">
        <f t="shared" si="1087"/>
        <v>5800</v>
      </c>
      <c r="CV362" s="88">
        <f t="shared" si="1088"/>
        <v>540</v>
      </c>
      <c r="CW362" s="88">
        <f t="shared" si="1089"/>
        <v>770</v>
      </c>
      <c r="CX362" s="88">
        <f t="shared" si="1090"/>
        <v>80</v>
      </c>
      <c r="CY362" s="88">
        <f t="shared" si="1091"/>
        <v>330</v>
      </c>
      <c r="CZ362" s="88">
        <f t="shared" si="1092"/>
        <v>39365.0769</v>
      </c>
      <c r="DA362" s="90">
        <f t="shared" si="1093"/>
        <v>30234.315399999999</v>
      </c>
      <c r="DB362" s="90">
        <f t="shared" si="1094"/>
        <v>9130.7615000000005</v>
      </c>
      <c r="DC362" s="88">
        <f t="shared" si="1095"/>
        <v>3520</v>
      </c>
      <c r="DD362" s="211">
        <f t="shared" si="1096"/>
        <v>268358.3077</v>
      </c>
      <c r="AUV362" s="699">
        <f t="shared" si="890"/>
        <v>172405.23</v>
      </c>
      <c r="AUW362" s="699">
        <f t="shared" si="891"/>
        <v>132415.69</v>
      </c>
      <c r="AUX362" s="699">
        <f t="shared" si="892"/>
        <v>39989.54</v>
      </c>
      <c r="AUY362" s="699">
        <f t="shared" si="1023"/>
        <v>8860</v>
      </c>
      <c r="AUZ362" s="699">
        <f t="shared" si="910"/>
        <v>0</v>
      </c>
      <c r="AVA362" s="699">
        <f t="shared" si="910"/>
        <v>1.49</v>
      </c>
      <c r="AVB362" s="699">
        <f t="shared" si="1024"/>
        <v>21610</v>
      </c>
      <c r="AVC362" s="699">
        <f t="shared" si="1025"/>
        <v>520</v>
      </c>
      <c r="AVD362" s="699">
        <f t="shared" si="1026"/>
        <v>19720</v>
      </c>
      <c r="AVE362" s="699">
        <f t="shared" si="1027"/>
        <v>400</v>
      </c>
      <c r="AVF362" s="699">
        <f t="shared" si="1028"/>
        <v>970</v>
      </c>
      <c r="AVG362" s="699">
        <f t="shared" si="1029"/>
        <v>6968</v>
      </c>
      <c r="AVH362" s="699">
        <f t="shared" si="1030"/>
        <v>5800</v>
      </c>
      <c r="AVI362" s="699">
        <f t="shared" si="1031"/>
        <v>540</v>
      </c>
      <c r="AVJ362" s="699">
        <f t="shared" si="1032"/>
        <v>770</v>
      </c>
      <c r="AVK362" s="699">
        <f t="shared" si="1033"/>
        <v>80</v>
      </c>
      <c r="AVL362" s="699">
        <f t="shared" si="1034"/>
        <v>330</v>
      </c>
      <c r="AVM362" s="699">
        <f t="shared" si="1035"/>
        <v>39365.08</v>
      </c>
      <c r="AVN362" s="699">
        <f t="shared" si="1036"/>
        <v>30234.32</v>
      </c>
      <c r="AVO362" s="699">
        <f t="shared" si="1037"/>
        <v>9130.76</v>
      </c>
      <c r="AVP362" s="699">
        <f t="shared" si="1038"/>
        <v>3520</v>
      </c>
      <c r="AVQ362" s="699">
        <f t="shared" si="1039"/>
        <v>268358.31</v>
      </c>
    </row>
    <row r="363" spans="1:1265" ht="30" customHeight="1" x14ac:dyDescent="0.25">
      <c r="A363" s="643">
        <v>1</v>
      </c>
      <c r="B363" s="643">
        <v>6</v>
      </c>
      <c r="C363" s="664" t="s">
        <v>250</v>
      </c>
      <c r="D363" s="2"/>
      <c r="E363" s="101" t="s">
        <v>345</v>
      </c>
      <c r="F363" s="643" t="s">
        <v>38</v>
      </c>
      <c r="G363" s="643">
        <v>2</v>
      </c>
      <c r="H363" s="658" t="s">
        <v>8</v>
      </c>
      <c r="I363" s="643">
        <v>3</v>
      </c>
      <c r="J363" s="101" t="s">
        <v>363</v>
      </c>
      <c r="K363" s="643">
        <v>3</v>
      </c>
      <c r="L363" s="683" t="s">
        <v>350</v>
      </c>
      <c r="M363" s="11" t="s">
        <v>300</v>
      </c>
      <c r="N363" s="101" t="s">
        <v>387</v>
      </c>
      <c r="O363" s="643">
        <v>1</v>
      </c>
      <c r="P363" s="695">
        <v>7</v>
      </c>
      <c r="Q363" s="632">
        <v>7</v>
      </c>
      <c r="R363" s="632">
        <v>7</v>
      </c>
      <c r="S363" s="675">
        <f>SUMIF('Территориальный кк'!$A:$A,'2020'!$B363,'Территориальный кк'!D:D)</f>
        <v>2.4420000000000002</v>
      </c>
      <c r="T363" s="676">
        <f>SUMIF('Территориальный кк'!$A:$A,'2020'!$B363,'Территориальный кк'!E:E)</f>
        <v>2.6</v>
      </c>
      <c r="U363" s="618">
        <f>SUMIFS(Нормативы!G:G,Нормативы!$B:$B,$G363,Нормативы!$D:$D,'2020'!$I363,Нормативы!$F:$F,'2020'!$K363)*O363</f>
        <v>12944</v>
      </c>
      <c r="V363" s="618">
        <f t="shared" si="1097"/>
        <v>9941.6</v>
      </c>
      <c r="W363" s="618">
        <f t="shared" si="1098"/>
        <v>3002.4</v>
      </c>
      <c r="X363" s="618">
        <f>SUMIFS(Нормативы!J:J,Нормативы!$B:$B,$G363,Нормативы!$D:$D,'2020'!$I363,Нормативы!$F:$F,'2020'!$K363)</f>
        <v>486</v>
      </c>
      <c r="Y363" s="618">
        <f>SUMIFS(Нормативы!K:K,Нормативы!$B:$B,$G363,Нормативы!$D:$D,'2020'!$I363,Нормативы!$F:$F,'2020'!$K363)</f>
        <v>97</v>
      </c>
      <c r="Z363" s="618">
        <f>SUMIFS(Нормативы!L:L,Нормативы!$B:$B,$G363,Нормативы!$D:$D,'2020'!$I363,Нормативы!$F:$F,'2020'!$K363)</f>
        <v>348</v>
      </c>
      <c r="AA363" s="618">
        <f t="shared" si="1099"/>
        <v>2031</v>
      </c>
      <c r="AB363" s="618">
        <f>SUMIFS(Нормативы!N:N,Нормативы!$B:$B,$G363,Нормативы!$D:$D,'2020'!$I363,Нормативы!$F:$F,'2020'!$K363)*O363</f>
        <v>52</v>
      </c>
      <c r="AC363" s="618">
        <f>SUMIFS(Нормативы!O:O,Нормативы!$B:$B,$G363,Нормативы!$D:$D,'2020'!$I363,Нормативы!$F:$F,'2020'!$K363)</f>
        <v>1728</v>
      </c>
      <c r="AD363" s="618">
        <f>SUMIFS(Нормативы!P:P,Нормативы!$B:$B,$G363,Нормативы!$D:$D,'2020'!$I363,Нормативы!$F:$F,'2020'!$K363)*O363</f>
        <v>73</v>
      </c>
      <c r="AE363" s="618">
        <f>SUMIFS(Нормативы!Q:Q,Нормативы!$B:$B,$G363,Нормативы!$D:$D,'2020'!$I363,Нормативы!$F:$F,'2020'!$K363)</f>
        <v>178</v>
      </c>
      <c r="AF363" s="618">
        <f>SUMIFS(Нормативы!R:R,Нормативы!$B:$B,$G363,Нормативы!$D:$D,'2020'!$I363,Нормативы!$F:$F,'2020'!$K363)</f>
        <v>275</v>
      </c>
      <c r="AG363" s="618">
        <f>SUMIFS(Нормативы!S:S,Нормативы!$B:$B,$G363,Нормативы!$D:$D,'2020'!$I363,Нормативы!$F:$F,'2020'!$K363)</f>
        <v>580</v>
      </c>
      <c r="AH363" s="618">
        <f>SUMIFS(Нормативы!T:T,Нормативы!$B:$B,$G363,Нормативы!$D:$D,'2020'!$I363,Нормативы!$F:$F,'2020'!$K363)</f>
        <v>54</v>
      </c>
      <c r="AI363" s="618">
        <f>SUMIFS(Нормативы!U:U,Нормативы!$B:$B,$G363,Нормативы!$D:$D,'2020'!$I363,Нормативы!$F:$F,'2020'!$K363)</f>
        <v>77</v>
      </c>
      <c r="AJ363" s="618">
        <f>SUMIFS(Нормативы!V:V,Нормативы!$B:$B,$G363,Нормативы!$D:$D,'2020'!$I363,Нормативы!$F:$F,'2020'!$K363)</f>
        <v>8</v>
      </c>
      <c r="AK363" s="618">
        <f>SUMIFS(Нормативы!W:W,Нормативы!$B:$B,$G363,Нормативы!$D:$D,'2020'!$I363,Нормативы!$F:$F,'2020'!$K363)</f>
        <v>39</v>
      </c>
      <c r="AL363" s="618">
        <f>SUMIFS(Нормативы!X:X,Нормативы!$B:$B,$G363,Нормативы!$D:$D,'2020'!$I363,Нормативы!$F:$F,'2020'!$K363)*O363</f>
        <v>1612</v>
      </c>
      <c r="AM363" s="618">
        <f t="shared" si="1100"/>
        <v>1238.0999999999999</v>
      </c>
      <c r="AN363" s="618">
        <f t="shared" si="1101"/>
        <v>373.9</v>
      </c>
      <c r="AO363" s="618">
        <f>SUMIFS(Нормативы!AA:AA,Нормативы!$B:$B,$G363,Нормативы!$D:$D,'2020'!$I363,Нормативы!$F:$F,'2020'!$K363)</f>
        <v>0</v>
      </c>
      <c r="AP363" s="619">
        <f t="shared" si="1102"/>
        <v>18454</v>
      </c>
      <c r="AQ363" s="413">
        <f t="shared" si="1040"/>
        <v>90608</v>
      </c>
      <c r="AR363" s="618">
        <f t="shared" si="1103"/>
        <v>69591.399999999994</v>
      </c>
      <c r="AS363" s="618">
        <f t="shared" si="1104"/>
        <v>21016.6</v>
      </c>
      <c r="AT363" s="616">
        <f t="shared" si="1041"/>
        <v>3402</v>
      </c>
      <c r="AU363" s="616">
        <f t="shared" si="1042"/>
        <v>679</v>
      </c>
      <c r="AV363" s="616">
        <f t="shared" si="1043"/>
        <v>2436</v>
      </c>
      <c r="AW363" s="616">
        <f t="shared" si="1044"/>
        <v>14217</v>
      </c>
      <c r="AX363" s="616">
        <f t="shared" si="1045"/>
        <v>364</v>
      </c>
      <c r="AY363" s="616">
        <f t="shared" si="1046"/>
        <v>12096</v>
      </c>
      <c r="AZ363" s="616">
        <f t="shared" si="1047"/>
        <v>511</v>
      </c>
      <c r="BA363" s="616">
        <f t="shared" si="1048"/>
        <v>1246</v>
      </c>
      <c r="BB363" s="616">
        <f t="shared" si="1049"/>
        <v>1925</v>
      </c>
      <c r="BC363" s="616">
        <f t="shared" si="1050"/>
        <v>4060</v>
      </c>
      <c r="BD363" s="616">
        <f t="shared" si="1051"/>
        <v>378</v>
      </c>
      <c r="BE363" s="616">
        <f t="shared" si="1052"/>
        <v>539</v>
      </c>
      <c r="BF363" s="616">
        <f t="shared" si="1053"/>
        <v>56</v>
      </c>
      <c r="BG363" s="616">
        <f t="shared" si="1054"/>
        <v>273</v>
      </c>
      <c r="BH363" s="616">
        <f t="shared" si="1055"/>
        <v>11284</v>
      </c>
      <c r="BI363" s="618">
        <f t="shared" si="1105"/>
        <v>8666.7000000000007</v>
      </c>
      <c r="BJ363" s="618">
        <f t="shared" si="1106"/>
        <v>2617.3000000000002</v>
      </c>
      <c r="BK363" s="616">
        <f t="shared" si="1056"/>
        <v>0</v>
      </c>
      <c r="BL363" s="620">
        <f t="shared" si="1057"/>
        <v>129178</v>
      </c>
      <c r="BM363" s="616">
        <f t="shared" si="1058"/>
        <v>221265</v>
      </c>
      <c r="BN363" s="618">
        <f t="shared" si="1059"/>
        <v>169942.39999999999</v>
      </c>
      <c r="BO363" s="618">
        <f t="shared" si="1060"/>
        <v>51322.6</v>
      </c>
      <c r="BP363" s="616">
        <f t="shared" si="1107"/>
        <v>3402</v>
      </c>
      <c r="BQ363" s="616">
        <f t="shared" si="1108"/>
        <v>679</v>
      </c>
      <c r="BR363" s="616">
        <f t="shared" si="1109"/>
        <v>2436</v>
      </c>
      <c r="BS363" s="616">
        <f t="shared" si="1061"/>
        <v>14217</v>
      </c>
      <c r="BT363" s="616">
        <f t="shared" si="1062"/>
        <v>364</v>
      </c>
      <c r="BU363" s="616">
        <f t="shared" si="1063"/>
        <v>12096</v>
      </c>
      <c r="BV363" s="616">
        <f t="shared" si="1064"/>
        <v>511</v>
      </c>
      <c r="BW363" s="616">
        <f t="shared" si="1065"/>
        <v>1246</v>
      </c>
      <c r="BX363" s="616">
        <f t="shared" si="1066"/>
        <v>5005</v>
      </c>
      <c r="BY363" s="616">
        <f t="shared" si="1067"/>
        <v>4060</v>
      </c>
      <c r="BZ363" s="616">
        <f t="shared" si="1068"/>
        <v>378</v>
      </c>
      <c r="CA363" s="616">
        <f t="shared" si="1069"/>
        <v>539</v>
      </c>
      <c r="CB363" s="616">
        <f t="shared" si="1070"/>
        <v>56</v>
      </c>
      <c r="CC363" s="616">
        <f t="shared" si="1071"/>
        <v>273</v>
      </c>
      <c r="CD363" s="616">
        <f t="shared" si="1072"/>
        <v>27556</v>
      </c>
      <c r="CE363" s="618">
        <f t="shared" si="1110"/>
        <v>21164.400000000001</v>
      </c>
      <c r="CF363" s="618">
        <f t="shared" si="1111"/>
        <v>6391.6</v>
      </c>
      <c r="CG363" s="616">
        <f t="shared" si="1073"/>
        <v>0</v>
      </c>
      <c r="CH363" s="621">
        <f t="shared" si="1074"/>
        <v>279187</v>
      </c>
      <c r="CI363" s="88">
        <f t="shared" si="1075"/>
        <v>31609.2857</v>
      </c>
      <c r="CJ363" s="90">
        <f t="shared" si="1076"/>
        <v>24277.485700000001</v>
      </c>
      <c r="CK363" s="90">
        <f t="shared" si="1077"/>
        <v>7331.8</v>
      </c>
      <c r="CL363" s="88">
        <f t="shared" si="1078"/>
        <v>486</v>
      </c>
      <c r="CM363" s="88">
        <f t="shared" si="1079"/>
        <v>97</v>
      </c>
      <c r="CN363" s="88">
        <f t="shared" si="1080"/>
        <v>348</v>
      </c>
      <c r="CO363" s="88">
        <f t="shared" si="1081"/>
        <v>2031</v>
      </c>
      <c r="CP363" s="88">
        <f t="shared" si="1082"/>
        <v>52</v>
      </c>
      <c r="CQ363" s="88">
        <f t="shared" si="1083"/>
        <v>1728</v>
      </c>
      <c r="CR363" s="88">
        <f t="shared" si="1084"/>
        <v>73</v>
      </c>
      <c r="CS363" s="88">
        <f t="shared" si="1085"/>
        <v>178</v>
      </c>
      <c r="CT363" s="88">
        <f t="shared" si="1086"/>
        <v>715</v>
      </c>
      <c r="CU363" s="88">
        <f t="shared" si="1087"/>
        <v>580</v>
      </c>
      <c r="CV363" s="88">
        <f t="shared" si="1088"/>
        <v>54</v>
      </c>
      <c r="CW363" s="88">
        <f t="shared" si="1089"/>
        <v>77</v>
      </c>
      <c r="CX363" s="88">
        <f t="shared" si="1090"/>
        <v>8</v>
      </c>
      <c r="CY363" s="88">
        <f t="shared" si="1091"/>
        <v>39</v>
      </c>
      <c r="CZ363" s="88">
        <f t="shared" si="1092"/>
        <v>3936.5713999999998</v>
      </c>
      <c r="DA363" s="90">
        <f t="shared" si="1093"/>
        <v>3023.4857000000002</v>
      </c>
      <c r="DB363" s="90">
        <f t="shared" si="1094"/>
        <v>913.08569999999997</v>
      </c>
      <c r="DC363" s="88">
        <f t="shared" si="1095"/>
        <v>0</v>
      </c>
      <c r="DD363" s="211">
        <f t="shared" si="1096"/>
        <v>39883.857100000001</v>
      </c>
      <c r="AUV363" s="699">
        <f t="shared" si="890"/>
        <v>31609.29</v>
      </c>
      <c r="AUW363" s="699">
        <f t="shared" si="891"/>
        <v>24277.49</v>
      </c>
      <c r="AUX363" s="699">
        <f t="shared" si="892"/>
        <v>7331.8</v>
      </c>
      <c r="AUY363" s="699">
        <f t="shared" si="1023"/>
        <v>486</v>
      </c>
      <c r="AUZ363" s="699">
        <f t="shared" si="910"/>
        <v>261.14999999999998</v>
      </c>
      <c r="AVA363" s="699">
        <f t="shared" si="910"/>
        <v>0.19</v>
      </c>
      <c r="AVB363" s="699">
        <f t="shared" si="1024"/>
        <v>2031</v>
      </c>
      <c r="AVC363" s="699">
        <f t="shared" si="1025"/>
        <v>52</v>
      </c>
      <c r="AVD363" s="699">
        <f t="shared" si="1026"/>
        <v>1728</v>
      </c>
      <c r="AVE363" s="699">
        <f t="shared" si="1027"/>
        <v>73</v>
      </c>
      <c r="AVF363" s="699">
        <f t="shared" si="1028"/>
        <v>178</v>
      </c>
      <c r="AVG363" s="699">
        <f t="shared" si="1029"/>
        <v>715</v>
      </c>
      <c r="AVH363" s="699">
        <f t="shared" si="1030"/>
        <v>580</v>
      </c>
      <c r="AVI363" s="699">
        <f t="shared" si="1031"/>
        <v>54</v>
      </c>
      <c r="AVJ363" s="699">
        <f t="shared" si="1032"/>
        <v>77</v>
      </c>
      <c r="AVK363" s="699">
        <f t="shared" si="1033"/>
        <v>8</v>
      </c>
      <c r="AVL363" s="699">
        <f t="shared" si="1034"/>
        <v>39</v>
      </c>
      <c r="AVM363" s="699">
        <f t="shared" si="1035"/>
        <v>3936.57</v>
      </c>
      <c r="AVN363" s="699">
        <f t="shared" si="1036"/>
        <v>3023.48</v>
      </c>
      <c r="AVO363" s="699">
        <f t="shared" si="1037"/>
        <v>913.09</v>
      </c>
      <c r="AVP363" s="699">
        <f t="shared" si="1038"/>
        <v>0</v>
      </c>
      <c r="AVQ363" s="699">
        <f t="shared" si="1039"/>
        <v>39883.86</v>
      </c>
    </row>
    <row r="364" spans="1:1265" ht="30" customHeight="1" x14ac:dyDescent="0.25">
      <c r="A364" s="643">
        <v>1</v>
      </c>
      <c r="B364" s="643">
        <v>6</v>
      </c>
      <c r="C364" s="664" t="s">
        <v>250</v>
      </c>
      <c r="D364" s="2"/>
      <c r="E364" s="101" t="s">
        <v>345</v>
      </c>
      <c r="F364" s="643" t="s">
        <v>38</v>
      </c>
      <c r="G364" s="643">
        <v>2</v>
      </c>
      <c r="H364" s="658" t="s">
        <v>10</v>
      </c>
      <c r="I364" s="643">
        <v>0</v>
      </c>
      <c r="J364" s="101" t="s">
        <v>382</v>
      </c>
      <c r="K364" s="643">
        <v>1</v>
      </c>
      <c r="L364" s="683" t="s">
        <v>350</v>
      </c>
      <c r="M364" s="11" t="s">
        <v>301</v>
      </c>
      <c r="N364" s="101" t="s">
        <v>387</v>
      </c>
      <c r="O364" s="643">
        <v>1</v>
      </c>
      <c r="P364" s="695">
        <v>5</v>
      </c>
      <c r="Q364" s="632">
        <v>5</v>
      </c>
      <c r="R364" s="632">
        <v>5</v>
      </c>
      <c r="S364" s="675">
        <f>SUMIF('Территориальный кк'!$A:$A,'2020'!$B364,'Территориальный кк'!D:D)</f>
        <v>2.4420000000000002</v>
      </c>
      <c r="T364" s="676">
        <f>SUMIF('Территориальный кк'!$A:$A,'2020'!$B364,'Территориальный кк'!E:E)</f>
        <v>2.6</v>
      </c>
      <c r="U364" s="618">
        <f>SUMIFS(Нормативы!G:G,Нормативы!$B:$B,$G364,Нормативы!$D:$D,'2020'!$I364,Нормативы!$F:$F,'2020'!$K364)*O364</f>
        <v>59740</v>
      </c>
      <c r="V364" s="618">
        <f t="shared" si="1097"/>
        <v>45883.3</v>
      </c>
      <c r="W364" s="618">
        <f t="shared" si="1098"/>
        <v>13856.7</v>
      </c>
      <c r="X364" s="618">
        <f>SUMIFS(Нормативы!J:J,Нормативы!$B:$B,$G364,Нормативы!$D:$D,'2020'!$I364,Нормативы!$F:$F,'2020'!$K364)</f>
        <v>220</v>
      </c>
      <c r="Y364" s="618">
        <f>SUMIFS(Нормативы!K:K,Нормативы!$B:$B,$G364,Нормативы!$D:$D,'2020'!$I364,Нормативы!$F:$F,'2020'!$K364)</f>
        <v>44</v>
      </c>
      <c r="Z364" s="618">
        <f>SUMIFS(Нормативы!L:L,Нормативы!$B:$B,$G364,Нормативы!$D:$D,'2020'!$I364,Нормативы!$F:$F,'2020'!$K364)</f>
        <v>2320</v>
      </c>
      <c r="AA364" s="618">
        <f t="shared" si="1099"/>
        <v>4350</v>
      </c>
      <c r="AB364" s="618">
        <f>SUMIFS(Нормативы!N:N,Нормативы!$B:$B,$G364,Нормативы!$D:$D,'2020'!$I364,Нормативы!$F:$F,'2020'!$K364)*O364</f>
        <v>520</v>
      </c>
      <c r="AC364" s="618">
        <f>SUMIFS(Нормативы!O:O,Нормативы!$B:$B,$G364,Нормативы!$D:$D,'2020'!$I364,Нормативы!$F:$F,'2020'!$K364)</f>
        <v>2670</v>
      </c>
      <c r="AD364" s="618">
        <f>SUMIFS(Нормативы!P:P,Нормативы!$B:$B,$G364,Нормативы!$D:$D,'2020'!$I364,Нормативы!$F:$F,'2020'!$K364)*O364</f>
        <v>340</v>
      </c>
      <c r="AE364" s="618">
        <f>SUMIFS(Нормативы!Q:Q,Нормативы!$B:$B,$G364,Нормативы!$D:$D,'2020'!$I364,Нормативы!$F:$F,'2020'!$K364)</f>
        <v>820</v>
      </c>
      <c r="AF364" s="618">
        <f>SUMIFS(Нормативы!R:R,Нормативы!$B:$B,$G364,Нормативы!$D:$D,'2020'!$I364,Нормативы!$F:$F,'2020'!$K364)</f>
        <v>2460</v>
      </c>
      <c r="AG364" s="618">
        <f>SUMIFS(Нормативы!S:S,Нормативы!$B:$B,$G364,Нормативы!$D:$D,'2020'!$I364,Нормативы!$F:$F,'2020'!$K364)</f>
        <v>5080</v>
      </c>
      <c r="AH364" s="618">
        <f>SUMIFS(Нормативы!T:T,Нормативы!$B:$B,$G364,Нормативы!$D:$D,'2020'!$I364,Нормативы!$F:$F,'2020'!$K364)</f>
        <v>540</v>
      </c>
      <c r="AI364" s="618">
        <f>SUMIFS(Нормативы!U:U,Нормативы!$B:$B,$G364,Нормативы!$D:$D,'2020'!$I364,Нормативы!$F:$F,'2020'!$K364)</f>
        <v>770</v>
      </c>
      <c r="AJ364" s="618">
        <f>SUMIFS(Нормативы!V:V,Нормативы!$B:$B,$G364,Нормативы!$D:$D,'2020'!$I364,Нормативы!$F:$F,'2020'!$K364)</f>
        <v>80</v>
      </c>
      <c r="AK364" s="618">
        <f>SUMIFS(Нормативы!W:W,Нормативы!$B:$B,$G364,Нормативы!$D:$D,'2020'!$I364,Нормативы!$F:$F,'2020'!$K364)</f>
        <v>120</v>
      </c>
      <c r="AL364" s="618">
        <f>SUMIFS(Нормативы!X:X,Нормативы!$B:$B,$G364,Нормативы!$D:$D,'2020'!$I364,Нормативы!$F:$F,'2020'!$K364)*O364</f>
        <v>13440</v>
      </c>
      <c r="AM364" s="618">
        <f t="shared" si="1100"/>
        <v>10322.6</v>
      </c>
      <c r="AN364" s="618">
        <f t="shared" si="1101"/>
        <v>3117.4</v>
      </c>
      <c r="AO364" s="618">
        <f>SUMIFS(Нормативы!AA:AA,Нормативы!$B:$B,$G364,Нормативы!$D:$D,'2020'!$I364,Нормативы!$F:$F,'2020'!$K364)</f>
        <v>3520</v>
      </c>
      <c r="AP364" s="619">
        <f t="shared" si="1102"/>
        <v>92640</v>
      </c>
      <c r="AQ364" s="413">
        <f t="shared" si="1040"/>
        <v>298700</v>
      </c>
      <c r="AR364" s="618">
        <f t="shared" si="1103"/>
        <v>229416.3</v>
      </c>
      <c r="AS364" s="618">
        <f t="shared" si="1104"/>
        <v>69283.7</v>
      </c>
      <c r="AT364" s="616">
        <f t="shared" si="1041"/>
        <v>1100</v>
      </c>
      <c r="AU364" s="616">
        <f t="shared" si="1042"/>
        <v>220</v>
      </c>
      <c r="AV364" s="616">
        <f t="shared" si="1043"/>
        <v>11600</v>
      </c>
      <c r="AW364" s="616">
        <f t="shared" si="1044"/>
        <v>21750</v>
      </c>
      <c r="AX364" s="616">
        <f t="shared" si="1045"/>
        <v>2600</v>
      </c>
      <c r="AY364" s="616">
        <f t="shared" si="1046"/>
        <v>13350</v>
      </c>
      <c r="AZ364" s="616">
        <f t="shared" si="1047"/>
        <v>1700</v>
      </c>
      <c r="BA364" s="616">
        <f t="shared" si="1048"/>
        <v>4100</v>
      </c>
      <c r="BB364" s="616">
        <f t="shared" si="1049"/>
        <v>12300</v>
      </c>
      <c r="BC364" s="616">
        <f t="shared" si="1050"/>
        <v>25400</v>
      </c>
      <c r="BD364" s="616">
        <f t="shared" si="1051"/>
        <v>2700</v>
      </c>
      <c r="BE364" s="616">
        <f t="shared" si="1052"/>
        <v>3850</v>
      </c>
      <c r="BF364" s="616">
        <f t="shared" si="1053"/>
        <v>400</v>
      </c>
      <c r="BG364" s="616">
        <f t="shared" si="1054"/>
        <v>600</v>
      </c>
      <c r="BH364" s="616">
        <f t="shared" si="1055"/>
        <v>67200</v>
      </c>
      <c r="BI364" s="618">
        <f t="shared" si="1105"/>
        <v>51612.9</v>
      </c>
      <c r="BJ364" s="618">
        <f t="shared" si="1106"/>
        <v>15587.1</v>
      </c>
      <c r="BK364" s="616">
        <f t="shared" si="1056"/>
        <v>17600</v>
      </c>
      <c r="BL364" s="620">
        <f t="shared" si="1057"/>
        <v>463200</v>
      </c>
      <c r="BM364" s="616">
        <f t="shared" si="1058"/>
        <v>729425</v>
      </c>
      <c r="BN364" s="618">
        <f t="shared" si="1059"/>
        <v>560234.30000000005</v>
      </c>
      <c r="BO364" s="618">
        <f t="shared" si="1060"/>
        <v>169190.7</v>
      </c>
      <c r="BP364" s="616">
        <f t="shared" si="1107"/>
        <v>1100</v>
      </c>
      <c r="BQ364" s="616">
        <f t="shared" si="1108"/>
        <v>220</v>
      </c>
      <c r="BR364" s="616">
        <f t="shared" si="1109"/>
        <v>11600</v>
      </c>
      <c r="BS364" s="616">
        <f t="shared" si="1061"/>
        <v>21750</v>
      </c>
      <c r="BT364" s="616">
        <f t="shared" si="1062"/>
        <v>2600</v>
      </c>
      <c r="BU364" s="616">
        <f t="shared" si="1063"/>
        <v>13350</v>
      </c>
      <c r="BV364" s="616">
        <f t="shared" si="1064"/>
        <v>1700</v>
      </c>
      <c r="BW364" s="616">
        <f t="shared" si="1065"/>
        <v>4100</v>
      </c>
      <c r="BX364" s="616">
        <f t="shared" si="1066"/>
        <v>31980</v>
      </c>
      <c r="BY364" s="616">
        <f t="shared" si="1067"/>
        <v>25400</v>
      </c>
      <c r="BZ364" s="616">
        <f t="shared" si="1068"/>
        <v>2700</v>
      </c>
      <c r="CA364" s="616">
        <f t="shared" si="1069"/>
        <v>3850</v>
      </c>
      <c r="CB364" s="616">
        <f t="shared" si="1070"/>
        <v>400</v>
      </c>
      <c r="CC364" s="616">
        <f t="shared" si="1071"/>
        <v>600</v>
      </c>
      <c r="CD364" s="616">
        <f t="shared" si="1072"/>
        <v>164102</v>
      </c>
      <c r="CE364" s="618">
        <f t="shared" si="1110"/>
        <v>126038.39999999999</v>
      </c>
      <c r="CF364" s="618">
        <f t="shared" si="1111"/>
        <v>38063.599999999999</v>
      </c>
      <c r="CG364" s="616">
        <f t="shared" si="1073"/>
        <v>17600</v>
      </c>
      <c r="CH364" s="621">
        <f t="shared" si="1074"/>
        <v>1010507</v>
      </c>
      <c r="CI364" s="88">
        <f t="shared" si="1075"/>
        <v>145885</v>
      </c>
      <c r="CJ364" s="90">
        <f t="shared" si="1076"/>
        <v>112046.86</v>
      </c>
      <c r="CK364" s="90">
        <f t="shared" si="1077"/>
        <v>33838.14</v>
      </c>
      <c r="CL364" s="88">
        <f t="shared" si="1078"/>
        <v>220</v>
      </c>
      <c r="CM364" s="88">
        <f t="shared" si="1079"/>
        <v>44</v>
      </c>
      <c r="CN364" s="88">
        <f t="shared" si="1080"/>
        <v>2320</v>
      </c>
      <c r="CO364" s="88">
        <f t="shared" si="1081"/>
        <v>4350</v>
      </c>
      <c r="CP364" s="88">
        <f t="shared" si="1082"/>
        <v>520</v>
      </c>
      <c r="CQ364" s="88">
        <f t="shared" si="1083"/>
        <v>2670</v>
      </c>
      <c r="CR364" s="88">
        <f t="shared" si="1084"/>
        <v>340</v>
      </c>
      <c r="CS364" s="88">
        <f t="shared" si="1085"/>
        <v>820</v>
      </c>
      <c r="CT364" s="88">
        <f t="shared" si="1086"/>
        <v>6396</v>
      </c>
      <c r="CU364" s="88">
        <f t="shared" si="1087"/>
        <v>5080</v>
      </c>
      <c r="CV364" s="88">
        <f t="shared" si="1088"/>
        <v>540</v>
      </c>
      <c r="CW364" s="88">
        <f t="shared" si="1089"/>
        <v>770</v>
      </c>
      <c r="CX364" s="88">
        <f t="shared" si="1090"/>
        <v>80</v>
      </c>
      <c r="CY364" s="88">
        <f t="shared" si="1091"/>
        <v>120</v>
      </c>
      <c r="CZ364" s="88">
        <f t="shared" si="1092"/>
        <v>32820.400000000001</v>
      </c>
      <c r="DA364" s="90">
        <f t="shared" si="1093"/>
        <v>25207.68</v>
      </c>
      <c r="DB364" s="90">
        <f t="shared" si="1094"/>
        <v>7612.72</v>
      </c>
      <c r="DC364" s="88">
        <f t="shared" si="1095"/>
        <v>3520</v>
      </c>
      <c r="DD364" s="211">
        <f t="shared" si="1096"/>
        <v>202101.4</v>
      </c>
      <c r="AUV364" s="699">
        <f t="shared" si="890"/>
        <v>145885</v>
      </c>
      <c r="AUW364" s="699">
        <f t="shared" si="891"/>
        <v>112046.85</v>
      </c>
      <c r="AUX364" s="699">
        <f t="shared" si="892"/>
        <v>33838.15</v>
      </c>
      <c r="AUY364" s="699">
        <f t="shared" si="1023"/>
        <v>220</v>
      </c>
      <c r="AUZ364" s="699">
        <f t="shared" si="910"/>
        <v>84.62</v>
      </c>
      <c r="AVA364" s="699">
        <f t="shared" si="910"/>
        <v>0.19</v>
      </c>
      <c r="AVB364" s="699">
        <f t="shared" si="1024"/>
        <v>4350</v>
      </c>
      <c r="AVC364" s="699">
        <f t="shared" si="1025"/>
        <v>520</v>
      </c>
      <c r="AVD364" s="699">
        <f t="shared" si="1026"/>
        <v>2670</v>
      </c>
      <c r="AVE364" s="699">
        <f t="shared" si="1027"/>
        <v>340</v>
      </c>
      <c r="AVF364" s="699">
        <f t="shared" si="1028"/>
        <v>820</v>
      </c>
      <c r="AVG364" s="699">
        <f t="shared" si="1029"/>
        <v>6396</v>
      </c>
      <c r="AVH364" s="699">
        <f t="shared" si="1030"/>
        <v>5080</v>
      </c>
      <c r="AVI364" s="699">
        <f t="shared" si="1031"/>
        <v>540</v>
      </c>
      <c r="AVJ364" s="699">
        <f t="shared" si="1032"/>
        <v>770</v>
      </c>
      <c r="AVK364" s="699">
        <f t="shared" si="1033"/>
        <v>80</v>
      </c>
      <c r="AVL364" s="699">
        <f t="shared" si="1034"/>
        <v>120</v>
      </c>
      <c r="AVM364" s="699">
        <f t="shared" si="1035"/>
        <v>32820.400000000001</v>
      </c>
      <c r="AVN364" s="699">
        <f t="shared" si="1036"/>
        <v>25207.68</v>
      </c>
      <c r="AVO364" s="699">
        <f t="shared" si="1037"/>
        <v>7612.72</v>
      </c>
      <c r="AVP364" s="699">
        <f t="shared" si="1038"/>
        <v>3520</v>
      </c>
      <c r="AVQ364" s="699">
        <f t="shared" si="1039"/>
        <v>202101.4</v>
      </c>
    </row>
    <row r="365" spans="1:1265" ht="30" customHeight="1" x14ac:dyDescent="0.25">
      <c r="A365" s="643">
        <v>1</v>
      </c>
      <c r="B365" s="643">
        <v>6</v>
      </c>
      <c r="C365" s="664" t="s">
        <v>250</v>
      </c>
      <c r="D365" s="2"/>
      <c r="E365" s="101" t="s">
        <v>345</v>
      </c>
      <c r="F365" s="643" t="s">
        <v>38</v>
      </c>
      <c r="G365" s="643">
        <v>2</v>
      </c>
      <c r="H365" s="658" t="s">
        <v>8</v>
      </c>
      <c r="I365" s="643">
        <v>3</v>
      </c>
      <c r="J365" s="101" t="s">
        <v>382</v>
      </c>
      <c r="K365" s="643">
        <v>1</v>
      </c>
      <c r="L365" s="683" t="s">
        <v>350</v>
      </c>
      <c r="M365" s="11" t="s">
        <v>302</v>
      </c>
      <c r="N365" s="101" t="s">
        <v>387</v>
      </c>
      <c r="O365" s="643">
        <v>1</v>
      </c>
      <c r="P365" s="695">
        <v>5</v>
      </c>
      <c r="Q365" s="632">
        <v>5</v>
      </c>
      <c r="R365" s="632">
        <v>5</v>
      </c>
      <c r="S365" s="675">
        <f>SUMIF('Территориальный кк'!$A:$A,'2020'!$B365,'Территориальный кк'!D:D)</f>
        <v>2.4420000000000002</v>
      </c>
      <c r="T365" s="676">
        <f>SUMIF('Территориальный кк'!$A:$A,'2020'!$B365,'Территориальный кк'!E:E)</f>
        <v>2.6</v>
      </c>
      <c r="U365" s="618">
        <f>SUMIFS(Нормативы!G:G,Нормативы!$B:$B,$G365,Нормативы!$D:$D,'2020'!$I365,Нормативы!$F:$F,'2020'!$K365)*O365</f>
        <v>5974</v>
      </c>
      <c r="V365" s="618">
        <f t="shared" si="1097"/>
        <v>4588.3</v>
      </c>
      <c r="W365" s="618">
        <f t="shared" si="1098"/>
        <v>1385.7</v>
      </c>
      <c r="X365" s="618">
        <f>SUMIFS(Нормативы!J:J,Нормативы!$B:$B,$G365,Нормативы!$D:$D,'2020'!$I365,Нормативы!$F:$F,'2020'!$K365)</f>
        <v>22</v>
      </c>
      <c r="Y365" s="618">
        <f>SUMIFS(Нормативы!K:K,Нормативы!$B:$B,$G365,Нормативы!$D:$D,'2020'!$I365,Нормативы!$F:$F,'2020'!$K365)</f>
        <v>4</v>
      </c>
      <c r="Z365" s="618">
        <f>SUMIFS(Нормативы!L:L,Нормативы!$B:$B,$G365,Нормативы!$D:$D,'2020'!$I365,Нормативы!$F:$F,'2020'!$K365)</f>
        <v>232</v>
      </c>
      <c r="AA365" s="618">
        <f t="shared" si="1099"/>
        <v>435</v>
      </c>
      <c r="AB365" s="618">
        <f>SUMIFS(Нормативы!N:N,Нормативы!$B:$B,$G365,Нормативы!$D:$D,'2020'!$I365,Нормативы!$F:$F,'2020'!$K365)*O365</f>
        <v>52</v>
      </c>
      <c r="AC365" s="618">
        <f>SUMIFS(Нормативы!O:O,Нормативы!$B:$B,$G365,Нормативы!$D:$D,'2020'!$I365,Нормативы!$F:$F,'2020'!$K365)</f>
        <v>267</v>
      </c>
      <c r="AD365" s="618">
        <f>SUMIFS(Нормативы!P:P,Нормативы!$B:$B,$G365,Нормативы!$D:$D,'2020'!$I365,Нормативы!$F:$F,'2020'!$K365)*O365</f>
        <v>34</v>
      </c>
      <c r="AE365" s="618">
        <f>SUMIFS(Нормативы!Q:Q,Нормативы!$B:$B,$G365,Нормативы!$D:$D,'2020'!$I365,Нормативы!$F:$F,'2020'!$K365)</f>
        <v>82</v>
      </c>
      <c r="AF365" s="618">
        <f>SUMIFS(Нормативы!R:R,Нормативы!$B:$B,$G365,Нормативы!$D:$D,'2020'!$I365,Нормативы!$F:$F,'2020'!$K365)</f>
        <v>246</v>
      </c>
      <c r="AG365" s="618">
        <f>SUMIFS(Нормативы!S:S,Нормативы!$B:$B,$G365,Нормативы!$D:$D,'2020'!$I365,Нормативы!$F:$F,'2020'!$K365)</f>
        <v>508</v>
      </c>
      <c r="AH365" s="618">
        <f>SUMIFS(Нормативы!T:T,Нормативы!$B:$B,$G365,Нормативы!$D:$D,'2020'!$I365,Нормативы!$F:$F,'2020'!$K365)</f>
        <v>54</v>
      </c>
      <c r="AI365" s="618">
        <f>SUMIFS(Нормативы!U:U,Нормативы!$B:$B,$G365,Нормативы!$D:$D,'2020'!$I365,Нормативы!$F:$F,'2020'!$K365)</f>
        <v>77</v>
      </c>
      <c r="AJ365" s="618">
        <f>SUMIFS(Нормативы!V:V,Нормативы!$B:$B,$G365,Нормативы!$D:$D,'2020'!$I365,Нормативы!$F:$F,'2020'!$K365)</f>
        <v>8</v>
      </c>
      <c r="AK365" s="618">
        <f>SUMIFS(Нормативы!W:W,Нормативы!$B:$B,$G365,Нормативы!$D:$D,'2020'!$I365,Нормативы!$F:$F,'2020'!$K365)</f>
        <v>12</v>
      </c>
      <c r="AL365" s="618">
        <f>SUMIFS(Нормативы!X:X,Нормативы!$B:$B,$G365,Нормативы!$D:$D,'2020'!$I365,Нормативы!$F:$F,'2020'!$K365)*O365</f>
        <v>1344</v>
      </c>
      <c r="AM365" s="618">
        <f t="shared" si="1100"/>
        <v>1032.3</v>
      </c>
      <c r="AN365" s="618">
        <f t="shared" si="1101"/>
        <v>311.7</v>
      </c>
      <c r="AO365" s="618">
        <f>SUMIFS(Нормативы!AA:AA,Нормативы!$B:$B,$G365,Нормативы!$D:$D,'2020'!$I365,Нормативы!$F:$F,'2020'!$K365)</f>
        <v>0</v>
      </c>
      <c r="AP365" s="619">
        <f t="shared" si="1102"/>
        <v>8912</v>
      </c>
      <c r="AQ365" s="413">
        <f t="shared" si="1040"/>
        <v>29870</v>
      </c>
      <c r="AR365" s="618">
        <f t="shared" si="1103"/>
        <v>22941.599999999999</v>
      </c>
      <c r="AS365" s="618">
        <f t="shared" si="1104"/>
        <v>6928.4</v>
      </c>
      <c r="AT365" s="616">
        <f t="shared" si="1041"/>
        <v>110</v>
      </c>
      <c r="AU365" s="616">
        <f t="shared" si="1042"/>
        <v>20</v>
      </c>
      <c r="AV365" s="616">
        <f t="shared" si="1043"/>
        <v>1160</v>
      </c>
      <c r="AW365" s="616">
        <f t="shared" si="1044"/>
        <v>2175</v>
      </c>
      <c r="AX365" s="616">
        <f t="shared" si="1045"/>
        <v>260</v>
      </c>
      <c r="AY365" s="616">
        <f t="shared" si="1046"/>
        <v>1335</v>
      </c>
      <c r="AZ365" s="616">
        <f t="shared" si="1047"/>
        <v>170</v>
      </c>
      <c r="BA365" s="616">
        <f t="shared" si="1048"/>
        <v>410</v>
      </c>
      <c r="BB365" s="616">
        <f t="shared" si="1049"/>
        <v>1230</v>
      </c>
      <c r="BC365" s="616">
        <f t="shared" si="1050"/>
        <v>2540</v>
      </c>
      <c r="BD365" s="616">
        <f t="shared" si="1051"/>
        <v>270</v>
      </c>
      <c r="BE365" s="616">
        <f t="shared" si="1052"/>
        <v>385</v>
      </c>
      <c r="BF365" s="616">
        <f t="shared" si="1053"/>
        <v>40</v>
      </c>
      <c r="BG365" s="616">
        <f t="shared" si="1054"/>
        <v>60</v>
      </c>
      <c r="BH365" s="616">
        <f t="shared" si="1055"/>
        <v>6720</v>
      </c>
      <c r="BI365" s="618">
        <f t="shared" si="1105"/>
        <v>5161.3</v>
      </c>
      <c r="BJ365" s="618">
        <f t="shared" si="1106"/>
        <v>1558.7</v>
      </c>
      <c r="BK365" s="616">
        <f t="shared" si="1056"/>
        <v>0</v>
      </c>
      <c r="BL365" s="620">
        <f t="shared" si="1057"/>
        <v>44560</v>
      </c>
      <c r="BM365" s="616">
        <f t="shared" si="1058"/>
        <v>72943</v>
      </c>
      <c r="BN365" s="618">
        <f t="shared" si="1059"/>
        <v>56023.8</v>
      </c>
      <c r="BO365" s="618">
        <f t="shared" si="1060"/>
        <v>16919.2</v>
      </c>
      <c r="BP365" s="616">
        <f t="shared" si="1107"/>
        <v>110</v>
      </c>
      <c r="BQ365" s="616">
        <f t="shared" si="1108"/>
        <v>20</v>
      </c>
      <c r="BR365" s="616">
        <f t="shared" si="1109"/>
        <v>1160</v>
      </c>
      <c r="BS365" s="616">
        <f t="shared" si="1061"/>
        <v>2175</v>
      </c>
      <c r="BT365" s="616">
        <f t="shared" si="1062"/>
        <v>260</v>
      </c>
      <c r="BU365" s="616">
        <f t="shared" si="1063"/>
        <v>1335</v>
      </c>
      <c r="BV365" s="616">
        <f t="shared" si="1064"/>
        <v>170</v>
      </c>
      <c r="BW365" s="616">
        <f t="shared" si="1065"/>
        <v>410</v>
      </c>
      <c r="BX365" s="616">
        <f t="shared" si="1066"/>
        <v>3198</v>
      </c>
      <c r="BY365" s="616">
        <f t="shared" si="1067"/>
        <v>2540</v>
      </c>
      <c r="BZ365" s="616">
        <f t="shared" si="1068"/>
        <v>270</v>
      </c>
      <c r="CA365" s="616">
        <f t="shared" si="1069"/>
        <v>385</v>
      </c>
      <c r="CB365" s="616">
        <f t="shared" si="1070"/>
        <v>40</v>
      </c>
      <c r="CC365" s="616">
        <f t="shared" si="1071"/>
        <v>60</v>
      </c>
      <c r="CD365" s="616">
        <f t="shared" si="1072"/>
        <v>16410</v>
      </c>
      <c r="CE365" s="618">
        <f t="shared" si="1110"/>
        <v>12603.7</v>
      </c>
      <c r="CF365" s="618">
        <f t="shared" si="1111"/>
        <v>3806.3</v>
      </c>
      <c r="CG365" s="616">
        <f t="shared" si="1073"/>
        <v>0</v>
      </c>
      <c r="CH365" s="621">
        <f t="shared" si="1074"/>
        <v>99291</v>
      </c>
      <c r="CI365" s="88">
        <f t="shared" si="1075"/>
        <v>14588.6</v>
      </c>
      <c r="CJ365" s="90">
        <f t="shared" si="1076"/>
        <v>11204.76</v>
      </c>
      <c r="CK365" s="90">
        <f t="shared" si="1077"/>
        <v>3383.84</v>
      </c>
      <c r="CL365" s="88">
        <f t="shared" si="1078"/>
        <v>22</v>
      </c>
      <c r="CM365" s="88">
        <f t="shared" si="1079"/>
        <v>4</v>
      </c>
      <c r="CN365" s="88">
        <f t="shared" si="1080"/>
        <v>232</v>
      </c>
      <c r="CO365" s="88">
        <f t="shared" si="1081"/>
        <v>435</v>
      </c>
      <c r="CP365" s="88">
        <f t="shared" si="1082"/>
        <v>52</v>
      </c>
      <c r="CQ365" s="88">
        <f t="shared" si="1083"/>
        <v>267</v>
      </c>
      <c r="CR365" s="88">
        <f t="shared" si="1084"/>
        <v>34</v>
      </c>
      <c r="CS365" s="88">
        <f t="shared" si="1085"/>
        <v>82</v>
      </c>
      <c r="CT365" s="88">
        <f t="shared" si="1086"/>
        <v>639.6</v>
      </c>
      <c r="CU365" s="88">
        <f t="shared" si="1087"/>
        <v>508</v>
      </c>
      <c r="CV365" s="88">
        <f t="shared" si="1088"/>
        <v>54</v>
      </c>
      <c r="CW365" s="88">
        <f t="shared" si="1089"/>
        <v>77</v>
      </c>
      <c r="CX365" s="88">
        <f t="shared" si="1090"/>
        <v>8</v>
      </c>
      <c r="CY365" s="88">
        <f t="shared" si="1091"/>
        <v>12</v>
      </c>
      <c r="CZ365" s="88">
        <f t="shared" si="1092"/>
        <v>3282</v>
      </c>
      <c r="DA365" s="90">
        <f t="shared" si="1093"/>
        <v>2520.7399999999998</v>
      </c>
      <c r="DB365" s="90">
        <f t="shared" si="1094"/>
        <v>761.26</v>
      </c>
      <c r="DC365" s="88">
        <f t="shared" si="1095"/>
        <v>0</v>
      </c>
      <c r="DD365" s="211">
        <f t="shared" si="1096"/>
        <v>19858.2</v>
      </c>
      <c r="AUV365" s="699">
        <f t="shared" si="890"/>
        <v>14588.6</v>
      </c>
      <c r="AUW365" s="699">
        <f t="shared" si="891"/>
        <v>11204.76</v>
      </c>
      <c r="AUX365" s="699">
        <f t="shared" si="892"/>
        <v>3383.84</v>
      </c>
      <c r="AUY365" s="699">
        <f t="shared" si="1023"/>
        <v>22</v>
      </c>
      <c r="AUZ365" s="699">
        <f t="shared" si="910"/>
        <v>7.69</v>
      </c>
      <c r="AVA365" s="699">
        <f t="shared" si="910"/>
        <v>0.19</v>
      </c>
      <c r="AVB365" s="699">
        <f t="shared" si="1024"/>
        <v>435</v>
      </c>
      <c r="AVC365" s="699">
        <f t="shared" si="1025"/>
        <v>52</v>
      </c>
      <c r="AVD365" s="699">
        <f t="shared" si="1026"/>
        <v>267</v>
      </c>
      <c r="AVE365" s="699">
        <f t="shared" si="1027"/>
        <v>34</v>
      </c>
      <c r="AVF365" s="699">
        <f t="shared" si="1028"/>
        <v>82</v>
      </c>
      <c r="AVG365" s="699">
        <f t="shared" si="1029"/>
        <v>639.6</v>
      </c>
      <c r="AVH365" s="699">
        <f t="shared" si="1030"/>
        <v>508</v>
      </c>
      <c r="AVI365" s="699">
        <f t="shared" si="1031"/>
        <v>54</v>
      </c>
      <c r="AVJ365" s="699">
        <f t="shared" si="1032"/>
        <v>77</v>
      </c>
      <c r="AVK365" s="699">
        <f t="shared" si="1033"/>
        <v>8</v>
      </c>
      <c r="AVL365" s="699">
        <f t="shared" si="1034"/>
        <v>12</v>
      </c>
      <c r="AVM365" s="699">
        <f t="shared" si="1035"/>
        <v>3282</v>
      </c>
      <c r="AVN365" s="699">
        <f t="shared" si="1036"/>
        <v>2520.7399999999998</v>
      </c>
      <c r="AVO365" s="699">
        <f t="shared" si="1037"/>
        <v>761.26</v>
      </c>
      <c r="AVP365" s="699">
        <f t="shared" si="1038"/>
        <v>0</v>
      </c>
      <c r="AVQ365" s="699">
        <f t="shared" si="1039"/>
        <v>19858.2</v>
      </c>
    </row>
    <row r="366" spans="1:1265" s="608" customFormat="1" ht="30" customHeight="1" x14ac:dyDescent="0.25">
      <c r="A366" s="634">
        <v>1</v>
      </c>
      <c r="B366" s="634">
        <v>6</v>
      </c>
      <c r="C366" s="633" t="s">
        <v>250</v>
      </c>
      <c r="D366" s="2"/>
      <c r="E366" s="602" t="s">
        <v>345</v>
      </c>
      <c r="F366" s="634" t="s">
        <v>38</v>
      </c>
      <c r="G366" s="634">
        <v>2</v>
      </c>
      <c r="H366" s="656" t="s">
        <v>10</v>
      </c>
      <c r="I366" s="634">
        <v>0</v>
      </c>
      <c r="J366" s="602" t="s">
        <v>462</v>
      </c>
      <c r="K366" s="634">
        <v>1</v>
      </c>
      <c r="L366" s="681" t="s">
        <v>350</v>
      </c>
      <c r="M366" s="601"/>
      <c r="N366" s="602" t="s">
        <v>387</v>
      </c>
      <c r="O366" s="634">
        <v>1</v>
      </c>
      <c r="P366" s="633">
        <v>5</v>
      </c>
      <c r="Q366" s="633">
        <v>5</v>
      </c>
      <c r="R366" s="633">
        <v>5</v>
      </c>
      <c r="S366" s="675">
        <f>SUMIF('Территориальный кк'!$A:$A,'2020'!$B366,'Территориальный кк'!D:D)</f>
        <v>2.4420000000000002</v>
      </c>
      <c r="T366" s="676">
        <f>SUMIF('Территориальный кк'!$A:$A,'2020'!$B366,'Территориальный кк'!E:E)</f>
        <v>2.6</v>
      </c>
      <c r="U366" s="618">
        <f>SUMIFS(Нормативы!G:G,Нормативы!$B:$B,$G366,Нормативы!$D:$D,'2020'!$I366,Нормативы!$F:$F,'2020'!$K366)*O366</f>
        <v>59740</v>
      </c>
      <c r="V366" s="618">
        <f t="shared" ref="V366" si="1112">ROUND(U366/1.302,1)</f>
        <v>45883.3</v>
      </c>
      <c r="W366" s="618">
        <f t="shared" ref="W366" si="1113">U366-V366</f>
        <v>13856.7</v>
      </c>
      <c r="X366" s="618">
        <f>SUMIFS(Нормативы!J:J,Нормативы!$B:$B,$G366,Нормативы!$D:$D,'2020'!$I366,Нормативы!$F:$F,'2020'!$K366)</f>
        <v>220</v>
      </c>
      <c r="Y366" s="618">
        <f>SUMIFS(Нормативы!K:K,Нормативы!$B:$B,$G366,Нормативы!$D:$D,'2020'!$I366,Нормативы!$F:$F,'2020'!$K366)</f>
        <v>44</v>
      </c>
      <c r="Z366" s="618">
        <f>SUMIFS(Нормативы!L:L,Нормативы!$B:$B,$G366,Нормативы!$D:$D,'2020'!$I366,Нормативы!$F:$F,'2020'!$K366)</f>
        <v>2320</v>
      </c>
      <c r="AA366" s="618">
        <f t="shared" ref="AA366" si="1114">AB366+AC366+AD366+AE366</f>
        <v>4350</v>
      </c>
      <c r="AB366" s="618">
        <f>SUMIFS(Нормативы!N:N,Нормативы!$B:$B,$G366,Нормативы!$D:$D,'2020'!$I366,Нормативы!$F:$F,'2020'!$K366)*O366</f>
        <v>520</v>
      </c>
      <c r="AC366" s="618">
        <f>SUMIFS(Нормативы!O:O,Нормативы!$B:$B,$G366,Нормативы!$D:$D,'2020'!$I366,Нормативы!$F:$F,'2020'!$K366)</f>
        <v>2670</v>
      </c>
      <c r="AD366" s="618">
        <f>SUMIFS(Нормативы!P:P,Нормативы!$B:$B,$G366,Нормативы!$D:$D,'2020'!$I366,Нормативы!$F:$F,'2020'!$K366)*O366</f>
        <v>340</v>
      </c>
      <c r="AE366" s="618">
        <f>SUMIFS(Нормативы!Q:Q,Нормативы!$B:$B,$G366,Нормативы!$D:$D,'2020'!$I366,Нормативы!$F:$F,'2020'!$K366)</f>
        <v>820</v>
      </c>
      <c r="AF366" s="618">
        <f>SUMIFS(Нормативы!R:R,Нормативы!$B:$B,$G366,Нормативы!$D:$D,'2020'!$I366,Нормативы!$F:$F,'2020'!$K366)</f>
        <v>2460</v>
      </c>
      <c r="AG366" s="618">
        <f>SUMIFS(Нормативы!S:S,Нормативы!$B:$B,$G366,Нормативы!$D:$D,'2020'!$I366,Нормативы!$F:$F,'2020'!$K366)</f>
        <v>5080</v>
      </c>
      <c r="AH366" s="618">
        <f>SUMIFS(Нормативы!T:T,Нормативы!$B:$B,$G366,Нормативы!$D:$D,'2020'!$I366,Нормативы!$F:$F,'2020'!$K366)</f>
        <v>540</v>
      </c>
      <c r="AI366" s="618">
        <f>SUMIFS(Нормативы!U:U,Нормативы!$B:$B,$G366,Нормативы!$D:$D,'2020'!$I366,Нормативы!$F:$F,'2020'!$K366)</f>
        <v>770</v>
      </c>
      <c r="AJ366" s="618">
        <f>SUMIFS(Нормативы!V:V,Нормативы!$B:$B,$G366,Нормативы!$D:$D,'2020'!$I366,Нормативы!$F:$F,'2020'!$K366)</f>
        <v>80</v>
      </c>
      <c r="AK366" s="618">
        <f>SUMIFS(Нормативы!W:W,Нормативы!$B:$B,$G366,Нормативы!$D:$D,'2020'!$I366,Нормативы!$F:$F,'2020'!$K366)</f>
        <v>120</v>
      </c>
      <c r="AL366" s="618">
        <f>SUMIFS(Нормативы!X:X,Нормативы!$B:$B,$G366,Нормативы!$D:$D,'2020'!$I366,Нормативы!$F:$F,'2020'!$K366)*O366</f>
        <v>13440</v>
      </c>
      <c r="AM366" s="618">
        <f t="shared" ref="AM366" si="1115">ROUND(AL366/1.302,1)</f>
        <v>10322.6</v>
      </c>
      <c r="AN366" s="618">
        <f t="shared" ref="AN366" si="1116">AL366-AM366</f>
        <v>3117.4</v>
      </c>
      <c r="AO366" s="618">
        <f>SUMIFS(Нормативы!AA:AA,Нормативы!$B:$B,$G366,Нормативы!$D:$D,'2020'!$I366,Нормативы!$F:$F,'2020'!$K366)</f>
        <v>3520</v>
      </c>
      <c r="AP366" s="619">
        <f t="shared" ref="AP366" si="1117">U366+X366+Z366+AA366++AF366+AG366+AH366+AI366+AJ366+AK366+AL366+AO366</f>
        <v>92640</v>
      </c>
      <c r="AQ366" s="611">
        <f t="shared" si="1040"/>
        <v>298700</v>
      </c>
      <c r="AR366" s="622">
        <f t="shared" si="1103"/>
        <v>229416.3</v>
      </c>
      <c r="AS366" s="622">
        <f t="shared" si="1104"/>
        <v>69283.7</v>
      </c>
      <c r="AT366" s="614">
        <f t="shared" si="1041"/>
        <v>1100</v>
      </c>
      <c r="AU366" s="614">
        <f t="shared" si="1042"/>
        <v>220</v>
      </c>
      <c r="AV366" s="614">
        <f t="shared" si="1043"/>
        <v>11600</v>
      </c>
      <c r="AW366" s="614">
        <f t="shared" si="1044"/>
        <v>21750</v>
      </c>
      <c r="AX366" s="614">
        <f t="shared" si="1045"/>
        <v>2600</v>
      </c>
      <c r="AY366" s="614">
        <f t="shared" si="1046"/>
        <v>13350</v>
      </c>
      <c r="AZ366" s="614">
        <f t="shared" si="1047"/>
        <v>1700</v>
      </c>
      <c r="BA366" s="614">
        <f t="shared" si="1048"/>
        <v>4100</v>
      </c>
      <c r="BB366" s="614">
        <f t="shared" si="1049"/>
        <v>12300</v>
      </c>
      <c r="BC366" s="614">
        <f t="shared" si="1050"/>
        <v>25400</v>
      </c>
      <c r="BD366" s="614">
        <f t="shared" si="1051"/>
        <v>2700</v>
      </c>
      <c r="BE366" s="614">
        <f t="shared" si="1052"/>
        <v>3850</v>
      </c>
      <c r="BF366" s="614">
        <f t="shared" si="1053"/>
        <v>400</v>
      </c>
      <c r="BG366" s="614">
        <f t="shared" si="1054"/>
        <v>600</v>
      </c>
      <c r="BH366" s="614">
        <f t="shared" si="1055"/>
        <v>67200</v>
      </c>
      <c r="BI366" s="622">
        <f t="shared" si="1105"/>
        <v>51612.9</v>
      </c>
      <c r="BJ366" s="622">
        <f t="shared" si="1106"/>
        <v>15587.1</v>
      </c>
      <c r="BK366" s="614">
        <f t="shared" si="1056"/>
        <v>17600</v>
      </c>
      <c r="BL366" s="620">
        <f t="shared" si="1057"/>
        <v>463200</v>
      </c>
      <c r="BM366" s="614">
        <f t="shared" si="1058"/>
        <v>729425</v>
      </c>
      <c r="BN366" s="622">
        <f t="shared" si="1059"/>
        <v>560234.30000000005</v>
      </c>
      <c r="BO366" s="622">
        <f t="shared" si="1060"/>
        <v>169190.7</v>
      </c>
      <c r="BP366" s="614">
        <f t="shared" si="1107"/>
        <v>1100</v>
      </c>
      <c r="BQ366" s="614">
        <f t="shared" si="1108"/>
        <v>220</v>
      </c>
      <c r="BR366" s="614">
        <f t="shared" si="1109"/>
        <v>11600</v>
      </c>
      <c r="BS366" s="614">
        <f t="shared" si="1061"/>
        <v>21750</v>
      </c>
      <c r="BT366" s="614">
        <f t="shared" si="1062"/>
        <v>2600</v>
      </c>
      <c r="BU366" s="614">
        <f t="shared" si="1063"/>
        <v>13350</v>
      </c>
      <c r="BV366" s="614">
        <f t="shared" si="1064"/>
        <v>1700</v>
      </c>
      <c r="BW366" s="614">
        <f t="shared" si="1065"/>
        <v>4100</v>
      </c>
      <c r="BX366" s="614">
        <f t="shared" si="1066"/>
        <v>31980</v>
      </c>
      <c r="BY366" s="614">
        <f t="shared" si="1067"/>
        <v>25400</v>
      </c>
      <c r="BZ366" s="614">
        <f t="shared" si="1068"/>
        <v>2700</v>
      </c>
      <c r="CA366" s="614">
        <f t="shared" si="1069"/>
        <v>3850</v>
      </c>
      <c r="CB366" s="614">
        <f t="shared" si="1070"/>
        <v>400</v>
      </c>
      <c r="CC366" s="614">
        <f t="shared" si="1071"/>
        <v>600</v>
      </c>
      <c r="CD366" s="614">
        <f t="shared" si="1072"/>
        <v>164102</v>
      </c>
      <c r="CE366" s="622">
        <f t="shared" si="1110"/>
        <v>126038.39999999999</v>
      </c>
      <c r="CF366" s="622">
        <f t="shared" si="1111"/>
        <v>38063.599999999999</v>
      </c>
      <c r="CG366" s="614">
        <f t="shared" si="1073"/>
        <v>17600</v>
      </c>
      <c r="CH366" s="621">
        <f t="shared" si="1074"/>
        <v>1010507</v>
      </c>
      <c r="CI366" s="607"/>
      <c r="CJ366" s="607"/>
      <c r="CK366" s="607"/>
      <c r="CL366" s="607"/>
      <c r="CM366" s="607"/>
      <c r="CN366" s="607"/>
      <c r="CO366" s="607"/>
      <c r="CP366" s="607"/>
      <c r="CQ366" s="607"/>
      <c r="CR366" s="607"/>
      <c r="CS366" s="607"/>
      <c r="CT366" s="607"/>
      <c r="CU366" s="607"/>
      <c r="CV366" s="607"/>
      <c r="CW366" s="607"/>
      <c r="CX366" s="607"/>
      <c r="CY366" s="607"/>
      <c r="CZ366" s="607"/>
      <c r="DA366" s="607"/>
      <c r="DB366" s="607"/>
      <c r="DC366" s="607"/>
      <c r="DD366" s="607"/>
      <c r="AUV366" s="699">
        <f t="shared" si="890"/>
        <v>145885</v>
      </c>
      <c r="AUW366" s="699">
        <f t="shared" si="891"/>
        <v>112046.85</v>
      </c>
      <c r="AUX366" s="699">
        <f t="shared" si="892"/>
        <v>33838.15</v>
      </c>
      <c r="AUY366" s="699">
        <f t="shared" si="1023"/>
        <v>220</v>
      </c>
      <c r="AUZ366" s="699">
        <f t="shared" si="910"/>
        <v>84.62</v>
      </c>
      <c r="AVA366" s="699">
        <f t="shared" si="910"/>
        <v>0.19</v>
      </c>
      <c r="AVB366" s="699">
        <f t="shared" si="1024"/>
        <v>4350</v>
      </c>
      <c r="AVC366" s="699">
        <f t="shared" si="1025"/>
        <v>520</v>
      </c>
      <c r="AVD366" s="699">
        <f t="shared" si="1026"/>
        <v>2670</v>
      </c>
      <c r="AVE366" s="699">
        <f t="shared" si="1027"/>
        <v>340</v>
      </c>
      <c r="AVF366" s="699">
        <f t="shared" si="1028"/>
        <v>820</v>
      </c>
      <c r="AVG366" s="699">
        <f t="shared" si="1029"/>
        <v>6396</v>
      </c>
      <c r="AVH366" s="699">
        <f t="shared" si="1030"/>
        <v>5080</v>
      </c>
      <c r="AVI366" s="699">
        <f t="shared" si="1031"/>
        <v>540</v>
      </c>
      <c r="AVJ366" s="699">
        <f t="shared" si="1032"/>
        <v>770</v>
      </c>
      <c r="AVK366" s="699">
        <f t="shared" si="1033"/>
        <v>80</v>
      </c>
      <c r="AVL366" s="699">
        <f t="shared" si="1034"/>
        <v>120</v>
      </c>
      <c r="AVM366" s="699">
        <f t="shared" si="1035"/>
        <v>32820.400000000001</v>
      </c>
      <c r="AVN366" s="699">
        <f t="shared" si="1036"/>
        <v>25207.68</v>
      </c>
      <c r="AVO366" s="699">
        <f t="shared" si="1037"/>
        <v>7612.72</v>
      </c>
      <c r="AVP366" s="699">
        <f t="shared" si="1038"/>
        <v>3520</v>
      </c>
      <c r="AVQ366" s="699">
        <f t="shared" si="1039"/>
        <v>202101.4</v>
      </c>
    </row>
    <row r="367" spans="1:1265" s="608" customFormat="1" ht="30" customHeight="1" x14ac:dyDescent="0.25">
      <c r="A367" s="634">
        <v>1</v>
      </c>
      <c r="B367" s="634">
        <v>6</v>
      </c>
      <c r="C367" s="633" t="s">
        <v>250</v>
      </c>
      <c r="D367" s="2"/>
      <c r="E367" s="602" t="s">
        <v>345</v>
      </c>
      <c r="F367" s="634" t="s">
        <v>38</v>
      </c>
      <c r="G367" s="634">
        <v>2</v>
      </c>
      <c r="H367" s="656" t="s">
        <v>8</v>
      </c>
      <c r="I367" s="634">
        <v>3</v>
      </c>
      <c r="J367" s="602" t="s">
        <v>462</v>
      </c>
      <c r="K367" s="634">
        <v>1</v>
      </c>
      <c r="L367" s="681" t="s">
        <v>350</v>
      </c>
      <c r="M367" s="601"/>
      <c r="N367" s="602" t="s">
        <v>387</v>
      </c>
      <c r="O367" s="634">
        <v>1</v>
      </c>
      <c r="P367" s="633">
        <v>3</v>
      </c>
      <c r="Q367" s="633">
        <v>3</v>
      </c>
      <c r="R367" s="633">
        <v>3</v>
      </c>
      <c r="S367" s="675">
        <f>SUMIF('Территориальный кк'!$A:$A,'2020'!$B367,'Территориальный кк'!D:D)</f>
        <v>2.4420000000000002</v>
      </c>
      <c r="T367" s="676">
        <f>SUMIF('Территориальный кк'!$A:$A,'2020'!$B367,'Территориальный кк'!E:E)</f>
        <v>2.6</v>
      </c>
      <c r="U367" s="622">
        <f>SUMIFS(Нормативы!G:G,Нормативы!$B:$B,$G367,Нормативы!$D:$D,'2020'!$I367,Нормативы!$F:$F,'2020'!$K367)*O367</f>
        <v>5974</v>
      </c>
      <c r="V367" s="622">
        <f t="shared" ref="V367" si="1118">ROUND(U367/1.302,1)</f>
        <v>4588.3</v>
      </c>
      <c r="W367" s="622">
        <f t="shared" ref="W367" si="1119">U367-V367</f>
        <v>1385.7</v>
      </c>
      <c r="X367" s="622">
        <f>SUMIFS(Нормативы!J:J,Нормативы!$B:$B,$G367,Нормативы!$D:$D,'2020'!$I367,Нормативы!$F:$F,'2020'!$K367)</f>
        <v>22</v>
      </c>
      <c r="Y367" s="622">
        <f>SUMIFS(Нормативы!K:K,Нормативы!$B:$B,$G367,Нормативы!$D:$D,'2020'!$I367,Нормативы!$F:$F,'2020'!$K367)</f>
        <v>4</v>
      </c>
      <c r="Z367" s="622">
        <f>SUMIFS(Нормативы!L:L,Нормативы!$B:$B,$G367,Нормативы!$D:$D,'2020'!$I367,Нормативы!$F:$F,'2020'!$K367)</f>
        <v>232</v>
      </c>
      <c r="AA367" s="622">
        <f t="shared" ref="AA367" si="1120">AB367+AC367+AD367+AE367</f>
        <v>435</v>
      </c>
      <c r="AB367" s="622">
        <f>SUMIFS(Нормативы!N:N,Нормативы!$B:$B,$G367,Нормативы!$D:$D,'2020'!$I367,Нормативы!$F:$F,'2020'!$K367)*O367</f>
        <v>52</v>
      </c>
      <c r="AC367" s="622">
        <f>SUMIFS(Нормативы!O:O,Нормативы!$B:$B,$G367,Нормативы!$D:$D,'2020'!$I367,Нормативы!$F:$F,'2020'!$K367)</f>
        <v>267</v>
      </c>
      <c r="AD367" s="622">
        <f>SUMIFS(Нормативы!P:P,Нормативы!$B:$B,$G367,Нормативы!$D:$D,'2020'!$I367,Нормативы!$F:$F,'2020'!$K367)*O367</f>
        <v>34</v>
      </c>
      <c r="AE367" s="622">
        <f>SUMIFS(Нормативы!Q:Q,Нормативы!$B:$B,$G367,Нормативы!$D:$D,'2020'!$I367,Нормативы!$F:$F,'2020'!$K367)</f>
        <v>82</v>
      </c>
      <c r="AF367" s="622">
        <f>SUMIFS(Нормативы!R:R,Нормативы!$B:$B,$G367,Нормативы!$D:$D,'2020'!$I367,Нормативы!$F:$F,'2020'!$K367)</f>
        <v>246</v>
      </c>
      <c r="AG367" s="622">
        <f>SUMIFS(Нормативы!S:S,Нормативы!$B:$B,$G367,Нормативы!$D:$D,'2020'!$I367,Нормативы!$F:$F,'2020'!$K367)</f>
        <v>508</v>
      </c>
      <c r="AH367" s="622">
        <f>SUMIFS(Нормативы!T:T,Нормативы!$B:$B,$G367,Нормативы!$D:$D,'2020'!$I367,Нормативы!$F:$F,'2020'!$K367)</f>
        <v>54</v>
      </c>
      <c r="AI367" s="622">
        <f>SUMIFS(Нормативы!U:U,Нормативы!$B:$B,$G367,Нормативы!$D:$D,'2020'!$I367,Нормативы!$F:$F,'2020'!$K367)</f>
        <v>77</v>
      </c>
      <c r="AJ367" s="622">
        <f>SUMIFS(Нормативы!V:V,Нормативы!$B:$B,$G367,Нормативы!$D:$D,'2020'!$I367,Нормативы!$F:$F,'2020'!$K367)</f>
        <v>8</v>
      </c>
      <c r="AK367" s="622">
        <f>SUMIFS(Нормативы!W:W,Нормативы!$B:$B,$G367,Нормативы!$D:$D,'2020'!$I367,Нормативы!$F:$F,'2020'!$K367)</f>
        <v>12</v>
      </c>
      <c r="AL367" s="622">
        <f>SUMIFS(Нормативы!X:X,Нормативы!$B:$B,$G367,Нормативы!$D:$D,'2020'!$I367,Нормативы!$F:$F,'2020'!$K367)*O367</f>
        <v>1344</v>
      </c>
      <c r="AM367" s="622">
        <f t="shared" ref="AM367" si="1121">ROUND(AL367/1.302,1)</f>
        <v>1032.3</v>
      </c>
      <c r="AN367" s="622">
        <f t="shared" ref="AN367" si="1122">AL367-AM367</f>
        <v>311.7</v>
      </c>
      <c r="AO367" s="622">
        <f>SUMIFS(Нормативы!AA:AA,Нормативы!$B:$B,$G367,Нормативы!$D:$D,'2020'!$I367,Нормативы!$F:$F,'2020'!$K367)</f>
        <v>0</v>
      </c>
      <c r="AP367" s="623">
        <f t="shared" ref="AP367" si="1123">U367+X367+Z367+AA367++AF367+AG367+AH367+AI367+AJ367+AK367+AL367+AO367</f>
        <v>8912</v>
      </c>
      <c r="AQ367" s="611">
        <f t="shared" si="1040"/>
        <v>17922</v>
      </c>
      <c r="AR367" s="622">
        <f t="shared" si="1103"/>
        <v>13765</v>
      </c>
      <c r="AS367" s="622">
        <f t="shared" si="1104"/>
        <v>4157</v>
      </c>
      <c r="AT367" s="614">
        <f t="shared" si="1041"/>
        <v>66</v>
      </c>
      <c r="AU367" s="614">
        <f t="shared" si="1042"/>
        <v>12</v>
      </c>
      <c r="AV367" s="614">
        <f t="shared" si="1043"/>
        <v>696</v>
      </c>
      <c r="AW367" s="614">
        <f t="shared" si="1044"/>
        <v>1305</v>
      </c>
      <c r="AX367" s="614">
        <f t="shared" si="1045"/>
        <v>156</v>
      </c>
      <c r="AY367" s="614">
        <f t="shared" si="1046"/>
        <v>801</v>
      </c>
      <c r="AZ367" s="614">
        <f t="shared" si="1047"/>
        <v>102</v>
      </c>
      <c r="BA367" s="614">
        <f t="shared" si="1048"/>
        <v>246</v>
      </c>
      <c r="BB367" s="614">
        <f t="shared" si="1049"/>
        <v>738</v>
      </c>
      <c r="BC367" s="614">
        <f t="shared" si="1050"/>
        <v>1524</v>
      </c>
      <c r="BD367" s="614">
        <f t="shared" si="1051"/>
        <v>162</v>
      </c>
      <c r="BE367" s="614">
        <f t="shared" si="1052"/>
        <v>231</v>
      </c>
      <c r="BF367" s="614">
        <f t="shared" si="1053"/>
        <v>24</v>
      </c>
      <c r="BG367" s="614">
        <f t="shared" si="1054"/>
        <v>36</v>
      </c>
      <c r="BH367" s="614">
        <f t="shared" si="1055"/>
        <v>4032</v>
      </c>
      <c r="BI367" s="622">
        <f t="shared" si="1105"/>
        <v>3096.8</v>
      </c>
      <c r="BJ367" s="622">
        <f t="shared" si="1106"/>
        <v>935.2</v>
      </c>
      <c r="BK367" s="614">
        <f t="shared" si="1056"/>
        <v>0</v>
      </c>
      <c r="BL367" s="620">
        <f t="shared" si="1057"/>
        <v>26736</v>
      </c>
      <c r="BM367" s="614">
        <f t="shared" si="1058"/>
        <v>43766</v>
      </c>
      <c r="BN367" s="622">
        <f t="shared" si="1059"/>
        <v>33614.400000000001</v>
      </c>
      <c r="BO367" s="622">
        <f t="shared" si="1060"/>
        <v>10151.6</v>
      </c>
      <c r="BP367" s="614">
        <f t="shared" si="1107"/>
        <v>66</v>
      </c>
      <c r="BQ367" s="614">
        <f t="shared" si="1108"/>
        <v>12</v>
      </c>
      <c r="BR367" s="614">
        <f t="shared" si="1109"/>
        <v>696</v>
      </c>
      <c r="BS367" s="614">
        <f t="shared" si="1061"/>
        <v>1305</v>
      </c>
      <c r="BT367" s="614">
        <f t="shared" si="1062"/>
        <v>156</v>
      </c>
      <c r="BU367" s="614">
        <f t="shared" si="1063"/>
        <v>801</v>
      </c>
      <c r="BV367" s="614">
        <f t="shared" si="1064"/>
        <v>102</v>
      </c>
      <c r="BW367" s="614">
        <f t="shared" si="1065"/>
        <v>246</v>
      </c>
      <c r="BX367" s="614">
        <f t="shared" si="1066"/>
        <v>1919</v>
      </c>
      <c r="BY367" s="614">
        <f t="shared" si="1067"/>
        <v>1524</v>
      </c>
      <c r="BZ367" s="614">
        <f t="shared" si="1068"/>
        <v>162</v>
      </c>
      <c r="CA367" s="614">
        <f t="shared" si="1069"/>
        <v>231</v>
      </c>
      <c r="CB367" s="614">
        <f t="shared" si="1070"/>
        <v>24</v>
      </c>
      <c r="CC367" s="614">
        <f t="shared" si="1071"/>
        <v>36</v>
      </c>
      <c r="CD367" s="614">
        <f t="shared" si="1072"/>
        <v>9846</v>
      </c>
      <c r="CE367" s="622">
        <f t="shared" si="1110"/>
        <v>7562.2</v>
      </c>
      <c r="CF367" s="622">
        <f t="shared" si="1111"/>
        <v>2283.8000000000002</v>
      </c>
      <c r="CG367" s="614">
        <f t="shared" si="1073"/>
        <v>0</v>
      </c>
      <c r="CH367" s="621">
        <f t="shared" si="1074"/>
        <v>59575</v>
      </c>
      <c r="CI367" s="607"/>
      <c r="CJ367" s="607"/>
      <c r="CK367" s="607"/>
      <c r="CL367" s="607"/>
      <c r="CM367" s="607"/>
      <c r="CN367" s="607"/>
      <c r="CO367" s="607"/>
      <c r="CP367" s="607"/>
      <c r="CQ367" s="607"/>
      <c r="CR367" s="607"/>
      <c r="CS367" s="607"/>
      <c r="CT367" s="607"/>
      <c r="CU367" s="607"/>
      <c r="CV367" s="607"/>
      <c r="CW367" s="607"/>
      <c r="CX367" s="607"/>
      <c r="CY367" s="607"/>
      <c r="CZ367" s="607"/>
      <c r="DA367" s="607"/>
      <c r="DB367" s="607"/>
      <c r="DC367" s="607"/>
      <c r="DD367" s="607"/>
      <c r="AUV367" s="699">
        <f t="shared" si="890"/>
        <v>14588.67</v>
      </c>
      <c r="AUW367" s="699">
        <f t="shared" si="891"/>
        <v>11204.82</v>
      </c>
      <c r="AUX367" s="699">
        <f t="shared" si="892"/>
        <v>3383.85</v>
      </c>
      <c r="AUY367" s="699">
        <f t="shared" si="1023"/>
        <v>22</v>
      </c>
      <c r="AUZ367" s="699">
        <f t="shared" si="910"/>
        <v>4.62</v>
      </c>
      <c r="AVA367" s="699">
        <f t="shared" si="910"/>
        <v>0.12</v>
      </c>
      <c r="AVB367" s="699">
        <f t="shared" si="1024"/>
        <v>435</v>
      </c>
      <c r="AVC367" s="699">
        <f t="shared" si="1025"/>
        <v>52</v>
      </c>
      <c r="AVD367" s="699">
        <f t="shared" si="1026"/>
        <v>267</v>
      </c>
      <c r="AVE367" s="699">
        <f t="shared" si="1027"/>
        <v>34</v>
      </c>
      <c r="AVF367" s="699">
        <f t="shared" si="1028"/>
        <v>82</v>
      </c>
      <c r="AVG367" s="699">
        <f t="shared" si="1029"/>
        <v>639.66999999999996</v>
      </c>
      <c r="AVH367" s="699">
        <f t="shared" si="1030"/>
        <v>508</v>
      </c>
      <c r="AVI367" s="699">
        <f t="shared" si="1031"/>
        <v>54</v>
      </c>
      <c r="AVJ367" s="699">
        <f t="shared" si="1032"/>
        <v>77</v>
      </c>
      <c r="AVK367" s="699">
        <f t="shared" si="1033"/>
        <v>8</v>
      </c>
      <c r="AVL367" s="699">
        <f t="shared" si="1034"/>
        <v>12</v>
      </c>
      <c r="AVM367" s="699">
        <f t="shared" si="1035"/>
        <v>3282</v>
      </c>
      <c r="AVN367" s="699">
        <f t="shared" si="1036"/>
        <v>2520.7399999999998</v>
      </c>
      <c r="AVO367" s="699">
        <f t="shared" si="1037"/>
        <v>761.26</v>
      </c>
      <c r="AVP367" s="699">
        <f t="shared" si="1038"/>
        <v>0</v>
      </c>
      <c r="AVQ367" s="699">
        <f t="shared" si="1039"/>
        <v>19858.330000000002</v>
      </c>
    </row>
    <row r="368" spans="1:1265" ht="30" customHeight="1" x14ac:dyDescent="0.25">
      <c r="A368" s="643">
        <v>1</v>
      </c>
      <c r="B368" s="643">
        <v>6</v>
      </c>
      <c r="C368" s="664" t="s">
        <v>250</v>
      </c>
      <c r="D368" s="2"/>
      <c r="E368" s="101" t="s">
        <v>345</v>
      </c>
      <c r="F368" s="643" t="s">
        <v>38</v>
      </c>
      <c r="G368" s="643">
        <v>2</v>
      </c>
      <c r="H368" s="658" t="s">
        <v>10</v>
      </c>
      <c r="I368" s="643">
        <v>0</v>
      </c>
      <c r="J368" s="101" t="s">
        <v>384</v>
      </c>
      <c r="K368" s="643">
        <v>1</v>
      </c>
      <c r="L368" s="683" t="s">
        <v>350</v>
      </c>
      <c r="M368" s="11" t="s">
        <v>305</v>
      </c>
      <c r="N368" s="101" t="s">
        <v>387</v>
      </c>
      <c r="O368" s="643">
        <v>1</v>
      </c>
      <c r="P368" s="695">
        <v>5</v>
      </c>
      <c r="Q368" s="632">
        <v>5</v>
      </c>
      <c r="R368" s="632">
        <v>5</v>
      </c>
      <c r="S368" s="675">
        <f>SUMIF('Территориальный кк'!$A:$A,'2020'!$B368,'Территориальный кк'!D:D)</f>
        <v>2.4420000000000002</v>
      </c>
      <c r="T368" s="676">
        <f>SUMIF('Территориальный кк'!$A:$A,'2020'!$B368,'Территориальный кк'!E:E)</f>
        <v>2.6</v>
      </c>
      <c r="U368" s="618">
        <f>SUMIFS(Нормативы!G:G,Нормативы!$B:$B,$G368,Нормативы!$D:$D,'2020'!$I368,Нормативы!$F:$F,'2020'!$K368)*O368</f>
        <v>59740</v>
      </c>
      <c r="V368" s="618">
        <f t="shared" si="1097"/>
        <v>45883.3</v>
      </c>
      <c r="W368" s="618">
        <f t="shared" si="1098"/>
        <v>13856.7</v>
      </c>
      <c r="X368" s="618">
        <f>SUMIFS(Нормативы!J:J,Нормативы!$B:$B,$G368,Нормативы!$D:$D,'2020'!$I368,Нормативы!$F:$F,'2020'!$K368)</f>
        <v>220</v>
      </c>
      <c r="Y368" s="618">
        <f>SUMIFS(Нормативы!K:K,Нормативы!$B:$B,$G368,Нормативы!$D:$D,'2020'!$I368,Нормативы!$F:$F,'2020'!$K368)</f>
        <v>44</v>
      </c>
      <c r="Z368" s="618">
        <f>SUMIFS(Нормативы!L:L,Нормативы!$B:$B,$G368,Нормативы!$D:$D,'2020'!$I368,Нормативы!$F:$F,'2020'!$K368)</f>
        <v>2320</v>
      </c>
      <c r="AA368" s="618">
        <f t="shared" si="1099"/>
        <v>4350</v>
      </c>
      <c r="AB368" s="618">
        <f>SUMIFS(Нормативы!N:N,Нормативы!$B:$B,$G368,Нормативы!$D:$D,'2020'!$I368,Нормативы!$F:$F,'2020'!$K368)*O368</f>
        <v>520</v>
      </c>
      <c r="AC368" s="618">
        <f>SUMIFS(Нормативы!O:O,Нормативы!$B:$B,$G368,Нормативы!$D:$D,'2020'!$I368,Нормативы!$F:$F,'2020'!$K368)</f>
        <v>2670</v>
      </c>
      <c r="AD368" s="618">
        <f>SUMIFS(Нормативы!P:P,Нормативы!$B:$B,$G368,Нормативы!$D:$D,'2020'!$I368,Нормативы!$F:$F,'2020'!$K368)*O368</f>
        <v>340</v>
      </c>
      <c r="AE368" s="618">
        <f>SUMIFS(Нормативы!Q:Q,Нормативы!$B:$B,$G368,Нормативы!$D:$D,'2020'!$I368,Нормативы!$F:$F,'2020'!$K368)</f>
        <v>820</v>
      </c>
      <c r="AF368" s="618">
        <f>SUMIFS(Нормативы!R:R,Нормативы!$B:$B,$G368,Нормативы!$D:$D,'2020'!$I368,Нормативы!$F:$F,'2020'!$K368)</f>
        <v>2460</v>
      </c>
      <c r="AG368" s="618">
        <f>SUMIFS(Нормативы!S:S,Нормативы!$B:$B,$G368,Нормативы!$D:$D,'2020'!$I368,Нормативы!$F:$F,'2020'!$K368)</f>
        <v>5080</v>
      </c>
      <c r="AH368" s="618">
        <f>SUMIFS(Нормативы!T:T,Нормативы!$B:$B,$G368,Нормативы!$D:$D,'2020'!$I368,Нормативы!$F:$F,'2020'!$K368)</f>
        <v>540</v>
      </c>
      <c r="AI368" s="618">
        <f>SUMIFS(Нормативы!U:U,Нормативы!$B:$B,$G368,Нормативы!$D:$D,'2020'!$I368,Нормативы!$F:$F,'2020'!$K368)</f>
        <v>770</v>
      </c>
      <c r="AJ368" s="618">
        <f>SUMIFS(Нормативы!V:V,Нормативы!$B:$B,$G368,Нормативы!$D:$D,'2020'!$I368,Нормативы!$F:$F,'2020'!$K368)</f>
        <v>80</v>
      </c>
      <c r="AK368" s="618">
        <f>SUMIFS(Нормативы!W:W,Нормативы!$B:$B,$G368,Нормативы!$D:$D,'2020'!$I368,Нормативы!$F:$F,'2020'!$K368)</f>
        <v>120</v>
      </c>
      <c r="AL368" s="618">
        <f>SUMIFS(Нормативы!X:X,Нормативы!$B:$B,$G368,Нормативы!$D:$D,'2020'!$I368,Нормативы!$F:$F,'2020'!$K368)*O368</f>
        <v>13440</v>
      </c>
      <c r="AM368" s="618">
        <f t="shared" si="1100"/>
        <v>10322.6</v>
      </c>
      <c r="AN368" s="618">
        <f t="shared" si="1101"/>
        <v>3117.4</v>
      </c>
      <c r="AO368" s="618">
        <f>SUMIFS(Нормативы!AA:AA,Нормативы!$B:$B,$G368,Нормативы!$D:$D,'2020'!$I368,Нормативы!$F:$F,'2020'!$K368)</f>
        <v>3520</v>
      </c>
      <c r="AP368" s="619">
        <f t="shared" si="1102"/>
        <v>92640</v>
      </c>
      <c r="AQ368" s="413">
        <f t="shared" si="1040"/>
        <v>298700</v>
      </c>
      <c r="AR368" s="618">
        <f t="shared" si="1103"/>
        <v>229416.3</v>
      </c>
      <c r="AS368" s="618">
        <f t="shared" si="1104"/>
        <v>69283.7</v>
      </c>
      <c r="AT368" s="616">
        <f t="shared" si="1041"/>
        <v>1100</v>
      </c>
      <c r="AU368" s="616">
        <f t="shared" si="1042"/>
        <v>220</v>
      </c>
      <c r="AV368" s="616">
        <f t="shared" si="1043"/>
        <v>11600</v>
      </c>
      <c r="AW368" s="616">
        <f t="shared" si="1044"/>
        <v>21750</v>
      </c>
      <c r="AX368" s="616">
        <f t="shared" si="1045"/>
        <v>2600</v>
      </c>
      <c r="AY368" s="616">
        <f t="shared" si="1046"/>
        <v>13350</v>
      </c>
      <c r="AZ368" s="616">
        <f t="shared" si="1047"/>
        <v>1700</v>
      </c>
      <c r="BA368" s="616">
        <f t="shared" si="1048"/>
        <v>4100</v>
      </c>
      <c r="BB368" s="616">
        <f t="shared" si="1049"/>
        <v>12300</v>
      </c>
      <c r="BC368" s="616">
        <f t="shared" si="1050"/>
        <v>25400</v>
      </c>
      <c r="BD368" s="616">
        <f t="shared" si="1051"/>
        <v>2700</v>
      </c>
      <c r="BE368" s="616">
        <f t="shared" si="1052"/>
        <v>3850</v>
      </c>
      <c r="BF368" s="616">
        <f t="shared" si="1053"/>
        <v>400</v>
      </c>
      <c r="BG368" s="616">
        <f t="shared" si="1054"/>
        <v>600</v>
      </c>
      <c r="BH368" s="616">
        <f t="shared" si="1055"/>
        <v>67200</v>
      </c>
      <c r="BI368" s="618">
        <f t="shared" si="1105"/>
        <v>51612.9</v>
      </c>
      <c r="BJ368" s="618">
        <f t="shared" si="1106"/>
        <v>15587.1</v>
      </c>
      <c r="BK368" s="616">
        <f t="shared" si="1056"/>
        <v>17600</v>
      </c>
      <c r="BL368" s="620">
        <f t="shared" si="1057"/>
        <v>463200</v>
      </c>
      <c r="BM368" s="616">
        <f t="shared" si="1058"/>
        <v>729425</v>
      </c>
      <c r="BN368" s="618">
        <f t="shared" si="1059"/>
        <v>560234.30000000005</v>
      </c>
      <c r="BO368" s="618">
        <f t="shared" si="1060"/>
        <v>169190.7</v>
      </c>
      <c r="BP368" s="616">
        <f t="shared" si="1107"/>
        <v>1100</v>
      </c>
      <c r="BQ368" s="616">
        <f t="shared" si="1108"/>
        <v>220</v>
      </c>
      <c r="BR368" s="616">
        <f t="shared" si="1109"/>
        <v>11600</v>
      </c>
      <c r="BS368" s="616">
        <f t="shared" si="1061"/>
        <v>21750</v>
      </c>
      <c r="BT368" s="616">
        <f t="shared" si="1062"/>
        <v>2600</v>
      </c>
      <c r="BU368" s="616">
        <f t="shared" si="1063"/>
        <v>13350</v>
      </c>
      <c r="BV368" s="616">
        <f t="shared" si="1064"/>
        <v>1700</v>
      </c>
      <c r="BW368" s="616">
        <f t="shared" si="1065"/>
        <v>4100</v>
      </c>
      <c r="BX368" s="616">
        <f t="shared" si="1066"/>
        <v>31980</v>
      </c>
      <c r="BY368" s="616">
        <f t="shared" si="1067"/>
        <v>25400</v>
      </c>
      <c r="BZ368" s="616">
        <f t="shared" si="1068"/>
        <v>2700</v>
      </c>
      <c r="CA368" s="616">
        <f t="shared" si="1069"/>
        <v>3850</v>
      </c>
      <c r="CB368" s="616">
        <f t="shared" si="1070"/>
        <v>400</v>
      </c>
      <c r="CC368" s="616">
        <f t="shared" si="1071"/>
        <v>600</v>
      </c>
      <c r="CD368" s="616">
        <f t="shared" si="1072"/>
        <v>164102</v>
      </c>
      <c r="CE368" s="618">
        <f t="shared" si="1110"/>
        <v>126038.39999999999</v>
      </c>
      <c r="CF368" s="618">
        <f t="shared" si="1111"/>
        <v>38063.599999999999</v>
      </c>
      <c r="CG368" s="616">
        <f t="shared" si="1073"/>
        <v>17600</v>
      </c>
      <c r="CH368" s="621">
        <f t="shared" si="1074"/>
        <v>1010507</v>
      </c>
      <c r="CI368" s="88">
        <f t="shared" si="1075"/>
        <v>145885</v>
      </c>
      <c r="CJ368" s="90">
        <f t="shared" si="1076"/>
        <v>112046.86</v>
      </c>
      <c r="CK368" s="90">
        <f t="shared" si="1077"/>
        <v>33838.14</v>
      </c>
      <c r="CL368" s="88">
        <f t="shared" si="1078"/>
        <v>220</v>
      </c>
      <c r="CM368" s="88">
        <f t="shared" si="1079"/>
        <v>44</v>
      </c>
      <c r="CN368" s="88">
        <f t="shared" si="1080"/>
        <v>2320</v>
      </c>
      <c r="CO368" s="88">
        <f t="shared" si="1081"/>
        <v>4350</v>
      </c>
      <c r="CP368" s="88">
        <f t="shared" si="1082"/>
        <v>520</v>
      </c>
      <c r="CQ368" s="88">
        <f t="shared" si="1083"/>
        <v>2670</v>
      </c>
      <c r="CR368" s="88">
        <f t="shared" si="1084"/>
        <v>340</v>
      </c>
      <c r="CS368" s="88">
        <f t="shared" si="1085"/>
        <v>820</v>
      </c>
      <c r="CT368" s="88">
        <f t="shared" si="1086"/>
        <v>6396</v>
      </c>
      <c r="CU368" s="88">
        <f t="shared" si="1087"/>
        <v>5080</v>
      </c>
      <c r="CV368" s="88">
        <f t="shared" si="1088"/>
        <v>540</v>
      </c>
      <c r="CW368" s="88">
        <f t="shared" si="1089"/>
        <v>770</v>
      </c>
      <c r="CX368" s="88">
        <f t="shared" si="1090"/>
        <v>80</v>
      </c>
      <c r="CY368" s="88">
        <f t="shared" si="1091"/>
        <v>120</v>
      </c>
      <c r="CZ368" s="88">
        <f t="shared" si="1092"/>
        <v>32820.400000000001</v>
      </c>
      <c r="DA368" s="90">
        <f t="shared" si="1093"/>
        <v>25207.68</v>
      </c>
      <c r="DB368" s="90">
        <f t="shared" si="1094"/>
        <v>7612.72</v>
      </c>
      <c r="DC368" s="88">
        <f t="shared" si="1095"/>
        <v>3520</v>
      </c>
      <c r="DD368" s="211">
        <f t="shared" si="1096"/>
        <v>202101.4</v>
      </c>
      <c r="AUV368" s="699">
        <f t="shared" si="890"/>
        <v>145885</v>
      </c>
      <c r="AUW368" s="699">
        <f t="shared" si="891"/>
        <v>112046.85</v>
      </c>
      <c r="AUX368" s="699">
        <f t="shared" si="892"/>
        <v>33838.15</v>
      </c>
      <c r="AUY368" s="699">
        <f t="shared" si="1023"/>
        <v>220</v>
      </c>
      <c r="AUZ368" s="699">
        <f t="shared" si="910"/>
        <v>84.62</v>
      </c>
      <c r="AVA368" s="699">
        <f t="shared" si="910"/>
        <v>0.19</v>
      </c>
      <c r="AVB368" s="699">
        <f t="shared" si="1024"/>
        <v>4350</v>
      </c>
      <c r="AVC368" s="699">
        <f t="shared" si="1025"/>
        <v>520</v>
      </c>
      <c r="AVD368" s="699">
        <f t="shared" si="1026"/>
        <v>2670</v>
      </c>
      <c r="AVE368" s="699">
        <f t="shared" si="1027"/>
        <v>340</v>
      </c>
      <c r="AVF368" s="699">
        <f t="shared" si="1028"/>
        <v>820</v>
      </c>
      <c r="AVG368" s="699">
        <f t="shared" si="1029"/>
        <v>6396</v>
      </c>
      <c r="AVH368" s="699">
        <f t="shared" si="1030"/>
        <v>5080</v>
      </c>
      <c r="AVI368" s="699">
        <f t="shared" si="1031"/>
        <v>540</v>
      </c>
      <c r="AVJ368" s="699">
        <f t="shared" si="1032"/>
        <v>770</v>
      </c>
      <c r="AVK368" s="699">
        <f t="shared" si="1033"/>
        <v>80</v>
      </c>
      <c r="AVL368" s="699">
        <f t="shared" si="1034"/>
        <v>120</v>
      </c>
      <c r="AVM368" s="699">
        <f t="shared" si="1035"/>
        <v>32820.400000000001</v>
      </c>
      <c r="AVN368" s="699">
        <f t="shared" si="1036"/>
        <v>25207.68</v>
      </c>
      <c r="AVO368" s="699">
        <f t="shared" si="1037"/>
        <v>7612.72</v>
      </c>
      <c r="AVP368" s="699">
        <f t="shared" si="1038"/>
        <v>3520</v>
      </c>
      <c r="AVQ368" s="699">
        <f t="shared" si="1039"/>
        <v>202101.4</v>
      </c>
    </row>
    <row r="369" spans="1:108 1244:1265" ht="30" customHeight="1" x14ac:dyDescent="0.25">
      <c r="A369" s="643">
        <v>1</v>
      </c>
      <c r="B369" s="643">
        <v>6</v>
      </c>
      <c r="C369" s="664" t="s">
        <v>250</v>
      </c>
      <c r="D369" s="2"/>
      <c r="E369" s="101" t="s">
        <v>345</v>
      </c>
      <c r="F369" s="643" t="s">
        <v>38</v>
      </c>
      <c r="G369" s="643">
        <v>2</v>
      </c>
      <c r="H369" s="658" t="s">
        <v>10</v>
      </c>
      <c r="I369" s="643">
        <v>0</v>
      </c>
      <c r="J369" s="101" t="s">
        <v>396</v>
      </c>
      <c r="K369" s="643">
        <v>1</v>
      </c>
      <c r="L369" s="683" t="s">
        <v>350</v>
      </c>
      <c r="M369" s="11" t="s">
        <v>332</v>
      </c>
      <c r="N369" s="101" t="s">
        <v>387</v>
      </c>
      <c r="O369" s="643">
        <v>1</v>
      </c>
      <c r="P369" s="632"/>
      <c r="Q369" s="632"/>
      <c r="R369" s="632"/>
      <c r="S369" s="675">
        <f>SUMIF('Территориальный кк'!$A:$A,'2020'!$B369,'Территориальный кк'!D:D)</f>
        <v>2.4420000000000002</v>
      </c>
      <c r="T369" s="676">
        <f>SUMIF('Территориальный кк'!$A:$A,'2020'!$B369,'Территориальный кк'!E:E)</f>
        <v>2.6</v>
      </c>
      <c r="U369" s="618">
        <f>SUMIFS(Нормативы!G:G,Нормативы!$B:$B,$G369,Нормативы!$D:$D,'2020'!$I369,Нормативы!$F:$F,'2020'!$K369)*O369</f>
        <v>59740</v>
      </c>
      <c r="V369" s="618">
        <f t="shared" si="1097"/>
        <v>45883.3</v>
      </c>
      <c r="W369" s="618">
        <f t="shared" si="1098"/>
        <v>13856.7</v>
      </c>
      <c r="X369" s="618">
        <f>SUMIFS(Нормативы!J:J,Нормативы!$B:$B,$G369,Нормативы!$D:$D,'2020'!$I369,Нормативы!$F:$F,'2020'!$K369)</f>
        <v>220</v>
      </c>
      <c r="Y369" s="618">
        <f>SUMIFS(Нормативы!K:K,Нормативы!$B:$B,$G369,Нормативы!$D:$D,'2020'!$I369,Нормативы!$F:$F,'2020'!$K369)</f>
        <v>44</v>
      </c>
      <c r="Z369" s="618">
        <f>SUMIFS(Нормативы!L:L,Нормативы!$B:$B,$G369,Нормативы!$D:$D,'2020'!$I369,Нормативы!$F:$F,'2020'!$K369)</f>
        <v>2320</v>
      </c>
      <c r="AA369" s="618">
        <f t="shared" si="1099"/>
        <v>4350</v>
      </c>
      <c r="AB369" s="618">
        <f>SUMIFS(Нормативы!N:N,Нормативы!$B:$B,$G369,Нормативы!$D:$D,'2020'!$I369,Нормативы!$F:$F,'2020'!$K369)*O369</f>
        <v>520</v>
      </c>
      <c r="AC369" s="618">
        <f>SUMIFS(Нормативы!O:O,Нормативы!$B:$B,$G369,Нормативы!$D:$D,'2020'!$I369,Нормативы!$F:$F,'2020'!$K369)</f>
        <v>2670</v>
      </c>
      <c r="AD369" s="618">
        <f>SUMIFS(Нормативы!P:P,Нормативы!$B:$B,$G369,Нормативы!$D:$D,'2020'!$I369,Нормативы!$F:$F,'2020'!$K369)*O369</f>
        <v>340</v>
      </c>
      <c r="AE369" s="618">
        <f>SUMIFS(Нормативы!Q:Q,Нормативы!$B:$B,$G369,Нормативы!$D:$D,'2020'!$I369,Нормативы!$F:$F,'2020'!$K369)</f>
        <v>820</v>
      </c>
      <c r="AF369" s="618">
        <f>SUMIFS(Нормативы!R:R,Нормативы!$B:$B,$G369,Нормативы!$D:$D,'2020'!$I369,Нормативы!$F:$F,'2020'!$K369)</f>
        <v>2460</v>
      </c>
      <c r="AG369" s="618">
        <f>SUMIFS(Нормативы!S:S,Нормативы!$B:$B,$G369,Нормативы!$D:$D,'2020'!$I369,Нормативы!$F:$F,'2020'!$K369)</f>
        <v>5080</v>
      </c>
      <c r="AH369" s="618">
        <f>SUMIFS(Нормативы!T:T,Нормативы!$B:$B,$G369,Нормативы!$D:$D,'2020'!$I369,Нормативы!$F:$F,'2020'!$K369)</f>
        <v>540</v>
      </c>
      <c r="AI369" s="618">
        <f>SUMIFS(Нормативы!U:U,Нормативы!$B:$B,$G369,Нормативы!$D:$D,'2020'!$I369,Нормативы!$F:$F,'2020'!$K369)</f>
        <v>770</v>
      </c>
      <c r="AJ369" s="618">
        <f>SUMIFS(Нормативы!V:V,Нормативы!$B:$B,$G369,Нормативы!$D:$D,'2020'!$I369,Нормативы!$F:$F,'2020'!$K369)</f>
        <v>80</v>
      </c>
      <c r="AK369" s="618">
        <f>SUMIFS(Нормативы!W:W,Нормативы!$B:$B,$G369,Нормативы!$D:$D,'2020'!$I369,Нормативы!$F:$F,'2020'!$K369)</f>
        <v>120</v>
      </c>
      <c r="AL369" s="618">
        <f>SUMIFS(Нормативы!X:X,Нормативы!$B:$B,$G369,Нормативы!$D:$D,'2020'!$I369,Нормативы!$F:$F,'2020'!$K369)*O369</f>
        <v>13440</v>
      </c>
      <c r="AM369" s="618">
        <f t="shared" si="1100"/>
        <v>10322.6</v>
      </c>
      <c r="AN369" s="618">
        <f t="shared" si="1101"/>
        <v>3117.4</v>
      </c>
      <c r="AO369" s="618">
        <f>SUMIFS(Нормативы!AA:AA,Нормативы!$B:$B,$G369,Нормативы!$D:$D,'2020'!$I369,Нормативы!$F:$F,'2020'!$K369)</f>
        <v>3520</v>
      </c>
      <c r="AP369" s="619">
        <f t="shared" si="1102"/>
        <v>92640</v>
      </c>
      <c r="AQ369" s="413">
        <f t="shared" si="1040"/>
        <v>0</v>
      </c>
      <c r="AR369" s="618">
        <f t="shared" si="1103"/>
        <v>0</v>
      </c>
      <c r="AS369" s="618">
        <f t="shared" si="1104"/>
        <v>0</v>
      </c>
      <c r="AT369" s="616">
        <f t="shared" si="1041"/>
        <v>0</v>
      </c>
      <c r="AU369" s="616">
        <f t="shared" si="1042"/>
        <v>0</v>
      </c>
      <c r="AV369" s="616">
        <f t="shared" si="1043"/>
        <v>0</v>
      </c>
      <c r="AW369" s="616">
        <f t="shared" si="1044"/>
        <v>0</v>
      </c>
      <c r="AX369" s="616">
        <f t="shared" si="1045"/>
        <v>0</v>
      </c>
      <c r="AY369" s="616">
        <f t="shared" si="1046"/>
        <v>0</v>
      </c>
      <c r="AZ369" s="616">
        <f t="shared" si="1047"/>
        <v>0</v>
      </c>
      <c r="BA369" s="616">
        <f t="shared" si="1048"/>
        <v>0</v>
      </c>
      <c r="BB369" s="616">
        <f t="shared" si="1049"/>
        <v>0</v>
      </c>
      <c r="BC369" s="616">
        <f t="shared" si="1050"/>
        <v>0</v>
      </c>
      <c r="BD369" s="616">
        <f t="shared" si="1051"/>
        <v>0</v>
      </c>
      <c r="BE369" s="616">
        <f t="shared" si="1052"/>
        <v>0</v>
      </c>
      <c r="BF369" s="616">
        <f t="shared" si="1053"/>
        <v>0</v>
      </c>
      <c r="BG369" s="616">
        <f t="shared" si="1054"/>
        <v>0</v>
      </c>
      <c r="BH369" s="616">
        <f t="shared" si="1055"/>
        <v>0</v>
      </c>
      <c r="BI369" s="618">
        <f t="shared" si="1105"/>
        <v>0</v>
      </c>
      <c r="BJ369" s="618">
        <f t="shared" si="1106"/>
        <v>0</v>
      </c>
      <c r="BK369" s="616">
        <f t="shared" si="1056"/>
        <v>0</v>
      </c>
      <c r="BL369" s="620">
        <f t="shared" si="1057"/>
        <v>0</v>
      </c>
      <c r="BM369" s="616">
        <f t="shared" si="1058"/>
        <v>0</v>
      </c>
      <c r="BN369" s="618">
        <f t="shared" si="1059"/>
        <v>0</v>
      </c>
      <c r="BO369" s="618">
        <f t="shared" si="1060"/>
        <v>0</v>
      </c>
      <c r="BP369" s="616">
        <f t="shared" si="1107"/>
        <v>0</v>
      </c>
      <c r="BQ369" s="616">
        <f t="shared" si="1108"/>
        <v>0</v>
      </c>
      <c r="BR369" s="616">
        <f t="shared" si="1109"/>
        <v>0</v>
      </c>
      <c r="BS369" s="616">
        <f t="shared" si="1061"/>
        <v>0</v>
      </c>
      <c r="BT369" s="616">
        <f t="shared" si="1062"/>
        <v>0</v>
      </c>
      <c r="BU369" s="616">
        <f t="shared" si="1063"/>
        <v>0</v>
      </c>
      <c r="BV369" s="616">
        <f t="shared" si="1064"/>
        <v>0</v>
      </c>
      <c r="BW369" s="616">
        <f t="shared" si="1065"/>
        <v>0</v>
      </c>
      <c r="BX369" s="616">
        <f t="shared" si="1066"/>
        <v>0</v>
      </c>
      <c r="BY369" s="616">
        <f t="shared" si="1067"/>
        <v>0</v>
      </c>
      <c r="BZ369" s="616">
        <f t="shared" si="1068"/>
        <v>0</v>
      </c>
      <c r="CA369" s="616">
        <f t="shared" si="1069"/>
        <v>0</v>
      </c>
      <c r="CB369" s="616">
        <f t="shared" si="1070"/>
        <v>0</v>
      </c>
      <c r="CC369" s="616">
        <f t="shared" si="1071"/>
        <v>0</v>
      </c>
      <c r="CD369" s="616">
        <f t="shared" si="1072"/>
        <v>0</v>
      </c>
      <c r="CE369" s="618">
        <f t="shared" si="1110"/>
        <v>0</v>
      </c>
      <c r="CF369" s="618">
        <f t="shared" si="1111"/>
        <v>0</v>
      </c>
      <c r="CG369" s="616">
        <f t="shared" si="1073"/>
        <v>0</v>
      </c>
      <c r="CH369" s="621">
        <f t="shared" si="1074"/>
        <v>0</v>
      </c>
      <c r="CI369" s="88" t="e">
        <f t="shared" si="1075"/>
        <v>#DIV/0!</v>
      </c>
      <c r="CJ369" s="90" t="e">
        <f t="shared" si="1076"/>
        <v>#DIV/0!</v>
      </c>
      <c r="CK369" s="90" t="e">
        <f t="shared" si="1077"/>
        <v>#DIV/0!</v>
      </c>
      <c r="CL369" s="88" t="e">
        <f t="shared" si="1078"/>
        <v>#DIV/0!</v>
      </c>
      <c r="CM369" s="88" t="e">
        <f t="shared" si="1079"/>
        <v>#DIV/0!</v>
      </c>
      <c r="CN369" s="88" t="e">
        <f t="shared" si="1080"/>
        <v>#DIV/0!</v>
      </c>
      <c r="CO369" s="88" t="e">
        <f t="shared" si="1081"/>
        <v>#DIV/0!</v>
      </c>
      <c r="CP369" s="88" t="e">
        <f t="shared" si="1082"/>
        <v>#DIV/0!</v>
      </c>
      <c r="CQ369" s="88" t="e">
        <f t="shared" si="1083"/>
        <v>#DIV/0!</v>
      </c>
      <c r="CR369" s="88" t="e">
        <f t="shared" si="1084"/>
        <v>#DIV/0!</v>
      </c>
      <c r="CS369" s="88" t="e">
        <f t="shared" si="1085"/>
        <v>#DIV/0!</v>
      </c>
      <c r="CT369" s="88" t="e">
        <f t="shared" si="1086"/>
        <v>#DIV/0!</v>
      </c>
      <c r="CU369" s="88" t="e">
        <f t="shared" si="1087"/>
        <v>#DIV/0!</v>
      </c>
      <c r="CV369" s="88" t="e">
        <f t="shared" si="1088"/>
        <v>#DIV/0!</v>
      </c>
      <c r="CW369" s="88" t="e">
        <f t="shared" si="1089"/>
        <v>#DIV/0!</v>
      </c>
      <c r="CX369" s="88" t="e">
        <f t="shared" si="1090"/>
        <v>#DIV/0!</v>
      </c>
      <c r="CY369" s="88" t="e">
        <f t="shared" si="1091"/>
        <v>#DIV/0!</v>
      </c>
      <c r="CZ369" s="88" t="e">
        <f t="shared" si="1092"/>
        <v>#DIV/0!</v>
      </c>
      <c r="DA369" s="90" t="e">
        <f t="shared" si="1093"/>
        <v>#DIV/0!</v>
      </c>
      <c r="DB369" s="90" t="e">
        <f t="shared" si="1094"/>
        <v>#DIV/0!</v>
      </c>
      <c r="DC369" s="88" t="e">
        <f t="shared" si="1095"/>
        <v>#DIV/0!</v>
      </c>
      <c r="DD369" s="211" t="e">
        <f t="shared" si="1096"/>
        <v>#DIV/0!</v>
      </c>
      <c r="AUV369" s="699">
        <v>0</v>
      </c>
      <c r="AUW369" s="699">
        <f t="shared" si="891"/>
        <v>0</v>
      </c>
      <c r="AUX369" s="699">
        <f t="shared" si="892"/>
        <v>0</v>
      </c>
      <c r="AUY369" s="699">
        <f t="shared" si="910"/>
        <v>0</v>
      </c>
      <c r="AUZ369" s="699">
        <f t="shared" si="910"/>
        <v>0</v>
      </c>
      <c r="AVA369" s="699">
        <f t="shared" si="910"/>
        <v>0</v>
      </c>
      <c r="AVB369" s="699">
        <f t="shared" si="911"/>
        <v>0</v>
      </c>
      <c r="AVC369" s="697"/>
      <c r="AVD369" s="697"/>
      <c r="AVE369" s="697"/>
      <c r="AVF369" s="697"/>
      <c r="AVG369" s="697"/>
      <c r="AVH369" s="697"/>
      <c r="AVI369" s="697"/>
      <c r="AVJ369" s="697"/>
      <c r="AVK369" s="697"/>
      <c r="AVL369" s="697"/>
      <c r="AVM369" s="697"/>
      <c r="AVN369" s="697"/>
      <c r="AVO369" s="697"/>
      <c r="AVP369" s="697"/>
      <c r="AVQ369" s="697"/>
    </row>
    <row r="370" spans="1:108 1244:1265" ht="30" customHeight="1" x14ac:dyDescent="0.25">
      <c r="A370" s="643">
        <v>1</v>
      </c>
      <c r="B370" s="643">
        <v>6</v>
      </c>
      <c r="C370" s="664" t="s">
        <v>250</v>
      </c>
      <c r="D370" s="2"/>
      <c r="E370" s="101" t="s">
        <v>345</v>
      </c>
      <c r="F370" s="643" t="s">
        <v>38</v>
      </c>
      <c r="G370" s="643">
        <v>2</v>
      </c>
      <c r="H370" s="658" t="s">
        <v>10</v>
      </c>
      <c r="I370" s="643">
        <v>0</v>
      </c>
      <c r="J370" s="101" t="s">
        <v>397</v>
      </c>
      <c r="K370" s="643">
        <v>1</v>
      </c>
      <c r="L370" s="683" t="s">
        <v>350</v>
      </c>
      <c r="M370" s="11" t="s">
        <v>336</v>
      </c>
      <c r="N370" s="101" t="s">
        <v>387</v>
      </c>
      <c r="O370" s="643">
        <v>1</v>
      </c>
      <c r="P370" s="695">
        <v>3</v>
      </c>
      <c r="Q370" s="632">
        <v>3</v>
      </c>
      <c r="R370" s="632">
        <v>3</v>
      </c>
      <c r="S370" s="675">
        <f>SUMIF('Территориальный кк'!$A:$A,'2020'!$B370,'Территориальный кк'!D:D)</f>
        <v>2.4420000000000002</v>
      </c>
      <c r="T370" s="676">
        <f>SUMIF('Территориальный кк'!$A:$A,'2020'!$B370,'Территориальный кк'!E:E)</f>
        <v>2.6</v>
      </c>
      <c r="U370" s="618">
        <f>SUMIFS(Нормативы!G:G,Нормативы!$B:$B,$G370,Нормативы!$D:$D,'2020'!$I370,Нормативы!$F:$F,'2020'!$K370)*O370</f>
        <v>59740</v>
      </c>
      <c r="V370" s="618">
        <f t="shared" si="1097"/>
        <v>45883.3</v>
      </c>
      <c r="W370" s="618">
        <f t="shared" si="1098"/>
        <v>13856.7</v>
      </c>
      <c r="X370" s="618">
        <f>SUMIFS(Нормативы!J:J,Нормативы!$B:$B,$G370,Нормативы!$D:$D,'2020'!$I370,Нормативы!$F:$F,'2020'!$K370)</f>
        <v>220</v>
      </c>
      <c r="Y370" s="618">
        <f>SUMIFS(Нормативы!K:K,Нормативы!$B:$B,$G370,Нормативы!$D:$D,'2020'!$I370,Нормативы!$F:$F,'2020'!$K370)</f>
        <v>44</v>
      </c>
      <c r="Z370" s="618">
        <f>SUMIFS(Нормативы!L:L,Нормативы!$B:$B,$G370,Нормативы!$D:$D,'2020'!$I370,Нормативы!$F:$F,'2020'!$K370)</f>
        <v>2320</v>
      </c>
      <c r="AA370" s="618">
        <f t="shared" si="1099"/>
        <v>4350</v>
      </c>
      <c r="AB370" s="618">
        <f>SUMIFS(Нормативы!N:N,Нормативы!$B:$B,$G370,Нормативы!$D:$D,'2020'!$I370,Нормативы!$F:$F,'2020'!$K370)*O370</f>
        <v>520</v>
      </c>
      <c r="AC370" s="618">
        <f>SUMIFS(Нормативы!O:O,Нормативы!$B:$B,$G370,Нормативы!$D:$D,'2020'!$I370,Нормативы!$F:$F,'2020'!$K370)</f>
        <v>2670</v>
      </c>
      <c r="AD370" s="618">
        <f>SUMIFS(Нормативы!P:P,Нормативы!$B:$B,$G370,Нормативы!$D:$D,'2020'!$I370,Нормативы!$F:$F,'2020'!$K370)*O370</f>
        <v>340</v>
      </c>
      <c r="AE370" s="618">
        <f>SUMIFS(Нормативы!Q:Q,Нормативы!$B:$B,$G370,Нормативы!$D:$D,'2020'!$I370,Нормативы!$F:$F,'2020'!$K370)</f>
        <v>820</v>
      </c>
      <c r="AF370" s="618">
        <f>SUMIFS(Нормативы!R:R,Нормативы!$B:$B,$G370,Нормативы!$D:$D,'2020'!$I370,Нормативы!$F:$F,'2020'!$K370)</f>
        <v>2460</v>
      </c>
      <c r="AG370" s="618">
        <f>SUMIFS(Нормативы!S:S,Нормативы!$B:$B,$G370,Нормативы!$D:$D,'2020'!$I370,Нормативы!$F:$F,'2020'!$K370)</f>
        <v>5080</v>
      </c>
      <c r="AH370" s="618">
        <f>SUMIFS(Нормативы!T:T,Нормативы!$B:$B,$G370,Нормативы!$D:$D,'2020'!$I370,Нормативы!$F:$F,'2020'!$K370)</f>
        <v>540</v>
      </c>
      <c r="AI370" s="618">
        <f>SUMIFS(Нормативы!U:U,Нормативы!$B:$B,$G370,Нормативы!$D:$D,'2020'!$I370,Нормативы!$F:$F,'2020'!$K370)</f>
        <v>770</v>
      </c>
      <c r="AJ370" s="618">
        <f>SUMIFS(Нормативы!V:V,Нормативы!$B:$B,$G370,Нормативы!$D:$D,'2020'!$I370,Нормативы!$F:$F,'2020'!$K370)</f>
        <v>80</v>
      </c>
      <c r="AK370" s="618">
        <f>SUMIFS(Нормативы!W:W,Нормативы!$B:$B,$G370,Нормативы!$D:$D,'2020'!$I370,Нормативы!$F:$F,'2020'!$K370)</f>
        <v>120</v>
      </c>
      <c r="AL370" s="618">
        <f>SUMIFS(Нормативы!X:X,Нормативы!$B:$B,$G370,Нормативы!$D:$D,'2020'!$I370,Нормативы!$F:$F,'2020'!$K370)*O370</f>
        <v>13440</v>
      </c>
      <c r="AM370" s="618">
        <f t="shared" si="1100"/>
        <v>10322.6</v>
      </c>
      <c r="AN370" s="618">
        <f t="shared" si="1101"/>
        <v>3117.4</v>
      </c>
      <c r="AO370" s="618">
        <f>SUMIFS(Нормативы!AA:AA,Нормативы!$B:$B,$G370,Нормативы!$D:$D,'2020'!$I370,Нормативы!$F:$F,'2020'!$K370)</f>
        <v>3520</v>
      </c>
      <c r="AP370" s="619">
        <f t="shared" si="1102"/>
        <v>92640</v>
      </c>
      <c r="AQ370" s="413">
        <f t="shared" si="1040"/>
        <v>179220</v>
      </c>
      <c r="AR370" s="618">
        <f t="shared" si="1103"/>
        <v>137649.79999999999</v>
      </c>
      <c r="AS370" s="618">
        <f t="shared" si="1104"/>
        <v>41570.199999999997</v>
      </c>
      <c r="AT370" s="616">
        <f t="shared" si="1041"/>
        <v>660</v>
      </c>
      <c r="AU370" s="616">
        <f t="shared" si="1042"/>
        <v>132</v>
      </c>
      <c r="AV370" s="616">
        <f t="shared" si="1043"/>
        <v>6960</v>
      </c>
      <c r="AW370" s="616">
        <f t="shared" si="1044"/>
        <v>13050</v>
      </c>
      <c r="AX370" s="616">
        <f t="shared" si="1045"/>
        <v>1560</v>
      </c>
      <c r="AY370" s="616">
        <f t="shared" si="1046"/>
        <v>8010</v>
      </c>
      <c r="AZ370" s="616">
        <f t="shared" si="1047"/>
        <v>1020</v>
      </c>
      <c r="BA370" s="616">
        <f t="shared" si="1048"/>
        <v>2460</v>
      </c>
      <c r="BB370" s="616">
        <f t="shared" si="1049"/>
        <v>7380</v>
      </c>
      <c r="BC370" s="616">
        <f t="shared" si="1050"/>
        <v>15240</v>
      </c>
      <c r="BD370" s="616">
        <f t="shared" si="1051"/>
        <v>1620</v>
      </c>
      <c r="BE370" s="616">
        <f t="shared" si="1052"/>
        <v>2310</v>
      </c>
      <c r="BF370" s="616">
        <f t="shared" si="1053"/>
        <v>240</v>
      </c>
      <c r="BG370" s="616">
        <f t="shared" si="1054"/>
        <v>360</v>
      </c>
      <c r="BH370" s="616">
        <f t="shared" si="1055"/>
        <v>40320</v>
      </c>
      <c r="BI370" s="618">
        <f t="shared" si="1105"/>
        <v>30967.7</v>
      </c>
      <c r="BJ370" s="618">
        <f t="shared" si="1106"/>
        <v>9352.2999999999993</v>
      </c>
      <c r="BK370" s="616">
        <f t="shared" si="1056"/>
        <v>10560</v>
      </c>
      <c r="BL370" s="620">
        <f t="shared" si="1057"/>
        <v>277920</v>
      </c>
      <c r="BM370" s="616">
        <f t="shared" si="1058"/>
        <v>437655</v>
      </c>
      <c r="BN370" s="618">
        <f t="shared" si="1059"/>
        <v>336140.6</v>
      </c>
      <c r="BO370" s="618">
        <f t="shared" si="1060"/>
        <v>101514.4</v>
      </c>
      <c r="BP370" s="616">
        <f t="shared" si="1107"/>
        <v>660</v>
      </c>
      <c r="BQ370" s="616">
        <f t="shared" si="1108"/>
        <v>132</v>
      </c>
      <c r="BR370" s="616">
        <f t="shared" si="1109"/>
        <v>6960</v>
      </c>
      <c r="BS370" s="616">
        <f t="shared" si="1061"/>
        <v>13050</v>
      </c>
      <c r="BT370" s="616">
        <f t="shared" si="1062"/>
        <v>1560</v>
      </c>
      <c r="BU370" s="616">
        <f t="shared" si="1063"/>
        <v>8010</v>
      </c>
      <c r="BV370" s="616">
        <f t="shared" si="1064"/>
        <v>1020</v>
      </c>
      <c r="BW370" s="616">
        <f t="shared" si="1065"/>
        <v>2460</v>
      </c>
      <c r="BX370" s="616">
        <f t="shared" si="1066"/>
        <v>19188</v>
      </c>
      <c r="BY370" s="616">
        <f t="shared" si="1067"/>
        <v>15240</v>
      </c>
      <c r="BZ370" s="616">
        <f t="shared" si="1068"/>
        <v>1620</v>
      </c>
      <c r="CA370" s="616">
        <f t="shared" si="1069"/>
        <v>2310</v>
      </c>
      <c r="CB370" s="616">
        <f t="shared" si="1070"/>
        <v>240</v>
      </c>
      <c r="CC370" s="616">
        <f t="shared" si="1071"/>
        <v>360</v>
      </c>
      <c r="CD370" s="616">
        <f t="shared" si="1072"/>
        <v>98461</v>
      </c>
      <c r="CE370" s="618">
        <f t="shared" si="1110"/>
        <v>75622.899999999994</v>
      </c>
      <c r="CF370" s="618">
        <f t="shared" si="1111"/>
        <v>22838.1</v>
      </c>
      <c r="CG370" s="616">
        <f t="shared" si="1073"/>
        <v>10560</v>
      </c>
      <c r="CH370" s="621">
        <f t="shared" si="1074"/>
        <v>606304</v>
      </c>
      <c r="CI370" s="88">
        <f t="shared" si="1075"/>
        <v>145885</v>
      </c>
      <c r="CJ370" s="90">
        <f t="shared" si="1076"/>
        <v>112046.8667</v>
      </c>
      <c r="CK370" s="90">
        <f t="shared" si="1077"/>
        <v>33838.133300000001</v>
      </c>
      <c r="CL370" s="88">
        <f t="shared" si="1078"/>
        <v>220</v>
      </c>
      <c r="CM370" s="88">
        <f t="shared" si="1079"/>
        <v>44</v>
      </c>
      <c r="CN370" s="88">
        <f t="shared" si="1080"/>
        <v>2320</v>
      </c>
      <c r="CO370" s="88">
        <f t="shared" si="1081"/>
        <v>4350</v>
      </c>
      <c r="CP370" s="88">
        <f t="shared" si="1082"/>
        <v>520</v>
      </c>
      <c r="CQ370" s="88">
        <f t="shared" si="1083"/>
        <v>2670</v>
      </c>
      <c r="CR370" s="88">
        <f t="shared" si="1084"/>
        <v>340</v>
      </c>
      <c r="CS370" s="88">
        <f t="shared" si="1085"/>
        <v>820</v>
      </c>
      <c r="CT370" s="88">
        <f t="shared" si="1086"/>
        <v>6396</v>
      </c>
      <c r="CU370" s="88">
        <f t="shared" si="1087"/>
        <v>5080</v>
      </c>
      <c r="CV370" s="88">
        <f t="shared" si="1088"/>
        <v>540</v>
      </c>
      <c r="CW370" s="88">
        <f t="shared" si="1089"/>
        <v>770</v>
      </c>
      <c r="CX370" s="88">
        <f t="shared" si="1090"/>
        <v>80</v>
      </c>
      <c r="CY370" s="88">
        <f t="shared" si="1091"/>
        <v>120</v>
      </c>
      <c r="CZ370" s="88">
        <f t="shared" si="1092"/>
        <v>32820.333299999998</v>
      </c>
      <c r="DA370" s="90">
        <f t="shared" si="1093"/>
        <v>25207.633300000001</v>
      </c>
      <c r="DB370" s="90">
        <f t="shared" si="1094"/>
        <v>7612.7</v>
      </c>
      <c r="DC370" s="88">
        <f t="shared" si="1095"/>
        <v>3520</v>
      </c>
      <c r="DD370" s="211">
        <f t="shared" si="1096"/>
        <v>202101.3333</v>
      </c>
      <c r="AUV370" s="699">
        <f t="shared" si="890"/>
        <v>145885</v>
      </c>
      <c r="AUW370" s="699">
        <f t="shared" si="891"/>
        <v>112046.85</v>
      </c>
      <c r="AUX370" s="699">
        <f t="shared" si="892"/>
        <v>33838.15</v>
      </c>
      <c r="AUY370" s="699">
        <f t="shared" ref="AUY370:AUY374" si="1124">BP370/P370</f>
        <v>220</v>
      </c>
      <c r="AUZ370" s="699">
        <f t="shared" si="910"/>
        <v>50.77</v>
      </c>
      <c r="AVA370" s="699">
        <f t="shared" si="910"/>
        <v>0.12</v>
      </c>
      <c r="AVB370" s="699">
        <f t="shared" ref="AVB370:AVB374" si="1125">AVC370+AVD370+AVE370+AVF370</f>
        <v>4350</v>
      </c>
      <c r="AVC370" s="699">
        <f t="shared" ref="AVC370:AVC374" si="1126">BT370/P370</f>
        <v>520</v>
      </c>
      <c r="AVD370" s="699">
        <f t="shared" ref="AVD370:AVD374" si="1127">BU370/P370</f>
        <v>2670</v>
      </c>
      <c r="AVE370" s="699">
        <f t="shared" ref="AVE370:AVE374" si="1128">BV370/P370</f>
        <v>340</v>
      </c>
      <c r="AVF370" s="699">
        <f t="shared" ref="AVF370:AVF374" si="1129">BW370/P370</f>
        <v>820</v>
      </c>
      <c r="AVG370" s="699">
        <f t="shared" ref="AVG370:AVG374" si="1130">BX370/P370</f>
        <v>6396</v>
      </c>
      <c r="AVH370" s="699">
        <f t="shared" ref="AVH370:AVH374" si="1131">BY370/P370</f>
        <v>5080</v>
      </c>
      <c r="AVI370" s="699">
        <f t="shared" ref="AVI370:AVI374" si="1132">BZ370/P370</f>
        <v>540</v>
      </c>
      <c r="AVJ370" s="699">
        <f t="shared" ref="AVJ370:AVJ374" si="1133">CA370/P370</f>
        <v>770</v>
      </c>
      <c r="AVK370" s="699">
        <f t="shared" ref="AVK370:AVK374" si="1134">CB370/P370</f>
        <v>80</v>
      </c>
      <c r="AVL370" s="699">
        <f t="shared" ref="AVL370:AVL374" si="1135">CC370/P370</f>
        <v>120</v>
      </c>
      <c r="AVM370" s="699">
        <f t="shared" ref="AVM370:AVM374" si="1136">CD370/P370</f>
        <v>32820.33</v>
      </c>
      <c r="AVN370" s="699">
        <f t="shared" ref="AVN370:AVN374" si="1137">AVM370/1.302</f>
        <v>25207.63</v>
      </c>
      <c r="AVO370" s="699">
        <f t="shared" ref="AVO370:AVO374" si="1138">AVM370-AVN370</f>
        <v>7612.7</v>
      </c>
      <c r="AVP370" s="699">
        <f t="shared" ref="AVP370:AVP374" si="1139">CG370/P370</f>
        <v>3520</v>
      </c>
      <c r="AVQ370" s="699">
        <f t="shared" ref="AVQ370:AVQ374" si="1140">CH370/P370</f>
        <v>202101.33</v>
      </c>
    </row>
    <row r="371" spans="1:108 1244:1265" ht="30" customHeight="1" x14ac:dyDescent="0.25">
      <c r="A371" s="643">
        <v>1</v>
      </c>
      <c r="B371" s="643">
        <v>6</v>
      </c>
      <c r="C371" s="664" t="s">
        <v>250</v>
      </c>
      <c r="D371" s="2"/>
      <c r="E371" s="101" t="s">
        <v>345</v>
      </c>
      <c r="F371" s="643" t="s">
        <v>38</v>
      </c>
      <c r="G371" s="643">
        <v>2</v>
      </c>
      <c r="H371" s="658" t="s">
        <v>8</v>
      </c>
      <c r="I371" s="643">
        <v>3</v>
      </c>
      <c r="J371" s="101" t="s">
        <v>397</v>
      </c>
      <c r="K371" s="643">
        <v>1</v>
      </c>
      <c r="L371" s="683" t="s">
        <v>350</v>
      </c>
      <c r="M371" s="11" t="s">
        <v>340</v>
      </c>
      <c r="N371" s="101" t="s">
        <v>387</v>
      </c>
      <c r="O371" s="643">
        <v>1</v>
      </c>
      <c r="P371" s="695">
        <v>5</v>
      </c>
      <c r="Q371" s="632">
        <v>5</v>
      </c>
      <c r="R371" s="632">
        <v>5</v>
      </c>
      <c r="S371" s="675">
        <f>SUMIF('Территориальный кк'!$A:$A,'2020'!$B371,'Территориальный кк'!D:D)</f>
        <v>2.4420000000000002</v>
      </c>
      <c r="T371" s="676">
        <f>SUMIF('Территориальный кк'!$A:$A,'2020'!$B371,'Территориальный кк'!E:E)</f>
        <v>2.6</v>
      </c>
      <c r="U371" s="618">
        <f>SUMIFS(Нормативы!G:G,Нормативы!$B:$B,$G371,Нормативы!$D:$D,'2020'!$I371,Нормативы!$F:$F,'2020'!$K371)*O371</f>
        <v>5974</v>
      </c>
      <c r="V371" s="618">
        <f t="shared" si="1097"/>
        <v>4588.3</v>
      </c>
      <c r="W371" s="618">
        <f t="shared" si="1098"/>
        <v>1385.7</v>
      </c>
      <c r="X371" s="618">
        <f>SUMIFS(Нормативы!J:J,Нормативы!$B:$B,$G371,Нормативы!$D:$D,'2020'!$I371,Нормативы!$F:$F,'2020'!$K371)</f>
        <v>22</v>
      </c>
      <c r="Y371" s="618">
        <f>SUMIFS(Нормативы!K:K,Нормативы!$B:$B,$G371,Нормативы!$D:$D,'2020'!$I371,Нормативы!$F:$F,'2020'!$K371)</f>
        <v>4</v>
      </c>
      <c r="Z371" s="618">
        <f>SUMIFS(Нормативы!L:L,Нормативы!$B:$B,$G371,Нормативы!$D:$D,'2020'!$I371,Нормативы!$F:$F,'2020'!$K371)</f>
        <v>232</v>
      </c>
      <c r="AA371" s="618">
        <f t="shared" si="1099"/>
        <v>435</v>
      </c>
      <c r="AB371" s="618">
        <f>SUMIFS(Нормативы!N:N,Нормативы!$B:$B,$G371,Нормативы!$D:$D,'2020'!$I371,Нормативы!$F:$F,'2020'!$K371)*O371</f>
        <v>52</v>
      </c>
      <c r="AC371" s="618">
        <f>SUMIFS(Нормативы!O:O,Нормативы!$B:$B,$G371,Нормативы!$D:$D,'2020'!$I371,Нормативы!$F:$F,'2020'!$K371)</f>
        <v>267</v>
      </c>
      <c r="AD371" s="618">
        <f>SUMIFS(Нормативы!P:P,Нормативы!$B:$B,$G371,Нормативы!$D:$D,'2020'!$I371,Нормативы!$F:$F,'2020'!$K371)*O371</f>
        <v>34</v>
      </c>
      <c r="AE371" s="618">
        <f>SUMIFS(Нормативы!Q:Q,Нормативы!$B:$B,$G371,Нормативы!$D:$D,'2020'!$I371,Нормативы!$F:$F,'2020'!$K371)</f>
        <v>82</v>
      </c>
      <c r="AF371" s="618">
        <f>SUMIFS(Нормативы!R:R,Нормативы!$B:$B,$G371,Нормативы!$D:$D,'2020'!$I371,Нормативы!$F:$F,'2020'!$K371)</f>
        <v>246</v>
      </c>
      <c r="AG371" s="618">
        <f>SUMIFS(Нормативы!S:S,Нормативы!$B:$B,$G371,Нормативы!$D:$D,'2020'!$I371,Нормативы!$F:$F,'2020'!$K371)</f>
        <v>508</v>
      </c>
      <c r="AH371" s="618">
        <f>SUMIFS(Нормативы!T:T,Нормативы!$B:$B,$G371,Нормативы!$D:$D,'2020'!$I371,Нормативы!$F:$F,'2020'!$K371)</f>
        <v>54</v>
      </c>
      <c r="AI371" s="618">
        <f>SUMIFS(Нормативы!U:U,Нормативы!$B:$B,$G371,Нормативы!$D:$D,'2020'!$I371,Нормативы!$F:$F,'2020'!$K371)</f>
        <v>77</v>
      </c>
      <c r="AJ371" s="618">
        <f>SUMIFS(Нормативы!V:V,Нормативы!$B:$B,$G371,Нормативы!$D:$D,'2020'!$I371,Нормативы!$F:$F,'2020'!$K371)</f>
        <v>8</v>
      </c>
      <c r="AK371" s="618">
        <f>SUMIFS(Нормативы!W:W,Нормативы!$B:$B,$G371,Нормативы!$D:$D,'2020'!$I371,Нормативы!$F:$F,'2020'!$K371)</f>
        <v>12</v>
      </c>
      <c r="AL371" s="618">
        <f>SUMIFS(Нормативы!X:X,Нормативы!$B:$B,$G371,Нормативы!$D:$D,'2020'!$I371,Нормативы!$F:$F,'2020'!$K371)*O371</f>
        <v>1344</v>
      </c>
      <c r="AM371" s="618">
        <f t="shared" si="1100"/>
        <v>1032.3</v>
      </c>
      <c r="AN371" s="618">
        <f t="shared" si="1101"/>
        <v>311.7</v>
      </c>
      <c r="AO371" s="618">
        <f>SUMIFS(Нормативы!AA:AA,Нормативы!$B:$B,$G371,Нормативы!$D:$D,'2020'!$I371,Нормативы!$F:$F,'2020'!$K371)</f>
        <v>0</v>
      </c>
      <c r="AP371" s="619">
        <f t="shared" si="1102"/>
        <v>8912</v>
      </c>
      <c r="AQ371" s="413">
        <f t="shared" si="1040"/>
        <v>29870</v>
      </c>
      <c r="AR371" s="618">
        <f t="shared" si="1103"/>
        <v>22941.599999999999</v>
      </c>
      <c r="AS371" s="618">
        <f t="shared" si="1104"/>
        <v>6928.4</v>
      </c>
      <c r="AT371" s="616">
        <f t="shared" si="1041"/>
        <v>110</v>
      </c>
      <c r="AU371" s="616">
        <f t="shared" si="1042"/>
        <v>20</v>
      </c>
      <c r="AV371" s="616">
        <f t="shared" si="1043"/>
        <v>1160</v>
      </c>
      <c r="AW371" s="616">
        <f t="shared" si="1044"/>
        <v>2175</v>
      </c>
      <c r="AX371" s="616">
        <f t="shared" si="1045"/>
        <v>260</v>
      </c>
      <c r="AY371" s="616">
        <f t="shared" si="1046"/>
        <v>1335</v>
      </c>
      <c r="AZ371" s="616">
        <f t="shared" si="1047"/>
        <v>170</v>
      </c>
      <c r="BA371" s="616">
        <f t="shared" si="1048"/>
        <v>410</v>
      </c>
      <c r="BB371" s="616">
        <f t="shared" si="1049"/>
        <v>1230</v>
      </c>
      <c r="BC371" s="616">
        <f t="shared" si="1050"/>
        <v>2540</v>
      </c>
      <c r="BD371" s="616">
        <f t="shared" si="1051"/>
        <v>270</v>
      </c>
      <c r="BE371" s="616">
        <f t="shared" si="1052"/>
        <v>385</v>
      </c>
      <c r="BF371" s="616">
        <f t="shared" si="1053"/>
        <v>40</v>
      </c>
      <c r="BG371" s="616">
        <f t="shared" si="1054"/>
        <v>60</v>
      </c>
      <c r="BH371" s="616">
        <f t="shared" si="1055"/>
        <v>6720</v>
      </c>
      <c r="BI371" s="618">
        <f t="shared" si="1105"/>
        <v>5161.3</v>
      </c>
      <c r="BJ371" s="618">
        <f t="shared" si="1106"/>
        <v>1558.7</v>
      </c>
      <c r="BK371" s="616">
        <f t="shared" si="1056"/>
        <v>0</v>
      </c>
      <c r="BL371" s="620">
        <f t="shared" si="1057"/>
        <v>44560</v>
      </c>
      <c r="BM371" s="616">
        <f t="shared" si="1058"/>
        <v>72943</v>
      </c>
      <c r="BN371" s="618">
        <f t="shared" si="1059"/>
        <v>56023.8</v>
      </c>
      <c r="BO371" s="618">
        <f t="shared" si="1060"/>
        <v>16919.2</v>
      </c>
      <c r="BP371" s="616">
        <f t="shared" si="1107"/>
        <v>110</v>
      </c>
      <c r="BQ371" s="616">
        <f t="shared" si="1108"/>
        <v>20</v>
      </c>
      <c r="BR371" s="616">
        <f t="shared" si="1109"/>
        <v>1160</v>
      </c>
      <c r="BS371" s="616">
        <f t="shared" si="1061"/>
        <v>2175</v>
      </c>
      <c r="BT371" s="616">
        <f t="shared" si="1062"/>
        <v>260</v>
      </c>
      <c r="BU371" s="616">
        <f t="shared" si="1063"/>
        <v>1335</v>
      </c>
      <c r="BV371" s="616">
        <f t="shared" si="1064"/>
        <v>170</v>
      </c>
      <c r="BW371" s="616">
        <f t="shared" si="1065"/>
        <v>410</v>
      </c>
      <c r="BX371" s="616">
        <f t="shared" si="1066"/>
        <v>3198</v>
      </c>
      <c r="BY371" s="616">
        <f t="shared" si="1067"/>
        <v>2540</v>
      </c>
      <c r="BZ371" s="616">
        <f t="shared" si="1068"/>
        <v>270</v>
      </c>
      <c r="CA371" s="616">
        <f t="shared" si="1069"/>
        <v>385</v>
      </c>
      <c r="CB371" s="616">
        <f t="shared" si="1070"/>
        <v>40</v>
      </c>
      <c r="CC371" s="616">
        <f t="shared" si="1071"/>
        <v>60</v>
      </c>
      <c r="CD371" s="616">
        <f t="shared" si="1072"/>
        <v>16410</v>
      </c>
      <c r="CE371" s="618">
        <f t="shared" si="1110"/>
        <v>12603.7</v>
      </c>
      <c r="CF371" s="618">
        <f t="shared" si="1111"/>
        <v>3806.3</v>
      </c>
      <c r="CG371" s="616">
        <f t="shared" si="1073"/>
        <v>0</v>
      </c>
      <c r="CH371" s="621">
        <f t="shared" si="1074"/>
        <v>99291</v>
      </c>
      <c r="CI371" s="88">
        <f t="shared" si="1075"/>
        <v>14588.6</v>
      </c>
      <c r="CJ371" s="90">
        <f t="shared" si="1076"/>
        <v>11204.76</v>
      </c>
      <c r="CK371" s="90">
        <f t="shared" si="1077"/>
        <v>3383.84</v>
      </c>
      <c r="CL371" s="88">
        <f t="shared" si="1078"/>
        <v>22</v>
      </c>
      <c r="CM371" s="88">
        <f t="shared" si="1079"/>
        <v>4</v>
      </c>
      <c r="CN371" s="88">
        <f t="shared" si="1080"/>
        <v>232</v>
      </c>
      <c r="CO371" s="88">
        <f t="shared" si="1081"/>
        <v>435</v>
      </c>
      <c r="CP371" s="88">
        <f t="shared" si="1082"/>
        <v>52</v>
      </c>
      <c r="CQ371" s="88">
        <f t="shared" si="1083"/>
        <v>267</v>
      </c>
      <c r="CR371" s="88">
        <f t="shared" si="1084"/>
        <v>34</v>
      </c>
      <c r="CS371" s="88">
        <f t="shared" si="1085"/>
        <v>82</v>
      </c>
      <c r="CT371" s="88">
        <f t="shared" si="1086"/>
        <v>639.6</v>
      </c>
      <c r="CU371" s="88">
        <f t="shared" si="1087"/>
        <v>508</v>
      </c>
      <c r="CV371" s="88">
        <f t="shared" si="1088"/>
        <v>54</v>
      </c>
      <c r="CW371" s="88">
        <f t="shared" si="1089"/>
        <v>77</v>
      </c>
      <c r="CX371" s="88">
        <f t="shared" si="1090"/>
        <v>8</v>
      </c>
      <c r="CY371" s="88">
        <f t="shared" si="1091"/>
        <v>12</v>
      </c>
      <c r="CZ371" s="88">
        <f t="shared" si="1092"/>
        <v>3282</v>
      </c>
      <c r="DA371" s="90">
        <f t="shared" si="1093"/>
        <v>2520.7399999999998</v>
      </c>
      <c r="DB371" s="90">
        <f t="shared" si="1094"/>
        <v>761.26</v>
      </c>
      <c r="DC371" s="88">
        <f t="shared" si="1095"/>
        <v>0</v>
      </c>
      <c r="DD371" s="211">
        <f t="shared" si="1096"/>
        <v>19858.2</v>
      </c>
      <c r="AUV371" s="699">
        <f t="shared" si="890"/>
        <v>14588.6</v>
      </c>
      <c r="AUW371" s="699">
        <f t="shared" si="891"/>
        <v>11204.76</v>
      </c>
      <c r="AUX371" s="699">
        <f t="shared" si="892"/>
        <v>3383.84</v>
      </c>
      <c r="AUY371" s="699">
        <f t="shared" si="1124"/>
        <v>22</v>
      </c>
      <c r="AUZ371" s="699">
        <f t="shared" si="910"/>
        <v>7.69</v>
      </c>
      <c r="AVA371" s="699">
        <f t="shared" si="910"/>
        <v>0.19</v>
      </c>
      <c r="AVB371" s="699">
        <f t="shared" si="1125"/>
        <v>435</v>
      </c>
      <c r="AVC371" s="699">
        <f t="shared" si="1126"/>
        <v>52</v>
      </c>
      <c r="AVD371" s="699">
        <f t="shared" si="1127"/>
        <v>267</v>
      </c>
      <c r="AVE371" s="699">
        <f t="shared" si="1128"/>
        <v>34</v>
      </c>
      <c r="AVF371" s="699">
        <f t="shared" si="1129"/>
        <v>82</v>
      </c>
      <c r="AVG371" s="699">
        <f t="shared" si="1130"/>
        <v>639.6</v>
      </c>
      <c r="AVH371" s="699">
        <f t="shared" si="1131"/>
        <v>508</v>
      </c>
      <c r="AVI371" s="699">
        <f t="shared" si="1132"/>
        <v>54</v>
      </c>
      <c r="AVJ371" s="699">
        <f t="shared" si="1133"/>
        <v>77</v>
      </c>
      <c r="AVK371" s="699">
        <f t="shared" si="1134"/>
        <v>8</v>
      </c>
      <c r="AVL371" s="699">
        <f t="shared" si="1135"/>
        <v>12</v>
      </c>
      <c r="AVM371" s="699">
        <f t="shared" si="1136"/>
        <v>3282</v>
      </c>
      <c r="AVN371" s="699">
        <f t="shared" si="1137"/>
        <v>2520.7399999999998</v>
      </c>
      <c r="AVO371" s="699">
        <f t="shared" si="1138"/>
        <v>761.26</v>
      </c>
      <c r="AVP371" s="699">
        <f t="shared" si="1139"/>
        <v>0</v>
      </c>
      <c r="AVQ371" s="699">
        <f t="shared" si="1140"/>
        <v>19858.2</v>
      </c>
    </row>
    <row r="372" spans="1:108 1244:1265" ht="30" customHeight="1" x14ac:dyDescent="0.25">
      <c r="A372" s="643">
        <v>1</v>
      </c>
      <c r="B372" s="643">
        <v>6</v>
      </c>
      <c r="C372" s="664" t="s">
        <v>250</v>
      </c>
      <c r="D372" s="2"/>
      <c r="E372" s="101" t="s">
        <v>345</v>
      </c>
      <c r="F372" s="643" t="s">
        <v>38</v>
      </c>
      <c r="G372" s="643">
        <v>2</v>
      </c>
      <c r="H372" s="658" t="s">
        <v>10</v>
      </c>
      <c r="I372" s="643">
        <v>0</v>
      </c>
      <c r="J372" s="101" t="s">
        <v>364</v>
      </c>
      <c r="K372" s="643">
        <v>3</v>
      </c>
      <c r="L372" s="683" t="s">
        <v>350</v>
      </c>
      <c r="M372" s="11" t="s">
        <v>270</v>
      </c>
      <c r="N372" s="101" t="s">
        <v>387</v>
      </c>
      <c r="O372" s="643">
        <v>1</v>
      </c>
      <c r="P372" s="695">
        <v>69</v>
      </c>
      <c r="Q372" s="632">
        <v>69</v>
      </c>
      <c r="R372" s="632">
        <v>69</v>
      </c>
      <c r="S372" s="675">
        <f>SUMIF('Территориальный кк'!$A:$A,'2020'!$B372,'Территориальный кк'!D:D)</f>
        <v>2.4420000000000002</v>
      </c>
      <c r="T372" s="676">
        <f>SUMIF('Территориальный кк'!$A:$A,'2020'!$B372,'Территориальный кк'!E:E)</f>
        <v>2.6</v>
      </c>
      <c r="U372" s="618">
        <f>SUMIFS(Нормативы!G:G,Нормативы!$B:$B,$G372,Нормативы!$D:$D,'2020'!$I372,Нормативы!$F:$F,'2020'!$K372)*O372</f>
        <v>70600</v>
      </c>
      <c r="V372" s="618">
        <f t="shared" si="1097"/>
        <v>54224.3</v>
      </c>
      <c r="W372" s="618">
        <f t="shared" si="1098"/>
        <v>16375.7</v>
      </c>
      <c r="X372" s="618">
        <f>SUMIFS(Нормативы!J:J,Нормативы!$B:$B,$G372,Нормативы!$D:$D,'2020'!$I372,Нормативы!$F:$F,'2020'!$K372)</f>
        <v>8860</v>
      </c>
      <c r="Y372" s="618">
        <f>SUMIFS(Нормативы!K:K,Нормативы!$B:$B,$G372,Нормативы!$D:$D,'2020'!$I372,Нормативы!$F:$F,'2020'!$K372)</f>
        <v>0</v>
      </c>
      <c r="Z372" s="618">
        <f>SUMIFS(Нормативы!L:L,Нормативы!$B:$B,$G372,Нормативы!$D:$D,'2020'!$I372,Нормативы!$F:$F,'2020'!$K372)</f>
        <v>8110</v>
      </c>
      <c r="AA372" s="618">
        <f t="shared" si="1099"/>
        <v>21610</v>
      </c>
      <c r="AB372" s="618">
        <f>SUMIFS(Нормативы!N:N,Нормативы!$B:$B,$G372,Нормативы!$D:$D,'2020'!$I372,Нормативы!$F:$F,'2020'!$K372)*O372</f>
        <v>520</v>
      </c>
      <c r="AC372" s="618">
        <f>SUMIFS(Нормативы!O:O,Нормативы!$B:$B,$G372,Нормативы!$D:$D,'2020'!$I372,Нормативы!$F:$F,'2020'!$K372)</f>
        <v>19720</v>
      </c>
      <c r="AD372" s="618">
        <f>SUMIFS(Нормативы!P:P,Нормативы!$B:$B,$G372,Нормативы!$D:$D,'2020'!$I372,Нормативы!$F:$F,'2020'!$K372)*O372</f>
        <v>400</v>
      </c>
      <c r="AE372" s="618">
        <f>SUMIFS(Нормативы!Q:Q,Нормативы!$B:$B,$G372,Нормативы!$D:$D,'2020'!$I372,Нормативы!$F:$F,'2020'!$K372)</f>
        <v>970</v>
      </c>
      <c r="AF372" s="618">
        <f>SUMIFS(Нормативы!R:R,Нормативы!$B:$B,$G372,Нормативы!$D:$D,'2020'!$I372,Нормативы!$F:$F,'2020'!$K372)</f>
        <v>2680</v>
      </c>
      <c r="AG372" s="618">
        <f>SUMIFS(Нормативы!S:S,Нормативы!$B:$B,$G372,Нормативы!$D:$D,'2020'!$I372,Нормативы!$F:$F,'2020'!$K372)</f>
        <v>5800</v>
      </c>
      <c r="AH372" s="618">
        <f>SUMIFS(Нормативы!T:T,Нормативы!$B:$B,$G372,Нормативы!$D:$D,'2020'!$I372,Нормативы!$F:$F,'2020'!$K372)</f>
        <v>540</v>
      </c>
      <c r="AI372" s="618">
        <f>SUMIFS(Нормативы!U:U,Нормативы!$B:$B,$G372,Нормативы!$D:$D,'2020'!$I372,Нормативы!$F:$F,'2020'!$K372)</f>
        <v>770</v>
      </c>
      <c r="AJ372" s="618">
        <f>SUMIFS(Нормативы!V:V,Нормативы!$B:$B,$G372,Нормативы!$D:$D,'2020'!$I372,Нормативы!$F:$F,'2020'!$K372)</f>
        <v>80</v>
      </c>
      <c r="AK372" s="618">
        <f>SUMIFS(Нормативы!W:W,Нормативы!$B:$B,$G372,Нормативы!$D:$D,'2020'!$I372,Нормативы!$F:$F,'2020'!$K372)</f>
        <v>330</v>
      </c>
      <c r="AL372" s="618">
        <f>SUMIFS(Нормативы!X:X,Нормативы!$B:$B,$G372,Нормативы!$D:$D,'2020'!$I372,Нормативы!$F:$F,'2020'!$K372)*O372</f>
        <v>16120</v>
      </c>
      <c r="AM372" s="618">
        <f t="shared" si="1100"/>
        <v>12381</v>
      </c>
      <c r="AN372" s="618">
        <f t="shared" si="1101"/>
        <v>3739</v>
      </c>
      <c r="AO372" s="618">
        <f>SUMIFS(Нормативы!AA:AA,Нормативы!$B:$B,$G372,Нормативы!$D:$D,'2020'!$I372,Нормативы!$F:$F,'2020'!$K372)</f>
        <v>3520</v>
      </c>
      <c r="AP372" s="619">
        <f t="shared" si="1102"/>
        <v>139020</v>
      </c>
      <c r="AQ372" s="413">
        <f t="shared" si="1040"/>
        <v>4871400</v>
      </c>
      <c r="AR372" s="618">
        <f t="shared" si="1103"/>
        <v>3741474.7</v>
      </c>
      <c r="AS372" s="618">
        <f t="shared" si="1104"/>
        <v>1129925.3</v>
      </c>
      <c r="AT372" s="616">
        <f t="shared" si="1041"/>
        <v>611340</v>
      </c>
      <c r="AU372" s="616">
        <f t="shared" si="1042"/>
        <v>0</v>
      </c>
      <c r="AV372" s="616">
        <f t="shared" si="1043"/>
        <v>559590</v>
      </c>
      <c r="AW372" s="616">
        <f t="shared" si="1044"/>
        <v>1491090</v>
      </c>
      <c r="AX372" s="616">
        <f t="shared" si="1045"/>
        <v>35880</v>
      </c>
      <c r="AY372" s="616">
        <f t="shared" si="1046"/>
        <v>1360680</v>
      </c>
      <c r="AZ372" s="616">
        <f t="shared" si="1047"/>
        <v>27600</v>
      </c>
      <c r="BA372" s="616">
        <f t="shared" si="1048"/>
        <v>66930</v>
      </c>
      <c r="BB372" s="616">
        <f t="shared" si="1049"/>
        <v>184920</v>
      </c>
      <c r="BC372" s="616">
        <f t="shared" si="1050"/>
        <v>400200</v>
      </c>
      <c r="BD372" s="616">
        <f t="shared" si="1051"/>
        <v>37260</v>
      </c>
      <c r="BE372" s="616">
        <f t="shared" si="1052"/>
        <v>53130</v>
      </c>
      <c r="BF372" s="616">
        <f t="shared" si="1053"/>
        <v>5520</v>
      </c>
      <c r="BG372" s="616">
        <f t="shared" si="1054"/>
        <v>22770</v>
      </c>
      <c r="BH372" s="616">
        <f t="shared" si="1055"/>
        <v>1112280</v>
      </c>
      <c r="BI372" s="618">
        <f t="shared" si="1105"/>
        <v>854285.7</v>
      </c>
      <c r="BJ372" s="618">
        <f t="shared" si="1106"/>
        <v>257994.3</v>
      </c>
      <c r="BK372" s="616">
        <f t="shared" si="1056"/>
        <v>242880</v>
      </c>
      <c r="BL372" s="620">
        <f t="shared" si="1057"/>
        <v>9592380</v>
      </c>
      <c r="BM372" s="616">
        <f t="shared" si="1058"/>
        <v>11895959</v>
      </c>
      <c r="BN372" s="618">
        <f t="shared" si="1059"/>
        <v>9136681.3000000007</v>
      </c>
      <c r="BO372" s="618">
        <f t="shared" si="1060"/>
        <v>2759277.7</v>
      </c>
      <c r="BP372" s="616">
        <f t="shared" si="1107"/>
        <v>611340</v>
      </c>
      <c r="BQ372" s="616">
        <f t="shared" si="1108"/>
        <v>0</v>
      </c>
      <c r="BR372" s="616">
        <f t="shared" si="1109"/>
        <v>559590</v>
      </c>
      <c r="BS372" s="616">
        <f t="shared" si="1061"/>
        <v>1491090</v>
      </c>
      <c r="BT372" s="616">
        <f t="shared" si="1062"/>
        <v>35880</v>
      </c>
      <c r="BU372" s="616">
        <f t="shared" si="1063"/>
        <v>1360680</v>
      </c>
      <c r="BV372" s="616">
        <f t="shared" si="1064"/>
        <v>27600</v>
      </c>
      <c r="BW372" s="616">
        <f t="shared" si="1065"/>
        <v>66930</v>
      </c>
      <c r="BX372" s="616">
        <f t="shared" si="1066"/>
        <v>480792</v>
      </c>
      <c r="BY372" s="616">
        <f t="shared" si="1067"/>
        <v>400200</v>
      </c>
      <c r="BZ372" s="616">
        <f t="shared" si="1068"/>
        <v>37260</v>
      </c>
      <c r="CA372" s="616">
        <f t="shared" si="1069"/>
        <v>53130</v>
      </c>
      <c r="CB372" s="616">
        <f t="shared" si="1070"/>
        <v>5520</v>
      </c>
      <c r="CC372" s="616">
        <f t="shared" si="1071"/>
        <v>22770</v>
      </c>
      <c r="CD372" s="616">
        <f t="shared" si="1072"/>
        <v>2716188</v>
      </c>
      <c r="CE372" s="618">
        <f t="shared" si="1110"/>
        <v>2086165.9</v>
      </c>
      <c r="CF372" s="618">
        <f t="shared" si="1111"/>
        <v>630022.1</v>
      </c>
      <c r="CG372" s="616">
        <f t="shared" si="1073"/>
        <v>242880</v>
      </c>
      <c r="CH372" s="621">
        <f t="shared" si="1074"/>
        <v>18516719</v>
      </c>
      <c r="CI372" s="88">
        <f t="shared" si="1075"/>
        <v>172405.2029</v>
      </c>
      <c r="CJ372" s="90">
        <f t="shared" si="1076"/>
        <v>132415.671</v>
      </c>
      <c r="CK372" s="90">
        <f t="shared" si="1077"/>
        <v>39989.531900000002</v>
      </c>
      <c r="CL372" s="88">
        <f t="shared" si="1078"/>
        <v>8860</v>
      </c>
      <c r="CM372" s="88">
        <f t="shared" si="1079"/>
        <v>0</v>
      </c>
      <c r="CN372" s="88">
        <f t="shared" si="1080"/>
        <v>8110</v>
      </c>
      <c r="CO372" s="88">
        <f t="shared" si="1081"/>
        <v>21610</v>
      </c>
      <c r="CP372" s="88">
        <f t="shared" si="1082"/>
        <v>520</v>
      </c>
      <c r="CQ372" s="88">
        <f t="shared" si="1083"/>
        <v>19720</v>
      </c>
      <c r="CR372" s="88">
        <f t="shared" si="1084"/>
        <v>400</v>
      </c>
      <c r="CS372" s="88">
        <f t="shared" si="1085"/>
        <v>970</v>
      </c>
      <c r="CT372" s="88">
        <f t="shared" si="1086"/>
        <v>6968</v>
      </c>
      <c r="CU372" s="88">
        <f t="shared" si="1087"/>
        <v>5800</v>
      </c>
      <c r="CV372" s="88">
        <f t="shared" si="1088"/>
        <v>540</v>
      </c>
      <c r="CW372" s="88">
        <f t="shared" si="1089"/>
        <v>770</v>
      </c>
      <c r="CX372" s="88">
        <f t="shared" si="1090"/>
        <v>80</v>
      </c>
      <c r="CY372" s="88">
        <f t="shared" si="1091"/>
        <v>330</v>
      </c>
      <c r="CZ372" s="88">
        <f t="shared" si="1092"/>
        <v>39365.0435</v>
      </c>
      <c r="DA372" s="90">
        <f t="shared" si="1093"/>
        <v>30234.288400000001</v>
      </c>
      <c r="DB372" s="90">
        <f t="shared" si="1094"/>
        <v>9130.7551000000003</v>
      </c>
      <c r="DC372" s="88">
        <f t="shared" si="1095"/>
        <v>3520</v>
      </c>
      <c r="DD372" s="211">
        <f t="shared" si="1096"/>
        <v>268358.2464</v>
      </c>
      <c r="AUV372" s="699">
        <f t="shared" si="890"/>
        <v>172405.2</v>
      </c>
      <c r="AUW372" s="699">
        <f t="shared" si="891"/>
        <v>132415.67000000001</v>
      </c>
      <c r="AUX372" s="699">
        <f t="shared" si="892"/>
        <v>39989.53</v>
      </c>
      <c r="AUY372" s="699">
        <f t="shared" si="1124"/>
        <v>8860</v>
      </c>
      <c r="AUZ372" s="699">
        <f t="shared" si="910"/>
        <v>0</v>
      </c>
      <c r="AVA372" s="699">
        <f t="shared" si="910"/>
        <v>7.93</v>
      </c>
      <c r="AVB372" s="699">
        <f t="shared" si="1125"/>
        <v>21610</v>
      </c>
      <c r="AVC372" s="699">
        <f t="shared" si="1126"/>
        <v>520</v>
      </c>
      <c r="AVD372" s="699">
        <f t="shared" si="1127"/>
        <v>19720</v>
      </c>
      <c r="AVE372" s="699">
        <f t="shared" si="1128"/>
        <v>400</v>
      </c>
      <c r="AVF372" s="699">
        <f t="shared" si="1129"/>
        <v>970</v>
      </c>
      <c r="AVG372" s="699">
        <f t="shared" si="1130"/>
        <v>6968</v>
      </c>
      <c r="AVH372" s="699">
        <f t="shared" si="1131"/>
        <v>5800</v>
      </c>
      <c r="AVI372" s="699">
        <f t="shared" si="1132"/>
        <v>540</v>
      </c>
      <c r="AVJ372" s="699">
        <f t="shared" si="1133"/>
        <v>770</v>
      </c>
      <c r="AVK372" s="699">
        <f t="shared" si="1134"/>
        <v>80</v>
      </c>
      <c r="AVL372" s="699">
        <f t="shared" si="1135"/>
        <v>330</v>
      </c>
      <c r="AVM372" s="699">
        <f t="shared" si="1136"/>
        <v>39365.040000000001</v>
      </c>
      <c r="AVN372" s="699">
        <f t="shared" si="1137"/>
        <v>30234.29</v>
      </c>
      <c r="AVO372" s="699">
        <f t="shared" si="1138"/>
        <v>9130.75</v>
      </c>
      <c r="AVP372" s="699">
        <f t="shared" si="1139"/>
        <v>3520</v>
      </c>
      <c r="AVQ372" s="699">
        <f t="shared" si="1140"/>
        <v>268358.25</v>
      </c>
    </row>
    <row r="373" spans="1:108 1244:1265" ht="30" customHeight="1" x14ac:dyDescent="0.25">
      <c r="A373" s="643">
        <v>1</v>
      </c>
      <c r="B373" s="643">
        <v>6</v>
      </c>
      <c r="C373" s="664" t="s">
        <v>250</v>
      </c>
      <c r="D373" s="2"/>
      <c r="E373" s="101" t="s">
        <v>345</v>
      </c>
      <c r="F373" s="643" t="s">
        <v>38</v>
      </c>
      <c r="G373" s="643">
        <v>2</v>
      </c>
      <c r="H373" s="658" t="s">
        <v>8</v>
      </c>
      <c r="I373" s="643">
        <v>3</v>
      </c>
      <c r="J373" s="101" t="s">
        <v>364</v>
      </c>
      <c r="K373" s="643">
        <v>3</v>
      </c>
      <c r="L373" s="683" t="s">
        <v>350</v>
      </c>
      <c r="M373" s="11" t="s">
        <v>307</v>
      </c>
      <c r="N373" s="101" t="s">
        <v>387</v>
      </c>
      <c r="O373" s="643">
        <v>1</v>
      </c>
      <c r="P373" s="695">
        <v>33</v>
      </c>
      <c r="Q373" s="632">
        <v>33</v>
      </c>
      <c r="R373" s="632">
        <v>33</v>
      </c>
      <c r="S373" s="675">
        <f>SUMIF('Территориальный кк'!$A:$A,'2020'!$B373,'Территориальный кк'!D:D)</f>
        <v>2.4420000000000002</v>
      </c>
      <c r="T373" s="676">
        <f>SUMIF('Территориальный кк'!$A:$A,'2020'!$B373,'Территориальный кк'!E:E)</f>
        <v>2.6</v>
      </c>
      <c r="U373" s="618">
        <f>SUMIFS(Нормативы!G:G,Нормативы!$B:$B,$G373,Нормативы!$D:$D,'2020'!$I373,Нормативы!$F:$F,'2020'!$K373)*O373</f>
        <v>12944</v>
      </c>
      <c r="V373" s="618">
        <f t="shared" si="1097"/>
        <v>9941.6</v>
      </c>
      <c r="W373" s="618">
        <f t="shared" si="1098"/>
        <v>3002.4</v>
      </c>
      <c r="X373" s="618">
        <f>SUMIFS(Нормативы!J:J,Нормативы!$B:$B,$G373,Нормативы!$D:$D,'2020'!$I373,Нормативы!$F:$F,'2020'!$K373)</f>
        <v>486</v>
      </c>
      <c r="Y373" s="618">
        <f>SUMIFS(Нормативы!K:K,Нормативы!$B:$B,$G373,Нормативы!$D:$D,'2020'!$I373,Нормативы!$F:$F,'2020'!$K373)</f>
        <v>97</v>
      </c>
      <c r="Z373" s="618">
        <f>SUMIFS(Нормативы!L:L,Нормативы!$B:$B,$G373,Нормативы!$D:$D,'2020'!$I373,Нормативы!$F:$F,'2020'!$K373)</f>
        <v>348</v>
      </c>
      <c r="AA373" s="618">
        <f t="shared" si="1099"/>
        <v>2031</v>
      </c>
      <c r="AB373" s="618">
        <f>SUMIFS(Нормативы!N:N,Нормативы!$B:$B,$G373,Нормативы!$D:$D,'2020'!$I373,Нормативы!$F:$F,'2020'!$K373)*O373</f>
        <v>52</v>
      </c>
      <c r="AC373" s="618">
        <f>SUMIFS(Нормативы!O:O,Нормативы!$B:$B,$G373,Нормативы!$D:$D,'2020'!$I373,Нормативы!$F:$F,'2020'!$K373)</f>
        <v>1728</v>
      </c>
      <c r="AD373" s="618">
        <f>SUMIFS(Нормативы!P:P,Нормативы!$B:$B,$G373,Нормативы!$D:$D,'2020'!$I373,Нормативы!$F:$F,'2020'!$K373)*O373</f>
        <v>73</v>
      </c>
      <c r="AE373" s="618">
        <f>SUMIFS(Нормативы!Q:Q,Нормативы!$B:$B,$G373,Нормативы!$D:$D,'2020'!$I373,Нормативы!$F:$F,'2020'!$K373)</f>
        <v>178</v>
      </c>
      <c r="AF373" s="618">
        <f>SUMIFS(Нормативы!R:R,Нормативы!$B:$B,$G373,Нормативы!$D:$D,'2020'!$I373,Нормативы!$F:$F,'2020'!$K373)</f>
        <v>275</v>
      </c>
      <c r="AG373" s="618">
        <f>SUMIFS(Нормативы!S:S,Нормативы!$B:$B,$G373,Нормативы!$D:$D,'2020'!$I373,Нормативы!$F:$F,'2020'!$K373)</f>
        <v>580</v>
      </c>
      <c r="AH373" s="618">
        <f>SUMIFS(Нормативы!T:T,Нормативы!$B:$B,$G373,Нормативы!$D:$D,'2020'!$I373,Нормативы!$F:$F,'2020'!$K373)</f>
        <v>54</v>
      </c>
      <c r="AI373" s="618">
        <f>SUMIFS(Нормативы!U:U,Нормативы!$B:$B,$G373,Нормативы!$D:$D,'2020'!$I373,Нормативы!$F:$F,'2020'!$K373)</f>
        <v>77</v>
      </c>
      <c r="AJ373" s="618">
        <f>SUMIFS(Нормативы!V:V,Нормативы!$B:$B,$G373,Нормативы!$D:$D,'2020'!$I373,Нормативы!$F:$F,'2020'!$K373)</f>
        <v>8</v>
      </c>
      <c r="AK373" s="618">
        <f>SUMIFS(Нормативы!W:W,Нормативы!$B:$B,$G373,Нормативы!$D:$D,'2020'!$I373,Нормативы!$F:$F,'2020'!$K373)</f>
        <v>39</v>
      </c>
      <c r="AL373" s="618">
        <f>SUMIFS(Нормативы!X:X,Нормативы!$B:$B,$G373,Нормативы!$D:$D,'2020'!$I373,Нормативы!$F:$F,'2020'!$K373)*O373</f>
        <v>1612</v>
      </c>
      <c r="AM373" s="618">
        <f t="shared" si="1100"/>
        <v>1238.0999999999999</v>
      </c>
      <c r="AN373" s="618">
        <f t="shared" si="1101"/>
        <v>373.9</v>
      </c>
      <c r="AO373" s="618">
        <f>SUMIFS(Нормативы!AA:AA,Нормативы!$B:$B,$G373,Нормативы!$D:$D,'2020'!$I373,Нормативы!$F:$F,'2020'!$K373)</f>
        <v>0</v>
      </c>
      <c r="AP373" s="619">
        <f t="shared" si="1102"/>
        <v>18454</v>
      </c>
      <c r="AQ373" s="413">
        <f t="shared" si="1040"/>
        <v>427152</v>
      </c>
      <c r="AR373" s="618">
        <f t="shared" si="1103"/>
        <v>328073.7</v>
      </c>
      <c r="AS373" s="618">
        <f t="shared" si="1104"/>
        <v>99078.3</v>
      </c>
      <c r="AT373" s="616">
        <f t="shared" si="1041"/>
        <v>16038</v>
      </c>
      <c r="AU373" s="616">
        <f t="shared" si="1042"/>
        <v>3201</v>
      </c>
      <c r="AV373" s="616">
        <f t="shared" si="1043"/>
        <v>11484</v>
      </c>
      <c r="AW373" s="616">
        <f t="shared" si="1044"/>
        <v>67023</v>
      </c>
      <c r="AX373" s="616">
        <f t="shared" si="1045"/>
        <v>1716</v>
      </c>
      <c r="AY373" s="616">
        <f t="shared" si="1046"/>
        <v>57024</v>
      </c>
      <c r="AZ373" s="616">
        <f t="shared" si="1047"/>
        <v>2409</v>
      </c>
      <c r="BA373" s="616">
        <f t="shared" si="1048"/>
        <v>5874</v>
      </c>
      <c r="BB373" s="616">
        <f t="shared" si="1049"/>
        <v>9075</v>
      </c>
      <c r="BC373" s="616">
        <f t="shared" si="1050"/>
        <v>19140</v>
      </c>
      <c r="BD373" s="616">
        <f t="shared" si="1051"/>
        <v>1782</v>
      </c>
      <c r="BE373" s="616">
        <f t="shared" si="1052"/>
        <v>2541</v>
      </c>
      <c r="BF373" s="616">
        <f t="shared" si="1053"/>
        <v>264</v>
      </c>
      <c r="BG373" s="616">
        <f t="shared" si="1054"/>
        <v>1287</v>
      </c>
      <c r="BH373" s="616">
        <f t="shared" si="1055"/>
        <v>53196</v>
      </c>
      <c r="BI373" s="618">
        <f t="shared" si="1105"/>
        <v>40857.1</v>
      </c>
      <c r="BJ373" s="618">
        <f t="shared" si="1106"/>
        <v>12338.9</v>
      </c>
      <c r="BK373" s="616">
        <f t="shared" si="1056"/>
        <v>0</v>
      </c>
      <c r="BL373" s="620">
        <f t="shared" si="1057"/>
        <v>608982</v>
      </c>
      <c r="BM373" s="616">
        <f t="shared" si="1058"/>
        <v>1043105</v>
      </c>
      <c r="BN373" s="618">
        <f t="shared" si="1059"/>
        <v>801155.9</v>
      </c>
      <c r="BO373" s="618">
        <f t="shared" si="1060"/>
        <v>241949.1</v>
      </c>
      <c r="BP373" s="616">
        <f t="shared" si="1107"/>
        <v>16038</v>
      </c>
      <c r="BQ373" s="616">
        <f t="shared" si="1108"/>
        <v>3201</v>
      </c>
      <c r="BR373" s="616">
        <f t="shared" si="1109"/>
        <v>11484</v>
      </c>
      <c r="BS373" s="616">
        <f t="shared" si="1061"/>
        <v>67023</v>
      </c>
      <c r="BT373" s="616">
        <f t="shared" si="1062"/>
        <v>1716</v>
      </c>
      <c r="BU373" s="616">
        <f t="shared" si="1063"/>
        <v>57024</v>
      </c>
      <c r="BV373" s="616">
        <f t="shared" si="1064"/>
        <v>2409</v>
      </c>
      <c r="BW373" s="616">
        <f t="shared" si="1065"/>
        <v>5874</v>
      </c>
      <c r="BX373" s="616">
        <f t="shared" si="1066"/>
        <v>23595</v>
      </c>
      <c r="BY373" s="616">
        <f t="shared" si="1067"/>
        <v>19140</v>
      </c>
      <c r="BZ373" s="616">
        <f t="shared" si="1068"/>
        <v>1782</v>
      </c>
      <c r="CA373" s="616">
        <f t="shared" si="1069"/>
        <v>2541</v>
      </c>
      <c r="CB373" s="616">
        <f t="shared" si="1070"/>
        <v>264</v>
      </c>
      <c r="CC373" s="616">
        <f t="shared" si="1071"/>
        <v>1287</v>
      </c>
      <c r="CD373" s="616">
        <f t="shared" si="1072"/>
        <v>129905</v>
      </c>
      <c r="CE373" s="618">
        <f t="shared" si="1110"/>
        <v>99773.4</v>
      </c>
      <c r="CF373" s="618">
        <f t="shared" si="1111"/>
        <v>30131.599999999999</v>
      </c>
      <c r="CG373" s="616">
        <f t="shared" si="1073"/>
        <v>0</v>
      </c>
      <c r="CH373" s="621">
        <f t="shared" si="1074"/>
        <v>1316164</v>
      </c>
      <c r="CI373" s="88">
        <f t="shared" si="1075"/>
        <v>31609.242399999999</v>
      </c>
      <c r="CJ373" s="90">
        <f t="shared" si="1076"/>
        <v>24277.451499999999</v>
      </c>
      <c r="CK373" s="90">
        <f t="shared" si="1077"/>
        <v>7331.7909</v>
      </c>
      <c r="CL373" s="88">
        <f t="shared" si="1078"/>
        <v>486</v>
      </c>
      <c r="CM373" s="88">
        <f t="shared" si="1079"/>
        <v>97</v>
      </c>
      <c r="CN373" s="88">
        <f t="shared" si="1080"/>
        <v>348</v>
      </c>
      <c r="CO373" s="88">
        <f t="shared" si="1081"/>
        <v>2031</v>
      </c>
      <c r="CP373" s="88">
        <f t="shared" si="1082"/>
        <v>52</v>
      </c>
      <c r="CQ373" s="88">
        <f t="shared" si="1083"/>
        <v>1728</v>
      </c>
      <c r="CR373" s="88">
        <f t="shared" si="1084"/>
        <v>73</v>
      </c>
      <c r="CS373" s="88">
        <f t="shared" si="1085"/>
        <v>178</v>
      </c>
      <c r="CT373" s="88">
        <f t="shared" si="1086"/>
        <v>715</v>
      </c>
      <c r="CU373" s="88">
        <f t="shared" si="1087"/>
        <v>580</v>
      </c>
      <c r="CV373" s="88">
        <f t="shared" si="1088"/>
        <v>54</v>
      </c>
      <c r="CW373" s="88">
        <f t="shared" si="1089"/>
        <v>77</v>
      </c>
      <c r="CX373" s="88">
        <f t="shared" si="1090"/>
        <v>8</v>
      </c>
      <c r="CY373" s="88">
        <f t="shared" si="1091"/>
        <v>39</v>
      </c>
      <c r="CZ373" s="88">
        <f t="shared" si="1092"/>
        <v>3936.5151999999998</v>
      </c>
      <c r="DA373" s="90">
        <f t="shared" si="1093"/>
        <v>3023.4364</v>
      </c>
      <c r="DB373" s="90">
        <f t="shared" si="1094"/>
        <v>913.0788</v>
      </c>
      <c r="DC373" s="88">
        <f t="shared" si="1095"/>
        <v>0</v>
      </c>
      <c r="DD373" s="211">
        <f t="shared" si="1096"/>
        <v>39883.757599999997</v>
      </c>
      <c r="AUV373" s="699">
        <f t="shared" si="890"/>
        <v>31609.24</v>
      </c>
      <c r="AUW373" s="699">
        <f t="shared" si="891"/>
        <v>24277.45</v>
      </c>
      <c r="AUX373" s="699">
        <f t="shared" si="892"/>
        <v>7331.79</v>
      </c>
      <c r="AUY373" s="699">
        <f t="shared" si="1124"/>
        <v>486</v>
      </c>
      <c r="AUZ373" s="699">
        <f t="shared" si="910"/>
        <v>1231.1500000000001</v>
      </c>
      <c r="AVA373" s="699">
        <f t="shared" si="910"/>
        <v>0.89</v>
      </c>
      <c r="AVB373" s="699">
        <f t="shared" si="1125"/>
        <v>2031</v>
      </c>
      <c r="AVC373" s="699">
        <f t="shared" si="1126"/>
        <v>52</v>
      </c>
      <c r="AVD373" s="699">
        <f t="shared" si="1127"/>
        <v>1728</v>
      </c>
      <c r="AVE373" s="699">
        <f t="shared" si="1128"/>
        <v>73</v>
      </c>
      <c r="AVF373" s="699">
        <f t="shared" si="1129"/>
        <v>178</v>
      </c>
      <c r="AVG373" s="699">
        <f t="shared" si="1130"/>
        <v>715</v>
      </c>
      <c r="AVH373" s="699">
        <f t="shared" si="1131"/>
        <v>580</v>
      </c>
      <c r="AVI373" s="699">
        <f t="shared" si="1132"/>
        <v>54</v>
      </c>
      <c r="AVJ373" s="699">
        <f t="shared" si="1133"/>
        <v>77</v>
      </c>
      <c r="AVK373" s="699">
        <f t="shared" si="1134"/>
        <v>8</v>
      </c>
      <c r="AVL373" s="699">
        <f t="shared" si="1135"/>
        <v>39</v>
      </c>
      <c r="AVM373" s="699">
        <f t="shared" si="1136"/>
        <v>3936.52</v>
      </c>
      <c r="AVN373" s="699">
        <f t="shared" si="1137"/>
        <v>3023.44</v>
      </c>
      <c r="AVO373" s="699">
        <f t="shared" si="1138"/>
        <v>913.08</v>
      </c>
      <c r="AVP373" s="699">
        <f t="shared" si="1139"/>
        <v>0</v>
      </c>
      <c r="AVQ373" s="699">
        <f t="shared" si="1140"/>
        <v>39883.760000000002</v>
      </c>
    </row>
    <row r="374" spans="1:108 1244:1265" ht="30" customHeight="1" x14ac:dyDescent="0.25">
      <c r="A374" s="643">
        <v>1</v>
      </c>
      <c r="B374" s="643">
        <v>6</v>
      </c>
      <c r="C374" s="664" t="s">
        <v>250</v>
      </c>
      <c r="D374" s="2"/>
      <c r="E374" s="101" t="s">
        <v>346</v>
      </c>
      <c r="F374" s="643" t="s">
        <v>39</v>
      </c>
      <c r="G374" s="643">
        <v>3</v>
      </c>
      <c r="H374" s="658" t="s">
        <v>10</v>
      </c>
      <c r="I374" s="643">
        <v>0</v>
      </c>
      <c r="J374" s="101" t="s">
        <v>365</v>
      </c>
      <c r="K374" s="643">
        <v>2</v>
      </c>
      <c r="L374" s="683" t="s">
        <v>351</v>
      </c>
      <c r="M374" s="11" t="s">
        <v>271</v>
      </c>
      <c r="N374" s="101" t="s">
        <v>387</v>
      </c>
      <c r="O374" s="643">
        <v>1</v>
      </c>
      <c r="P374" s="695">
        <v>1</v>
      </c>
      <c r="Q374" s="632">
        <v>1</v>
      </c>
      <c r="R374" s="632">
        <v>1</v>
      </c>
      <c r="S374" s="675">
        <f>SUMIF('Территориальный кк'!$A:$A,'2020'!$B374,'Территориальный кк'!D:D)</f>
        <v>2.4420000000000002</v>
      </c>
      <c r="T374" s="676">
        <f>SUMIF('Территориальный кк'!$A:$A,'2020'!$B374,'Территориальный кк'!E:E)</f>
        <v>2.6</v>
      </c>
      <c r="U374" s="618">
        <f>SUMIFS(Нормативы!G:G,Нормативы!$B:$B,$G374,Нормативы!$D:$D,'2020'!$I374,Нормативы!$F:$F,'2020'!$K374)*O374</f>
        <v>78450</v>
      </c>
      <c r="V374" s="618">
        <f t="shared" si="1097"/>
        <v>60253.5</v>
      </c>
      <c r="W374" s="618">
        <f t="shared" si="1098"/>
        <v>18196.5</v>
      </c>
      <c r="X374" s="618">
        <f>SUMIFS(Нормативы!J:J,Нормативы!$B:$B,$G374,Нормативы!$D:$D,'2020'!$I374,Нормативы!$F:$F,'2020'!$K374)</f>
        <v>1610</v>
      </c>
      <c r="Y374" s="618">
        <f>SUMIFS(Нормативы!K:K,Нормативы!$B:$B,$G374,Нормативы!$D:$D,'2020'!$I374,Нормативы!$F:$F,'2020'!$K374)</f>
        <v>322</v>
      </c>
      <c r="Z374" s="618">
        <f>SUMIFS(Нормативы!L:L,Нормативы!$B:$B,$G374,Нормативы!$D:$D,'2020'!$I374,Нормативы!$F:$F,'2020'!$K374)</f>
        <v>3480</v>
      </c>
      <c r="AA374" s="618">
        <f t="shared" si="1099"/>
        <v>8580</v>
      </c>
      <c r="AB374" s="618">
        <f>SUMIFS(Нормативы!N:N,Нормативы!$B:$B,$G374,Нормативы!$D:$D,'2020'!$I374,Нормативы!$F:$F,'2020'!$K374)*O374</f>
        <v>880</v>
      </c>
      <c r="AC374" s="618">
        <f>SUMIFS(Нормативы!O:O,Нормативы!$B:$B,$G374,Нормативы!$D:$D,'2020'!$I374,Нормативы!$F:$F,'2020'!$K374)</f>
        <v>6180</v>
      </c>
      <c r="AD374" s="618">
        <f>SUMIFS(Нормативы!P:P,Нормативы!$B:$B,$G374,Нормативы!$D:$D,'2020'!$I374,Нормативы!$F:$F,'2020'!$K374)*O374</f>
        <v>440</v>
      </c>
      <c r="AE374" s="618">
        <f>SUMIFS(Нормативы!Q:Q,Нормативы!$B:$B,$G374,Нормативы!$D:$D,'2020'!$I374,Нормативы!$F:$F,'2020'!$K374)</f>
        <v>1080</v>
      </c>
      <c r="AF374" s="618">
        <f>SUMIFS(Нормативы!R:R,Нормативы!$B:$B,$G374,Нормативы!$D:$D,'2020'!$I374,Нормативы!$F:$F,'2020'!$K374)</f>
        <v>2490</v>
      </c>
      <c r="AG374" s="618">
        <f>SUMIFS(Нормативы!S:S,Нормативы!$B:$B,$G374,Нормативы!$D:$D,'2020'!$I374,Нормативы!$F:$F,'2020'!$K374)</f>
        <v>5800</v>
      </c>
      <c r="AH374" s="618">
        <f>SUMIFS(Нормативы!T:T,Нормативы!$B:$B,$G374,Нормативы!$D:$D,'2020'!$I374,Нормативы!$F:$F,'2020'!$K374)</f>
        <v>540</v>
      </c>
      <c r="AI374" s="618">
        <f>SUMIFS(Нормативы!U:U,Нормативы!$B:$B,$G374,Нормативы!$D:$D,'2020'!$I374,Нормативы!$F:$F,'2020'!$K374)</f>
        <v>770</v>
      </c>
      <c r="AJ374" s="618">
        <f>SUMIFS(Нормативы!V:V,Нормативы!$B:$B,$G374,Нормативы!$D:$D,'2020'!$I374,Нормативы!$F:$F,'2020'!$K374)</f>
        <v>170</v>
      </c>
      <c r="AK374" s="618">
        <f>SUMIFS(Нормативы!W:W,Нормативы!$B:$B,$G374,Нормативы!$D:$D,'2020'!$I374,Нормативы!$F:$F,'2020'!$K374)</f>
        <v>200</v>
      </c>
      <c r="AL374" s="618">
        <f>SUMIFS(Нормативы!X:X,Нормативы!$B:$B,$G374,Нормативы!$D:$D,'2020'!$I374,Нормативы!$F:$F,'2020'!$K374)*O374</f>
        <v>13440</v>
      </c>
      <c r="AM374" s="618">
        <f t="shared" si="1100"/>
        <v>10322.6</v>
      </c>
      <c r="AN374" s="618">
        <f t="shared" si="1101"/>
        <v>3117.4</v>
      </c>
      <c r="AO374" s="618">
        <f>SUMIFS(Нормативы!AA:AA,Нормативы!$B:$B,$G374,Нормативы!$D:$D,'2020'!$I374,Нормативы!$F:$F,'2020'!$K374)</f>
        <v>0</v>
      </c>
      <c r="AP374" s="619">
        <f t="shared" si="1102"/>
        <v>115530</v>
      </c>
      <c r="AQ374" s="413">
        <f t="shared" si="1040"/>
        <v>78450</v>
      </c>
      <c r="AR374" s="618">
        <f t="shared" si="1103"/>
        <v>60253.5</v>
      </c>
      <c r="AS374" s="618">
        <f t="shared" si="1104"/>
        <v>18196.5</v>
      </c>
      <c r="AT374" s="616">
        <f t="shared" si="1041"/>
        <v>1610</v>
      </c>
      <c r="AU374" s="616">
        <f t="shared" si="1042"/>
        <v>322</v>
      </c>
      <c r="AV374" s="616">
        <f t="shared" si="1043"/>
        <v>3480</v>
      </c>
      <c r="AW374" s="616">
        <f t="shared" si="1044"/>
        <v>8580</v>
      </c>
      <c r="AX374" s="616">
        <f t="shared" si="1045"/>
        <v>880</v>
      </c>
      <c r="AY374" s="616">
        <f t="shared" si="1046"/>
        <v>6180</v>
      </c>
      <c r="AZ374" s="616">
        <f t="shared" si="1047"/>
        <v>440</v>
      </c>
      <c r="BA374" s="616">
        <f t="shared" si="1048"/>
        <v>1080</v>
      </c>
      <c r="BB374" s="616">
        <f t="shared" si="1049"/>
        <v>2490</v>
      </c>
      <c r="BC374" s="616">
        <f t="shared" si="1050"/>
        <v>5800</v>
      </c>
      <c r="BD374" s="616">
        <f t="shared" si="1051"/>
        <v>540</v>
      </c>
      <c r="BE374" s="616">
        <f t="shared" si="1052"/>
        <v>770</v>
      </c>
      <c r="BF374" s="616">
        <f t="shared" si="1053"/>
        <v>170</v>
      </c>
      <c r="BG374" s="616">
        <f t="shared" si="1054"/>
        <v>200</v>
      </c>
      <c r="BH374" s="616">
        <f t="shared" si="1055"/>
        <v>13440</v>
      </c>
      <c r="BI374" s="618">
        <f t="shared" si="1105"/>
        <v>10322.6</v>
      </c>
      <c r="BJ374" s="618">
        <f t="shared" si="1106"/>
        <v>3117.4</v>
      </c>
      <c r="BK374" s="616">
        <f t="shared" si="1056"/>
        <v>0</v>
      </c>
      <c r="BL374" s="620">
        <f t="shared" si="1057"/>
        <v>115530</v>
      </c>
      <c r="BM374" s="616">
        <f t="shared" si="1058"/>
        <v>191575</v>
      </c>
      <c r="BN374" s="618">
        <f t="shared" si="1059"/>
        <v>147139</v>
      </c>
      <c r="BO374" s="618">
        <f t="shared" si="1060"/>
        <v>44436</v>
      </c>
      <c r="BP374" s="616">
        <f t="shared" si="1107"/>
        <v>1610</v>
      </c>
      <c r="BQ374" s="616">
        <f t="shared" si="1108"/>
        <v>322</v>
      </c>
      <c r="BR374" s="616">
        <f t="shared" si="1109"/>
        <v>3480</v>
      </c>
      <c r="BS374" s="616">
        <f t="shared" si="1061"/>
        <v>8580</v>
      </c>
      <c r="BT374" s="616">
        <f t="shared" si="1062"/>
        <v>880</v>
      </c>
      <c r="BU374" s="616">
        <f t="shared" si="1063"/>
        <v>6180</v>
      </c>
      <c r="BV374" s="616">
        <f t="shared" si="1064"/>
        <v>440</v>
      </c>
      <c r="BW374" s="616">
        <f t="shared" si="1065"/>
        <v>1080</v>
      </c>
      <c r="BX374" s="616">
        <f t="shared" si="1066"/>
        <v>6474</v>
      </c>
      <c r="BY374" s="616">
        <f t="shared" si="1067"/>
        <v>5800</v>
      </c>
      <c r="BZ374" s="616">
        <f t="shared" si="1068"/>
        <v>540</v>
      </c>
      <c r="CA374" s="616">
        <f t="shared" si="1069"/>
        <v>770</v>
      </c>
      <c r="CB374" s="616">
        <f t="shared" si="1070"/>
        <v>170</v>
      </c>
      <c r="CC374" s="616">
        <f t="shared" si="1071"/>
        <v>200</v>
      </c>
      <c r="CD374" s="616">
        <f t="shared" si="1072"/>
        <v>32820</v>
      </c>
      <c r="CE374" s="618">
        <f t="shared" si="1110"/>
        <v>25207.4</v>
      </c>
      <c r="CF374" s="618">
        <f t="shared" si="1111"/>
        <v>7612.6</v>
      </c>
      <c r="CG374" s="616">
        <f t="shared" si="1073"/>
        <v>0</v>
      </c>
      <c r="CH374" s="621">
        <f t="shared" si="1074"/>
        <v>252019</v>
      </c>
      <c r="CI374" s="88">
        <f t="shared" si="1075"/>
        <v>191575</v>
      </c>
      <c r="CJ374" s="90">
        <f t="shared" si="1076"/>
        <v>147139</v>
      </c>
      <c r="CK374" s="90">
        <f t="shared" si="1077"/>
        <v>44436</v>
      </c>
      <c r="CL374" s="88">
        <f t="shared" si="1078"/>
        <v>1610</v>
      </c>
      <c r="CM374" s="88">
        <f t="shared" si="1079"/>
        <v>322</v>
      </c>
      <c r="CN374" s="88">
        <f t="shared" si="1080"/>
        <v>3480</v>
      </c>
      <c r="CO374" s="88">
        <f t="shared" si="1081"/>
        <v>8580</v>
      </c>
      <c r="CP374" s="88">
        <f t="shared" si="1082"/>
        <v>880</v>
      </c>
      <c r="CQ374" s="88">
        <f t="shared" si="1083"/>
        <v>6180</v>
      </c>
      <c r="CR374" s="88">
        <f t="shared" si="1084"/>
        <v>440</v>
      </c>
      <c r="CS374" s="88">
        <f t="shared" si="1085"/>
        <v>1080</v>
      </c>
      <c r="CT374" s="88">
        <f t="shared" si="1086"/>
        <v>6474</v>
      </c>
      <c r="CU374" s="88">
        <f t="shared" si="1087"/>
        <v>5800</v>
      </c>
      <c r="CV374" s="88">
        <f t="shared" si="1088"/>
        <v>540</v>
      </c>
      <c r="CW374" s="88">
        <f t="shared" si="1089"/>
        <v>770</v>
      </c>
      <c r="CX374" s="88">
        <f t="shared" si="1090"/>
        <v>170</v>
      </c>
      <c r="CY374" s="88">
        <f t="shared" si="1091"/>
        <v>200</v>
      </c>
      <c r="CZ374" s="88">
        <f t="shared" si="1092"/>
        <v>32820</v>
      </c>
      <c r="DA374" s="90">
        <f t="shared" si="1093"/>
        <v>25207.4</v>
      </c>
      <c r="DB374" s="90">
        <f t="shared" si="1094"/>
        <v>7612.6</v>
      </c>
      <c r="DC374" s="88">
        <f t="shared" si="1095"/>
        <v>0</v>
      </c>
      <c r="DD374" s="211">
        <f t="shared" si="1096"/>
        <v>252019</v>
      </c>
      <c r="AUV374" s="699">
        <f t="shared" si="890"/>
        <v>191575</v>
      </c>
      <c r="AUW374" s="699">
        <f t="shared" si="891"/>
        <v>147139.01999999999</v>
      </c>
      <c r="AUX374" s="699">
        <f t="shared" si="892"/>
        <v>44435.98</v>
      </c>
      <c r="AUY374" s="699">
        <f t="shared" si="1124"/>
        <v>1610</v>
      </c>
      <c r="AUZ374" s="699">
        <f t="shared" si="910"/>
        <v>123.85</v>
      </c>
      <c r="AVA374" s="699">
        <f t="shared" si="910"/>
        <v>0.04</v>
      </c>
      <c r="AVB374" s="699">
        <f t="shared" si="1125"/>
        <v>8580</v>
      </c>
      <c r="AVC374" s="699">
        <f t="shared" si="1126"/>
        <v>880</v>
      </c>
      <c r="AVD374" s="699">
        <f t="shared" si="1127"/>
        <v>6180</v>
      </c>
      <c r="AVE374" s="699">
        <f t="shared" si="1128"/>
        <v>440</v>
      </c>
      <c r="AVF374" s="699">
        <f t="shared" si="1129"/>
        <v>1080</v>
      </c>
      <c r="AVG374" s="699">
        <f t="shared" si="1130"/>
        <v>6474</v>
      </c>
      <c r="AVH374" s="699">
        <f t="shared" si="1131"/>
        <v>5800</v>
      </c>
      <c r="AVI374" s="699">
        <f t="shared" si="1132"/>
        <v>540</v>
      </c>
      <c r="AVJ374" s="699">
        <f t="shared" si="1133"/>
        <v>770</v>
      </c>
      <c r="AVK374" s="699">
        <f t="shared" si="1134"/>
        <v>170</v>
      </c>
      <c r="AVL374" s="699">
        <f t="shared" si="1135"/>
        <v>200</v>
      </c>
      <c r="AVM374" s="699">
        <f t="shared" si="1136"/>
        <v>32820</v>
      </c>
      <c r="AVN374" s="699">
        <f t="shared" si="1137"/>
        <v>25207.37</v>
      </c>
      <c r="AVO374" s="699">
        <f t="shared" si="1138"/>
        <v>7612.63</v>
      </c>
      <c r="AVP374" s="699">
        <f t="shared" si="1139"/>
        <v>0</v>
      </c>
      <c r="AVQ374" s="699">
        <f t="shared" si="1140"/>
        <v>252019</v>
      </c>
    </row>
    <row r="375" spans="1:108 1244:1265" ht="30" customHeight="1" x14ac:dyDescent="0.25">
      <c r="A375" s="643">
        <v>1</v>
      </c>
      <c r="B375" s="643">
        <v>6</v>
      </c>
      <c r="C375" s="664" t="s">
        <v>250</v>
      </c>
      <c r="D375" s="2"/>
      <c r="E375" s="101" t="s">
        <v>346</v>
      </c>
      <c r="F375" s="643" t="s">
        <v>39</v>
      </c>
      <c r="G375" s="643">
        <v>3</v>
      </c>
      <c r="H375" s="658" t="s">
        <v>10</v>
      </c>
      <c r="I375" s="643">
        <v>0</v>
      </c>
      <c r="J375" s="101" t="s">
        <v>393</v>
      </c>
      <c r="K375" s="643">
        <v>3</v>
      </c>
      <c r="L375" s="683" t="s">
        <v>351</v>
      </c>
      <c r="M375" s="11" t="s">
        <v>321</v>
      </c>
      <c r="N375" s="101" t="s">
        <v>387</v>
      </c>
      <c r="O375" s="643">
        <v>1</v>
      </c>
      <c r="P375" s="632"/>
      <c r="Q375" s="632"/>
      <c r="R375" s="632"/>
      <c r="S375" s="675">
        <f>SUMIF('Территориальный кк'!$A:$A,'2020'!$B375,'Территориальный кк'!D:D)</f>
        <v>2.4420000000000002</v>
      </c>
      <c r="T375" s="676">
        <f>SUMIF('Территориальный кк'!$A:$A,'2020'!$B375,'Территориальный кк'!E:E)</f>
        <v>2.6</v>
      </c>
      <c r="U375" s="618">
        <f>SUMIFS(Нормативы!G:G,Нормативы!$B:$B,$G375,Нормативы!$D:$D,'2020'!$I375,Нормативы!$F:$F,'2020'!$K375)*O375</f>
        <v>78450</v>
      </c>
      <c r="V375" s="618">
        <f t="shared" si="1097"/>
        <v>60253.5</v>
      </c>
      <c r="W375" s="618">
        <f t="shared" si="1098"/>
        <v>18196.5</v>
      </c>
      <c r="X375" s="618">
        <f>SUMIFS(Нормативы!J:J,Нормативы!$B:$B,$G375,Нормативы!$D:$D,'2020'!$I375,Нормативы!$F:$F,'2020'!$K375)</f>
        <v>6840</v>
      </c>
      <c r="Y375" s="618">
        <f>SUMIFS(Нормативы!K:K,Нормативы!$B:$B,$G375,Нормативы!$D:$D,'2020'!$I375,Нормативы!$F:$F,'2020'!$K375)</f>
        <v>1368</v>
      </c>
      <c r="Z375" s="618">
        <f>SUMIFS(Нормативы!L:L,Нормативы!$B:$B,$G375,Нормативы!$D:$D,'2020'!$I375,Нормативы!$F:$F,'2020'!$K375)</f>
        <v>8110</v>
      </c>
      <c r="AA375" s="618">
        <f t="shared" si="1099"/>
        <v>23360</v>
      </c>
      <c r="AB375" s="618">
        <f>SUMIFS(Нормативы!N:N,Нормативы!$B:$B,$G375,Нормативы!$D:$D,'2020'!$I375,Нормативы!$F:$F,'2020'!$K375)*O375</f>
        <v>880</v>
      </c>
      <c r="AC375" s="618">
        <f>SUMIFS(Нормативы!O:O,Нормативы!$B:$B,$G375,Нормативы!$D:$D,'2020'!$I375,Нормативы!$F:$F,'2020'!$K375)</f>
        <v>20960</v>
      </c>
      <c r="AD375" s="618">
        <f>SUMIFS(Нормативы!P:P,Нормативы!$B:$B,$G375,Нормативы!$D:$D,'2020'!$I375,Нормативы!$F:$F,'2020'!$K375)*O375</f>
        <v>440</v>
      </c>
      <c r="AE375" s="618">
        <f>SUMIFS(Нормативы!Q:Q,Нормативы!$B:$B,$G375,Нормативы!$D:$D,'2020'!$I375,Нормативы!$F:$F,'2020'!$K375)</f>
        <v>1080</v>
      </c>
      <c r="AF375" s="618">
        <f>SUMIFS(Нормативы!R:R,Нормативы!$B:$B,$G375,Нормативы!$D:$D,'2020'!$I375,Нормативы!$F:$F,'2020'!$K375)</f>
        <v>2700</v>
      </c>
      <c r="AG375" s="618">
        <f>SUMIFS(Нормативы!S:S,Нормативы!$B:$B,$G375,Нормативы!$D:$D,'2020'!$I375,Нормативы!$F:$F,'2020'!$K375)</f>
        <v>5800</v>
      </c>
      <c r="AH375" s="618">
        <f>SUMIFS(Нормативы!T:T,Нормативы!$B:$B,$G375,Нормативы!$D:$D,'2020'!$I375,Нормативы!$F:$F,'2020'!$K375)</f>
        <v>540</v>
      </c>
      <c r="AI375" s="618">
        <f>SUMIFS(Нормативы!U:U,Нормативы!$B:$B,$G375,Нормативы!$D:$D,'2020'!$I375,Нормативы!$F:$F,'2020'!$K375)</f>
        <v>770</v>
      </c>
      <c r="AJ375" s="618">
        <f>SUMIFS(Нормативы!V:V,Нормативы!$B:$B,$G375,Нормативы!$D:$D,'2020'!$I375,Нормативы!$F:$F,'2020'!$K375)</f>
        <v>170</v>
      </c>
      <c r="AK375" s="618">
        <f>SUMIFS(Нормативы!W:W,Нормативы!$B:$B,$G375,Нормативы!$D:$D,'2020'!$I375,Нормативы!$F:$F,'2020'!$K375)</f>
        <v>200</v>
      </c>
      <c r="AL375" s="618">
        <f>SUMIFS(Нормативы!X:X,Нормативы!$B:$B,$G375,Нормативы!$D:$D,'2020'!$I375,Нормативы!$F:$F,'2020'!$K375)*O375</f>
        <v>13440</v>
      </c>
      <c r="AM375" s="618">
        <f t="shared" si="1100"/>
        <v>10322.6</v>
      </c>
      <c r="AN375" s="618">
        <f t="shared" si="1101"/>
        <v>3117.4</v>
      </c>
      <c r="AO375" s="618">
        <f>SUMIFS(Нормативы!AA:AA,Нормативы!$B:$B,$G375,Нормативы!$D:$D,'2020'!$I375,Нормативы!$F:$F,'2020'!$K375)</f>
        <v>0</v>
      </c>
      <c r="AP375" s="619">
        <f t="shared" si="1102"/>
        <v>140380</v>
      </c>
      <c r="AQ375" s="413">
        <f t="shared" si="1040"/>
        <v>0</v>
      </c>
      <c r="AR375" s="618">
        <f t="shared" si="1103"/>
        <v>0</v>
      </c>
      <c r="AS375" s="618">
        <f t="shared" si="1104"/>
        <v>0</v>
      </c>
      <c r="AT375" s="616">
        <f t="shared" si="1041"/>
        <v>0</v>
      </c>
      <c r="AU375" s="616">
        <f t="shared" si="1042"/>
        <v>0</v>
      </c>
      <c r="AV375" s="616">
        <f t="shared" si="1043"/>
        <v>0</v>
      </c>
      <c r="AW375" s="616">
        <f t="shared" si="1044"/>
        <v>0</v>
      </c>
      <c r="AX375" s="616">
        <f t="shared" si="1045"/>
        <v>0</v>
      </c>
      <c r="AY375" s="616">
        <f t="shared" si="1046"/>
        <v>0</v>
      </c>
      <c r="AZ375" s="616">
        <f t="shared" si="1047"/>
        <v>0</v>
      </c>
      <c r="BA375" s="616">
        <f t="shared" si="1048"/>
        <v>0</v>
      </c>
      <c r="BB375" s="616">
        <f t="shared" si="1049"/>
        <v>0</v>
      </c>
      <c r="BC375" s="616">
        <f t="shared" si="1050"/>
        <v>0</v>
      </c>
      <c r="BD375" s="616">
        <f t="shared" si="1051"/>
        <v>0</v>
      </c>
      <c r="BE375" s="616">
        <f t="shared" si="1052"/>
        <v>0</v>
      </c>
      <c r="BF375" s="616">
        <f t="shared" si="1053"/>
        <v>0</v>
      </c>
      <c r="BG375" s="616">
        <f t="shared" si="1054"/>
        <v>0</v>
      </c>
      <c r="BH375" s="616">
        <f t="shared" si="1055"/>
        <v>0</v>
      </c>
      <c r="BI375" s="618">
        <f t="shared" si="1105"/>
        <v>0</v>
      </c>
      <c r="BJ375" s="618">
        <f t="shared" si="1106"/>
        <v>0</v>
      </c>
      <c r="BK375" s="616">
        <f t="shared" si="1056"/>
        <v>0</v>
      </c>
      <c r="BL375" s="620">
        <f t="shared" si="1057"/>
        <v>0</v>
      </c>
      <c r="BM375" s="616">
        <f t="shared" si="1058"/>
        <v>0</v>
      </c>
      <c r="BN375" s="618">
        <f t="shared" si="1059"/>
        <v>0</v>
      </c>
      <c r="BO375" s="618">
        <f t="shared" si="1060"/>
        <v>0</v>
      </c>
      <c r="BP375" s="616">
        <f t="shared" si="1107"/>
        <v>0</v>
      </c>
      <c r="BQ375" s="616">
        <f t="shared" si="1108"/>
        <v>0</v>
      </c>
      <c r="BR375" s="616">
        <f t="shared" si="1109"/>
        <v>0</v>
      </c>
      <c r="BS375" s="616">
        <f t="shared" si="1061"/>
        <v>0</v>
      </c>
      <c r="BT375" s="616">
        <f t="shared" si="1062"/>
        <v>0</v>
      </c>
      <c r="BU375" s="616">
        <f t="shared" si="1063"/>
        <v>0</v>
      </c>
      <c r="BV375" s="616">
        <f t="shared" si="1064"/>
        <v>0</v>
      </c>
      <c r="BW375" s="616">
        <f t="shared" si="1065"/>
        <v>0</v>
      </c>
      <c r="BX375" s="616">
        <f t="shared" si="1066"/>
        <v>0</v>
      </c>
      <c r="BY375" s="616">
        <f t="shared" si="1067"/>
        <v>0</v>
      </c>
      <c r="BZ375" s="616">
        <f t="shared" si="1068"/>
        <v>0</v>
      </c>
      <c r="CA375" s="616">
        <f t="shared" si="1069"/>
        <v>0</v>
      </c>
      <c r="CB375" s="616">
        <f t="shared" si="1070"/>
        <v>0</v>
      </c>
      <c r="CC375" s="616">
        <f t="shared" si="1071"/>
        <v>0</v>
      </c>
      <c r="CD375" s="616">
        <f t="shared" si="1072"/>
        <v>0</v>
      </c>
      <c r="CE375" s="618">
        <f t="shared" si="1110"/>
        <v>0</v>
      </c>
      <c r="CF375" s="618">
        <f t="shared" si="1111"/>
        <v>0</v>
      </c>
      <c r="CG375" s="616">
        <f t="shared" si="1073"/>
        <v>0</v>
      </c>
      <c r="CH375" s="621">
        <f t="shared" si="1074"/>
        <v>0</v>
      </c>
      <c r="CI375" s="88" t="e">
        <f t="shared" si="1075"/>
        <v>#DIV/0!</v>
      </c>
      <c r="CJ375" s="90" t="e">
        <f t="shared" si="1076"/>
        <v>#DIV/0!</v>
      </c>
      <c r="CK375" s="90" t="e">
        <f t="shared" si="1077"/>
        <v>#DIV/0!</v>
      </c>
      <c r="CL375" s="88" t="e">
        <f t="shared" si="1078"/>
        <v>#DIV/0!</v>
      </c>
      <c r="CM375" s="88" t="e">
        <f t="shared" si="1079"/>
        <v>#DIV/0!</v>
      </c>
      <c r="CN375" s="88" t="e">
        <f t="shared" si="1080"/>
        <v>#DIV/0!</v>
      </c>
      <c r="CO375" s="88" t="e">
        <f t="shared" si="1081"/>
        <v>#DIV/0!</v>
      </c>
      <c r="CP375" s="88" t="e">
        <f t="shared" si="1082"/>
        <v>#DIV/0!</v>
      </c>
      <c r="CQ375" s="88" t="e">
        <f t="shared" si="1083"/>
        <v>#DIV/0!</v>
      </c>
      <c r="CR375" s="88" t="e">
        <f t="shared" si="1084"/>
        <v>#DIV/0!</v>
      </c>
      <c r="CS375" s="88" t="e">
        <f t="shared" si="1085"/>
        <v>#DIV/0!</v>
      </c>
      <c r="CT375" s="88" t="e">
        <f t="shared" si="1086"/>
        <v>#DIV/0!</v>
      </c>
      <c r="CU375" s="88" t="e">
        <f t="shared" si="1087"/>
        <v>#DIV/0!</v>
      </c>
      <c r="CV375" s="88" t="e">
        <f t="shared" si="1088"/>
        <v>#DIV/0!</v>
      </c>
      <c r="CW375" s="88" t="e">
        <f t="shared" si="1089"/>
        <v>#DIV/0!</v>
      </c>
      <c r="CX375" s="88" t="e">
        <f t="shared" si="1090"/>
        <v>#DIV/0!</v>
      </c>
      <c r="CY375" s="88" t="e">
        <f t="shared" si="1091"/>
        <v>#DIV/0!</v>
      </c>
      <c r="CZ375" s="88" t="e">
        <f t="shared" si="1092"/>
        <v>#DIV/0!</v>
      </c>
      <c r="DA375" s="90" t="e">
        <f t="shared" si="1093"/>
        <v>#DIV/0!</v>
      </c>
      <c r="DB375" s="90" t="e">
        <f t="shared" si="1094"/>
        <v>#DIV/0!</v>
      </c>
      <c r="DC375" s="88" t="e">
        <f t="shared" si="1095"/>
        <v>#DIV/0!</v>
      </c>
      <c r="DD375" s="211" t="e">
        <f t="shared" si="1096"/>
        <v>#DIV/0!</v>
      </c>
      <c r="AUV375" s="699">
        <v>0</v>
      </c>
      <c r="AUW375" s="699">
        <f t="shared" si="891"/>
        <v>0</v>
      </c>
      <c r="AUX375" s="699">
        <f t="shared" si="892"/>
        <v>0</v>
      </c>
      <c r="AUY375" s="699">
        <f t="shared" si="910"/>
        <v>0</v>
      </c>
      <c r="AUZ375" s="699">
        <f t="shared" si="910"/>
        <v>0</v>
      </c>
      <c r="AVA375" s="699">
        <f t="shared" si="910"/>
        <v>0</v>
      </c>
      <c r="AVB375" s="699">
        <f t="shared" si="911"/>
        <v>0</v>
      </c>
      <c r="AVC375" s="697"/>
      <c r="AVD375" s="697"/>
      <c r="AVE375" s="697"/>
      <c r="AVF375" s="697"/>
      <c r="AVG375" s="697"/>
      <c r="AVH375" s="697"/>
      <c r="AVI375" s="697"/>
      <c r="AVJ375" s="697"/>
      <c r="AVK375" s="697"/>
      <c r="AVL375" s="697"/>
      <c r="AVM375" s="697"/>
      <c r="AVN375" s="697"/>
      <c r="AVO375" s="697"/>
      <c r="AVP375" s="697"/>
      <c r="AVQ375" s="697"/>
    </row>
    <row r="376" spans="1:108 1244:1265" ht="30" customHeight="1" x14ac:dyDescent="0.25">
      <c r="A376" s="643">
        <v>1</v>
      </c>
      <c r="B376" s="643">
        <v>6</v>
      </c>
      <c r="C376" s="664" t="s">
        <v>250</v>
      </c>
      <c r="D376" s="2"/>
      <c r="E376" s="101" t="s">
        <v>346</v>
      </c>
      <c r="F376" s="643" t="s">
        <v>39</v>
      </c>
      <c r="G376" s="643">
        <v>3</v>
      </c>
      <c r="H376" s="658" t="s">
        <v>10</v>
      </c>
      <c r="I376" s="643">
        <v>0</v>
      </c>
      <c r="J376" s="101" t="s">
        <v>367</v>
      </c>
      <c r="K376" s="643">
        <v>3</v>
      </c>
      <c r="L376" s="683" t="s">
        <v>351</v>
      </c>
      <c r="M376" s="11" t="s">
        <v>273</v>
      </c>
      <c r="N376" s="101" t="s">
        <v>387</v>
      </c>
      <c r="O376" s="643">
        <v>1</v>
      </c>
      <c r="P376" s="695">
        <v>38</v>
      </c>
      <c r="Q376" s="632">
        <v>38</v>
      </c>
      <c r="R376" s="632">
        <v>38</v>
      </c>
      <c r="S376" s="675">
        <f>SUMIF('Территориальный кк'!$A:$A,'2020'!$B376,'Территориальный кк'!D:D)</f>
        <v>2.4420000000000002</v>
      </c>
      <c r="T376" s="676">
        <f>SUMIF('Территориальный кк'!$A:$A,'2020'!$B376,'Территориальный кк'!E:E)</f>
        <v>2.6</v>
      </c>
      <c r="U376" s="618">
        <f>SUMIFS(Нормативы!G:G,Нормативы!$B:$B,$G376,Нормативы!$D:$D,'2020'!$I376,Нормативы!$F:$F,'2020'!$K376)*O376</f>
        <v>78450</v>
      </c>
      <c r="V376" s="618">
        <f t="shared" si="1097"/>
        <v>60253.5</v>
      </c>
      <c r="W376" s="618">
        <f t="shared" si="1098"/>
        <v>18196.5</v>
      </c>
      <c r="X376" s="618">
        <f>SUMIFS(Нормативы!J:J,Нормативы!$B:$B,$G376,Нормативы!$D:$D,'2020'!$I376,Нормативы!$F:$F,'2020'!$K376)</f>
        <v>6840</v>
      </c>
      <c r="Y376" s="618">
        <f>SUMIFS(Нормативы!K:K,Нормативы!$B:$B,$G376,Нормативы!$D:$D,'2020'!$I376,Нормативы!$F:$F,'2020'!$K376)</f>
        <v>1368</v>
      </c>
      <c r="Z376" s="618">
        <f>SUMIFS(Нормативы!L:L,Нормативы!$B:$B,$G376,Нормативы!$D:$D,'2020'!$I376,Нормативы!$F:$F,'2020'!$K376)</f>
        <v>8110</v>
      </c>
      <c r="AA376" s="618">
        <f t="shared" si="1099"/>
        <v>23360</v>
      </c>
      <c r="AB376" s="618">
        <f>SUMIFS(Нормативы!N:N,Нормативы!$B:$B,$G376,Нормативы!$D:$D,'2020'!$I376,Нормативы!$F:$F,'2020'!$K376)*O376</f>
        <v>880</v>
      </c>
      <c r="AC376" s="618">
        <f>SUMIFS(Нормативы!O:O,Нормативы!$B:$B,$G376,Нормативы!$D:$D,'2020'!$I376,Нормативы!$F:$F,'2020'!$K376)</f>
        <v>20960</v>
      </c>
      <c r="AD376" s="618">
        <f>SUMIFS(Нормативы!P:P,Нормативы!$B:$B,$G376,Нормативы!$D:$D,'2020'!$I376,Нормативы!$F:$F,'2020'!$K376)*O376</f>
        <v>440</v>
      </c>
      <c r="AE376" s="618">
        <f>SUMIFS(Нормативы!Q:Q,Нормативы!$B:$B,$G376,Нормативы!$D:$D,'2020'!$I376,Нормативы!$F:$F,'2020'!$K376)</f>
        <v>1080</v>
      </c>
      <c r="AF376" s="618">
        <f>SUMIFS(Нормативы!R:R,Нормативы!$B:$B,$G376,Нормативы!$D:$D,'2020'!$I376,Нормативы!$F:$F,'2020'!$K376)</f>
        <v>2700</v>
      </c>
      <c r="AG376" s="618">
        <f>SUMIFS(Нормативы!S:S,Нормативы!$B:$B,$G376,Нормативы!$D:$D,'2020'!$I376,Нормативы!$F:$F,'2020'!$K376)</f>
        <v>5800</v>
      </c>
      <c r="AH376" s="618">
        <f>SUMIFS(Нормативы!T:T,Нормативы!$B:$B,$G376,Нормативы!$D:$D,'2020'!$I376,Нормативы!$F:$F,'2020'!$K376)</f>
        <v>540</v>
      </c>
      <c r="AI376" s="618">
        <f>SUMIFS(Нормативы!U:U,Нормативы!$B:$B,$G376,Нормативы!$D:$D,'2020'!$I376,Нормативы!$F:$F,'2020'!$K376)</f>
        <v>770</v>
      </c>
      <c r="AJ376" s="618">
        <f>SUMIFS(Нормативы!V:V,Нормативы!$B:$B,$G376,Нормативы!$D:$D,'2020'!$I376,Нормативы!$F:$F,'2020'!$K376)</f>
        <v>170</v>
      </c>
      <c r="AK376" s="618">
        <f>SUMIFS(Нормативы!W:W,Нормативы!$B:$B,$G376,Нормативы!$D:$D,'2020'!$I376,Нормативы!$F:$F,'2020'!$K376)</f>
        <v>200</v>
      </c>
      <c r="AL376" s="618">
        <f>SUMIFS(Нормативы!X:X,Нормативы!$B:$B,$G376,Нормативы!$D:$D,'2020'!$I376,Нормативы!$F:$F,'2020'!$K376)*O376</f>
        <v>13440</v>
      </c>
      <c r="AM376" s="618">
        <f t="shared" si="1100"/>
        <v>10322.6</v>
      </c>
      <c r="AN376" s="618">
        <f t="shared" si="1101"/>
        <v>3117.4</v>
      </c>
      <c r="AO376" s="618">
        <f>SUMIFS(Нормативы!AA:AA,Нормативы!$B:$B,$G376,Нормативы!$D:$D,'2020'!$I376,Нормативы!$F:$F,'2020'!$K376)</f>
        <v>0</v>
      </c>
      <c r="AP376" s="619">
        <f t="shared" si="1102"/>
        <v>140380</v>
      </c>
      <c r="AQ376" s="413">
        <f t="shared" si="1040"/>
        <v>2981100</v>
      </c>
      <c r="AR376" s="618">
        <f t="shared" si="1103"/>
        <v>2289631.2999999998</v>
      </c>
      <c r="AS376" s="618">
        <f t="shared" si="1104"/>
        <v>691468.7</v>
      </c>
      <c r="AT376" s="616">
        <f t="shared" si="1041"/>
        <v>259920</v>
      </c>
      <c r="AU376" s="616">
        <f t="shared" si="1042"/>
        <v>51984</v>
      </c>
      <c r="AV376" s="616">
        <f t="shared" si="1043"/>
        <v>308180</v>
      </c>
      <c r="AW376" s="616">
        <f t="shared" si="1044"/>
        <v>887680</v>
      </c>
      <c r="AX376" s="616">
        <f t="shared" si="1045"/>
        <v>33440</v>
      </c>
      <c r="AY376" s="616">
        <f t="shared" si="1046"/>
        <v>796480</v>
      </c>
      <c r="AZ376" s="616">
        <f t="shared" si="1047"/>
        <v>16720</v>
      </c>
      <c r="BA376" s="616">
        <f t="shared" si="1048"/>
        <v>41040</v>
      </c>
      <c r="BB376" s="616">
        <f t="shared" si="1049"/>
        <v>102600</v>
      </c>
      <c r="BC376" s="616">
        <f t="shared" si="1050"/>
        <v>220400</v>
      </c>
      <c r="BD376" s="616">
        <f t="shared" si="1051"/>
        <v>20520</v>
      </c>
      <c r="BE376" s="616">
        <f t="shared" si="1052"/>
        <v>29260</v>
      </c>
      <c r="BF376" s="616">
        <f t="shared" si="1053"/>
        <v>6460</v>
      </c>
      <c r="BG376" s="616">
        <f t="shared" si="1054"/>
        <v>7600</v>
      </c>
      <c r="BH376" s="616">
        <f t="shared" si="1055"/>
        <v>510720</v>
      </c>
      <c r="BI376" s="618">
        <f t="shared" si="1105"/>
        <v>392258.1</v>
      </c>
      <c r="BJ376" s="618">
        <f t="shared" si="1106"/>
        <v>118461.9</v>
      </c>
      <c r="BK376" s="616">
        <f t="shared" si="1056"/>
        <v>0</v>
      </c>
      <c r="BL376" s="620">
        <f t="shared" si="1057"/>
        <v>5334440</v>
      </c>
      <c r="BM376" s="616">
        <f t="shared" si="1058"/>
        <v>7279846</v>
      </c>
      <c r="BN376" s="618">
        <f t="shared" si="1059"/>
        <v>5591279.5999999996</v>
      </c>
      <c r="BO376" s="618">
        <f t="shared" si="1060"/>
        <v>1688566.4</v>
      </c>
      <c r="BP376" s="616">
        <f t="shared" si="1107"/>
        <v>259920</v>
      </c>
      <c r="BQ376" s="616">
        <f t="shared" si="1108"/>
        <v>51984</v>
      </c>
      <c r="BR376" s="616">
        <f t="shared" si="1109"/>
        <v>308180</v>
      </c>
      <c r="BS376" s="616">
        <f t="shared" si="1061"/>
        <v>887680</v>
      </c>
      <c r="BT376" s="616">
        <f t="shared" si="1062"/>
        <v>33440</v>
      </c>
      <c r="BU376" s="616">
        <f t="shared" si="1063"/>
        <v>796480</v>
      </c>
      <c r="BV376" s="616">
        <f t="shared" si="1064"/>
        <v>16720</v>
      </c>
      <c r="BW376" s="616">
        <f t="shared" si="1065"/>
        <v>41040</v>
      </c>
      <c r="BX376" s="616">
        <f t="shared" si="1066"/>
        <v>266760</v>
      </c>
      <c r="BY376" s="616">
        <f t="shared" si="1067"/>
        <v>220400</v>
      </c>
      <c r="BZ376" s="616">
        <f t="shared" si="1068"/>
        <v>20520</v>
      </c>
      <c r="CA376" s="616">
        <f t="shared" si="1069"/>
        <v>29260</v>
      </c>
      <c r="CB376" s="616">
        <f t="shared" si="1070"/>
        <v>6460</v>
      </c>
      <c r="CC376" s="616">
        <f t="shared" si="1071"/>
        <v>7600</v>
      </c>
      <c r="CD376" s="616">
        <f t="shared" si="1072"/>
        <v>1247178</v>
      </c>
      <c r="CE376" s="618">
        <f t="shared" si="1110"/>
        <v>957894</v>
      </c>
      <c r="CF376" s="618">
        <f t="shared" si="1111"/>
        <v>289284</v>
      </c>
      <c r="CG376" s="616">
        <f t="shared" si="1073"/>
        <v>0</v>
      </c>
      <c r="CH376" s="621">
        <f t="shared" si="1074"/>
        <v>10533804</v>
      </c>
      <c r="CI376" s="88">
        <f t="shared" si="1075"/>
        <v>191574.8947</v>
      </c>
      <c r="CJ376" s="90">
        <f t="shared" si="1076"/>
        <v>147138.9368</v>
      </c>
      <c r="CK376" s="90">
        <f t="shared" si="1077"/>
        <v>44435.957900000001</v>
      </c>
      <c r="CL376" s="88">
        <f t="shared" si="1078"/>
        <v>6840</v>
      </c>
      <c r="CM376" s="88">
        <f t="shared" si="1079"/>
        <v>1368</v>
      </c>
      <c r="CN376" s="88">
        <f t="shared" si="1080"/>
        <v>8110</v>
      </c>
      <c r="CO376" s="88">
        <f t="shared" si="1081"/>
        <v>23360</v>
      </c>
      <c r="CP376" s="88">
        <f t="shared" si="1082"/>
        <v>880</v>
      </c>
      <c r="CQ376" s="88">
        <f t="shared" si="1083"/>
        <v>20960</v>
      </c>
      <c r="CR376" s="88">
        <f t="shared" si="1084"/>
        <v>440</v>
      </c>
      <c r="CS376" s="88">
        <f t="shared" si="1085"/>
        <v>1080</v>
      </c>
      <c r="CT376" s="88">
        <f t="shared" si="1086"/>
        <v>7020</v>
      </c>
      <c r="CU376" s="88">
        <f t="shared" si="1087"/>
        <v>5800</v>
      </c>
      <c r="CV376" s="88">
        <f t="shared" si="1088"/>
        <v>540</v>
      </c>
      <c r="CW376" s="88">
        <f t="shared" si="1089"/>
        <v>770</v>
      </c>
      <c r="CX376" s="88">
        <f t="shared" si="1090"/>
        <v>170</v>
      </c>
      <c r="CY376" s="88">
        <f t="shared" si="1091"/>
        <v>200</v>
      </c>
      <c r="CZ376" s="88">
        <f t="shared" si="1092"/>
        <v>32820.473700000002</v>
      </c>
      <c r="DA376" s="90">
        <f t="shared" si="1093"/>
        <v>25207.736799999999</v>
      </c>
      <c r="DB376" s="90">
        <f t="shared" si="1094"/>
        <v>7612.7367999999997</v>
      </c>
      <c r="DC376" s="88">
        <f t="shared" si="1095"/>
        <v>0</v>
      </c>
      <c r="DD376" s="211">
        <f t="shared" si="1096"/>
        <v>277205.36839999998</v>
      </c>
      <c r="AUV376" s="699">
        <f t="shared" si="890"/>
        <v>191574.89</v>
      </c>
      <c r="AUW376" s="699">
        <f t="shared" si="891"/>
        <v>147138.93</v>
      </c>
      <c r="AUX376" s="699">
        <f t="shared" si="892"/>
        <v>44435.96</v>
      </c>
      <c r="AUY376" s="699">
        <f t="shared" ref="AUY376:AUY377" si="1141">BP376/P376</f>
        <v>6840</v>
      </c>
      <c r="AUZ376" s="699">
        <f t="shared" si="910"/>
        <v>19993.849999999999</v>
      </c>
      <c r="AVA376" s="699">
        <f t="shared" si="910"/>
        <v>3.93</v>
      </c>
      <c r="AVB376" s="699">
        <f t="shared" ref="AVB376:AVB377" si="1142">AVC376+AVD376+AVE376+AVF376</f>
        <v>23360</v>
      </c>
      <c r="AVC376" s="699">
        <f t="shared" ref="AVC376:AVC377" si="1143">BT376/P376</f>
        <v>880</v>
      </c>
      <c r="AVD376" s="699">
        <f t="shared" ref="AVD376:AVD377" si="1144">BU376/P376</f>
        <v>20960</v>
      </c>
      <c r="AVE376" s="699">
        <f t="shared" ref="AVE376:AVE377" si="1145">BV376/P376</f>
        <v>440</v>
      </c>
      <c r="AVF376" s="699">
        <f t="shared" ref="AVF376:AVF377" si="1146">BW376/P376</f>
        <v>1080</v>
      </c>
      <c r="AVG376" s="699">
        <f t="shared" ref="AVG376:AVG377" si="1147">BX376/P376</f>
        <v>7020</v>
      </c>
      <c r="AVH376" s="699">
        <f t="shared" ref="AVH376:AVH377" si="1148">BY376/P376</f>
        <v>5800</v>
      </c>
      <c r="AVI376" s="699">
        <f t="shared" ref="AVI376:AVI377" si="1149">BZ376/P376</f>
        <v>540</v>
      </c>
      <c r="AVJ376" s="699">
        <f t="shared" ref="AVJ376:AVJ377" si="1150">CA376/P376</f>
        <v>770</v>
      </c>
      <c r="AVK376" s="699">
        <f t="shared" ref="AVK376:AVK377" si="1151">CB376/P376</f>
        <v>170</v>
      </c>
      <c r="AVL376" s="699">
        <f t="shared" ref="AVL376:AVL377" si="1152">CC376/P376</f>
        <v>200</v>
      </c>
      <c r="AVM376" s="699">
        <f t="shared" ref="AVM376:AVM377" si="1153">CD376/P376</f>
        <v>32820.47</v>
      </c>
      <c r="AVN376" s="699">
        <f t="shared" ref="AVN376:AVN377" si="1154">AVM376/1.302</f>
        <v>25207.73</v>
      </c>
      <c r="AVO376" s="699">
        <f t="shared" ref="AVO376:AVO377" si="1155">AVM376-AVN376</f>
        <v>7612.74</v>
      </c>
      <c r="AVP376" s="699">
        <f t="shared" ref="AVP376:AVP377" si="1156">CG376/P376</f>
        <v>0</v>
      </c>
      <c r="AVQ376" s="699">
        <f t="shared" ref="AVQ376:AVQ377" si="1157">CH376/P376</f>
        <v>277205.37</v>
      </c>
    </row>
    <row r="377" spans="1:108 1244:1265" ht="30" customHeight="1" x14ac:dyDescent="0.25">
      <c r="A377" s="643">
        <v>1</v>
      </c>
      <c r="B377" s="643">
        <v>6</v>
      </c>
      <c r="C377" s="664" t="s">
        <v>250</v>
      </c>
      <c r="D377" s="2"/>
      <c r="E377" s="101" t="s">
        <v>346</v>
      </c>
      <c r="F377" s="643" t="s">
        <v>39</v>
      </c>
      <c r="G377" s="643">
        <v>3</v>
      </c>
      <c r="H377" s="658" t="s">
        <v>10</v>
      </c>
      <c r="I377" s="643">
        <v>0</v>
      </c>
      <c r="J377" s="101" t="s">
        <v>368</v>
      </c>
      <c r="K377" s="643">
        <v>2</v>
      </c>
      <c r="L377" s="683" t="s">
        <v>351</v>
      </c>
      <c r="M377" s="11" t="s">
        <v>274</v>
      </c>
      <c r="N377" s="101" t="s">
        <v>387</v>
      </c>
      <c r="O377" s="643">
        <v>1</v>
      </c>
      <c r="P377" s="695">
        <v>2</v>
      </c>
      <c r="Q377" s="632">
        <v>2</v>
      </c>
      <c r="R377" s="632">
        <v>2</v>
      </c>
      <c r="S377" s="675">
        <f>SUMIF('Территориальный кк'!$A:$A,'2020'!$B377,'Территориальный кк'!D:D)</f>
        <v>2.4420000000000002</v>
      </c>
      <c r="T377" s="676">
        <f>SUMIF('Территориальный кк'!$A:$A,'2020'!$B377,'Территориальный кк'!E:E)</f>
        <v>2.6</v>
      </c>
      <c r="U377" s="618">
        <f>SUMIFS(Нормативы!G:G,Нормативы!$B:$B,$G377,Нормативы!$D:$D,'2020'!$I377,Нормативы!$F:$F,'2020'!$K377)*O377</f>
        <v>78450</v>
      </c>
      <c r="V377" s="618">
        <f t="shared" si="1097"/>
        <v>60253.5</v>
      </c>
      <c r="W377" s="618">
        <f t="shared" si="1098"/>
        <v>18196.5</v>
      </c>
      <c r="X377" s="618">
        <f>SUMIFS(Нормативы!J:J,Нормативы!$B:$B,$G377,Нормативы!$D:$D,'2020'!$I377,Нормативы!$F:$F,'2020'!$K377)</f>
        <v>1610</v>
      </c>
      <c r="Y377" s="618">
        <f>SUMIFS(Нормативы!K:K,Нормативы!$B:$B,$G377,Нормативы!$D:$D,'2020'!$I377,Нормативы!$F:$F,'2020'!$K377)</f>
        <v>322</v>
      </c>
      <c r="Z377" s="618">
        <f>SUMIFS(Нормативы!L:L,Нормативы!$B:$B,$G377,Нормативы!$D:$D,'2020'!$I377,Нормативы!$F:$F,'2020'!$K377)</f>
        <v>3480</v>
      </c>
      <c r="AA377" s="618">
        <f t="shared" si="1099"/>
        <v>8580</v>
      </c>
      <c r="AB377" s="618">
        <f>SUMIFS(Нормативы!N:N,Нормативы!$B:$B,$G377,Нормативы!$D:$D,'2020'!$I377,Нормативы!$F:$F,'2020'!$K377)*O377</f>
        <v>880</v>
      </c>
      <c r="AC377" s="618">
        <f>SUMIFS(Нормативы!O:O,Нормативы!$B:$B,$G377,Нормативы!$D:$D,'2020'!$I377,Нормативы!$F:$F,'2020'!$K377)</f>
        <v>6180</v>
      </c>
      <c r="AD377" s="618">
        <f>SUMIFS(Нормативы!P:P,Нормативы!$B:$B,$G377,Нормативы!$D:$D,'2020'!$I377,Нормативы!$F:$F,'2020'!$K377)*O377</f>
        <v>440</v>
      </c>
      <c r="AE377" s="618">
        <f>SUMIFS(Нормативы!Q:Q,Нормативы!$B:$B,$G377,Нормативы!$D:$D,'2020'!$I377,Нормативы!$F:$F,'2020'!$K377)</f>
        <v>1080</v>
      </c>
      <c r="AF377" s="618">
        <f>SUMIFS(Нормативы!R:R,Нормативы!$B:$B,$G377,Нормативы!$D:$D,'2020'!$I377,Нормативы!$F:$F,'2020'!$K377)</f>
        <v>2490</v>
      </c>
      <c r="AG377" s="618">
        <f>SUMIFS(Нормативы!S:S,Нормативы!$B:$B,$G377,Нормативы!$D:$D,'2020'!$I377,Нормативы!$F:$F,'2020'!$K377)</f>
        <v>5800</v>
      </c>
      <c r="AH377" s="618">
        <f>SUMIFS(Нормативы!T:T,Нормативы!$B:$B,$G377,Нормативы!$D:$D,'2020'!$I377,Нормативы!$F:$F,'2020'!$K377)</f>
        <v>540</v>
      </c>
      <c r="AI377" s="618">
        <f>SUMIFS(Нормативы!U:U,Нормативы!$B:$B,$G377,Нормативы!$D:$D,'2020'!$I377,Нормативы!$F:$F,'2020'!$K377)</f>
        <v>770</v>
      </c>
      <c r="AJ377" s="618">
        <f>SUMIFS(Нормативы!V:V,Нормативы!$B:$B,$G377,Нормативы!$D:$D,'2020'!$I377,Нормативы!$F:$F,'2020'!$K377)</f>
        <v>170</v>
      </c>
      <c r="AK377" s="618">
        <f>SUMIFS(Нормативы!W:W,Нормативы!$B:$B,$G377,Нормативы!$D:$D,'2020'!$I377,Нормативы!$F:$F,'2020'!$K377)</f>
        <v>200</v>
      </c>
      <c r="AL377" s="618">
        <f>SUMIFS(Нормативы!X:X,Нормативы!$B:$B,$G377,Нормативы!$D:$D,'2020'!$I377,Нормативы!$F:$F,'2020'!$K377)*O377</f>
        <v>13440</v>
      </c>
      <c r="AM377" s="618">
        <f t="shared" si="1100"/>
        <v>10322.6</v>
      </c>
      <c r="AN377" s="618">
        <f t="shared" si="1101"/>
        <v>3117.4</v>
      </c>
      <c r="AO377" s="618">
        <f>SUMIFS(Нормативы!AA:AA,Нормативы!$B:$B,$G377,Нормативы!$D:$D,'2020'!$I377,Нормативы!$F:$F,'2020'!$K377)</f>
        <v>0</v>
      </c>
      <c r="AP377" s="619">
        <f t="shared" si="1102"/>
        <v>115530</v>
      </c>
      <c r="AQ377" s="413">
        <f t="shared" si="1040"/>
        <v>156900</v>
      </c>
      <c r="AR377" s="618">
        <f t="shared" si="1103"/>
        <v>120506.9</v>
      </c>
      <c r="AS377" s="618">
        <f t="shared" si="1104"/>
        <v>36393.1</v>
      </c>
      <c r="AT377" s="616">
        <f t="shared" si="1041"/>
        <v>3220</v>
      </c>
      <c r="AU377" s="616">
        <f t="shared" si="1042"/>
        <v>644</v>
      </c>
      <c r="AV377" s="616">
        <f t="shared" si="1043"/>
        <v>6960</v>
      </c>
      <c r="AW377" s="616">
        <f t="shared" si="1044"/>
        <v>17160</v>
      </c>
      <c r="AX377" s="616">
        <f t="shared" si="1045"/>
        <v>1760</v>
      </c>
      <c r="AY377" s="616">
        <f t="shared" si="1046"/>
        <v>12360</v>
      </c>
      <c r="AZ377" s="616">
        <f t="shared" si="1047"/>
        <v>880</v>
      </c>
      <c r="BA377" s="616">
        <f t="shared" si="1048"/>
        <v>2160</v>
      </c>
      <c r="BB377" s="616">
        <f t="shared" si="1049"/>
        <v>4980</v>
      </c>
      <c r="BC377" s="616">
        <f t="shared" si="1050"/>
        <v>11600</v>
      </c>
      <c r="BD377" s="616">
        <f t="shared" si="1051"/>
        <v>1080</v>
      </c>
      <c r="BE377" s="616">
        <f t="shared" si="1052"/>
        <v>1540</v>
      </c>
      <c r="BF377" s="616">
        <f t="shared" si="1053"/>
        <v>340</v>
      </c>
      <c r="BG377" s="616">
        <f t="shared" si="1054"/>
        <v>400</v>
      </c>
      <c r="BH377" s="616">
        <f t="shared" si="1055"/>
        <v>26880</v>
      </c>
      <c r="BI377" s="618">
        <f t="shared" si="1105"/>
        <v>20645.2</v>
      </c>
      <c r="BJ377" s="618">
        <f t="shared" si="1106"/>
        <v>6234.8</v>
      </c>
      <c r="BK377" s="616">
        <f t="shared" si="1056"/>
        <v>0</v>
      </c>
      <c r="BL377" s="620">
        <f t="shared" si="1057"/>
        <v>231060</v>
      </c>
      <c r="BM377" s="616">
        <f t="shared" si="1058"/>
        <v>383150</v>
      </c>
      <c r="BN377" s="618">
        <f t="shared" si="1059"/>
        <v>294278</v>
      </c>
      <c r="BO377" s="618">
        <f t="shared" si="1060"/>
        <v>88872</v>
      </c>
      <c r="BP377" s="616">
        <f t="shared" si="1107"/>
        <v>3220</v>
      </c>
      <c r="BQ377" s="616">
        <f t="shared" si="1108"/>
        <v>644</v>
      </c>
      <c r="BR377" s="616">
        <f t="shared" si="1109"/>
        <v>6960</v>
      </c>
      <c r="BS377" s="616">
        <f t="shared" si="1061"/>
        <v>17160</v>
      </c>
      <c r="BT377" s="616">
        <f t="shared" si="1062"/>
        <v>1760</v>
      </c>
      <c r="BU377" s="616">
        <f t="shared" si="1063"/>
        <v>12360</v>
      </c>
      <c r="BV377" s="616">
        <f t="shared" si="1064"/>
        <v>880</v>
      </c>
      <c r="BW377" s="616">
        <f t="shared" si="1065"/>
        <v>2160</v>
      </c>
      <c r="BX377" s="616">
        <f t="shared" si="1066"/>
        <v>12948</v>
      </c>
      <c r="BY377" s="616">
        <f t="shared" si="1067"/>
        <v>11600</v>
      </c>
      <c r="BZ377" s="616">
        <f t="shared" si="1068"/>
        <v>1080</v>
      </c>
      <c r="CA377" s="616">
        <f t="shared" si="1069"/>
        <v>1540</v>
      </c>
      <c r="CB377" s="616">
        <f t="shared" si="1070"/>
        <v>340</v>
      </c>
      <c r="CC377" s="616">
        <f t="shared" si="1071"/>
        <v>400</v>
      </c>
      <c r="CD377" s="616">
        <f t="shared" si="1072"/>
        <v>65641</v>
      </c>
      <c r="CE377" s="618">
        <f t="shared" si="1110"/>
        <v>50415.5</v>
      </c>
      <c r="CF377" s="618">
        <f t="shared" si="1111"/>
        <v>15225.5</v>
      </c>
      <c r="CG377" s="616">
        <f t="shared" si="1073"/>
        <v>0</v>
      </c>
      <c r="CH377" s="621">
        <f t="shared" si="1074"/>
        <v>504039</v>
      </c>
      <c r="CI377" s="88">
        <f t="shared" si="1075"/>
        <v>191575</v>
      </c>
      <c r="CJ377" s="90">
        <f t="shared" si="1076"/>
        <v>147139</v>
      </c>
      <c r="CK377" s="90">
        <f t="shared" si="1077"/>
        <v>44436</v>
      </c>
      <c r="CL377" s="88">
        <f t="shared" si="1078"/>
        <v>1610</v>
      </c>
      <c r="CM377" s="88">
        <f t="shared" si="1079"/>
        <v>322</v>
      </c>
      <c r="CN377" s="88">
        <f t="shared" si="1080"/>
        <v>3480</v>
      </c>
      <c r="CO377" s="88">
        <f t="shared" si="1081"/>
        <v>8580</v>
      </c>
      <c r="CP377" s="88">
        <f t="shared" si="1082"/>
        <v>880</v>
      </c>
      <c r="CQ377" s="88">
        <f t="shared" si="1083"/>
        <v>6180</v>
      </c>
      <c r="CR377" s="88">
        <f t="shared" si="1084"/>
        <v>440</v>
      </c>
      <c r="CS377" s="88">
        <f t="shared" si="1085"/>
        <v>1080</v>
      </c>
      <c r="CT377" s="88">
        <f t="shared" si="1086"/>
        <v>6474</v>
      </c>
      <c r="CU377" s="88">
        <f t="shared" si="1087"/>
        <v>5800</v>
      </c>
      <c r="CV377" s="88">
        <f t="shared" si="1088"/>
        <v>540</v>
      </c>
      <c r="CW377" s="88">
        <f t="shared" si="1089"/>
        <v>770</v>
      </c>
      <c r="CX377" s="88">
        <f t="shared" si="1090"/>
        <v>170</v>
      </c>
      <c r="CY377" s="88">
        <f t="shared" si="1091"/>
        <v>200</v>
      </c>
      <c r="CZ377" s="88">
        <f t="shared" si="1092"/>
        <v>32820.5</v>
      </c>
      <c r="DA377" s="90">
        <f t="shared" si="1093"/>
        <v>25207.75</v>
      </c>
      <c r="DB377" s="90">
        <f t="shared" si="1094"/>
        <v>7612.75</v>
      </c>
      <c r="DC377" s="88">
        <f t="shared" si="1095"/>
        <v>0</v>
      </c>
      <c r="DD377" s="211">
        <f t="shared" si="1096"/>
        <v>252019.5</v>
      </c>
      <c r="AUV377" s="699">
        <f t="shared" si="890"/>
        <v>191575</v>
      </c>
      <c r="AUW377" s="699">
        <f t="shared" si="891"/>
        <v>147139.01999999999</v>
      </c>
      <c r="AUX377" s="699">
        <f t="shared" si="892"/>
        <v>44435.98</v>
      </c>
      <c r="AUY377" s="699">
        <f t="shared" si="1141"/>
        <v>1610</v>
      </c>
      <c r="AUZ377" s="699">
        <f t="shared" si="910"/>
        <v>247.69</v>
      </c>
      <c r="AVA377" s="699">
        <f t="shared" si="910"/>
        <v>0.09</v>
      </c>
      <c r="AVB377" s="699">
        <f t="shared" si="1142"/>
        <v>8580</v>
      </c>
      <c r="AVC377" s="699">
        <f t="shared" si="1143"/>
        <v>880</v>
      </c>
      <c r="AVD377" s="699">
        <f t="shared" si="1144"/>
        <v>6180</v>
      </c>
      <c r="AVE377" s="699">
        <f t="shared" si="1145"/>
        <v>440</v>
      </c>
      <c r="AVF377" s="699">
        <f t="shared" si="1146"/>
        <v>1080</v>
      </c>
      <c r="AVG377" s="699">
        <f t="shared" si="1147"/>
        <v>6474</v>
      </c>
      <c r="AVH377" s="699">
        <f t="shared" si="1148"/>
        <v>5800</v>
      </c>
      <c r="AVI377" s="699">
        <f t="shared" si="1149"/>
        <v>540</v>
      </c>
      <c r="AVJ377" s="699">
        <f t="shared" si="1150"/>
        <v>770</v>
      </c>
      <c r="AVK377" s="699">
        <f t="shared" si="1151"/>
        <v>170</v>
      </c>
      <c r="AVL377" s="699">
        <f t="shared" si="1152"/>
        <v>200</v>
      </c>
      <c r="AVM377" s="699">
        <f t="shared" si="1153"/>
        <v>32820.5</v>
      </c>
      <c r="AVN377" s="699">
        <f t="shared" si="1154"/>
        <v>25207.759999999998</v>
      </c>
      <c r="AVO377" s="699">
        <f t="shared" si="1155"/>
        <v>7612.74</v>
      </c>
      <c r="AVP377" s="699">
        <f t="shared" si="1156"/>
        <v>0</v>
      </c>
      <c r="AVQ377" s="699">
        <f t="shared" si="1157"/>
        <v>252019.5</v>
      </c>
    </row>
    <row r="378" spans="1:108 1244:1265" ht="30" customHeight="1" x14ac:dyDescent="0.25">
      <c r="A378" s="643">
        <v>1</v>
      </c>
      <c r="B378" s="643">
        <v>6</v>
      </c>
      <c r="C378" s="664" t="s">
        <v>250</v>
      </c>
      <c r="D378" s="2"/>
      <c r="E378" s="101" t="s">
        <v>345</v>
      </c>
      <c r="F378" s="643" t="s">
        <v>38</v>
      </c>
      <c r="G378" s="643">
        <v>2</v>
      </c>
      <c r="H378" s="658" t="s">
        <v>10</v>
      </c>
      <c r="I378" s="643">
        <v>0</v>
      </c>
      <c r="J378" s="101" t="s">
        <v>362</v>
      </c>
      <c r="K378" s="643">
        <v>3</v>
      </c>
      <c r="L378" s="683" t="s">
        <v>350</v>
      </c>
      <c r="M378" s="11" t="s">
        <v>296</v>
      </c>
      <c r="N378" s="101" t="s">
        <v>401</v>
      </c>
      <c r="O378" s="643">
        <v>2</v>
      </c>
      <c r="P378" s="632"/>
      <c r="Q378" s="632"/>
      <c r="R378" s="632"/>
      <c r="S378" s="675">
        <f>SUMIF('Территориальный кк'!$A:$A,'2020'!$B378,'Территориальный кк'!D:D)</f>
        <v>2.4420000000000002</v>
      </c>
      <c r="T378" s="676">
        <f>SUMIF('Территориальный кк'!$A:$A,'2020'!$B378,'Территориальный кк'!E:E)</f>
        <v>2.6</v>
      </c>
      <c r="U378" s="618">
        <f>SUMIFS(Нормативы!G:G,Нормативы!$B:$B,$G378,Нормативы!$D:$D,'2020'!$I378,Нормативы!$F:$F,'2020'!$K378)*O378</f>
        <v>141200</v>
      </c>
      <c r="V378" s="618">
        <f t="shared" si="1097"/>
        <v>108448.5</v>
      </c>
      <c r="W378" s="618">
        <f t="shared" si="1098"/>
        <v>32751.5</v>
      </c>
      <c r="X378" s="618">
        <f>SUMIFS(Нормативы!J:J,Нормативы!$B:$B,$G378,Нормативы!$D:$D,'2020'!$I378,Нормативы!$F:$F,'2020'!$K378)</f>
        <v>8860</v>
      </c>
      <c r="Y378" s="618">
        <f>SUMIFS(Нормативы!K:K,Нормативы!$B:$B,$G378,Нормативы!$D:$D,'2020'!$I378,Нормативы!$F:$F,'2020'!$K378)</f>
        <v>0</v>
      </c>
      <c r="Z378" s="618">
        <f>SUMIFS(Нормативы!L:L,Нормативы!$B:$B,$G378,Нормативы!$D:$D,'2020'!$I378,Нормативы!$F:$F,'2020'!$K378)</f>
        <v>8110</v>
      </c>
      <c r="AA378" s="618">
        <f t="shared" si="1099"/>
        <v>22530</v>
      </c>
      <c r="AB378" s="618">
        <f>SUMIFS(Нормативы!N:N,Нормативы!$B:$B,$G378,Нормативы!$D:$D,'2020'!$I378,Нормативы!$F:$F,'2020'!$K378)*O378</f>
        <v>1040</v>
      </c>
      <c r="AC378" s="618">
        <f>SUMIFS(Нормативы!O:O,Нормативы!$B:$B,$G378,Нормативы!$D:$D,'2020'!$I378,Нормативы!$F:$F,'2020'!$K378)</f>
        <v>19720</v>
      </c>
      <c r="AD378" s="618">
        <f>SUMIFS(Нормативы!P:P,Нормативы!$B:$B,$G378,Нормативы!$D:$D,'2020'!$I378,Нормативы!$F:$F,'2020'!$K378)*O378</f>
        <v>800</v>
      </c>
      <c r="AE378" s="618">
        <f>SUMIFS(Нормативы!Q:Q,Нормативы!$B:$B,$G378,Нормативы!$D:$D,'2020'!$I378,Нормативы!$F:$F,'2020'!$K378)</f>
        <v>970</v>
      </c>
      <c r="AF378" s="618">
        <f>SUMIFS(Нормативы!R:R,Нормативы!$B:$B,$G378,Нормативы!$D:$D,'2020'!$I378,Нормативы!$F:$F,'2020'!$K378)</f>
        <v>2680</v>
      </c>
      <c r="AG378" s="618">
        <f>SUMIFS(Нормативы!S:S,Нормативы!$B:$B,$G378,Нормативы!$D:$D,'2020'!$I378,Нормативы!$F:$F,'2020'!$K378)</f>
        <v>5800</v>
      </c>
      <c r="AH378" s="618">
        <f>SUMIFS(Нормативы!T:T,Нормативы!$B:$B,$G378,Нормативы!$D:$D,'2020'!$I378,Нормативы!$F:$F,'2020'!$K378)</f>
        <v>540</v>
      </c>
      <c r="AI378" s="618">
        <f>SUMIFS(Нормативы!U:U,Нормативы!$B:$B,$G378,Нормативы!$D:$D,'2020'!$I378,Нормативы!$F:$F,'2020'!$K378)</f>
        <v>770</v>
      </c>
      <c r="AJ378" s="618">
        <f>SUMIFS(Нормативы!V:V,Нормативы!$B:$B,$G378,Нормативы!$D:$D,'2020'!$I378,Нормативы!$F:$F,'2020'!$K378)</f>
        <v>80</v>
      </c>
      <c r="AK378" s="618">
        <f>SUMIFS(Нормативы!W:W,Нормативы!$B:$B,$G378,Нормативы!$D:$D,'2020'!$I378,Нормативы!$F:$F,'2020'!$K378)</f>
        <v>330</v>
      </c>
      <c r="AL378" s="618">
        <f>SUMIFS(Нормативы!X:X,Нормативы!$B:$B,$G378,Нормативы!$D:$D,'2020'!$I378,Нормативы!$F:$F,'2020'!$K378)*O378</f>
        <v>32240</v>
      </c>
      <c r="AM378" s="618">
        <f t="shared" si="1100"/>
        <v>24761.9</v>
      </c>
      <c r="AN378" s="618">
        <f t="shared" si="1101"/>
        <v>7478.1</v>
      </c>
      <c r="AO378" s="618">
        <f>SUMIFS(Нормативы!AA:AA,Нормативы!$B:$B,$G378,Нормативы!$D:$D,'2020'!$I378,Нормативы!$F:$F,'2020'!$K378)</f>
        <v>3520</v>
      </c>
      <c r="AP378" s="619">
        <f t="shared" si="1102"/>
        <v>226660</v>
      </c>
      <c r="AQ378" s="413">
        <f t="shared" si="1040"/>
        <v>0</v>
      </c>
      <c r="AR378" s="618">
        <f t="shared" si="1103"/>
        <v>0</v>
      </c>
      <c r="AS378" s="618">
        <f t="shared" si="1104"/>
        <v>0</v>
      </c>
      <c r="AT378" s="616">
        <f t="shared" si="1041"/>
        <v>0</v>
      </c>
      <c r="AU378" s="616">
        <f t="shared" si="1042"/>
        <v>0</v>
      </c>
      <c r="AV378" s="616">
        <f t="shared" si="1043"/>
        <v>0</v>
      </c>
      <c r="AW378" s="616">
        <f t="shared" si="1044"/>
        <v>0</v>
      </c>
      <c r="AX378" s="616">
        <f t="shared" si="1045"/>
        <v>0</v>
      </c>
      <c r="AY378" s="616">
        <f t="shared" si="1046"/>
        <v>0</v>
      </c>
      <c r="AZ378" s="616">
        <f t="shared" si="1047"/>
        <v>0</v>
      </c>
      <c r="BA378" s="616">
        <f t="shared" si="1048"/>
        <v>0</v>
      </c>
      <c r="BB378" s="616">
        <f t="shared" si="1049"/>
        <v>0</v>
      </c>
      <c r="BC378" s="616">
        <f t="shared" si="1050"/>
        <v>0</v>
      </c>
      <c r="BD378" s="616">
        <f t="shared" si="1051"/>
        <v>0</v>
      </c>
      <c r="BE378" s="616">
        <f t="shared" si="1052"/>
        <v>0</v>
      </c>
      <c r="BF378" s="616">
        <f t="shared" si="1053"/>
        <v>0</v>
      </c>
      <c r="BG378" s="616">
        <f t="shared" si="1054"/>
        <v>0</v>
      </c>
      <c r="BH378" s="616">
        <f t="shared" si="1055"/>
        <v>0</v>
      </c>
      <c r="BI378" s="618">
        <f t="shared" si="1105"/>
        <v>0</v>
      </c>
      <c r="BJ378" s="618">
        <f t="shared" si="1106"/>
        <v>0</v>
      </c>
      <c r="BK378" s="616">
        <f t="shared" si="1056"/>
        <v>0</v>
      </c>
      <c r="BL378" s="620">
        <f t="shared" si="1057"/>
        <v>0</v>
      </c>
      <c r="BM378" s="616">
        <f t="shared" si="1058"/>
        <v>0</v>
      </c>
      <c r="BN378" s="618">
        <f t="shared" si="1059"/>
        <v>0</v>
      </c>
      <c r="BO378" s="618">
        <f t="shared" si="1060"/>
        <v>0</v>
      </c>
      <c r="BP378" s="616">
        <f t="shared" si="1107"/>
        <v>0</v>
      </c>
      <c r="BQ378" s="616">
        <f t="shared" si="1108"/>
        <v>0</v>
      </c>
      <c r="BR378" s="616">
        <f t="shared" si="1109"/>
        <v>0</v>
      </c>
      <c r="BS378" s="616">
        <f t="shared" si="1061"/>
        <v>0</v>
      </c>
      <c r="BT378" s="616">
        <f t="shared" si="1062"/>
        <v>0</v>
      </c>
      <c r="BU378" s="616">
        <f t="shared" si="1063"/>
        <v>0</v>
      </c>
      <c r="BV378" s="616">
        <f t="shared" si="1064"/>
        <v>0</v>
      </c>
      <c r="BW378" s="616">
        <f t="shared" si="1065"/>
        <v>0</v>
      </c>
      <c r="BX378" s="616">
        <f t="shared" si="1066"/>
        <v>0</v>
      </c>
      <c r="BY378" s="616">
        <f t="shared" si="1067"/>
        <v>0</v>
      </c>
      <c r="BZ378" s="616">
        <f t="shared" si="1068"/>
        <v>0</v>
      </c>
      <c r="CA378" s="616">
        <f t="shared" si="1069"/>
        <v>0</v>
      </c>
      <c r="CB378" s="616">
        <f t="shared" si="1070"/>
        <v>0</v>
      </c>
      <c r="CC378" s="616">
        <f t="shared" si="1071"/>
        <v>0</v>
      </c>
      <c r="CD378" s="616">
        <f t="shared" si="1072"/>
        <v>0</v>
      </c>
      <c r="CE378" s="618">
        <f t="shared" si="1110"/>
        <v>0</v>
      </c>
      <c r="CF378" s="618">
        <f t="shared" si="1111"/>
        <v>0</v>
      </c>
      <c r="CG378" s="616">
        <f t="shared" si="1073"/>
        <v>0</v>
      </c>
      <c r="CH378" s="621">
        <f t="shared" si="1074"/>
        <v>0</v>
      </c>
      <c r="CI378" s="88" t="e">
        <f t="shared" si="1075"/>
        <v>#DIV/0!</v>
      </c>
      <c r="CJ378" s="90" t="e">
        <f t="shared" si="1076"/>
        <v>#DIV/0!</v>
      </c>
      <c r="CK378" s="90" t="e">
        <f t="shared" si="1077"/>
        <v>#DIV/0!</v>
      </c>
      <c r="CL378" s="88" t="e">
        <f t="shared" si="1078"/>
        <v>#DIV/0!</v>
      </c>
      <c r="CM378" s="88" t="e">
        <f t="shared" si="1079"/>
        <v>#DIV/0!</v>
      </c>
      <c r="CN378" s="88" t="e">
        <f t="shared" si="1080"/>
        <v>#DIV/0!</v>
      </c>
      <c r="CO378" s="88" t="e">
        <f t="shared" si="1081"/>
        <v>#DIV/0!</v>
      </c>
      <c r="CP378" s="88" t="e">
        <f t="shared" si="1082"/>
        <v>#DIV/0!</v>
      </c>
      <c r="CQ378" s="88" t="e">
        <f t="shared" si="1083"/>
        <v>#DIV/0!</v>
      </c>
      <c r="CR378" s="88" t="e">
        <f t="shared" si="1084"/>
        <v>#DIV/0!</v>
      </c>
      <c r="CS378" s="88" t="e">
        <f t="shared" si="1085"/>
        <v>#DIV/0!</v>
      </c>
      <c r="CT378" s="88" t="e">
        <f t="shared" si="1086"/>
        <v>#DIV/0!</v>
      </c>
      <c r="CU378" s="88" t="e">
        <f t="shared" si="1087"/>
        <v>#DIV/0!</v>
      </c>
      <c r="CV378" s="88" t="e">
        <f t="shared" si="1088"/>
        <v>#DIV/0!</v>
      </c>
      <c r="CW378" s="88" t="e">
        <f t="shared" si="1089"/>
        <v>#DIV/0!</v>
      </c>
      <c r="CX378" s="88" t="e">
        <f t="shared" si="1090"/>
        <v>#DIV/0!</v>
      </c>
      <c r="CY378" s="88" t="e">
        <f t="shared" si="1091"/>
        <v>#DIV/0!</v>
      </c>
      <c r="CZ378" s="88" t="e">
        <f t="shared" si="1092"/>
        <v>#DIV/0!</v>
      </c>
      <c r="DA378" s="90" t="e">
        <f t="shared" si="1093"/>
        <v>#DIV/0!</v>
      </c>
      <c r="DB378" s="90" t="e">
        <f t="shared" si="1094"/>
        <v>#DIV/0!</v>
      </c>
      <c r="DC378" s="88" t="e">
        <f t="shared" si="1095"/>
        <v>#DIV/0!</v>
      </c>
      <c r="DD378" s="88" t="e">
        <f t="shared" si="1096"/>
        <v>#DIV/0!</v>
      </c>
      <c r="AUV378" s="699">
        <v>0</v>
      </c>
      <c r="AUW378" s="699">
        <f t="shared" si="891"/>
        <v>0</v>
      </c>
      <c r="AUX378" s="699">
        <f t="shared" si="892"/>
        <v>0</v>
      </c>
      <c r="AUY378" s="699">
        <f t="shared" si="910"/>
        <v>0</v>
      </c>
      <c r="AUZ378" s="699">
        <f t="shared" si="910"/>
        <v>0</v>
      </c>
      <c r="AVA378" s="699">
        <f t="shared" si="910"/>
        <v>0</v>
      </c>
      <c r="AVB378" s="699">
        <f t="shared" si="911"/>
        <v>0</v>
      </c>
      <c r="AVC378" s="697"/>
      <c r="AVD378" s="697"/>
      <c r="AVE378" s="697"/>
      <c r="AVF378" s="697"/>
      <c r="AVG378" s="697"/>
      <c r="AVH378" s="697"/>
      <c r="AVI378" s="697"/>
      <c r="AVJ378" s="697"/>
      <c r="AVK378" s="697"/>
      <c r="AVL378" s="697"/>
      <c r="AVM378" s="697"/>
      <c r="AVN378" s="697"/>
      <c r="AVO378" s="697"/>
      <c r="AVP378" s="697"/>
      <c r="AVQ378" s="697"/>
    </row>
    <row r="379" spans="1:108 1244:1265" ht="30" customHeight="1" x14ac:dyDescent="0.25">
      <c r="A379" s="643">
        <v>1</v>
      </c>
      <c r="B379" s="643">
        <v>10</v>
      </c>
      <c r="C379" s="664" t="s">
        <v>251</v>
      </c>
      <c r="D379" s="2"/>
      <c r="E379" s="101" t="s">
        <v>344</v>
      </c>
      <c r="F379" s="643" t="s">
        <v>31</v>
      </c>
      <c r="G379" s="643">
        <v>1</v>
      </c>
      <c r="H379" s="658" t="s">
        <v>10</v>
      </c>
      <c r="I379" s="643">
        <v>0</v>
      </c>
      <c r="J379" s="101" t="s">
        <v>370</v>
      </c>
      <c r="K379" s="643">
        <v>1</v>
      </c>
      <c r="L379" s="683" t="s">
        <v>349</v>
      </c>
      <c r="M379" s="11" t="s">
        <v>341</v>
      </c>
      <c r="N379" s="101" t="s">
        <v>387</v>
      </c>
      <c r="O379" s="643">
        <v>1</v>
      </c>
      <c r="P379" s="632">
        <v>1</v>
      </c>
      <c r="Q379" s="632">
        <v>1</v>
      </c>
      <c r="R379" s="632">
        <v>1</v>
      </c>
      <c r="S379" s="675">
        <f>SUMIF('Территориальный кк'!$A:$A,'2020'!$B379,'Территориальный кк'!D:D)</f>
        <v>1.3620000000000001</v>
      </c>
      <c r="T379" s="676">
        <f>SUMIF('Территориальный кк'!$A:$A,'2020'!$B379,'Территориальный кк'!E:E)</f>
        <v>2.9540000000000002</v>
      </c>
      <c r="U379" s="618">
        <f>SUMIFS(Нормативы!G:G,Нормативы!$B:$B,$G379,Нормативы!$D:$D,'2020'!$I379,Нормативы!$F:$F,'2020'!$K379)*O379</f>
        <v>54020</v>
      </c>
      <c r="V379" s="618">
        <f t="shared" si="1097"/>
        <v>41490</v>
      </c>
      <c r="W379" s="618">
        <f t="shared" si="1098"/>
        <v>12530</v>
      </c>
      <c r="X379" s="618">
        <f>SUMIFS(Нормативы!J:J,Нормативы!$B:$B,$G379,Нормативы!$D:$D,'2020'!$I379,Нормативы!$F:$F,'2020'!$K379)</f>
        <v>220</v>
      </c>
      <c r="Y379" s="618">
        <f>SUMIFS(Нормативы!K:K,Нормативы!$B:$B,$G379,Нормативы!$D:$D,'2020'!$I379,Нормативы!$F:$F,'2020'!$K379)</f>
        <v>44</v>
      </c>
      <c r="Z379" s="618">
        <f>SUMIFS(Нормативы!L:L,Нормативы!$B:$B,$G379,Нормативы!$D:$D,'2020'!$I379,Нормативы!$F:$F,'2020'!$K379)</f>
        <v>2320</v>
      </c>
      <c r="AA379" s="618">
        <f t="shared" si="1099"/>
        <v>3710</v>
      </c>
      <c r="AB379" s="618">
        <f>SUMIFS(Нормативы!N:N,Нормативы!$B:$B,$G379,Нормативы!$D:$D,'2020'!$I379,Нормативы!$F:$F,'2020'!$K379)*O379</f>
        <v>520</v>
      </c>
      <c r="AC379" s="618">
        <f>SUMIFS(Нормативы!O:O,Нормативы!$B:$B,$G379,Нормативы!$D:$D,'2020'!$I379,Нормативы!$F:$F,'2020'!$K379)</f>
        <v>2140</v>
      </c>
      <c r="AD379" s="618">
        <f>SUMIFS(Нормативы!P:P,Нормативы!$B:$B,$G379,Нормативы!$D:$D,'2020'!$I379,Нормативы!$F:$F,'2020'!$K379)*O379</f>
        <v>310</v>
      </c>
      <c r="AE379" s="618">
        <f>SUMIFS(Нормативы!Q:Q,Нормативы!$B:$B,$G379,Нормативы!$D:$D,'2020'!$I379,Нормативы!$F:$F,'2020'!$K379)</f>
        <v>740</v>
      </c>
      <c r="AF379" s="618">
        <f>SUMIFS(Нормативы!R:R,Нормативы!$B:$B,$G379,Нормативы!$D:$D,'2020'!$I379,Нормативы!$F:$F,'2020'!$K379)</f>
        <v>2460</v>
      </c>
      <c r="AG379" s="618">
        <f>SUMIFS(Нормативы!S:S,Нормативы!$B:$B,$G379,Нормативы!$D:$D,'2020'!$I379,Нормативы!$F:$F,'2020'!$K379)</f>
        <v>5080</v>
      </c>
      <c r="AH379" s="618">
        <f>SUMIFS(Нормативы!T:T,Нормативы!$B:$B,$G379,Нормативы!$D:$D,'2020'!$I379,Нормативы!$F:$F,'2020'!$K379)</f>
        <v>540</v>
      </c>
      <c r="AI379" s="618">
        <f>SUMIFS(Нормативы!U:U,Нормативы!$B:$B,$G379,Нормативы!$D:$D,'2020'!$I379,Нормативы!$F:$F,'2020'!$K379)</f>
        <v>770</v>
      </c>
      <c r="AJ379" s="618">
        <f>SUMIFS(Нормативы!V:V,Нормативы!$B:$B,$G379,Нормативы!$D:$D,'2020'!$I379,Нормативы!$F:$F,'2020'!$K379)</f>
        <v>80</v>
      </c>
      <c r="AK379" s="618">
        <f>SUMIFS(Нормативы!W:W,Нормативы!$B:$B,$G379,Нормативы!$D:$D,'2020'!$I379,Нормативы!$F:$F,'2020'!$K379)</f>
        <v>300</v>
      </c>
      <c r="AL379" s="618">
        <f>SUMIFS(Нормативы!X:X,Нормативы!$B:$B,$G379,Нормативы!$D:$D,'2020'!$I379,Нормативы!$F:$F,'2020'!$K379)*O379</f>
        <v>13440</v>
      </c>
      <c r="AM379" s="618">
        <f t="shared" si="1100"/>
        <v>10322.6</v>
      </c>
      <c r="AN379" s="618">
        <f t="shared" si="1101"/>
        <v>3117.4</v>
      </c>
      <c r="AO379" s="618">
        <f>SUMIFS(Нормативы!AA:AA,Нормативы!$B:$B,$G379,Нормативы!$D:$D,'2020'!$I379,Нормативы!$F:$F,'2020'!$K379)</f>
        <v>3520</v>
      </c>
      <c r="AP379" s="619">
        <f t="shared" si="1102"/>
        <v>86460</v>
      </c>
      <c r="AQ379" s="413">
        <f t="shared" si="1040"/>
        <v>54020</v>
      </c>
      <c r="AR379" s="618">
        <f t="shared" si="1103"/>
        <v>41490</v>
      </c>
      <c r="AS379" s="618">
        <f t="shared" si="1104"/>
        <v>12530</v>
      </c>
      <c r="AT379" s="616">
        <f t="shared" si="1041"/>
        <v>220</v>
      </c>
      <c r="AU379" s="616">
        <f t="shared" si="1042"/>
        <v>44</v>
      </c>
      <c r="AV379" s="616">
        <f>ROUND($P379*Z379,0)</f>
        <v>2320</v>
      </c>
      <c r="AW379" s="616">
        <f t="shared" si="1044"/>
        <v>3710</v>
      </c>
      <c r="AX379" s="616">
        <f t="shared" si="1045"/>
        <v>520</v>
      </c>
      <c r="AY379" s="616">
        <f t="shared" si="1046"/>
        <v>2140</v>
      </c>
      <c r="AZ379" s="616">
        <f t="shared" si="1047"/>
        <v>310</v>
      </c>
      <c r="BA379" s="616">
        <f t="shared" si="1048"/>
        <v>740</v>
      </c>
      <c r="BB379" s="616">
        <f t="shared" si="1049"/>
        <v>2460</v>
      </c>
      <c r="BC379" s="616">
        <f t="shared" si="1050"/>
        <v>5080</v>
      </c>
      <c r="BD379" s="616">
        <f t="shared" si="1051"/>
        <v>540</v>
      </c>
      <c r="BE379" s="616">
        <f t="shared" si="1052"/>
        <v>770</v>
      </c>
      <c r="BF379" s="616">
        <f t="shared" si="1053"/>
        <v>80</v>
      </c>
      <c r="BG379" s="616">
        <f t="shared" si="1054"/>
        <v>300</v>
      </c>
      <c r="BH379" s="616">
        <f t="shared" si="1055"/>
        <v>13440</v>
      </c>
      <c r="BI379" s="618">
        <f t="shared" si="1105"/>
        <v>10322.6</v>
      </c>
      <c r="BJ379" s="618">
        <f t="shared" si="1106"/>
        <v>3117.4</v>
      </c>
      <c r="BK379" s="616">
        <f t="shared" si="1056"/>
        <v>3520</v>
      </c>
      <c r="BL379" s="620">
        <f>AQ379+AT379+AV379+AW379++BB379+BC379+BD379+BE379+BF379+BG379+BH379+BK379</f>
        <v>86460</v>
      </c>
      <c r="BM379" s="616">
        <f t="shared" si="1058"/>
        <v>73575</v>
      </c>
      <c r="BN379" s="618">
        <f t="shared" si="1059"/>
        <v>56509.2</v>
      </c>
      <c r="BO379" s="618">
        <f t="shared" si="1060"/>
        <v>17065.8</v>
      </c>
      <c r="BP379" s="616">
        <f t="shared" si="1107"/>
        <v>220</v>
      </c>
      <c r="BQ379" s="616">
        <f t="shared" si="1108"/>
        <v>44</v>
      </c>
      <c r="BR379" s="616">
        <f>AV379</f>
        <v>2320</v>
      </c>
      <c r="BS379" s="616">
        <f t="shared" si="1061"/>
        <v>3710</v>
      </c>
      <c r="BT379" s="616">
        <f t="shared" si="1062"/>
        <v>520</v>
      </c>
      <c r="BU379" s="616">
        <f t="shared" si="1063"/>
        <v>2140</v>
      </c>
      <c r="BV379" s="616">
        <f t="shared" si="1064"/>
        <v>310</v>
      </c>
      <c r="BW379" s="616">
        <f t="shared" si="1065"/>
        <v>740</v>
      </c>
      <c r="BX379" s="616">
        <f t="shared" si="1066"/>
        <v>7267</v>
      </c>
      <c r="BY379" s="616">
        <f t="shared" si="1067"/>
        <v>5080</v>
      </c>
      <c r="BZ379" s="616">
        <f t="shared" si="1068"/>
        <v>540</v>
      </c>
      <c r="CA379" s="616">
        <f t="shared" si="1069"/>
        <v>770</v>
      </c>
      <c r="CB379" s="616">
        <f t="shared" si="1070"/>
        <v>80</v>
      </c>
      <c r="CC379" s="616">
        <f t="shared" si="1071"/>
        <v>300</v>
      </c>
      <c r="CD379" s="616">
        <f t="shared" si="1072"/>
        <v>18305</v>
      </c>
      <c r="CE379" s="618">
        <f t="shared" si="1110"/>
        <v>14059.1</v>
      </c>
      <c r="CF379" s="618">
        <f t="shared" si="1111"/>
        <v>4245.8999999999996</v>
      </c>
      <c r="CG379" s="616">
        <f t="shared" si="1073"/>
        <v>3520</v>
      </c>
      <c r="CH379" s="621">
        <f t="shared" si="1074"/>
        <v>115687</v>
      </c>
      <c r="CI379" s="88">
        <f t="shared" si="1075"/>
        <v>73575</v>
      </c>
      <c r="CJ379" s="90">
        <f t="shared" si="1076"/>
        <v>56509.2</v>
      </c>
      <c r="CK379" s="90">
        <f t="shared" si="1077"/>
        <v>17065.8</v>
      </c>
      <c r="CL379" s="88">
        <f t="shared" si="1078"/>
        <v>220</v>
      </c>
      <c r="CM379" s="88">
        <f t="shared" si="1079"/>
        <v>44</v>
      </c>
      <c r="CN379" s="88">
        <f t="shared" si="1080"/>
        <v>2320</v>
      </c>
      <c r="CO379" s="88">
        <f t="shared" si="1081"/>
        <v>3710</v>
      </c>
      <c r="CP379" s="88">
        <f t="shared" si="1082"/>
        <v>520</v>
      </c>
      <c r="CQ379" s="88">
        <f t="shared" si="1083"/>
        <v>2140</v>
      </c>
      <c r="CR379" s="88">
        <f t="shared" si="1084"/>
        <v>310</v>
      </c>
      <c r="CS379" s="88">
        <f t="shared" si="1085"/>
        <v>740</v>
      </c>
      <c r="CT379" s="88">
        <f t="shared" si="1086"/>
        <v>7267</v>
      </c>
      <c r="CU379" s="88">
        <f t="shared" si="1087"/>
        <v>5080</v>
      </c>
      <c r="CV379" s="88">
        <f t="shared" si="1088"/>
        <v>540</v>
      </c>
      <c r="CW379" s="88">
        <f t="shared" si="1089"/>
        <v>770</v>
      </c>
      <c r="CX379" s="88">
        <f t="shared" si="1090"/>
        <v>80</v>
      </c>
      <c r="CY379" s="88">
        <f t="shared" si="1091"/>
        <v>300</v>
      </c>
      <c r="CZ379" s="88">
        <f t="shared" si="1092"/>
        <v>18305</v>
      </c>
      <c r="DA379" s="90">
        <f t="shared" si="1093"/>
        <v>14059.1</v>
      </c>
      <c r="DB379" s="90">
        <f t="shared" si="1094"/>
        <v>4245.8999999999996</v>
      </c>
      <c r="DC379" s="88">
        <f t="shared" si="1095"/>
        <v>3520</v>
      </c>
      <c r="DD379" s="88">
        <f t="shared" si="1096"/>
        <v>115687</v>
      </c>
      <c r="AUV379" s="699">
        <f t="shared" si="890"/>
        <v>73575</v>
      </c>
      <c r="AUW379" s="699">
        <f t="shared" si="891"/>
        <v>56509.22</v>
      </c>
      <c r="AUX379" s="699">
        <f t="shared" si="892"/>
        <v>17065.78</v>
      </c>
      <c r="AUY379" s="699">
        <f t="shared" ref="AUY379:AUY397" si="1158">BP379/P379</f>
        <v>220</v>
      </c>
      <c r="AUZ379" s="699">
        <f t="shared" si="910"/>
        <v>14.9</v>
      </c>
      <c r="AVA379" s="699">
        <f t="shared" si="910"/>
        <v>0.04</v>
      </c>
      <c r="AVB379" s="699">
        <f t="shared" ref="AVB379:AVB397" si="1159">AVC379+AVD379+AVE379+AVF379</f>
        <v>3710</v>
      </c>
      <c r="AVC379" s="699">
        <f t="shared" ref="AVC379:AVC397" si="1160">BT379/P379</f>
        <v>520</v>
      </c>
      <c r="AVD379" s="699">
        <f t="shared" ref="AVD379:AVD397" si="1161">BU379/P379</f>
        <v>2140</v>
      </c>
      <c r="AVE379" s="699">
        <f t="shared" ref="AVE379:AVE397" si="1162">BV379/P379</f>
        <v>310</v>
      </c>
      <c r="AVF379" s="699">
        <f t="shared" ref="AVF379:AVF397" si="1163">BW379/P379</f>
        <v>740</v>
      </c>
      <c r="AVG379" s="699">
        <f t="shared" ref="AVG379:AVG397" si="1164">BX379/P379</f>
        <v>7267</v>
      </c>
      <c r="AVH379" s="699">
        <f t="shared" ref="AVH379:AVH397" si="1165">BY379/P379</f>
        <v>5080</v>
      </c>
      <c r="AVI379" s="699">
        <f t="shared" ref="AVI379:AVI397" si="1166">BZ379/P379</f>
        <v>540</v>
      </c>
      <c r="AVJ379" s="699">
        <f t="shared" ref="AVJ379:AVJ397" si="1167">CA379/P379</f>
        <v>770</v>
      </c>
      <c r="AVK379" s="699">
        <f t="shared" ref="AVK379:AVK397" si="1168">CB379/P379</f>
        <v>80</v>
      </c>
      <c r="AVL379" s="699">
        <f t="shared" ref="AVL379:AVL397" si="1169">CC379/P379</f>
        <v>300</v>
      </c>
      <c r="AVM379" s="699">
        <f t="shared" ref="AVM379:AVM397" si="1170">CD379/P379</f>
        <v>18305</v>
      </c>
      <c r="AVN379" s="699">
        <f t="shared" ref="AVN379:AVN397" si="1171">AVM379/1.302</f>
        <v>14059.14</v>
      </c>
      <c r="AVO379" s="699">
        <f t="shared" ref="AVO379:AVO397" si="1172">AVM379-AVN379</f>
        <v>4245.8599999999997</v>
      </c>
      <c r="AVP379" s="699">
        <f t="shared" ref="AVP379:AVP397" si="1173">CG379/P379</f>
        <v>3520</v>
      </c>
      <c r="AVQ379" s="699">
        <f t="shared" ref="AVQ379:AVQ397" si="1174">CH379/P379</f>
        <v>115687</v>
      </c>
    </row>
    <row r="380" spans="1:108 1244:1265" s="608" customFormat="1" ht="30" customHeight="1" x14ac:dyDescent="0.25">
      <c r="A380" s="634">
        <v>1</v>
      </c>
      <c r="B380" s="634">
        <v>10</v>
      </c>
      <c r="C380" s="633" t="s">
        <v>251</v>
      </c>
      <c r="D380" s="2"/>
      <c r="E380" s="602" t="s">
        <v>346</v>
      </c>
      <c r="F380" s="634" t="s">
        <v>39</v>
      </c>
      <c r="G380" s="634">
        <v>3</v>
      </c>
      <c r="H380" s="656" t="s">
        <v>10</v>
      </c>
      <c r="I380" s="634">
        <v>0</v>
      </c>
      <c r="J380" s="602" t="s">
        <v>468</v>
      </c>
      <c r="K380" s="634">
        <v>1</v>
      </c>
      <c r="L380" s="681" t="s">
        <v>351</v>
      </c>
      <c r="M380" s="601"/>
      <c r="N380" s="602" t="s">
        <v>387</v>
      </c>
      <c r="O380" s="634">
        <v>1</v>
      </c>
      <c r="P380" s="633">
        <v>16</v>
      </c>
      <c r="Q380" s="633">
        <v>16</v>
      </c>
      <c r="R380" s="633">
        <v>16</v>
      </c>
      <c r="S380" s="675">
        <f>SUMIF('Территориальный кк'!$A:$A,'2020'!$B380,'Территориальный кк'!D:D)</f>
        <v>1.3620000000000001</v>
      </c>
      <c r="T380" s="676">
        <f>SUMIF('Территориальный кк'!$A:$A,'2020'!$B380,'Территориальный кк'!E:E)</f>
        <v>2.9540000000000002</v>
      </c>
      <c r="U380" s="618">
        <f>SUMIFS(Нормативы!G:G,Нормативы!$B:$B,$G380,Нормативы!$D:$D,'2020'!$I380,Нормативы!$F:$F,'2020'!$K380)*O380</f>
        <v>78450</v>
      </c>
      <c r="V380" s="618">
        <f t="shared" ref="V380:V384" si="1175">ROUND(U380/1.302,1)</f>
        <v>60253.5</v>
      </c>
      <c r="W380" s="618">
        <f t="shared" ref="W380:W384" si="1176">U380-V380</f>
        <v>18196.5</v>
      </c>
      <c r="X380" s="618">
        <f>SUMIFS(Нормативы!J:J,Нормативы!$B:$B,$G380,Нормативы!$D:$D,'2020'!$I380,Нормативы!$F:$F,'2020'!$K380)</f>
        <v>220</v>
      </c>
      <c r="Y380" s="618">
        <f>SUMIFS(Нормативы!K:K,Нормативы!$B:$B,$G380,Нормативы!$D:$D,'2020'!$I380,Нормативы!$F:$F,'2020'!$K380)</f>
        <v>44</v>
      </c>
      <c r="Z380" s="618">
        <f>SUMIFS(Нормативы!L:L,Нормативы!$B:$B,$G380,Нормативы!$D:$D,'2020'!$I380,Нормативы!$F:$F,'2020'!$K380)</f>
        <v>2320</v>
      </c>
      <c r="AA380" s="618">
        <f t="shared" ref="AA380:AA384" si="1177">AB380+AC380+AD380+AE380</f>
        <v>4510</v>
      </c>
      <c r="AB380" s="618">
        <f>SUMIFS(Нормативы!N:N,Нормативы!$B:$B,$G380,Нормативы!$D:$D,'2020'!$I380,Нормативы!$F:$F,'2020'!$K380)*O380</f>
        <v>880</v>
      </c>
      <c r="AC380" s="618">
        <f>SUMIFS(Нормативы!O:O,Нормативы!$B:$B,$G380,Нормативы!$D:$D,'2020'!$I380,Нормативы!$F:$F,'2020'!$K380)</f>
        <v>2110</v>
      </c>
      <c r="AD380" s="618">
        <f>SUMIFS(Нормативы!P:P,Нормативы!$B:$B,$G380,Нормативы!$D:$D,'2020'!$I380,Нормативы!$F:$F,'2020'!$K380)*O380</f>
        <v>440</v>
      </c>
      <c r="AE380" s="618">
        <f>SUMIFS(Нормативы!Q:Q,Нормативы!$B:$B,$G380,Нормативы!$D:$D,'2020'!$I380,Нормативы!$F:$F,'2020'!$K380)</f>
        <v>1080</v>
      </c>
      <c r="AF380" s="618">
        <f>SUMIFS(Нормативы!R:R,Нормативы!$B:$B,$G380,Нормативы!$D:$D,'2020'!$I380,Нормативы!$F:$F,'2020'!$K380)</f>
        <v>2490</v>
      </c>
      <c r="AG380" s="618">
        <f>SUMIFS(Нормативы!S:S,Нормативы!$B:$B,$G380,Нормативы!$D:$D,'2020'!$I380,Нормативы!$F:$F,'2020'!$K380)</f>
        <v>5080</v>
      </c>
      <c r="AH380" s="618">
        <f>SUMIFS(Нормативы!T:T,Нормативы!$B:$B,$G380,Нормативы!$D:$D,'2020'!$I380,Нормативы!$F:$F,'2020'!$K380)</f>
        <v>540</v>
      </c>
      <c r="AI380" s="618">
        <f>SUMIFS(Нормативы!U:U,Нормативы!$B:$B,$G380,Нормативы!$D:$D,'2020'!$I380,Нормативы!$F:$F,'2020'!$K380)</f>
        <v>770</v>
      </c>
      <c r="AJ380" s="618">
        <f>SUMIFS(Нормативы!V:V,Нормативы!$B:$B,$G380,Нормативы!$D:$D,'2020'!$I380,Нормативы!$F:$F,'2020'!$K380)</f>
        <v>170</v>
      </c>
      <c r="AK380" s="618">
        <f>SUMIFS(Нормативы!W:W,Нормативы!$B:$B,$G380,Нормативы!$D:$D,'2020'!$I380,Нормативы!$F:$F,'2020'!$K380)</f>
        <v>130</v>
      </c>
      <c r="AL380" s="618">
        <f>SUMIFS(Нормативы!X:X,Нормативы!$B:$B,$G380,Нормативы!$D:$D,'2020'!$I380,Нормативы!$F:$F,'2020'!$K380)*O380</f>
        <v>13440</v>
      </c>
      <c r="AM380" s="618">
        <f t="shared" ref="AM380:AM384" si="1178">ROUND(AL380/1.302,1)</f>
        <v>10322.6</v>
      </c>
      <c r="AN380" s="618">
        <f t="shared" ref="AN380:AN384" si="1179">AL380-AM380</f>
        <v>3117.4</v>
      </c>
      <c r="AO380" s="618">
        <f>SUMIFS(Нормативы!AA:AA,Нормативы!$B:$B,$G380,Нормативы!$D:$D,'2020'!$I380,Нормативы!$F:$F,'2020'!$K380)</f>
        <v>0</v>
      </c>
      <c r="AP380" s="619">
        <f t="shared" ref="AP380:AP384" si="1180">U380+X380+Z380+AA380++AF380+AG380+AH380+AI380+AJ380+AK380+AL380+AO380</f>
        <v>108120</v>
      </c>
      <c r="AQ380" s="611">
        <f t="shared" si="1040"/>
        <v>1255200</v>
      </c>
      <c r="AR380" s="622">
        <f t="shared" si="1103"/>
        <v>964055.3</v>
      </c>
      <c r="AS380" s="622">
        <f t="shared" si="1104"/>
        <v>291144.7</v>
      </c>
      <c r="AT380" s="614">
        <f t="shared" si="1041"/>
        <v>3520</v>
      </c>
      <c r="AU380" s="614">
        <f t="shared" si="1042"/>
        <v>704</v>
      </c>
      <c r="AV380" s="614">
        <f t="shared" ref="AV380:AV384" si="1181">ROUND($P380*Z380,0)</f>
        <v>37120</v>
      </c>
      <c r="AW380" s="614">
        <f t="shared" si="1044"/>
        <v>72160</v>
      </c>
      <c r="AX380" s="614">
        <f t="shared" si="1045"/>
        <v>14080</v>
      </c>
      <c r="AY380" s="614">
        <f t="shared" si="1046"/>
        <v>33760</v>
      </c>
      <c r="AZ380" s="614">
        <f t="shared" si="1047"/>
        <v>7040</v>
      </c>
      <c r="BA380" s="614">
        <f t="shared" si="1048"/>
        <v>17280</v>
      </c>
      <c r="BB380" s="614">
        <f t="shared" si="1049"/>
        <v>39840</v>
      </c>
      <c r="BC380" s="614">
        <f t="shared" si="1050"/>
        <v>81280</v>
      </c>
      <c r="BD380" s="614">
        <f t="shared" si="1051"/>
        <v>8640</v>
      </c>
      <c r="BE380" s="614">
        <f t="shared" si="1052"/>
        <v>12320</v>
      </c>
      <c r="BF380" s="614">
        <f t="shared" si="1053"/>
        <v>2720</v>
      </c>
      <c r="BG380" s="614">
        <f t="shared" si="1054"/>
        <v>2080</v>
      </c>
      <c r="BH380" s="614">
        <f t="shared" si="1055"/>
        <v>215040</v>
      </c>
      <c r="BI380" s="622">
        <f t="shared" si="1105"/>
        <v>165161.29999999999</v>
      </c>
      <c r="BJ380" s="622">
        <f t="shared" si="1106"/>
        <v>49878.7</v>
      </c>
      <c r="BK380" s="614">
        <f t="shared" si="1056"/>
        <v>0</v>
      </c>
      <c r="BL380" s="620">
        <f t="shared" ref="BL380:BL384" si="1182">AQ380+AT380+AV380+AW380++BB380+BC380+BD380+BE380+BF380+BG380+BH380+BK380</f>
        <v>1729920</v>
      </c>
      <c r="BM380" s="614">
        <f t="shared" si="1058"/>
        <v>1709582</v>
      </c>
      <c r="BN380" s="622">
        <f t="shared" si="1059"/>
        <v>1313043</v>
      </c>
      <c r="BO380" s="622">
        <f t="shared" si="1060"/>
        <v>396539</v>
      </c>
      <c r="BP380" s="614">
        <f t="shared" si="1107"/>
        <v>3520</v>
      </c>
      <c r="BQ380" s="614">
        <f t="shared" si="1108"/>
        <v>704</v>
      </c>
      <c r="BR380" s="614">
        <f t="shared" ref="BR380:BR384" si="1183">AV380</f>
        <v>37120</v>
      </c>
      <c r="BS380" s="614">
        <f t="shared" si="1061"/>
        <v>72160</v>
      </c>
      <c r="BT380" s="614">
        <f t="shared" si="1062"/>
        <v>14080</v>
      </c>
      <c r="BU380" s="614">
        <f t="shared" si="1063"/>
        <v>33760</v>
      </c>
      <c r="BV380" s="614">
        <f t="shared" si="1064"/>
        <v>7040</v>
      </c>
      <c r="BW380" s="614">
        <f t="shared" si="1065"/>
        <v>17280</v>
      </c>
      <c r="BX380" s="614">
        <f t="shared" si="1066"/>
        <v>117687</v>
      </c>
      <c r="BY380" s="614">
        <f t="shared" si="1067"/>
        <v>81280</v>
      </c>
      <c r="BZ380" s="614">
        <f t="shared" si="1068"/>
        <v>8640</v>
      </c>
      <c r="CA380" s="614">
        <f t="shared" si="1069"/>
        <v>12320</v>
      </c>
      <c r="CB380" s="614">
        <f t="shared" si="1070"/>
        <v>2720</v>
      </c>
      <c r="CC380" s="614">
        <f t="shared" si="1071"/>
        <v>2080</v>
      </c>
      <c r="CD380" s="614">
        <f t="shared" si="1072"/>
        <v>292884</v>
      </c>
      <c r="CE380" s="622">
        <f t="shared" si="1110"/>
        <v>224949.3</v>
      </c>
      <c r="CF380" s="622">
        <f t="shared" si="1111"/>
        <v>67934.7</v>
      </c>
      <c r="CG380" s="614">
        <f t="shared" si="1073"/>
        <v>0</v>
      </c>
      <c r="CH380" s="621">
        <f t="shared" si="1074"/>
        <v>2339993</v>
      </c>
      <c r="CI380" s="607"/>
      <c r="CJ380" s="607"/>
      <c r="CK380" s="607"/>
      <c r="CL380" s="607"/>
      <c r="CM380" s="607"/>
      <c r="CN380" s="607"/>
      <c r="CO380" s="607"/>
      <c r="CP380" s="607"/>
      <c r="CQ380" s="607"/>
      <c r="CR380" s="607"/>
      <c r="CS380" s="607"/>
      <c r="CT380" s="607"/>
      <c r="CU380" s="607"/>
      <c r="CV380" s="607"/>
      <c r="CW380" s="607"/>
      <c r="CX380" s="607"/>
      <c r="CY380" s="607"/>
      <c r="CZ380" s="607"/>
      <c r="DA380" s="607"/>
      <c r="DB380" s="607"/>
      <c r="DC380" s="607"/>
      <c r="DD380" s="607"/>
      <c r="AUV380" s="699">
        <f t="shared" si="890"/>
        <v>106848.88</v>
      </c>
      <c r="AUW380" s="699">
        <f t="shared" si="891"/>
        <v>82065.19</v>
      </c>
      <c r="AUX380" s="699">
        <f t="shared" si="892"/>
        <v>24783.69</v>
      </c>
      <c r="AUY380" s="699">
        <f t="shared" si="1158"/>
        <v>220</v>
      </c>
      <c r="AUZ380" s="699">
        <f t="shared" si="910"/>
        <v>238.32</v>
      </c>
      <c r="AVA380" s="699">
        <f t="shared" si="910"/>
        <v>0.47</v>
      </c>
      <c r="AVB380" s="699">
        <f t="shared" si="1159"/>
        <v>4510</v>
      </c>
      <c r="AVC380" s="699">
        <f t="shared" si="1160"/>
        <v>880</v>
      </c>
      <c r="AVD380" s="699">
        <f t="shared" si="1161"/>
        <v>2110</v>
      </c>
      <c r="AVE380" s="699">
        <f t="shared" si="1162"/>
        <v>440</v>
      </c>
      <c r="AVF380" s="699">
        <f t="shared" si="1163"/>
        <v>1080</v>
      </c>
      <c r="AVG380" s="699">
        <f t="shared" si="1164"/>
        <v>7355.44</v>
      </c>
      <c r="AVH380" s="699">
        <f t="shared" si="1165"/>
        <v>5080</v>
      </c>
      <c r="AVI380" s="699">
        <f t="shared" si="1166"/>
        <v>540</v>
      </c>
      <c r="AVJ380" s="699">
        <f t="shared" si="1167"/>
        <v>770</v>
      </c>
      <c r="AVK380" s="699">
        <f t="shared" si="1168"/>
        <v>170</v>
      </c>
      <c r="AVL380" s="699">
        <f t="shared" si="1169"/>
        <v>130</v>
      </c>
      <c r="AVM380" s="699">
        <f t="shared" si="1170"/>
        <v>18305.25</v>
      </c>
      <c r="AVN380" s="699">
        <f t="shared" si="1171"/>
        <v>14059.33</v>
      </c>
      <c r="AVO380" s="699">
        <f t="shared" si="1172"/>
        <v>4245.92</v>
      </c>
      <c r="AVP380" s="699">
        <f t="shared" si="1173"/>
        <v>0</v>
      </c>
      <c r="AVQ380" s="699">
        <f t="shared" si="1174"/>
        <v>146249.56</v>
      </c>
    </row>
    <row r="381" spans="1:108 1244:1265" s="608" customFormat="1" ht="30" customHeight="1" x14ac:dyDescent="0.25">
      <c r="A381" s="634">
        <v>1</v>
      </c>
      <c r="B381" s="634">
        <v>10</v>
      </c>
      <c r="C381" s="633" t="s">
        <v>251</v>
      </c>
      <c r="D381" s="2"/>
      <c r="E381" s="602" t="s">
        <v>345</v>
      </c>
      <c r="F381" s="634" t="s">
        <v>38</v>
      </c>
      <c r="G381" s="634">
        <v>2</v>
      </c>
      <c r="H381" s="656" t="s">
        <v>8</v>
      </c>
      <c r="I381" s="634">
        <v>3</v>
      </c>
      <c r="J381" s="602" t="s">
        <v>362</v>
      </c>
      <c r="K381" s="634">
        <v>3</v>
      </c>
      <c r="L381" s="681" t="s">
        <v>350</v>
      </c>
      <c r="M381" s="601"/>
      <c r="N381" s="602" t="s">
        <v>401</v>
      </c>
      <c r="O381" s="634">
        <v>2</v>
      </c>
      <c r="P381" s="633">
        <v>1</v>
      </c>
      <c r="Q381" s="633">
        <v>1</v>
      </c>
      <c r="R381" s="633">
        <v>1</v>
      </c>
      <c r="S381" s="675">
        <f>SUMIF('Территориальный кк'!$A:$A,'2020'!$B381,'Территориальный кк'!D:D)</f>
        <v>1.3620000000000001</v>
      </c>
      <c r="T381" s="676">
        <f>SUMIF('Территориальный кк'!$A:$A,'2020'!$B381,'Территориальный кк'!E:E)</f>
        <v>2.9540000000000002</v>
      </c>
      <c r="U381" s="618">
        <f>SUMIFS(Нормативы!G:G,Нормативы!$B:$B,$G381,Нормативы!$D:$D,'2020'!$I381,Нормативы!$F:$F,'2020'!$K381)*O381</f>
        <v>25888</v>
      </c>
      <c r="V381" s="618">
        <f t="shared" si="1175"/>
        <v>19883.3</v>
      </c>
      <c r="W381" s="618">
        <f t="shared" si="1176"/>
        <v>6004.7</v>
      </c>
      <c r="X381" s="618">
        <f>SUMIFS(Нормативы!J:J,Нормативы!$B:$B,$G381,Нормативы!$D:$D,'2020'!$I381,Нормативы!$F:$F,'2020'!$K381)</f>
        <v>486</v>
      </c>
      <c r="Y381" s="618">
        <f>SUMIFS(Нормативы!K:K,Нормативы!$B:$B,$G381,Нормативы!$D:$D,'2020'!$I381,Нормативы!$F:$F,'2020'!$K381)</f>
        <v>97</v>
      </c>
      <c r="Z381" s="618">
        <f>SUMIFS(Нормативы!L:L,Нормативы!$B:$B,$G381,Нормативы!$D:$D,'2020'!$I381,Нормативы!$F:$F,'2020'!$K381)</f>
        <v>348</v>
      </c>
      <c r="AA381" s="618">
        <f t="shared" si="1177"/>
        <v>2156</v>
      </c>
      <c r="AB381" s="618">
        <f>SUMIFS(Нормативы!N:N,Нормативы!$B:$B,$G381,Нормативы!$D:$D,'2020'!$I381,Нормативы!$F:$F,'2020'!$K381)*O381</f>
        <v>104</v>
      </c>
      <c r="AC381" s="618">
        <f>SUMIFS(Нормативы!O:O,Нормативы!$B:$B,$G381,Нормативы!$D:$D,'2020'!$I381,Нормативы!$F:$F,'2020'!$K381)</f>
        <v>1728</v>
      </c>
      <c r="AD381" s="618">
        <f>SUMIFS(Нормативы!P:P,Нормативы!$B:$B,$G381,Нормативы!$D:$D,'2020'!$I381,Нормативы!$F:$F,'2020'!$K381)*O381</f>
        <v>146</v>
      </c>
      <c r="AE381" s="618">
        <f>SUMIFS(Нормативы!Q:Q,Нормативы!$B:$B,$G381,Нормативы!$D:$D,'2020'!$I381,Нормативы!$F:$F,'2020'!$K381)</f>
        <v>178</v>
      </c>
      <c r="AF381" s="618">
        <f>SUMIFS(Нормативы!R:R,Нормативы!$B:$B,$G381,Нормативы!$D:$D,'2020'!$I381,Нормативы!$F:$F,'2020'!$K381)</f>
        <v>275</v>
      </c>
      <c r="AG381" s="618">
        <f>SUMIFS(Нормативы!S:S,Нормативы!$B:$B,$G381,Нормативы!$D:$D,'2020'!$I381,Нормативы!$F:$F,'2020'!$K381)</f>
        <v>580</v>
      </c>
      <c r="AH381" s="618">
        <f>SUMIFS(Нормативы!T:T,Нормативы!$B:$B,$G381,Нормативы!$D:$D,'2020'!$I381,Нормативы!$F:$F,'2020'!$K381)</f>
        <v>54</v>
      </c>
      <c r="AI381" s="618">
        <f>SUMIFS(Нормативы!U:U,Нормативы!$B:$B,$G381,Нормативы!$D:$D,'2020'!$I381,Нормативы!$F:$F,'2020'!$K381)</f>
        <v>77</v>
      </c>
      <c r="AJ381" s="618">
        <f>SUMIFS(Нормативы!V:V,Нормативы!$B:$B,$G381,Нормативы!$D:$D,'2020'!$I381,Нормативы!$F:$F,'2020'!$K381)</f>
        <v>8</v>
      </c>
      <c r="AK381" s="618">
        <f>SUMIFS(Нормативы!W:W,Нормативы!$B:$B,$G381,Нормативы!$D:$D,'2020'!$I381,Нормативы!$F:$F,'2020'!$K381)</f>
        <v>39</v>
      </c>
      <c r="AL381" s="618">
        <f>SUMIFS(Нормативы!X:X,Нормативы!$B:$B,$G381,Нормативы!$D:$D,'2020'!$I381,Нормативы!$F:$F,'2020'!$K381)*O381</f>
        <v>3224</v>
      </c>
      <c r="AM381" s="618">
        <f t="shared" si="1178"/>
        <v>2476.1999999999998</v>
      </c>
      <c r="AN381" s="618">
        <f t="shared" si="1179"/>
        <v>747.8</v>
      </c>
      <c r="AO381" s="618">
        <f>SUMIFS(Нормативы!AA:AA,Нормативы!$B:$B,$G381,Нормативы!$D:$D,'2020'!$I381,Нормативы!$F:$F,'2020'!$K381)</f>
        <v>0</v>
      </c>
      <c r="AP381" s="619">
        <f t="shared" si="1180"/>
        <v>33135</v>
      </c>
      <c r="AQ381" s="611">
        <f t="shared" si="1040"/>
        <v>25888</v>
      </c>
      <c r="AR381" s="622">
        <f t="shared" si="1103"/>
        <v>19883.3</v>
      </c>
      <c r="AS381" s="622">
        <f t="shared" si="1104"/>
        <v>6004.7</v>
      </c>
      <c r="AT381" s="614">
        <f t="shared" si="1041"/>
        <v>486</v>
      </c>
      <c r="AU381" s="614">
        <f t="shared" si="1042"/>
        <v>97</v>
      </c>
      <c r="AV381" s="614">
        <f t="shared" si="1181"/>
        <v>348</v>
      </c>
      <c r="AW381" s="614">
        <f t="shared" si="1044"/>
        <v>2156</v>
      </c>
      <c r="AX381" s="614">
        <f t="shared" si="1045"/>
        <v>104</v>
      </c>
      <c r="AY381" s="614">
        <f t="shared" si="1046"/>
        <v>1728</v>
      </c>
      <c r="AZ381" s="614">
        <f t="shared" si="1047"/>
        <v>146</v>
      </c>
      <c r="BA381" s="614">
        <f t="shared" si="1048"/>
        <v>178</v>
      </c>
      <c r="BB381" s="614">
        <f t="shared" si="1049"/>
        <v>275</v>
      </c>
      <c r="BC381" s="614">
        <f t="shared" si="1050"/>
        <v>580</v>
      </c>
      <c r="BD381" s="614">
        <f t="shared" si="1051"/>
        <v>54</v>
      </c>
      <c r="BE381" s="614">
        <f t="shared" si="1052"/>
        <v>77</v>
      </c>
      <c r="BF381" s="614">
        <f t="shared" si="1053"/>
        <v>8</v>
      </c>
      <c r="BG381" s="614">
        <f t="shared" si="1054"/>
        <v>39</v>
      </c>
      <c r="BH381" s="614">
        <f t="shared" si="1055"/>
        <v>3224</v>
      </c>
      <c r="BI381" s="622">
        <f t="shared" si="1105"/>
        <v>2476.1999999999998</v>
      </c>
      <c r="BJ381" s="622">
        <f t="shared" si="1106"/>
        <v>747.8</v>
      </c>
      <c r="BK381" s="614">
        <f t="shared" si="1056"/>
        <v>0</v>
      </c>
      <c r="BL381" s="620">
        <f t="shared" si="1182"/>
        <v>33135</v>
      </c>
      <c r="BM381" s="614">
        <f t="shared" si="1058"/>
        <v>35259</v>
      </c>
      <c r="BN381" s="622">
        <f t="shared" si="1059"/>
        <v>27080.6</v>
      </c>
      <c r="BO381" s="622">
        <f t="shared" si="1060"/>
        <v>8178.4</v>
      </c>
      <c r="BP381" s="614">
        <f t="shared" si="1107"/>
        <v>486</v>
      </c>
      <c r="BQ381" s="614">
        <f t="shared" si="1108"/>
        <v>97</v>
      </c>
      <c r="BR381" s="614">
        <f t="shared" si="1183"/>
        <v>348</v>
      </c>
      <c r="BS381" s="614">
        <f t="shared" si="1061"/>
        <v>2156</v>
      </c>
      <c r="BT381" s="614">
        <f t="shared" si="1062"/>
        <v>104</v>
      </c>
      <c r="BU381" s="614">
        <f t="shared" si="1063"/>
        <v>1728</v>
      </c>
      <c r="BV381" s="614">
        <f t="shared" si="1064"/>
        <v>146</v>
      </c>
      <c r="BW381" s="614">
        <f t="shared" si="1065"/>
        <v>178</v>
      </c>
      <c r="BX381" s="614">
        <f t="shared" si="1066"/>
        <v>812</v>
      </c>
      <c r="BY381" s="614">
        <f t="shared" si="1067"/>
        <v>580</v>
      </c>
      <c r="BZ381" s="614">
        <f t="shared" si="1068"/>
        <v>54</v>
      </c>
      <c r="CA381" s="614">
        <f t="shared" si="1069"/>
        <v>77</v>
      </c>
      <c r="CB381" s="614">
        <f t="shared" si="1070"/>
        <v>8</v>
      </c>
      <c r="CC381" s="614">
        <f t="shared" si="1071"/>
        <v>39</v>
      </c>
      <c r="CD381" s="614">
        <f t="shared" si="1072"/>
        <v>4391</v>
      </c>
      <c r="CE381" s="622">
        <f t="shared" si="1110"/>
        <v>3372.5</v>
      </c>
      <c r="CF381" s="622">
        <f t="shared" si="1111"/>
        <v>1018.5</v>
      </c>
      <c r="CG381" s="614">
        <f t="shared" si="1073"/>
        <v>0</v>
      </c>
      <c r="CH381" s="621">
        <f t="shared" si="1074"/>
        <v>44210</v>
      </c>
      <c r="CI381" s="607"/>
      <c r="CJ381" s="607"/>
      <c r="CK381" s="607"/>
      <c r="CL381" s="607"/>
      <c r="CM381" s="607"/>
      <c r="CN381" s="607"/>
      <c r="CO381" s="607"/>
      <c r="CP381" s="607"/>
      <c r="CQ381" s="607"/>
      <c r="CR381" s="607"/>
      <c r="CS381" s="607"/>
      <c r="CT381" s="607"/>
      <c r="CU381" s="607"/>
      <c r="CV381" s="607"/>
      <c r="CW381" s="607"/>
      <c r="CX381" s="607"/>
      <c r="CY381" s="607"/>
      <c r="CZ381" s="607"/>
      <c r="DA381" s="607"/>
      <c r="DB381" s="607"/>
      <c r="DC381" s="607"/>
      <c r="DD381" s="607"/>
      <c r="AUV381" s="699">
        <f t="shared" si="890"/>
        <v>35259</v>
      </c>
      <c r="AUW381" s="699">
        <f t="shared" si="891"/>
        <v>27080.65</v>
      </c>
      <c r="AUX381" s="699">
        <f t="shared" si="892"/>
        <v>8178.35</v>
      </c>
      <c r="AUY381" s="699">
        <f t="shared" si="1158"/>
        <v>486</v>
      </c>
      <c r="AUZ381" s="699">
        <f t="shared" si="910"/>
        <v>32.840000000000003</v>
      </c>
      <c r="AVA381" s="699">
        <f t="shared" si="910"/>
        <v>0.01</v>
      </c>
      <c r="AVB381" s="699">
        <f t="shared" si="1159"/>
        <v>2156</v>
      </c>
      <c r="AVC381" s="699">
        <f t="shared" si="1160"/>
        <v>104</v>
      </c>
      <c r="AVD381" s="699">
        <f t="shared" si="1161"/>
        <v>1728</v>
      </c>
      <c r="AVE381" s="699">
        <f t="shared" si="1162"/>
        <v>146</v>
      </c>
      <c r="AVF381" s="699">
        <f t="shared" si="1163"/>
        <v>178</v>
      </c>
      <c r="AVG381" s="699">
        <f t="shared" si="1164"/>
        <v>812</v>
      </c>
      <c r="AVH381" s="699">
        <f t="shared" si="1165"/>
        <v>580</v>
      </c>
      <c r="AVI381" s="699">
        <f t="shared" si="1166"/>
        <v>54</v>
      </c>
      <c r="AVJ381" s="699">
        <f t="shared" si="1167"/>
        <v>77</v>
      </c>
      <c r="AVK381" s="699">
        <f t="shared" si="1168"/>
        <v>8</v>
      </c>
      <c r="AVL381" s="699">
        <f t="shared" si="1169"/>
        <v>39</v>
      </c>
      <c r="AVM381" s="699">
        <f t="shared" si="1170"/>
        <v>4391</v>
      </c>
      <c r="AVN381" s="699">
        <f t="shared" si="1171"/>
        <v>3372.5</v>
      </c>
      <c r="AVO381" s="699">
        <f t="shared" si="1172"/>
        <v>1018.5</v>
      </c>
      <c r="AVP381" s="699">
        <f t="shared" si="1173"/>
        <v>0</v>
      </c>
      <c r="AVQ381" s="699">
        <f t="shared" si="1174"/>
        <v>44210</v>
      </c>
    </row>
    <row r="382" spans="1:108 1244:1265" s="608" customFormat="1" ht="30" customHeight="1" x14ac:dyDescent="0.25">
      <c r="A382" s="634">
        <v>1</v>
      </c>
      <c r="B382" s="634">
        <v>10</v>
      </c>
      <c r="C382" s="633" t="s">
        <v>251</v>
      </c>
      <c r="D382" s="2"/>
      <c r="E382" s="602" t="s">
        <v>344</v>
      </c>
      <c r="F382" s="634" t="s">
        <v>31</v>
      </c>
      <c r="G382" s="634">
        <v>1</v>
      </c>
      <c r="H382" s="656" t="s">
        <v>8</v>
      </c>
      <c r="I382" s="634">
        <v>3</v>
      </c>
      <c r="J382" s="602" t="s">
        <v>356</v>
      </c>
      <c r="K382" s="634">
        <v>3</v>
      </c>
      <c r="L382" s="681" t="s">
        <v>349</v>
      </c>
      <c r="M382" s="601"/>
      <c r="N382" s="602" t="s">
        <v>401</v>
      </c>
      <c r="O382" s="634">
        <v>2</v>
      </c>
      <c r="P382" s="633">
        <v>2</v>
      </c>
      <c r="Q382" s="633">
        <v>2</v>
      </c>
      <c r="R382" s="633">
        <v>2</v>
      </c>
      <c r="S382" s="675">
        <f>SUMIF('Территориальный кк'!$A:$A,'2020'!$B382,'Территориальный кк'!D:D)</f>
        <v>1.3620000000000001</v>
      </c>
      <c r="T382" s="676">
        <f>SUMIF('Территориальный кк'!$A:$A,'2020'!$B382,'Территориальный кк'!E:E)</f>
        <v>2.9540000000000002</v>
      </c>
      <c r="U382" s="618">
        <f>SUMIFS(Нормативы!G:G,Нормативы!$B:$B,$G382,Нормативы!$D:$D,'2020'!$I382,Нормативы!$F:$F,'2020'!$K382)*O382</f>
        <v>12838</v>
      </c>
      <c r="V382" s="618">
        <f t="shared" si="1175"/>
        <v>9860.2000000000007</v>
      </c>
      <c r="W382" s="618">
        <f t="shared" si="1176"/>
        <v>2977.8</v>
      </c>
      <c r="X382" s="618">
        <f>SUMIFS(Нормативы!J:J,Нормативы!$B:$B,$G382,Нормативы!$D:$D,'2020'!$I382,Нормативы!$F:$F,'2020'!$K382)</f>
        <v>883</v>
      </c>
      <c r="Y382" s="618">
        <f>SUMIFS(Нормативы!K:K,Нормативы!$B:$B,$G382,Нормативы!$D:$D,'2020'!$I382,Нормативы!$F:$F,'2020'!$K382)</f>
        <v>177</v>
      </c>
      <c r="Z382" s="618">
        <f>SUMIFS(Нормативы!L:L,Нормативы!$B:$B,$G382,Нормативы!$D:$D,'2020'!$I382,Нормативы!$F:$F,'2020'!$K382)</f>
        <v>811</v>
      </c>
      <c r="AA382" s="618">
        <f t="shared" si="1177"/>
        <v>1993</v>
      </c>
      <c r="AB382" s="618">
        <f>SUMIFS(Нормативы!N:N,Нормативы!$B:$B,$G382,Нормативы!$D:$D,'2020'!$I382,Нормативы!$F:$F,'2020'!$K382)*O382</f>
        <v>104</v>
      </c>
      <c r="AC382" s="618">
        <f>SUMIFS(Нормативы!O:O,Нормативы!$B:$B,$G382,Нормативы!$D:$D,'2020'!$I382,Нормативы!$F:$F,'2020'!$K382)</f>
        <v>1729</v>
      </c>
      <c r="AD382" s="618">
        <f>SUMIFS(Нормативы!P:P,Нормативы!$B:$B,$G382,Нормативы!$D:$D,'2020'!$I382,Нормативы!$F:$F,'2020'!$K382)*O382</f>
        <v>72</v>
      </c>
      <c r="AE382" s="618">
        <f>SUMIFS(Нормативы!Q:Q,Нормативы!$B:$B,$G382,Нормативы!$D:$D,'2020'!$I382,Нормативы!$F:$F,'2020'!$K382)</f>
        <v>88</v>
      </c>
      <c r="AF382" s="618">
        <f>SUMIFS(Нормативы!R:R,Нормативы!$B:$B,$G382,Нормативы!$D:$D,'2020'!$I382,Нормативы!$F:$F,'2020'!$K382)</f>
        <v>268</v>
      </c>
      <c r="AG382" s="618">
        <f>SUMIFS(Нормативы!S:S,Нормативы!$B:$B,$G382,Нормативы!$D:$D,'2020'!$I382,Нормативы!$F:$F,'2020'!$K382)</f>
        <v>580</v>
      </c>
      <c r="AH382" s="618">
        <f>SUMIFS(Нормативы!T:T,Нормативы!$B:$B,$G382,Нормативы!$D:$D,'2020'!$I382,Нормативы!$F:$F,'2020'!$K382)</f>
        <v>54</v>
      </c>
      <c r="AI382" s="618">
        <f>SUMIFS(Нормативы!U:U,Нормативы!$B:$B,$G382,Нормативы!$D:$D,'2020'!$I382,Нормативы!$F:$F,'2020'!$K382)</f>
        <v>77</v>
      </c>
      <c r="AJ382" s="618">
        <f>SUMIFS(Нормативы!V:V,Нормативы!$B:$B,$G382,Нормативы!$D:$D,'2020'!$I382,Нормативы!$F:$F,'2020'!$K382)</f>
        <v>8</v>
      </c>
      <c r="AK382" s="618">
        <f>SUMIFS(Нормативы!W:W,Нормативы!$B:$B,$G382,Нормативы!$D:$D,'2020'!$I382,Нормативы!$F:$F,'2020'!$K382)</f>
        <v>105</v>
      </c>
      <c r="AL382" s="618">
        <f>SUMIFS(Нормативы!X:X,Нормативы!$B:$B,$G382,Нормативы!$D:$D,'2020'!$I382,Нормативы!$F:$F,'2020'!$K382)*O382</f>
        <v>3224</v>
      </c>
      <c r="AM382" s="618">
        <f t="shared" si="1178"/>
        <v>2476.1999999999998</v>
      </c>
      <c r="AN382" s="618">
        <f t="shared" si="1179"/>
        <v>747.8</v>
      </c>
      <c r="AO382" s="618">
        <f>SUMIFS(Нормативы!AA:AA,Нормативы!$B:$B,$G382,Нормативы!$D:$D,'2020'!$I382,Нормативы!$F:$F,'2020'!$K382)</f>
        <v>0</v>
      </c>
      <c r="AP382" s="619">
        <f t="shared" si="1180"/>
        <v>20841</v>
      </c>
      <c r="AQ382" s="611">
        <f t="shared" si="1040"/>
        <v>25676</v>
      </c>
      <c r="AR382" s="622">
        <f t="shared" si="1103"/>
        <v>19720.400000000001</v>
      </c>
      <c r="AS382" s="622">
        <f t="shared" si="1104"/>
        <v>5955.6</v>
      </c>
      <c r="AT382" s="614">
        <f t="shared" si="1041"/>
        <v>1766</v>
      </c>
      <c r="AU382" s="614">
        <f t="shared" si="1042"/>
        <v>354</v>
      </c>
      <c r="AV382" s="614">
        <f t="shared" si="1181"/>
        <v>1622</v>
      </c>
      <c r="AW382" s="614">
        <f t="shared" si="1044"/>
        <v>3986</v>
      </c>
      <c r="AX382" s="614">
        <f t="shared" si="1045"/>
        <v>208</v>
      </c>
      <c r="AY382" s="614">
        <f t="shared" si="1046"/>
        <v>3458</v>
      </c>
      <c r="AZ382" s="614">
        <f t="shared" si="1047"/>
        <v>144</v>
      </c>
      <c r="BA382" s="614">
        <f t="shared" si="1048"/>
        <v>176</v>
      </c>
      <c r="BB382" s="614">
        <f t="shared" si="1049"/>
        <v>536</v>
      </c>
      <c r="BC382" s="614">
        <f t="shared" si="1050"/>
        <v>1160</v>
      </c>
      <c r="BD382" s="614">
        <f t="shared" si="1051"/>
        <v>108</v>
      </c>
      <c r="BE382" s="614">
        <f t="shared" si="1052"/>
        <v>154</v>
      </c>
      <c r="BF382" s="614">
        <f t="shared" si="1053"/>
        <v>16</v>
      </c>
      <c r="BG382" s="614">
        <f t="shared" si="1054"/>
        <v>210</v>
      </c>
      <c r="BH382" s="614">
        <f t="shared" si="1055"/>
        <v>6448</v>
      </c>
      <c r="BI382" s="622">
        <f t="shared" si="1105"/>
        <v>4952.3999999999996</v>
      </c>
      <c r="BJ382" s="622">
        <f t="shared" si="1106"/>
        <v>1495.6</v>
      </c>
      <c r="BK382" s="614">
        <f t="shared" si="1056"/>
        <v>0</v>
      </c>
      <c r="BL382" s="620">
        <f t="shared" si="1182"/>
        <v>41682</v>
      </c>
      <c r="BM382" s="614">
        <f t="shared" si="1058"/>
        <v>34971</v>
      </c>
      <c r="BN382" s="622">
        <f t="shared" si="1059"/>
        <v>26859.4</v>
      </c>
      <c r="BO382" s="622">
        <f t="shared" si="1060"/>
        <v>8111.6</v>
      </c>
      <c r="BP382" s="614">
        <f t="shared" si="1107"/>
        <v>1766</v>
      </c>
      <c r="BQ382" s="614">
        <f t="shared" si="1108"/>
        <v>354</v>
      </c>
      <c r="BR382" s="614">
        <f t="shared" si="1183"/>
        <v>1622</v>
      </c>
      <c r="BS382" s="614">
        <f t="shared" si="1061"/>
        <v>3986</v>
      </c>
      <c r="BT382" s="614">
        <f t="shared" si="1062"/>
        <v>208</v>
      </c>
      <c r="BU382" s="614">
        <f t="shared" si="1063"/>
        <v>3458</v>
      </c>
      <c r="BV382" s="614">
        <f t="shared" si="1064"/>
        <v>144</v>
      </c>
      <c r="BW382" s="614">
        <f t="shared" si="1065"/>
        <v>176</v>
      </c>
      <c r="BX382" s="614">
        <f t="shared" si="1066"/>
        <v>1583</v>
      </c>
      <c r="BY382" s="614">
        <f t="shared" si="1067"/>
        <v>1160</v>
      </c>
      <c r="BZ382" s="614">
        <f t="shared" si="1068"/>
        <v>108</v>
      </c>
      <c r="CA382" s="614">
        <f t="shared" si="1069"/>
        <v>154</v>
      </c>
      <c r="CB382" s="614">
        <f t="shared" si="1070"/>
        <v>16</v>
      </c>
      <c r="CC382" s="614">
        <f t="shared" si="1071"/>
        <v>210</v>
      </c>
      <c r="CD382" s="614">
        <f t="shared" si="1072"/>
        <v>8782</v>
      </c>
      <c r="CE382" s="622">
        <f t="shared" si="1110"/>
        <v>6745</v>
      </c>
      <c r="CF382" s="622">
        <f t="shared" si="1111"/>
        <v>2037</v>
      </c>
      <c r="CG382" s="614">
        <f t="shared" si="1073"/>
        <v>0</v>
      </c>
      <c r="CH382" s="621">
        <f t="shared" si="1074"/>
        <v>54358</v>
      </c>
      <c r="CI382" s="607"/>
      <c r="CJ382" s="607"/>
      <c r="CK382" s="607"/>
      <c r="CL382" s="607"/>
      <c r="CM382" s="607"/>
      <c r="CN382" s="607"/>
      <c r="CO382" s="607"/>
      <c r="CP382" s="607"/>
      <c r="CQ382" s="607"/>
      <c r="CR382" s="607"/>
      <c r="CS382" s="607"/>
      <c r="CT382" s="607"/>
      <c r="CU382" s="607"/>
      <c r="CV382" s="607"/>
      <c r="CW382" s="607"/>
      <c r="CX382" s="607"/>
      <c r="CY382" s="607"/>
      <c r="CZ382" s="607"/>
      <c r="DA382" s="607"/>
      <c r="DB382" s="607"/>
      <c r="DC382" s="607"/>
      <c r="DD382" s="607"/>
      <c r="AUV382" s="699">
        <f t="shared" si="890"/>
        <v>17485.5</v>
      </c>
      <c r="AUW382" s="699">
        <f t="shared" si="891"/>
        <v>13429.72</v>
      </c>
      <c r="AUX382" s="699">
        <f t="shared" si="892"/>
        <v>4055.78</v>
      </c>
      <c r="AUY382" s="699">
        <f t="shared" si="1158"/>
        <v>883</v>
      </c>
      <c r="AUZ382" s="699">
        <f t="shared" si="910"/>
        <v>119.84</v>
      </c>
      <c r="AVA382" s="699">
        <f t="shared" si="910"/>
        <v>0.13</v>
      </c>
      <c r="AVB382" s="699">
        <f t="shared" si="1159"/>
        <v>1993</v>
      </c>
      <c r="AVC382" s="699">
        <f t="shared" si="1160"/>
        <v>104</v>
      </c>
      <c r="AVD382" s="699">
        <f t="shared" si="1161"/>
        <v>1729</v>
      </c>
      <c r="AVE382" s="699">
        <f t="shared" si="1162"/>
        <v>72</v>
      </c>
      <c r="AVF382" s="699">
        <f t="shared" si="1163"/>
        <v>88</v>
      </c>
      <c r="AVG382" s="699">
        <f t="shared" si="1164"/>
        <v>791.5</v>
      </c>
      <c r="AVH382" s="699">
        <f t="shared" si="1165"/>
        <v>580</v>
      </c>
      <c r="AVI382" s="699">
        <f t="shared" si="1166"/>
        <v>54</v>
      </c>
      <c r="AVJ382" s="699">
        <f t="shared" si="1167"/>
        <v>77</v>
      </c>
      <c r="AVK382" s="699">
        <f t="shared" si="1168"/>
        <v>8</v>
      </c>
      <c r="AVL382" s="699">
        <f t="shared" si="1169"/>
        <v>105</v>
      </c>
      <c r="AVM382" s="699">
        <f t="shared" si="1170"/>
        <v>4391</v>
      </c>
      <c r="AVN382" s="699">
        <f t="shared" si="1171"/>
        <v>3372.5</v>
      </c>
      <c r="AVO382" s="699">
        <f t="shared" si="1172"/>
        <v>1018.5</v>
      </c>
      <c r="AVP382" s="699">
        <f t="shared" si="1173"/>
        <v>0</v>
      </c>
      <c r="AVQ382" s="699">
        <f t="shared" si="1174"/>
        <v>27179</v>
      </c>
    </row>
    <row r="383" spans="1:108 1244:1265" s="608" customFormat="1" ht="30" customHeight="1" x14ac:dyDescent="0.25">
      <c r="A383" s="634">
        <v>1</v>
      </c>
      <c r="B383" s="634">
        <v>10</v>
      </c>
      <c r="C383" s="633" t="s">
        <v>251</v>
      </c>
      <c r="D383" s="2"/>
      <c r="E383" s="602" t="s">
        <v>344</v>
      </c>
      <c r="F383" s="634" t="s">
        <v>31</v>
      </c>
      <c r="G383" s="634">
        <v>1</v>
      </c>
      <c r="H383" s="656" t="s">
        <v>8</v>
      </c>
      <c r="I383" s="634">
        <v>3</v>
      </c>
      <c r="J383" s="602" t="s">
        <v>463</v>
      </c>
      <c r="K383" s="634">
        <v>1</v>
      </c>
      <c r="L383" s="681" t="s">
        <v>349</v>
      </c>
      <c r="M383" s="601"/>
      <c r="N383" s="602" t="s">
        <v>387</v>
      </c>
      <c r="O383" s="634">
        <v>1</v>
      </c>
      <c r="P383" s="633">
        <v>3</v>
      </c>
      <c r="Q383" s="633">
        <v>3</v>
      </c>
      <c r="R383" s="633">
        <v>3</v>
      </c>
      <c r="S383" s="675">
        <f>SUMIF('Территориальный кк'!$A:$A,'2020'!$B383,'Территориальный кк'!D:D)</f>
        <v>1.3620000000000001</v>
      </c>
      <c r="T383" s="676">
        <f>SUMIF('Территориальный кк'!$A:$A,'2020'!$B383,'Территориальный кк'!E:E)</f>
        <v>2.9540000000000002</v>
      </c>
      <c r="U383" s="618">
        <f>SUMIFS(Нормативы!G:G,Нормативы!$B:$B,$G383,Нормативы!$D:$D,'2020'!$I383,Нормативы!$F:$F,'2020'!$K383)*O383</f>
        <v>5402</v>
      </c>
      <c r="V383" s="618">
        <f t="shared" si="1175"/>
        <v>4149</v>
      </c>
      <c r="W383" s="618">
        <f t="shared" si="1176"/>
        <v>1253</v>
      </c>
      <c r="X383" s="618">
        <f>SUMIFS(Нормативы!J:J,Нормативы!$B:$B,$G383,Нормативы!$D:$D,'2020'!$I383,Нормативы!$F:$F,'2020'!$K383)</f>
        <v>22</v>
      </c>
      <c r="Y383" s="618">
        <f>SUMIFS(Нормативы!K:K,Нормативы!$B:$B,$G383,Нормативы!$D:$D,'2020'!$I383,Нормативы!$F:$F,'2020'!$K383)</f>
        <v>4</v>
      </c>
      <c r="Z383" s="618">
        <f>SUMIFS(Нормативы!L:L,Нормативы!$B:$B,$G383,Нормативы!$D:$D,'2020'!$I383,Нормативы!$F:$F,'2020'!$K383)</f>
        <v>232</v>
      </c>
      <c r="AA383" s="618">
        <f t="shared" si="1177"/>
        <v>371</v>
      </c>
      <c r="AB383" s="618">
        <f>SUMIFS(Нормативы!N:N,Нормативы!$B:$B,$G383,Нормативы!$D:$D,'2020'!$I383,Нормативы!$F:$F,'2020'!$K383)*O383</f>
        <v>52</v>
      </c>
      <c r="AC383" s="618">
        <f>SUMIFS(Нормативы!O:O,Нормативы!$B:$B,$G383,Нормативы!$D:$D,'2020'!$I383,Нормативы!$F:$F,'2020'!$K383)</f>
        <v>214</v>
      </c>
      <c r="AD383" s="618">
        <f>SUMIFS(Нормативы!P:P,Нормативы!$B:$B,$G383,Нормативы!$D:$D,'2020'!$I383,Нормативы!$F:$F,'2020'!$K383)*O383</f>
        <v>31</v>
      </c>
      <c r="AE383" s="618">
        <f>SUMIFS(Нормативы!Q:Q,Нормативы!$B:$B,$G383,Нормативы!$D:$D,'2020'!$I383,Нормативы!$F:$F,'2020'!$K383)</f>
        <v>74</v>
      </c>
      <c r="AF383" s="618">
        <f>SUMIFS(Нормативы!R:R,Нормативы!$B:$B,$G383,Нормативы!$D:$D,'2020'!$I383,Нормативы!$F:$F,'2020'!$K383)</f>
        <v>246</v>
      </c>
      <c r="AG383" s="618">
        <f>SUMIFS(Нормативы!S:S,Нормативы!$B:$B,$G383,Нормативы!$D:$D,'2020'!$I383,Нормативы!$F:$F,'2020'!$K383)</f>
        <v>508</v>
      </c>
      <c r="AH383" s="618">
        <f>SUMIFS(Нормативы!T:T,Нормативы!$B:$B,$G383,Нормативы!$D:$D,'2020'!$I383,Нормативы!$F:$F,'2020'!$K383)</f>
        <v>54</v>
      </c>
      <c r="AI383" s="618">
        <f>SUMIFS(Нормативы!U:U,Нормативы!$B:$B,$G383,Нормативы!$D:$D,'2020'!$I383,Нормативы!$F:$F,'2020'!$K383)</f>
        <v>77</v>
      </c>
      <c r="AJ383" s="618">
        <f>SUMIFS(Нормативы!V:V,Нормативы!$B:$B,$G383,Нормативы!$D:$D,'2020'!$I383,Нормативы!$F:$F,'2020'!$K383)</f>
        <v>8</v>
      </c>
      <c r="AK383" s="618">
        <f>SUMIFS(Нормативы!W:W,Нормативы!$B:$B,$G383,Нормативы!$D:$D,'2020'!$I383,Нормативы!$F:$F,'2020'!$K383)</f>
        <v>30</v>
      </c>
      <c r="AL383" s="618">
        <f>SUMIFS(Нормативы!X:X,Нормативы!$B:$B,$G383,Нормативы!$D:$D,'2020'!$I383,Нормативы!$F:$F,'2020'!$K383)*O383</f>
        <v>1344</v>
      </c>
      <c r="AM383" s="618">
        <f t="shared" si="1178"/>
        <v>1032.3</v>
      </c>
      <c r="AN383" s="618">
        <f t="shared" si="1179"/>
        <v>311.7</v>
      </c>
      <c r="AO383" s="618">
        <f>SUMIFS(Нормативы!AA:AA,Нормативы!$B:$B,$G383,Нормативы!$D:$D,'2020'!$I383,Нормативы!$F:$F,'2020'!$K383)</f>
        <v>0</v>
      </c>
      <c r="AP383" s="619">
        <f t="shared" si="1180"/>
        <v>8294</v>
      </c>
      <c r="AQ383" s="611">
        <f t="shared" si="1040"/>
        <v>16206</v>
      </c>
      <c r="AR383" s="622">
        <f t="shared" si="1103"/>
        <v>12447</v>
      </c>
      <c r="AS383" s="622">
        <f t="shared" si="1104"/>
        <v>3759</v>
      </c>
      <c r="AT383" s="614">
        <f t="shared" si="1041"/>
        <v>66</v>
      </c>
      <c r="AU383" s="614">
        <f t="shared" si="1042"/>
        <v>12</v>
      </c>
      <c r="AV383" s="614">
        <f t="shared" si="1181"/>
        <v>696</v>
      </c>
      <c r="AW383" s="614">
        <f t="shared" si="1044"/>
        <v>1113</v>
      </c>
      <c r="AX383" s="614">
        <f t="shared" si="1045"/>
        <v>156</v>
      </c>
      <c r="AY383" s="614">
        <f t="shared" si="1046"/>
        <v>642</v>
      </c>
      <c r="AZ383" s="614">
        <f t="shared" si="1047"/>
        <v>93</v>
      </c>
      <c r="BA383" s="614">
        <f t="shared" si="1048"/>
        <v>222</v>
      </c>
      <c r="BB383" s="614">
        <f t="shared" si="1049"/>
        <v>738</v>
      </c>
      <c r="BC383" s="614">
        <f t="shared" si="1050"/>
        <v>1524</v>
      </c>
      <c r="BD383" s="614">
        <f t="shared" si="1051"/>
        <v>162</v>
      </c>
      <c r="BE383" s="614">
        <f t="shared" si="1052"/>
        <v>231</v>
      </c>
      <c r="BF383" s="614">
        <f t="shared" si="1053"/>
        <v>24</v>
      </c>
      <c r="BG383" s="614">
        <f t="shared" si="1054"/>
        <v>90</v>
      </c>
      <c r="BH383" s="614">
        <f t="shared" si="1055"/>
        <v>4032</v>
      </c>
      <c r="BI383" s="622">
        <f t="shared" si="1105"/>
        <v>3096.8</v>
      </c>
      <c r="BJ383" s="622">
        <f t="shared" si="1106"/>
        <v>935.2</v>
      </c>
      <c r="BK383" s="614">
        <f t="shared" si="1056"/>
        <v>0</v>
      </c>
      <c r="BL383" s="620">
        <f t="shared" si="1182"/>
        <v>24882</v>
      </c>
      <c r="BM383" s="614">
        <f t="shared" si="1058"/>
        <v>22073</v>
      </c>
      <c r="BN383" s="622">
        <f t="shared" si="1059"/>
        <v>16953.099999999999</v>
      </c>
      <c r="BO383" s="622">
        <f t="shared" si="1060"/>
        <v>5119.8999999999996</v>
      </c>
      <c r="BP383" s="614">
        <f t="shared" si="1107"/>
        <v>66</v>
      </c>
      <c r="BQ383" s="614">
        <f t="shared" si="1108"/>
        <v>12</v>
      </c>
      <c r="BR383" s="614">
        <f t="shared" si="1183"/>
        <v>696</v>
      </c>
      <c r="BS383" s="614">
        <f t="shared" si="1061"/>
        <v>1113</v>
      </c>
      <c r="BT383" s="614">
        <f t="shared" si="1062"/>
        <v>156</v>
      </c>
      <c r="BU383" s="614">
        <f t="shared" si="1063"/>
        <v>642</v>
      </c>
      <c r="BV383" s="614">
        <f t="shared" si="1064"/>
        <v>93</v>
      </c>
      <c r="BW383" s="614">
        <f t="shared" si="1065"/>
        <v>222</v>
      </c>
      <c r="BX383" s="614">
        <f t="shared" si="1066"/>
        <v>2180</v>
      </c>
      <c r="BY383" s="614">
        <f t="shared" si="1067"/>
        <v>1524</v>
      </c>
      <c r="BZ383" s="614">
        <f t="shared" si="1068"/>
        <v>162</v>
      </c>
      <c r="CA383" s="614">
        <f t="shared" si="1069"/>
        <v>231</v>
      </c>
      <c r="CB383" s="614">
        <f t="shared" si="1070"/>
        <v>24</v>
      </c>
      <c r="CC383" s="614">
        <f t="shared" si="1071"/>
        <v>90</v>
      </c>
      <c r="CD383" s="614">
        <f t="shared" si="1072"/>
        <v>5492</v>
      </c>
      <c r="CE383" s="622">
        <f t="shared" si="1110"/>
        <v>4218.1000000000004</v>
      </c>
      <c r="CF383" s="622">
        <f t="shared" si="1111"/>
        <v>1273.9000000000001</v>
      </c>
      <c r="CG383" s="614">
        <f t="shared" si="1073"/>
        <v>0</v>
      </c>
      <c r="CH383" s="621">
        <f t="shared" si="1074"/>
        <v>33651</v>
      </c>
      <c r="CI383" s="607"/>
      <c r="CJ383" s="607"/>
      <c r="CK383" s="607"/>
      <c r="CL383" s="607"/>
      <c r="CM383" s="607"/>
      <c r="CN383" s="607"/>
      <c r="CO383" s="607"/>
      <c r="CP383" s="607"/>
      <c r="CQ383" s="607"/>
      <c r="CR383" s="607"/>
      <c r="CS383" s="607"/>
      <c r="CT383" s="607"/>
      <c r="CU383" s="607"/>
      <c r="CV383" s="607"/>
      <c r="CW383" s="607"/>
      <c r="CX383" s="607"/>
      <c r="CY383" s="607"/>
      <c r="CZ383" s="607"/>
      <c r="DA383" s="607"/>
      <c r="DB383" s="607"/>
      <c r="DC383" s="607"/>
      <c r="DD383" s="607"/>
      <c r="AUV383" s="699">
        <f t="shared" si="890"/>
        <v>7357.67</v>
      </c>
      <c r="AUW383" s="699">
        <f t="shared" si="891"/>
        <v>5651.05</v>
      </c>
      <c r="AUX383" s="699">
        <f t="shared" si="892"/>
        <v>1706.62</v>
      </c>
      <c r="AUY383" s="699">
        <f t="shared" si="1158"/>
        <v>22</v>
      </c>
      <c r="AUZ383" s="699">
        <f t="shared" si="910"/>
        <v>4.0599999999999996</v>
      </c>
      <c r="AVA383" s="699">
        <f t="shared" si="910"/>
        <v>0.13</v>
      </c>
      <c r="AVB383" s="699">
        <f t="shared" si="1159"/>
        <v>371</v>
      </c>
      <c r="AVC383" s="699">
        <f t="shared" si="1160"/>
        <v>52</v>
      </c>
      <c r="AVD383" s="699">
        <f t="shared" si="1161"/>
        <v>214</v>
      </c>
      <c r="AVE383" s="699">
        <f t="shared" si="1162"/>
        <v>31</v>
      </c>
      <c r="AVF383" s="699">
        <f t="shared" si="1163"/>
        <v>74</v>
      </c>
      <c r="AVG383" s="699">
        <f t="shared" si="1164"/>
        <v>726.67</v>
      </c>
      <c r="AVH383" s="699">
        <f t="shared" si="1165"/>
        <v>508</v>
      </c>
      <c r="AVI383" s="699">
        <f t="shared" si="1166"/>
        <v>54</v>
      </c>
      <c r="AVJ383" s="699">
        <f t="shared" si="1167"/>
        <v>77</v>
      </c>
      <c r="AVK383" s="699">
        <f t="shared" si="1168"/>
        <v>8</v>
      </c>
      <c r="AVL383" s="699">
        <f t="shared" si="1169"/>
        <v>30</v>
      </c>
      <c r="AVM383" s="699">
        <f t="shared" si="1170"/>
        <v>1830.67</v>
      </c>
      <c r="AVN383" s="699">
        <f t="shared" si="1171"/>
        <v>1406.04</v>
      </c>
      <c r="AVO383" s="699">
        <f t="shared" si="1172"/>
        <v>424.63</v>
      </c>
      <c r="AVP383" s="699">
        <f t="shared" si="1173"/>
        <v>0</v>
      </c>
      <c r="AVQ383" s="699">
        <f t="shared" si="1174"/>
        <v>11217</v>
      </c>
    </row>
    <row r="384" spans="1:108 1244:1265" s="608" customFormat="1" ht="30" customHeight="1" x14ac:dyDescent="0.25">
      <c r="A384" s="634">
        <v>1</v>
      </c>
      <c r="B384" s="634">
        <v>10</v>
      </c>
      <c r="C384" s="633" t="s">
        <v>251</v>
      </c>
      <c r="D384" s="2"/>
      <c r="E384" s="602" t="s">
        <v>344</v>
      </c>
      <c r="F384" s="634" t="s">
        <v>31</v>
      </c>
      <c r="G384" s="634">
        <v>1</v>
      </c>
      <c r="H384" s="656" t="s">
        <v>8</v>
      </c>
      <c r="I384" s="634">
        <v>3</v>
      </c>
      <c r="J384" s="602" t="s">
        <v>467</v>
      </c>
      <c r="K384" s="634">
        <v>1</v>
      </c>
      <c r="L384" s="681" t="s">
        <v>349</v>
      </c>
      <c r="M384" s="601"/>
      <c r="N384" s="602" t="s">
        <v>401</v>
      </c>
      <c r="O384" s="634">
        <v>2</v>
      </c>
      <c r="P384" s="633">
        <v>1</v>
      </c>
      <c r="Q384" s="633">
        <v>1</v>
      </c>
      <c r="R384" s="633">
        <v>1</v>
      </c>
      <c r="S384" s="675">
        <f>SUMIF('Территориальный кк'!$A:$A,'2020'!$B384,'Территориальный кк'!D:D)</f>
        <v>1.3620000000000001</v>
      </c>
      <c r="T384" s="676">
        <f>SUMIF('Территориальный кк'!$A:$A,'2020'!$B384,'Территориальный кк'!E:E)</f>
        <v>2.9540000000000002</v>
      </c>
      <c r="U384" s="618">
        <f>SUMIFS(Нормативы!G:G,Нормативы!$B:$B,$G384,Нормативы!$D:$D,'2020'!$I384,Нормативы!$F:$F,'2020'!$K384)*O384</f>
        <v>10804</v>
      </c>
      <c r="V384" s="618">
        <f t="shared" si="1175"/>
        <v>8298</v>
      </c>
      <c r="W384" s="618">
        <f t="shared" si="1176"/>
        <v>2506</v>
      </c>
      <c r="X384" s="618">
        <f>SUMIFS(Нормативы!J:J,Нормативы!$B:$B,$G384,Нормативы!$D:$D,'2020'!$I384,Нормативы!$F:$F,'2020'!$K384)</f>
        <v>22</v>
      </c>
      <c r="Y384" s="618">
        <f>SUMIFS(Нормативы!K:K,Нормативы!$B:$B,$G384,Нормативы!$D:$D,'2020'!$I384,Нормативы!$F:$F,'2020'!$K384)</f>
        <v>4</v>
      </c>
      <c r="Z384" s="618">
        <f>SUMIFS(Нормативы!L:L,Нормативы!$B:$B,$G384,Нормативы!$D:$D,'2020'!$I384,Нормативы!$F:$F,'2020'!$K384)</f>
        <v>232</v>
      </c>
      <c r="AA384" s="618">
        <f t="shared" si="1177"/>
        <v>454</v>
      </c>
      <c r="AB384" s="618">
        <f>SUMIFS(Нормативы!N:N,Нормативы!$B:$B,$G384,Нормативы!$D:$D,'2020'!$I384,Нормативы!$F:$F,'2020'!$K384)*O384</f>
        <v>104</v>
      </c>
      <c r="AC384" s="618">
        <f>SUMIFS(Нормативы!O:O,Нормативы!$B:$B,$G384,Нормативы!$D:$D,'2020'!$I384,Нормативы!$F:$F,'2020'!$K384)</f>
        <v>214</v>
      </c>
      <c r="AD384" s="618">
        <f>SUMIFS(Нормативы!P:P,Нормативы!$B:$B,$G384,Нормативы!$D:$D,'2020'!$I384,Нормативы!$F:$F,'2020'!$K384)*O384</f>
        <v>62</v>
      </c>
      <c r="AE384" s="618">
        <f>SUMIFS(Нормативы!Q:Q,Нормативы!$B:$B,$G384,Нормативы!$D:$D,'2020'!$I384,Нормативы!$F:$F,'2020'!$K384)</f>
        <v>74</v>
      </c>
      <c r="AF384" s="618">
        <f>SUMIFS(Нормативы!R:R,Нормативы!$B:$B,$G384,Нормативы!$D:$D,'2020'!$I384,Нормативы!$F:$F,'2020'!$K384)</f>
        <v>246</v>
      </c>
      <c r="AG384" s="618">
        <f>SUMIFS(Нормативы!S:S,Нормативы!$B:$B,$G384,Нормативы!$D:$D,'2020'!$I384,Нормативы!$F:$F,'2020'!$K384)</f>
        <v>508</v>
      </c>
      <c r="AH384" s="618">
        <f>SUMIFS(Нормативы!T:T,Нормативы!$B:$B,$G384,Нормативы!$D:$D,'2020'!$I384,Нормативы!$F:$F,'2020'!$K384)</f>
        <v>54</v>
      </c>
      <c r="AI384" s="618">
        <f>SUMIFS(Нормативы!U:U,Нормативы!$B:$B,$G384,Нормативы!$D:$D,'2020'!$I384,Нормативы!$F:$F,'2020'!$K384)</f>
        <v>77</v>
      </c>
      <c r="AJ384" s="618">
        <f>SUMIFS(Нормативы!V:V,Нормативы!$B:$B,$G384,Нормативы!$D:$D,'2020'!$I384,Нормативы!$F:$F,'2020'!$K384)</f>
        <v>8</v>
      </c>
      <c r="AK384" s="618">
        <f>SUMIFS(Нормативы!W:W,Нормативы!$B:$B,$G384,Нормативы!$D:$D,'2020'!$I384,Нормативы!$F:$F,'2020'!$K384)</f>
        <v>30</v>
      </c>
      <c r="AL384" s="618">
        <f>SUMIFS(Нормативы!X:X,Нормативы!$B:$B,$G384,Нормативы!$D:$D,'2020'!$I384,Нормативы!$F:$F,'2020'!$K384)*O384</f>
        <v>2688</v>
      </c>
      <c r="AM384" s="618">
        <f t="shared" si="1178"/>
        <v>2064.5</v>
      </c>
      <c r="AN384" s="618">
        <f t="shared" si="1179"/>
        <v>623.5</v>
      </c>
      <c r="AO384" s="618">
        <f>SUMIFS(Нормативы!AA:AA,Нормативы!$B:$B,$G384,Нормативы!$D:$D,'2020'!$I384,Нормативы!$F:$F,'2020'!$K384)</f>
        <v>0</v>
      </c>
      <c r="AP384" s="619">
        <f t="shared" si="1180"/>
        <v>15123</v>
      </c>
      <c r="AQ384" s="611">
        <f t="shared" si="1040"/>
        <v>10804</v>
      </c>
      <c r="AR384" s="622">
        <f t="shared" si="1103"/>
        <v>8298</v>
      </c>
      <c r="AS384" s="622">
        <f t="shared" si="1104"/>
        <v>2506</v>
      </c>
      <c r="AT384" s="614">
        <f t="shared" si="1041"/>
        <v>22</v>
      </c>
      <c r="AU384" s="614">
        <f t="shared" si="1042"/>
        <v>4</v>
      </c>
      <c r="AV384" s="614">
        <f t="shared" si="1181"/>
        <v>232</v>
      </c>
      <c r="AW384" s="614">
        <f t="shared" si="1044"/>
        <v>454</v>
      </c>
      <c r="AX384" s="614">
        <f t="shared" si="1045"/>
        <v>104</v>
      </c>
      <c r="AY384" s="614">
        <f t="shared" si="1046"/>
        <v>214</v>
      </c>
      <c r="AZ384" s="614">
        <f t="shared" si="1047"/>
        <v>62</v>
      </c>
      <c r="BA384" s="614">
        <f t="shared" si="1048"/>
        <v>74</v>
      </c>
      <c r="BB384" s="614">
        <f t="shared" si="1049"/>
        <v>246</v>
      </c>
      <c r="BC384" s="614">
        <f t="shared" si="1050"/>
        <v>508</v>
      </c>
      <c r="BD384" s="614">
        <f t="shared" si="1051"/>
        <v>54</v>
      </c>
      <c r="BE384" s="614">
        <f t="shared" si="1052"/>
        <v>77</v>
      </c>
      <c r="BF384" s="614">
        <f t="shared" si="1053"/>
        <v>8</v>
      </c>
      <c r="BG384" s="614">
        <f t="shared" si="1054"/>
        <v>30</v>
      </c>
      <c r="BH384" s="614">
        <f t="shared" si="1055"/>
        <v>2688</v>
      </c>
      <c r="BI384" s="622">
        <f t="shared" si="1105"/>
        <v>2064.5</v>
      </c>
      <c r="BJ384" s="622">
        <f t="shared" si="1106"/>
        <v>623.5</v>
      </c>
      <c r="BK384" s="614">
        <f t="shared" si="1056"/>
        <v>0</v>
      </c>
      <c r="BL384" s="620">
        <f t="shared" si="1182"/>
        <v>15123</v>
      </c>
      <c r="BM384" s="614">
        <f t="shared" si="1058"/>
        <v>14715</v>
      </c>
      <c r="BN384" s="622">
        <f t="shared" si="1059"/>
        <v>11301.8</v>
      </c>
      <c r="BO384" s="622">
        <f t="shared" si="1060"/>
        <v>3413.2</v>
      </c>
      <c r="BP384" s="614">
        <f t="shared" si="1107"/>
        <v>22</v>
      </c>
      <c r="BQ384" s="614">
        <f t="shared" si="1108"/>
        <v>4</v>
      </c>
      <c r="BR384" s="614">
        <f t="shared" si="1183"/>
        <v>232</v>
      </c>
      <c r="BS384" s="614">
        <f t="shared" si="1061"/>
        <v>454</v>
      </c>
      <c r="BT384" s="614">
        <f t="shared" si="1062"/>
        <v>104</v>
      </c>
      <c r="BU384" s="614">
        <f t="shared" si="1063"/>
        <v>214</v>
      </c>
      <c r="BV384" s="614">
        <f t="shared" si="1064"/>
        <v>62</v>
      </c>
      <c r="BW384" s="614">
        <f t="shared" si="1065"/>
        <v>74</v>
      </c>
      <c r="BX384" s="614">
        <f t="shared" si="1066"/>
        <v>727</v>
      </c>
      <c r="BY384" s="614">
        <f t="shared" si="1067"/>
        <v>508</v>
      </c>
      <c r="BZ384" s="614">
        <f t="shared" si="1068"/>
        <v>54</v>
      </c>
      <c r="CA384" s="614">
        <f t="shared" si="1069"/>
        <v>77</v>
      </c>
      <c r="CB384" s="614">
        <f t="shared" si="1070"/>
        <v>8</v>
      </c>
      <c r="CC384" s="614">
        <f t="shared" si="1071"/>
        <v>30</v>
      </c>
      <c r="CD384" s="614">
        <f t="shared" si="1072"/>
        <v>3661</v>
      </c>
      <c r="CE384" s="622">
        <f t="shared" si="1110"/>
        <v>2811.8</v>
      </c>
      <c r="CF384" s="622">
        <f t="shared" si="1111"/>
        <v>849.2</v>
      </c>
      <c r="CG384" s="614">
        <f t="shared" si="1073"/>
        <v>0</v>
      </c>
      <c r="CH384" s="621">
        <f t="shared" si="1074"/>
        <v>20488</v>
      </c>
      <c r="CI384" s="607"/>
      <c r="CJ384" s="607"/>
      <c r="CK384" s="607"/>
      <c r="CL384" s="607"/>
      <c r="CM384" s="607"/>
      <c r="CN384" s="607"/>
      <c r="CO384" s="607"/>
      <c r="CP384" s="607"/>
      <c r="CQ384" s="607"/>
      <c r="CR384" s="607"/>
      <c r="CS384" s="607"/>
      <c r="CT384" s="607"/>
      <c r="CU384" s="607"/>
      <c r="CV384" s="607"/>
      <c r="CW384" s="607"/>
      <c r="CX384" s="607"/>
      <c r="CY384" s="607"/>
      <c r="CZ384" s="607"/>
      <c r="DA384" s="607"/>
      <c r="DB384" s="607"/>
      <c r="DC384" s="607"/>
      <c r="DD384" s="607"/>
      <c r="AUV384" s="699">
        <f t="shared" si="890"/>
        <v>14715</v>
      </c>
      <c r="AUW384" s="699">
        <f t="shared" si="891"/>
        <v>11301.84</v>
      </c>
      <c r="AUX384" s="699">
        <f t="shared" si="892"/>
        <v>3413.16</v>
      </c>
      <c r="AUY384" s="699">
        <f t="shared" si="1158"/>
        <v>22</v>
      </c>
      <c r="AUZ384" s="699">
        <f t="shared" si="910"/>
        <v>1.35</v>
      </c>
      <c r="AVA384" s="699">
        <f t="shared" si="910"/>
        <v>0.02</v>
      </c>
      <c r="AVB384" s="699">
        <f t="shared" si="1159"/>
        <v>454</v>
      </c>
      <c r="AVC384" s="699">
        <f t="shared" si="1160"/>
        <v>104</v>
      </c>
      <c r="AVD384" s="699">
        <f t="shared" si="1161"/>
        <v>214</v>
      </c>
      <c r="AVE384" s="699">
        <f t="shared" si="1162"/>
        <v>62</v>
      </c>
      <c r="AVF384" s="699">
        <f t="shared" si="1163"/>
        <v>74</v>
      </c>
      <c r="AVG384" s="699">
        <f t="shared" si="1164"/>
        <v>727</v>
      </c>
      <c r="AVH384" s="699">
        <f t="shared" si="1165"/>
        <v>508</v>
      </c>
      <c r="AVI384" s="699">
        <f t="shared" si="1166"/>
        <v>54</v>
      </c>
      <c r="AVJ384" s="699">
        <f t="shared" si="1167"/>
        <v>77</v>
      </c>
      <c r="AVK384" s="699">
        <f t="shared" si="1168"/>
        <v>8</v>
      </c>
      <c r="AVL384" s="699">
        <f t="shared" si="1169"/>
        <v>30</v>
      </c>
      <c r="AVM384" s="699">
        <f t="shared" si="1170"/>
        <v>3661</v>
      </c>
      <c r="AVN384" s="699">
        <f t="shared" si="1171"/>
        <v>2811.83</v>
      </c>
      <c r="AVO384" s="699">
        <f t="shared" si="1172"/>
        <v>849.17</v>
      </c>
      <c r="AVP384" s="699">
        <f t="shared" si="1173"/>
        <v>0</v>
      </c>
      <c r="AVQ384" s="699">
        <f t="shared" si="1174"/>
        <v>20488</v>
      </c>
    </row>
    <row r="385" spans="1:108 1244:1265" ht="30" customHeight="1" x14ac:dyDescent="0.25">
      <c r="A385" s="643">
        <v>1</v>
      </c>
      <c r="B385" s="643">
        <v>10</v>
      </c>
      <c r="C385" s="664" t="s">
        <v>251</v>
      </c>
      <c r="D385" s="2"/>
      <c r="E385" s="101" t="s">
        <v>344</v>
      </c>
      <c r="F385" s="643" t="s">
        <v>31</v>
      </c>
      <c r="G385" s="643">
        <v>1</v>
      </c>
      <c r="H385" s="658" t="s">
        <v>8</v>
      </c>
      <c r="I385" s="643">
        <v>3</v>
      </c>
      <c r="J385" s="101" t="s">
        <v>370</v>
      </c>
      <c r="K385" s="643">
        <v>1</v>
      </c>
      <c r="L385" s="683" t="s">
        <v>349</v>
      </c>
      <c r="M385" s="11" t="s">
        <v>276</v>
      </c>
      <c r="N385" s="101" t="s">
        <v>387</v>
      </c>
      <c r="O385" s="643">
        <v>1</v>
      </c>
      <c r="P385" s="632">
        <v>20</v>
      </c>
      <c r="Q385" s="632">
        <v>20</v>
      </c>
      <c r="R385" s="632">
        <v>20</v>
      </c>
      <c r="S385" s="675">
        <f>SUMIF('Территориальный кк'!$A:$A,'2020'!$B385,'Территориальный кк'!D:D)</f>
        <v>1.3620000000000001</v>
      </c>
      <c r="T385" s="676">
        <f>SUMIF('Территориальный кк'!$A:$A,'2020'!$B385,'Территориальный кк'!E:E)</f>
        <v>2.9540000000000002</v>
      </c>
      <c r="U385" s="618">
        <f>SUMIFS(Нормативы!G:G,Нормативы!$B:$B,$G385,Нормативы!$D:$D,'2020'!$I385,Нормативы!$F:$F,'2020'!$K385)*O385</f>
        <v>5402</v>
      </c>
      <c r="V385" s="618">
        <f t="shared" si="1097"/>
        <v>4149</v>
      </c>
      <c r="W385" s="618">
        <f t="shared" si="1098"/>
        <v>1253</v>
      </c>
      <c r="X385" s="618">
        <f>SUMIFS(Нормативы!J:J,Нормативы!$B:$B,$G385,Нормативы!$D:$D,'2020'!$I385,Нормативы!$F:$F,'2020'!$K385)</f>
        <v>22</v>
      </c>
      <c r="Y385" s="618">
        <f>SUMIFS(Нормативы!K:K,Нормативы!$B:$B,$G385,Нормативы!$D:$D,'2020'!$I385,Нормативы!$F:$F,'2020'!$K385)</f>
        <v>4</v>
      </c>
      <c r="Z385" s="618">
        <f>SUMIFS(Нормативы!L:L,Нормативы!$B:$B,$G385,Нормативы!$D:$D,'2020'!$I385,Нормативы!$F:$F,'2020'!$K385)</f>
        <v>232</v>
      </c>
      <c r="AA385" s="618">
        <f t="shared" si="1099"/>
        <v>371</v>
      </c>
      <c r="AB385" s="618">
        <f>SUMIFS(Нормативы!N:N,Нормативы!$B:$B,$G385,Нормативы!$D:$D,'2020'!$I385,Нормативы!$F:$F,'2020'!$K385)*O385</f>
        <v>52</v>
      </c>
      <c r="AC385" s="618">
        <f>SUMIFS(Нормативы!O:O,Нормативы!$B:$B,$G385,Нормативы!$D:$D,'2020'!$I385,Нормативы!$F:$F,'2020'!$K385)</f>
        <v>214</v>
      </c>
      <c r="AD385" s="618">
        <f>SUMIFS(Нормативы!P:P,Нормативы!$B:$B,$G385,Нормативы!$D:$D,'2020'!$I385,Нормативы!$F:$F,'2020'!$K385)*O385</f>
        <v>31</v>
      </c>
      <c r="AE385" s="618">
        <f>SUMIFS(Нормативы!Q:Q,Нормативы!$B:$B,$G385,Нормативы!$D:$D,'2020'!$I385,Нормативы!$F:$F,'2020'!$K385)</f>
        <v>74</v>
      </c>
      <c r="AF385" s="618">
        <f>SUMIFS(Нормативы!R:R,Нормативы!$B:$B,$G385,Нормативы!$D:$D,'2020'!$I385,Нормативы!$F:$F,'2020'!$K385)</f>
        <v>246</v>
      </c>
      <c r="AG385" s="618">
        <f>SUMIFS(Нормативы!S:S,Нормативы!$B:$B,$G385,Нормативы!$D:$D,'2020'!$I385,Нормативы!$F:$F,'2020'!$K385)</f>
        <v>508</v>
      </c>
      <c r="AH385" s="618">
        <f>SUMIFS(Нормативы!T:T,Нормативы!$B:$B,$G385,Нормативы!$D:$D,'2020'!$I385,Нормативы!$F:$F,'2020'!$K385)</f>
        <v>54</v>
      </c>
      <c r="AI385" s="618">
        <f>SUMIFS(Нормативы!U:U,Нормативы!$B:$B,$G385,Нормативы!$D:$D,'2020'!$I385,Нормативы!$F:$F,'2020'!$K385)</f>
        <v>77</v>
      </c>
      <c r="AJ385" s="618">
        <f>SUMIFS(Нормативы!V:V,Нормативы!$B:$B,$G385,Нормативы!$D:$D,'2020'!$I385,Нормативы!$F:$F,'2020'!$K385)</f>
        <v>8</v>
      </c>
      <c r="AK385" s="618">
        <f>SUMIFS(Нормативы!W:W,Нормативы!$B:$B,$G385,Нормативы!$D:$D,'2020'!$I385,Нормативы!$F:$F,'2020'!$K385)</f>
        <v>30</v>
      </c>
      <c r="AL385" s="618">
        <f>SUMIFS(Нормативы!X:X,Нормативы!$B:$B,$G385,Нормативы!$D:$D,'2020'!$I385,Нормативы!$F:$F,'2020'!$K385)*O385</f>
        <v>1344</v>
      </c>
      <c r="AM385" s="618">
        <f t="shared" si="1100"/>
        <v>1032.3</v>
      </c>
      <c r="AN385" s="618">
        <f t="shared" si="1101"/>
        <v>311.7</v>
      </c>
      <c r="AO385" s="618">
        <f>SUMIFS(Нормативы!AA:AA,Нормативы!$B:$B,$G385,Нормативы!$D:$D,'2020'!$I385,Нормативы!$F:$F,'2020'!$K385)</f>
        <v>0</v>
      </c>
      <c r="AP385" s="619">
        <f t="shared" si="1102"/>
        <v>8294</v>
      </c>
      <c r="AQ385" s="413">
        <f t="shared" si="1040"/>
        <v>108040</v>
      </c>
      <c r="AR385" s="618">
        <f t="shared" si="1103"/>
        <v>82980</v>
      </c>
      <c r="AS385" s="618">
        <f t="shared" si="1104"/>
        <v>25060</v>
      </c>
      <c r="AT385" s="616">
        <f t="shared" si="1041"/>
        <v>440</v>
      </c>
      <c r="AU385" s="616">
        <f t="shared" si="1042"/>
        <v>80</v>
      </c>
      <c r="AV385" s="616">
        <f t="shared" si="1043"/>
        <v>4640</v>
      </c>
      <c r="AW385" s="616">
        <f t="shared" si="1044"/>
        <v>7420</v>
      </c>
      <c r="AX385" s="616">
        <f t="shared" si="1045"/>
        <v>1040</v>
      </c>
      <c r="AY385" s="616">
        <f t="shared" si="1046"/>
        <v>4280</v>
      </c>
      <c r="AZ385" s="616">
        <f t="shared" si="1047"/>
        <v>620</v>
      </c>
      <c r="BA385" s="616">
        <f t="shared" si="1048"/>
        <v>1480</v>
      </c>
      <c r="BB385" s="616">
        <f t="shared" si="1049"/>
        <v>4920</v>
      </c>
      <c r="BC385" s="616">
        <f t="shared" si="1050"/>
        <v>10160</v>
      </c>
      <c r="BD385" s="616">
        <f t="shared" si="1051"/>
        <v>1080</v>
      </c>
      <c r="BE385" s="616">
        <f t="shared" si="1052"/>
        <v>1540</v>
      </c>
      <c r="BF385" s="616">
        <f t="shared" si="1053"/>
        <v>160</v>
      </c>
      <c r="BG385" s="616">
        <f t="shared" si="1054"/>
        <v>600</v>
      </c>
      <c r="BH385" s="616">
        <f t="shared" si="1055"/>
        <v>26880</v>
      </c>
      <c r="BI385" s="618">
        <f t="shared" si="1105"/>
        <v>20645.2</v>
      </c>
      <c r="BJ385" s="618">
        <f t="shared" si="1106"/>
        <v>6234.8</v>
      </c>
      <c r="BK385" s="616">
        <f t="shared" si="1056"/>
        <v>0</v>
      </c>
      <c r="BL385" s="620">
        <f t="shared" si="1057"/>
        <v>165880</v>
      </c>
      <c r="BM385" s="616">
        <f t="shared" si="1058"/>
        <v>147150</v>
      </c>
      <c r="BN385" s="618">
        <f t="shared" si="1059"/>
        <v>113018.4</v>
      </c>
      <c r="BO385" s="618">
        <f t="shared" si="1060"/>
        <v>34131.599999999999</v>
      </c>
      <c r="BP385" s="616">
        <f t="shared" si="1107"/>
        <v>440</v>
      </c>
      <c r="BQ385" s="616">
        <f t="shared" si="1108"/>
        <v>80</v>
      </c>
      <c r="BR385" s="616">
        <f t="shared" si="1109"/>
        <v>4640</v>
      </c>
      <c r="BS385" s="616">
        <f t="shared" si="1061"/>
        <v>7420</v>
      </c>
      <c r="BT385" s="616">
        <f t="shared" si="1062"/>
        <v>1040</v>
      </c>
      <c r="BU385" s="616">
        <f t="shared" si="1063"/>
        <v>4280</v>
      </c>
      <c r="BV385" s="616">
        <f t="shared" si="1064"/>
        <v>620</v>
      </c>
      <c r="BW385" s="616">
        <f t="shared" si="1065"/>
        <v>1480</v>
      </c>
      <c r="BX385" s="616">
        <f t="shared" si="1066"/>
        <v>14534</v>
      </c>
      <c r="BY385" s="616">
        <f t="shared" si="1067"/>
        <v>10160</v>
      </c>
      <c r="BZ385" s="616">
        <f t="shared" si="1068"/>
        <v>1080</v>
      </c>
      <c r="CA385" s="616">
        <f t="shared" si="1069"/>
        <v>1540</v>
      </c>
      <c r="CB385" s="616">
        <f t="shared" si="1070"/>
        <v>160</v>
      </c>
      <c r="CC385" s="616">
        <f t="shared" si="1071"/>
        <v>600</v>
      </c>
      <c r="CD385" s="616">
        <f t="shared" si="1072"/>
        <v>36611</v>
      </c>
      <c r="CE385" s="618">
        <f t="shared" si="1110"/>
        <v>28119</v>
      </c>
      <c r="CF385" s="618">
        <f t="shared" si="1111"/>
        <v>8492</v>
      </c>
      <c r="CG385" s="616">
        <f t="shared" si="1073"/>
        <v>0</v>
      </c>
      <c r="CH385" s="621">
        <f t="shared" si="1074"/>
        <v>224335</v>
      </c>
      <c r="CI385" s="88">
        <f t="shared" si="1075"/>
        <v>7357.5</v>
      </c>
      <c r="CJ385" s="90">
        <f t="shared" si="1076"/>
        <v>5650.92</v>
      </c>
      <c r="CK385" s="90">
        <f t="shared" si="1077"/>
        <v>1706.58</v>
      </c>
      <c r="CL385" s="88">
        <f t="shared" si="1078"/>
        <v>22</v>
      </c>
      <c r="CM385" s="88">
        <f t="shared" si="1079"/>
        <v>4</v>
      </c>
      <c r="CN385" s="88">
        <f t="shared" si="1080"/>
        <v>232</v>
      </c>
      <c r="CO385" s="88">
        <f t="shared" si="1081"/>
        <v>371</v>
      </c>
      <c r="CP385" s="88">
        <f t="shared" si="1082"/>
        <v>52</v>
      </c>
      <c r="CQ385" s="88">
        <f t="shared" si="1083"/>
        <v>214</v>
      </c>
      <c r="CR385" s="88">
        <f t="shared" si="1084"/>
        <v>31</v>
      </c>
      <c r="CS385" s="88">
        <f t="shared" si="1085"/>
        <v>74</v>
      </c>
      <c r="CT385" s="88">
        <f t="shared" si="1086"/>
        <v>726.7</v>
      </c>
      <c r="CU385" s="88">
        <f t="shared" si="1087"/>
        <v>508</v>
      </c>
      <c r="CV385" s="88">
        <f t="shared" si="1088"/>
        <v>54</v>
      </c>
      <c r="CW385" s="88">
        <f t="shared" si="1089"/>
        <v>77</v>
      </c>
      <c r="CX385" s="88">
        <f t="shared" si="1090"/>
        <v>8</v>
      </c>
      <c r="CY385" s="88">
        <f t="shared" si="1091"/>
        <v>30</v>
      </c>
      <c r="CZ385" s="88">
        <f t="shared" si="1092"/>
        <v>1830.55</v>
      </c>
      <c r="DA385" s="90">
        <f t="shared" si="1093"/>
        <v>1405.95</v>
      </c>
      <c r="DB385" s="90">
        <f t="shared" si="1094"/>
        <v>424.6</v>
      </c>
      <c r="DC385" s="88">
        <f t="shared" si="1095"/>
        <v>0</v>
      </c>
      <c r="DD385" s="88">
        <f t="shared" si="1096"/>
        <v>11216.75</v>
      </c>
      <c r="AUV385" s="699">
        <f t="shared" si="890"/>
        <v>7357.5</v>
      </c>
      <c r="AUW385" s="699">
        <f t="shared" si="891"/>
        <v>5650.92</v>
      </c>
      <c r="AUX385" s="699">
        <f t="shared" si="892"/>
        <v>1706.58</v>
      </c>
      <c r="AUY385" s="699">
        <f t="shared" si="1158"/>
        <v>22</v>
      </c>
      <c r="AUZ385" s="699">
        <f t="shared" si="910"/>
        <v>27.08</v>
      </c>
      <c r="AVA385" s="699">
        <f t="shared" si="910"/>
        <v>0.86</v>
      </c>
      <c r="AVB385" s="699">
        <f t="shared" si="1159"/>
        <v>371</v>
      </c>
      <c r="AVC385" s="699">
        <f t="shared" si="1160"/>
        <v>52</v>
      </c>
      <c r="AVD385" s="699">
        <f t="shared" si="1161"/>
        <v>214</v>
      </c>
      <c r="AVE385" s="699">
        <f t="shared" si="1162"/>
        <v>31</v>
      </c>
      <c r="AVF385" s="699">
        <f t="shared" si="1163"/>
        <v>74</v>
      </c>
      <c r="AVG385" s="699">
        <f t="shared" si="1164"/>
        <v>726.7</v>
      </c>
      <c r="AVH385" s="699">
        <f t="shared" si="1165"/>
        <v>508</v>
      </c>
      <c r="AVI385" s="699">
        <f t="shared" si="1166"/>
        <v>54</v>
      </c>
      <c r="AVJ385" s="699">
        <f t="shared" si="1167"/>
        <v>77</v>
      </c>
      <c r="AVK385" s="699">
        <f t="shared" si="1168"/>
        <v>8</v>
      </c>
      <c r="AVL385" s="699">
        <f t="shared" si="1169"/>
        <v>30</v>
      </c>
      <c r="AVM385" s="699">
        <f t="shared" si="1170"/>
        <v>1830.55</v>
      </c>
      <c r="AVN385" s="699">
        <f t="shared" si="1171"/>
        <v>1405.95</v>
      </c>
      <c r="AVO385" s="699">
        <f t="shared" si="1172"/>
        <v>424.6</v>
      </c>
      <c r="AVP385" s="699">
        <f t="shared" si="1173"/>
        <v>0</v>
      </c>
      <c r="AVQ385" s="699">
        <f t="shared" si="1174"/>
        <v>11216.75</v>
      </c>
    </row>
    <row r="386" spans="1:108 1244:1265" ht="30" customHeight="1" x14ac:dyDescent="0.25">
      <c r="A386" s="643">
        <v>1</v>
      </c>
      <c r="B386" s="643">
        <v>10</v>
      </c>
      <c r="C386" s="664" t="s">
        <v>251</v>
      </c>
      <c r="D386" s="2"/>
      <c r="E386" s="101" t="s">
        <v>344</v>
      </c>
      <c r="F386" s="643" t="s">
        <v>31</v>
      </c>
      <c r="G386" s="643">
        <v>1</v>
      </c>
      <c r="H386" s="658" t="s">
        <v>8</v>
      </c>
      <c r="I386" s="643">
        <v>3</v>
      </c>
      <c r="J386" s="101" t="s">
        <v>371</v>
      </c>
      <c r="K386" s="643">
        <v>1</v>
      </c>
      <c r="L386" s="683" t="s">
        <v>349</v>
      </c>
      <c r="M386" s="11" t="s">
        <v>277</v>
      </c>
      <c r="N386" s="101" t="s">
        <v>387</v>
      </c>
      <c r="O386" s="643">
        <v>1</v>
      </c>
      <c r="P386" s="632">
        <v>19</v>
      </c>
      <c r="Q386" s="632">
        <v>19</v>
      </c>
      <c r="R386" s="632">
        <v>19</v>
      </c>
      <c r="S386" s="675">
        <f>SUMIF('Территориальный кк'!$A:$A,'2020'!$B386,'Территориальный кк'!D:D)</f>
        <v>1.3620000000000001</v>
      </c>
      <c r="T386" s="676">
        <f>SUMIF('Территориальный кк'!$A:$A,'2020'!$B386,'Территориальный кк'!E:E)</f>
        <v>2.9540000000000002</v>
      </c>
      <c r="U386" s="618">
        <f>SUMIFS(Нормативы!G:G,Нормативы!$B:$B,$G386,Нормативы!$D:$D,'2020'!$I386,Нормативы!$F:$F,'2020'!$K386)*O386</f>
        <v>5402</v>
      </c>
      <c r="V386" s="618">
        <f t="shared" si="1097"/>
        <v>4149</v>
      </c>
      <c r="W386" s="618">
        <f t="shared" si="1098"/>
        <v>1253</v>
      </c>
      <c r="X386" s="618">
        <f>SUMIFS(Нормативы!J:J,Нормативы!$B:$B,$G386,Нормативы!$D:$D,'2020'!$I386,Нормативы!$F:$F,'2020'!$K386)</f>
        <v>22</v>
      </c>
      <c r="Y386" s="618">
        <f>SUMIFS(Нормативы!K:K,Нормативы!$B:$B,$G386,Нормативы!$D:$D,'2020'!$I386,Нормативы!$F:$F,'2020'!$K386)</f>
        <v>4</v>
      </c>
      <c r="Z386" s="618">
        <f>SUMIFS(Нормативы!L:L,Нормативы!$B:$B,$G386,Нормативы!$D:$D,'2020'!$I386,Нормативы!$F:$F,'2020'!$K386)</f>
        <v>232</v>
      </c>
      <c r="AA386" s="618">
        <f t="shared" si="1099"/>
        <v>371</v>
      </c>
      <c r="AB386" s="618">
        <f>SUMIFS(Нормативы!N:N,Нормативы!$B:$B,$G386,Нормативы!$D:$D,'2020'!$I386,Нормативы!$F:$F,'2020'!$K386)*O386</f>
        <v>52</v>
      </c>
      <c r="AC386" s="618">
        <f>SUMIFS(Нормативы!O:O,Нормативы!$B:$B,$G386,Нормативы!$D:$D,'2020'!$I386,Нормативы!$F:$F,'2020'!$K386)</f>
        <v>214</v>
      </c>
      <c r="AD386" s="618">
        <f>SUMIFS(Нормативы!P:P,Нормативы!$B:$B,$G386,Нормативы!$D:$D,'2020'!$I386,Нормативы!$F:$F,'2020'!$K386)*O386</f>
        <v>31</v>
      </c>
      <c r="AE386" s="618">
        <f>SUMIFS(Нормативы!Q:Q,Нормативы!$B:$B,$G386,Нормативы!$D:$D,'2020'!$I386,Нормативы!$F:$F,'2020'!$K386)</f>
        <v>74</v>
      </c>
      <c r="AF386" s="618">
        <f>SUMIFS(Нормативы!R:R,Нормативы!$B:$B,$G386,Нормативы!$D:$D,'2020'!$I386,Нормативы!$F:$F,'2020'!$K386)</f>
        <v>246</v>
      </c>
      <c r="AG386" s="618">
        <f>SUMIFS(Нормативы!S:S,Нормативы!$B:$B,$G386,Нормативы!$D:$D,'2020'!$I386,Нормативы!$F:$F,'2020'!$K386)</f>
        <v>508</v>
      </c>
      <c r="AH386" s="618">
        <f>SUMIFS(Нормативы!T:T,Нормативы!$B:$B,$G386,Нормативы!$D:$D,'2020'!$I386,Нормативы!$F:$F,'2020'!$K386)</f>
        <v>54</v>
      </c>
      <c r="AI386" s="618">
        <f>SUMIFS(Нормативы!U:U,Нормативы!$B:$B,$G386,Нормативы!$D:$D,'2020'!$I386,Нормативы!$F:$F,'2020'!$K386)</f>
        <v>77</v>
      </c>
      <c r="AJ386" s="618">
        <f>SUMIFS(Нормативы!V:V,Нормативы!$B:$B,$G386,Нормативы!$D:$D,'2020'!$I386,Нормативы!$F:$F,'2020'!$K386)</f>
        <v>8</v>
      </c>
      <c r="AK386" s="618">
        <f>SUMIFS(Нормативы!W:W,Нормативы!$B:$B,$G386,Нормативы!$D:$D,'2020'!$I386,Нормативы!$F:$F,'2020'!$K386)</f>
        <v>30</v>
      </c>
      <c r="AL386" s="618">
        <f>SUMIFS(Нормативы!X:X,Нормативы!$B:$B,$G386,Нормативы!$D:$D,'2020'!$I386,Нормативы!$F:$F,'2020'!$K386)*O386</f>
        <v>1344</v>
      </c>
      <c r="AM386" s="618">
        <f t="shared" si="1100"/>
        <v>1032.3</v>
      </c>
      <c r="AN386" s="618">
        <f t="shared" si="1101"/>
        <v>311.7</v>
      </c>
      <c r="AO386" s="618">
        <f>SUMIFS(Нормативы!AA:AA,Нормативы!$B:$B,$G386,Нормативы!$D:$D,'2020'!$I386,Нормативы!$F:$F,'2020'!$K386)</f>
        <v>0</v>
      </c>
      <c r="AP386" s="619">
        <f t="shared" si="1102"/>
        <v>8294</v>
      </c>
      <c r="AQ386" s="413">
        <f t="shared" si="1040"/>
        <v>102638</v>
      </c>
      <c r="AR386" s="618">
        <f t="shared" si="1103"/>
        <v>78831</v>
      </c>
      <c r="AS386" s="618">
        <f t="shared" si="1104"/>
        <v>23807</v>
      </c>
      <c r="AT386" s="616">
        <f t="shared" si="1041"/>
        <v>418</v>
      </c>
      <c r="AU386" s="616">
        <f t="shared" si="1042"/>
        <v>76</v>
      </c>
      <c r="AV386" s="616">
        <f t="shared" si="1043"/>
        <v>4408</v>
      </c>
      <c r="AW386" s="616">
        <f t="shared" si="1044"/>
        <v>7049</v>
      </c>
      <c r="AX386" s="616">
        <f t="shared" si="1045"/>
        <v>988</v>
      </c>
      <c r="AY386" s="616">
        <f t="shared" si="1046"/>
        <v>4066</v>
      </c>
      <c r="AZ386" s="616">
        <f t="shared" si="1047"/>
        <v>589</v>
      </c>
      <c r="BA386" s="616">
        <f t="shared" si="1048"/>
        <v>1406</v>
      </c>
      <c r="BB386" s="616">
        <f t="shared" si="1049"/>
        <v>4674</v>
      </c>
      <c r="BC386" s="616">
        <f t="shared" si="1050"/>
        <v>9652</v>
      </c>
      <c r="BD386" s="616">
        <f t="shared" si="1051"/>
        <v>1026</v>
      </c>
      <c r="BE386" s="616">
        <f t="shared" si="1052"/>
        <v>1463</v>
      </c>
      <c r="BF386" s="616">
        <f t="shared" si="1053"/>
        <v>152</v>
      </c>
      <c r="BG386" s="616">
        <f t="shared" si="1054"/>
        <v>570</v>
      </c>
      <c r="BH386" s="616">
        <f t="shared" si="1055"/>
        <v>25536</v>
      </c>
      <c r="BI386" s="618">
        <f t="shared" si="1105"/>
        <v>19612.900000000001</v>
      </c>
      <c r="BJ386" s="618">
        <f t="shared" si="1106"/>
        <v>5923.1</v>
      </c>
      <c r="BK386" s="616">
        <f t="shared" si="1056"/>
        <v>0</v>
      </c>
      <c r="BL386" s="620">
        <f t="shared" si="1057"/>
        <v>157586</v>
      </c>
      <c r="BM386" s="616">
        <f t="shared" si="1058"/>
        <v>139793</v>
      </c>
      <c r="BN386" s="618">
        <f t="shared" si="1059"/>
        <v>107367.9</v>
      </c>
      <c r="BO386" s="618">
        <f t="shared" si="1060"/>
        <v>32425.1</v>
      </c>
      <c r="BP386" s="616">
        <f t="shared" si="1107"/>
        <v>418</v>
      </c>
      <c r="BQ386" s="616">
        <f t="shared" si="1108"/>
        <v>76</v>
      </c>
      <c r="BR386" s="616">
        <f t="shared" si="1109"/>
        <v>4408</v>
      </c>
      <c r="BS386" s="616">
        <f t="shared" si="1061"/>
        <v>7049</v>
      </c>
      <c r="BT386" s="616">
        <f t="shared" si="1062"/>
        <v>988</v>
      </c>
      <c r="BU386" s="616">
        <f t="shared" si="1063"/>
        <v>4066</v>
      </c>
      <c r="BV386" s="616">
        <f t="shared" si="1064"/>
        <v>589</v>
      </c>
      <c r="BW386" s="616">
        <f t="shared" si="1065"/>
        <v>1406</v>
      </c>
      <c r="BX386" s="616">
        <f t="shared" si="1066"/>
        <v>13807</v>
      </c>
      <c r="BY386" s="616">
        <f t="shared" si="1067"/>
        <v>9652</v>
      </c>
      <c r="BZ386" s="616">
        <f t="shared" si="1068"/>
        <v>1026</v>
      </c>
      <c r="CA386" s="616">
        <f t="shared" si="1069"/>
        <v>1463</v>
      </c>
      <c r="CB386" s="616">
        <f t="shared" si="1070"/>
        <v>152</v>
      </c>
      <c r="CC386" s="616">
        <f t="shared" si="1071"/>
        <v>570</v>
      </c>
      <c r="CD386" s="616">
        <f t="shared" si="1072"/>
        <v>34780</v>
      </c>
      <c r="CE386" s="618">
        <f t="shared" si="1110"/>
        <v>26712.7</v>
      </c>
      <c r="CF386" s="618">
        <f t="shared" si="1111"/>
        <v>8067.3</v>
      </c>
      <c r="CG386" s="616">
        <f t="shared" si="1073"/>
        <v>0</v>
      </c>
      <c r="CH386" s="621">
        <f t="shared" si="1074"/>
        <v>213118</v>
      </c>
      <c r="CI386" s="88">
        <f t="shared" si="1075"/>
        <v>7357.5263000000004</v>
      </c>
      <c r="CJ386" s="90">
        <f t="shared" si="1076"/>
        <v>5650.9421000000002</v>
      </c>
      <c r="CK386" s="90">
        <f t="shared" si="1077"/>
        <v>1706.5842</v>
      </c>
      <c r="CL386" s="88">
        <f t="shared" si="1078"/>
        <v>22</v>
      </c>
      <c r="CM386" s="88">
        <f t="shared" si="1079"/>
        <v>4</v>
      </c>
      <c r="CN386" s="88">
        <f t="shared" si="1080"/>
        <v>232</v>
      </c>
      <c r="CO386" s="88">
        <f t="shared" si="1081"/>
        <v>371</v>
      </c>
      <c r="CP386" s="88">
        <f t="shared" si="1082"/>
        <v>52</v>
      </c>
      <c r="CQ386" s="88">
        <f t="shared" si="1083"/>
        <v>214</v>
      </c>
      <c r="CR386" s="88">
        <f t="shared" si="1084"/>
        <v>31</v>
      </c>
      <c r="CS386" s="88">
        <f t="shared" si="1085"/>
        <v>74</v>
      </c>
      <c r="CT386" s="88">
        <f t="shared" si="1086"/>
        <v>726.68420000000003</v>
      </c>
      <c r="CU386" s="88">
        <f t="shared" si="1087"/>
        <v>508</v>
      </c>
      <c r="CV386" s="88">
        <f t="shared" si="1088"/>
        <v>54</v>
      </c>
      <c r="CW386" s="88">
        <f t="shared" si="1089"/>
        <v>77</v>
      </c>
      <c r="CX386" s="88">
        <f t="shared" si="1090"/>
        <v>8</v>
      </c>
      <c r="CY386" s="88">
        <f t="shared" si="1091"/>
        <v>30</v>
      </c>
      <c r="CZ386" s="88">
        <f t="shared" si="1092"/>
        <v>1830.5263</v>
      </c>
      <c r="DA386" s="90">
        <f t="shared" si="1093"/>
        <v>1405.9315999999999</v>
      </c>
      <c r="DB386" s="90">
        <f t="shared" si="1094"/>
        <v>424.59469999999999</v>
      </c>
      <c r="DC386" s="88">
        <f t="shared" si="1095"/>
        <v>0</v>
      </c>
      <c r="DD386" s="88">
        <f t="shared" si="1096"/>
        <v>11216.736800000001</v>
      </c>
      <c r="AUV386" s="699">
        <f t="shared" si="890"/>
        <v>7357.53</v>
      </c>
      <c r="AUW386" s="699">
        <f t="shared" si="891"/>
        <v>5650.94</v>
      </c>
      <c r="AUX386" s="699">
        <f t="shared" si="892"/>
        <v>1706.59</v>
      </c>
      <c r="AUY386" s="699">
        <f t="shared" si="1158"/>
        <v>22</v>
      </c>
      <c r="AUZ386" s="699">
        <f t="shared" si="910"/>
        <v>25.73</v>
      </c>
      <c r="AVA386" s="699">
        <f t="shared" si="910"/>
        <v>0.82</v>
      </c>
      <c r="AVB386" s="699">
        <f t="shared" si="1159"/>
        <v>371</v>
      </c>
      <c r="AVC386" s="699">
        <f t="shared" si="1160"/>
        <v>52</v>
      </c>
      <c r="AVD386" s="699">
        <f t="shared" si="1161"/>
        <v>214</v>
      </c>
      <c r="AVE386" s="699">
        <f t="shared" si="1162"/>
        <v>31</v>
      </c>
      <c r="AVF386" s="699">
        <f t="shared" si="1163"/>
        <v>74</v>
      </c>
      <c r="AVG386" s="699">
        <f t="shared" si="1164"/>
        <v>726.68</v>
      </c>
      <c r="AVH386" s="699">
        <f t="shared" si="1165"/>
        <v>508</v>
      </c>
      <c r="AVI386" s="699">
        <f t="shared" si="1166"/>
        <v>54</v>
      </c>
      <c r="AVJ386" s="699">
        <f t="shared" si="1167"/>
        <v>77</v>
      </c>
      <c r="AVK386" s="699">
        <f t="shared" si="1168"/>
        <v>8</v>
      </c>
      <c r="AVL386" s="699">
        <f t="shared" si="1169"/>
        <v>30</v>
      </c>
      <c r="AVM386" s="699">
        <f t="shared" si="1170"/>
        <v>1830.53</v>
      </c>
      <c r="AVN386" s="699">
        <f t="shared" si="1171"/>
        <v>1405.94</v>
      </c>
      <c r="AVO386" s="699">
        <f t="shared" si="1172"/>
        <v>424.59</v>
      </c>
      <c r="AVP386" s="699">
        <f t="shared" si="1173"/>
        <v>0</v>
      </c>
      <c r="AVQ386" s="699">
        <f t="shared" si="1174"/>
        <v>11216.74</v>
      </c>
    </row>
    <row r="387" spans="1:108 1244:1265" ht="30" customHeight="1" x14ac:dyDescent="0.25">
      <c r="A387" s="643">
        <v>1</v>
      </c>
      <c r="B387" s="643">
        <v>10</v>
      </c>
      <c r="C387" s="664" t="s">
        <v>251</v>
      </c>
      <c r="D387" s="2"/>
      <c r="E387" s="101" t="s">
        <v>344</v>
      </c>
      <c r="F387" s="643" t="s">
        <v>31</v>
      </c>
      <c r="G387" s="643">
        <v>1</v>
      </c>
      <c r="H387" s="658" t="s">
        <v>10</v>
      </c>
      <c r="I387" s="643">
        <v>0</v>
      </c>
      <c r="J387" s="101" t="s">
        <v>394</v>
      </c>
      <c r="K387" s="643">
        <v>1</v>
      </c>
      <c r="L387" s="683" t="s">
        <v>349</v>
      </c>
      <c r="M387" s="11" t="s">
        <v>325</v>
      </c>
      <c r="N387" s="101" t="s">
        <v>387</v>
      </c>
      <c r="O387" s="643">
        <v>1</v>
      </c>
      <c r="P387" s="632">
        <v>10</v>
      </c>
      <c r="Q387" s="632">
        <v>10</v>
      </c>
      <c r="R387" s="632">
        <v>10</v>
      </c>
      <c r="S387" s="675">
        <f>SUMIF('Территориальный кк'!$A:$A,'2020'!$B387,'Территориальный кк'!D:D)</f>
        <v>1.3620000000000001</v>
      </c>
      <c r="T387" s="676">
        <f>SUMIF('Территориальный кк'!$A:$A,'2020'!$B387,'Территориальный кк'!E:E)</f>
        <v>2.9540000000000002</v>
      </c>
      <c r="U387" s="618">
        <f>SUMIFS(Нормативы!G:G,Нормативы!$B:$B,$G387,Нормативы!$D:$D,'2020'!$I387,Нормативы!$F:$F,'2020'!$K387)*O387</f>
        <v>54020</v>
      </c>
      <c r="V387" s="618">
        <f t="shared" si="1097"/>
        <v>41490</v>
      </c>
      <c r="W387" s="618">
        <f t="shared" si="1098"/>
        <v>12530</v>
      </c>
      <c r="X387" s="618">
        <f>SUMIFS(Нормативы!J:J,Нормативы!$B:$B,$G387,Нормативы!$D:$D,'2020'!$I387,Нормативы!$F:$F,'2020'!$K387)</f>
        <v>220</v>
      </c>
      <c r="Y387" s="618">
        <f>SUMIFS(Нормативы!K:K,Нормативы!$B:$B,$G387,Нормативы!$D:$D,'2020'!$I387,Нормативы!$F:$F,'2020'!$K387)</f>
        <v>44</v>
      </c>
      <c r="Z387" s="618">
        <f>SUMIFS(Нормативы!L:L,Нормативы!$B:$B,$G387,Нормативы!$D:$D,'2020'!$I387,Нормативы!$F:$F,'2020'!$K387)</f>
        <v>2320</v>
      </c>
      <c r="AA387" s="618">
        <f t="shared" si="1099"/>
        <v>3710</v>
      </c>
      <c r="AB387" s="618">
        <f>SUMIFS(Нормативы!N:N,Нормативы!$B:$B,$G387,Нормативы!$D:$D,'2020'!$I387,Нормативы!$F:$F,'2020'!$K387)*O387</f>
        <v>520</v>
      </c>
      <c r="AC387" s="618">
        <f>SUMIFS(Нормативы!O:O,Нормативы!$B:$B,$G387,Нормативы!$D:$D,'2020'!$I387,Нормативы!$F:$F,'2020'!$K387)</f>
        <v>2140</v>
      </c>
      <c r="AD387" s="618">
        <f>SUMIFS(Нормативы!P:P,Нормативы!$B:$B,$G387,Нормативы!$D:$D,'2020'!$I387,Нормативы!$F:$F,'2020'!$K387)*O387</f>
        <v>310</v>
      </c>
      <c r="AE387" s="618">
        <f>SUMIFS(Нормативы!Q:Q,Нормативы!$B:$B,$G387,Нормативы!$D:$D,'2020'!$I387,Нормативы!$F:$F,'2020'!$K387)</f>
        <v>740</v>
      </c>
      <c r="AF387" s="618">
        <f>SUMIFS(Нормативы!R:R,Нормативы!$B:$B,$G387,Нормативы!$D:$D,'2020'!$I387,Нормативы!$F:$F,'2020'!$K387)</f>
        <v>2460</v>
      </c>
      <c r="AG387" s="618">
        <f>SUMIFS(Нормативы!S:S,Нормативы!$B:$B,$G387,Нормативы!$D:$D,'2020'!$I387,Нормативы!$F:$F,'2020'!$K387)</f>
        <v>5080</v>
      </c>
      <c r="AH387" s="618">
        <f>SUMIFS(Нормативы!T:T,Нормативы!$B:$B,$G387,Нормативы!$D:$D,'2020'!$I387,Нормативы!$F:$F,'2020'!$K387)</f>
        <v>540</v>
      </c>
      <c r="AI387" s="618">
        <f>SUMIFS(Нормативы!U:U,Нормативы!$B:$B,$G387,Нормативы!$D:$D,'2020'!$I387,Нормативы!$F:$F,'2020'!$K387)</f>
        <v>770</v>
      </c>
      <c r="AJ387" s="618">
        <f>SUMIFS(Нормативы!V:V,Нормативы!$B:$B,$G387,Нормативы!$D:$D,'2020'!$I387,Нормативы!$F:$F,'2020'!$K387)</f>
        <v>80</v>
      </c>
      <c r="AK387" s="618">
        <f>SUMIFS(Нормативы!W:W,Нормативы!$B:$B,$G387,Нормативы!$D:$D,'2020'!$I387,Нормативы!$F:$F,'2020'!$K387)</f>
        <v>300</v>
      </c>
      <c r="AL387" s="618">
        <f>SUMIFS(Нормативы!X:X,Нормативы!$B:$B,$G387,Нормативы!$D:$D,'2020'!$I387,Нормативы!$F:$F,'2020'!$K387)*O387</f>
        <v>13440</v>
      </c>
      <c r="AM387" s="618">
        <f t="shared" si="1100"/>
        <v>10322.6</v>
      </c>
      <c r="AN387" s="618">
        <f t="shared" si="1101"/>
        <v>3117.4</v>
      </c>
      <c r="AO387" s="618">
        <f>SUMIFS(Нормативы!AA:AA,Нормативы!$B:$B,$G387,Нормативы!$D:$D,'2020'!$I387,Нормативы!$F:$F,'2020'!$K387)</f>
        <v>3520</v>
      </c>
      <c r="AP387" s="619">
        <f t="shared" si="1102"/>
        <v>86460</v>
      </c>
      <c r="AQ387" s="413">
        <f t="shared" si="1040"/>
        <v>540200</v>
      </c>
      <c r="AR387" s="618">
        <f t="shared" si="1103"/>
        <v>414900.2</v>
      </c>
      <c r="AS387" s="618">
        <f t="shared" si="1104"/>
        <v>125299.8</v>
      </c>
      <c r="AT387" s="616">
        <f t="shared" si="1041"/>
        <v>2200</v>
      </c>
      <c r="AU387" s="616">
        <f t="shared" si="1042"/>
        <v>440</v>
      </c>
      <c r="AV387" s="616">
        <f t="shared" si="1043"/>
        <v>23200</v>
      </c>
      <c r="AW387" s="616">
        <f t="shared" si="1044"/>
        <v>37100</v>
      </c>
      <c r="AX387" s="616">
        <f t="shared" si="1045"/>
        <v>5200</v>
      </c>
      <c r="AY387" s="616">
        <f t="shared" si="1046"/>
        <v>21400</v>
      </c>
      <c r="AZ387" s="616">
        <f t="shared" si="1047"/>
        <v>3100</v>
      </c>
      <c r="BA387" s="616">
        <f t="shared" si="1048"/>
        <v>7400</v>
      </c>
      <c r="BB387" s="616">
        <f t="shared" si="1049"/>
        <v>24600</v>
      </c>
      <c r="BC387" s="616">
        <f t="shared" si="1050"/>
        <v>50800</v>
      </c>
      <c r="BD387" s="616">
        <f t="shared" si="1051"/>
        <v>5400</v>
      </c>
      <c r="BE387" s="616">
        <f t="shared" si="1052"/>
        <v>7700</v>
      </c>
      <c r="BF387" s="616">
        <f t="shared" si="1053"/>
        <v>800</v>
      </c>
      <c r="BG387" s="616">
        <f t="shared" si="1054"/>
        <v>3000</v>
      </c>
      <c r="BH387" s="616">
        <f t="shared" si="1055"/>
        <v>134400</v>
      </c>
      <c r="BI387" s="618">
        <f t="shared" si="1105"/>
        <v>103225.8</v>
      </c>
      <c r="BJ387" s="618">
        <f t="shared" si="1106"/>
        <v>31174.2</v>
      </c>
      <c r="BK387" s="616">
        <f t="shared" si="1056"/>
        <v>35200</v>
      </c>
      <c r="BL387" s="620">
        <f t="shared" si="1057"/>
        <v>864600</v>
      </c>
      <c r="BM387" s="616">
        <f t="shared" si="1058"/>
        <v>735752</v>
      </c>
      <c r="BN387" s="618">
        <f t="shared" si="1059"/>
        <v>565093.69999999995</v>
      </c>
      <c r="BO387" s="618">
        <f t="shared" si="1060"/>
        <v>170658.3</v>
      </c>
      <c r="BP387" s="616">
        <f t="shared" si="1107"/>
        <v>2200</v>
      </c>
      <c r="BQ387" s="616">
        <f t="shared" si="1108"/>
        <v>440</v>
      </c>
      <c r="BR387" s="616">
        <f t="shared" si="1109"/>
        <v>23200</v>
      </c>
      <c r="BS387" s="616">
        <f t="shared" si="1061"/>
        <v>37100</v>
      </c>
      <c r="BT387" s="616">
        <f t="shared" si="1062"/>
        <v>5200</v>
      </c>
      <c r="BU387" s="616">
        <f t="shared" si="1063"/>
        <v>21400</v>
      </c>
      <c r="BV387" s="616">
        <f t="shared" si="1064"/>
        <v>3100</v>
      </c>
      <c r="BW387" s="616">
        <f t="shared" si="1065"/>
        <v>7400</v>
      </c>
      <c r="BX387" s="616">
        <f t="shared" si="1066"/>
        <v>72668</v>
      </c>
      <c r="BY387" s="616">
        <f t="shared" si="1067"/>
        <v>50800</v>
      </c>
      <c r="BZ387" s="616">
        <f t="shared" si="1068"/>
        <v>5400</v>
      </c>
      <c r="CA387" s="616">
        <f t="shared" si="1069"/>
        <v>7700</v>
      </c>
      <c r="CB387" s="616">
        <f t="shared" si="1070"/>
        <v>800</v>
      </c>
      <c r="CC387" s="616">
        <f t="shared" si="1071"/>
        <v>3000</v>
      </c>
      <c r="CD387" s="616">
        <f t="shared" si="1072"/>
        <v>183053</v>
      </c>
      <c r="CE387" s="618">
        <f t="shared" si="1110"/>
        <v>140593.70000000001</v>
      </c>
      <c r="CF387" s="618">
        <f t="shared" si="1111"/>
        <v>42459.3</v>
      </c>
      <c r="CG387" s="616">
        <f t="shared" si="1073"/>
        <v>35200</v>
      </c>
      <c r="CH387" s="621">
        <f t="shared" si="1074"/>
        <v>1156873</v>
      </c>
      <c r="CI387" s="88">
        <f t="shared" si="1075"/>
        <v>73575.199999999997</v>
      </c>
      <c r="CJ387" s="90">
        <f t="shared" si="1076"/>
        <v>56509.37</v>
      </c>
      <c r="CK387" s="90">
        <f t="shared" si="1077"/>
        <v>17065.830000000002</v>
      </c>
      <c r="CL387" s="88">
        <f t="shared" si="1078"/>
        <v>220</v>
      </c>
      <c r="CM387" s="88">
        <f t="shared" si="1079"/>
        <v>44</v>
      </c>
      <c r="CN387" s="88">
        <f t="shared" si="1080"/>
        <v>2320</v>
      </c>
      <c r="CO387" s="88">
        <f t="shared" si="1081"/>
        <v>3710</v>
      </c>
      <c r="CP387" s="88">
        <f t="shared" si="1082"/>
        <v>520</v>
      </c>
      <c r="CQ387" s="88">
        <f t="shared" si="1083"/>
        <v>2140</v>
      </c>
      <c r="CR387" s="88">
        <f t="shared" si="1084"/>
        <v>310</v>
      </c>
      <c r="CS387" s="88">
        <f t="shared" si="1085"/>
        <v>740</v>
      </c>
      <c r="CT387" s="88">
        <f t="shared" si="1086"/>
        <v>7266.8</v>
      </c>
      <c r="CU387" s="88">
        <f t="shared" si="1087"/>
        <v>5080</v>
      </c>
      <c r="CV387" s="88">
        <f t="shared" si="1088"/>
        <v>540</v>
      </c>
      <c r="CW387" s="88">
        <f t="shared" si="1089"/>
        <v>770</v>
      </c>
      <c r="CX387" s="88">
        <f t="shared" si="1090"/>
        <v>80</v>
      </c>
      <c r="CY387" s="88">
        <f t="shared" si="1091"/>
        <v>300</v>
      </c>
      <c r="CZ387" s="88">
        <f t="shared" si="1092"/>
        <v>18305.3</v>
      </c>
      <c r="DA387" s="90">
        <f t="shared" si="1093"/>
        <v>14059.37</v>
      </c>
      <c r="DB387" s="90">
        <f t="shared" si="1094"/>
        <v>4245.93</v>
      </c>
      <c r="DC387" s="88">
        <f t="shared" si="1095"/>
        <v>3520</v>
      </c>
      <c r="DD387" s="88">
        <f t="shared" si="1096"/>
        <v>115687.3</v>
      </c>
      <c r="AUV387" s="699">
        <f t="shared" si="890"/>
        <v>73575.199999999997</v>
      </c>
      <c r="AUW387" s="699">
        <f t="shared" si="891"/>
        <v>56509.37</v>
      </c>
      <c r="AUX387" s="699">
        <f t="shared" si="892"/>
        <v>17065.830000000002</v>
      </c>
      <c r="AUY387" s="699">
        <f t="shared" si="1158"/>
        <v>220</v>
      </c>
      <c r="AUZ387" s="699">
        <f t="shared" si="910"/>
        <v>148.94999999999999</v>
      </c>
      <c r="AVA387" s="699">
        <f t="shared" si="910"/>
        <v>0.43</v>
      </c>
      <c r="AVB387" s="699">
        <f t="shared" si="1159"/>
        <v>3710</v>
      </c>
      <c r="AVC387" s="699">
        <f t="shared" si="1160"/>
        <v>520</v>
      </c>
      <c r="AVD387" s="699">
        <f t="shared" si="1161"/>
        <v>2140</v>
      </c>
      <c r="AVE387" s="699">
        <f t="shared" si="1162"/>
        <v>310</v>
      </c>
      <c r="AVF387" s="699">
        <f t="shared" si="1163"/>
        <v>740</v>
      </c>
      <c r="AVG387" s="699">
        <f t="shared" si="1164"/>
        <v>7266.8</v>
      </c>
      <c r="AVH387" s="699">
        <f t="shared" si="1165"/>
        <v>5080</v>
      </c>
      <c r="AVI387" s="699">
        <f t="shared" si="1166"/>
        <v>540</v>
      </c>
      <c r="AVJ387" s="699">
        <f t="shared" si="1167"/>
        <v>770</v>
      </c>
      <c r="AVK387" s="699">
        <f t="shared" si="1168"/>
        <v>80</v>
      </c>
      <c r="AVL387" s="699">
        <f t="shared" si="1169"/>
        <v>300</v>
      </c>
      <c r="AVM387" s="699">
        <f t="shared" si="1170"/>
        <v>18305.3</v>
      </c>
      <c r="AVN387" s="699">
        <f t="shared" si="1171"/>
        <v>14059.37</v>
      </c>
      <c r="AVO387" s="699">
        <f t="shared" si="1172"/>
        <v>4245.93</v>
      </c>
      <c r="AVP387" s="699">
        <f t="shared" si="1173"/>
        <v>3520</v>
      </c>
      <c r="AVQ387" s="699">
        <f t="shared" si="1174"/>
        <v>115687.3</v>
      </c>
    </row>
    <row r="388" spans="1:108 1244:1265" ht="30" customHeight="1" x14ac:dyDescent="0.25">
      <c r="A388" s="643">
        <v>1</v>
      </c>
      <c r="B388" s="643">
        <v>10</v>
      </c>
      <c r="C388" s="664" t="s">
        <v>251</v>
      </c>
      <c r="D388" s="2"/>
      <c r="E388" s="101" t="s">
        <v>344</v>
      </c>
      <c r="F388" s="643" t="s">
        <v>31</v>
      </c>
      <c r="G388" s="643">
        <v>1</v>
      </c>
      <c r="H388" s="658" t="s">
        <v>10</v>
      </c>
      <c r="I388" s="643">
        <v>0</v>
      </c>
      <c r="J388" s="101" t="s">
        <v>356</v>
      </c>
      <c r="K388" s="643">
        <v>3</v>
      </c>
      <c r="L388" s="683" t="s">
        <v>349</v>
      </c>
      <c r="M388" s="11" t="s">
        <v>255</v>
      </c>
      <c r="N388" s="101" t="s">
        <v>387</v>
      </c>
      <c r="O388" s="643">
        <v>1</v>
      </c>
      <c r="P388" s="632">
        <v>564</v>
      </c>
      <c r="Q388" s="632">
        <v>564</v>
      </c>
      <c r="R388" s="632">
        <v>564</v>
      </c>
      <c r="S388" s="675">
        <f>SUMIF('Территориальный кк'!$A:$A,'2020'!$B388,'Территориальный кк'!D:D)</f>
        <v>1.3620000000000001</v>
      </c>
      <c r="T388" s="676">
        <f>SUMIF('Территориальный кк'!$A:$A,'2020'!$B388,'Территориальный кк'!E:E)</f>
        <v>2.9540000000000002</v>
      </c>
      <c r="U388" s="618">
        <f>SUMIFS(Нормативы!G:G,Нормативы!$B:$B,$G388,Нормативы!$D:$D,'2020'!$I388,Нормативы!$F:$F,'2020'!$K388)*O388</f>
        <v>64190</v>
      </c>
      <c r="V388" s="618">
        <f t="shared" si="1097"/>
        <v>49301.1</v>
      </c>
      <c r="W388" s="618">
        <f t="shared" si="1098"/>
        <v>14888.9</v>
      </c>
      <c r="X388" s="618">
        <f>SUMIFS(Нормативы!J:J,Нормативы!$B:$B,$G388,Нормативы!$D:$D,'2020'!$I388,Нормативы!$F:$F,'2020'!$K388)</f>
        <v>8830</v>
      </c>
      <c r="Y388" s="618">
        <f>SUMIFS(Нормативы!K:K,Нормативы!$B:$B,$G388,Нормативы!$D:$D,'2020'!$I388,Нормативы!$F:$F,'2020'!$K388)</f>
        <v>1766</v>
      </c>
      <c r="Z388" s="618">
        <f>SUMIFS(Нормативы!L:L,Нормативы!$B:$B,$G388,Нормативы!$D:$D,'2020'!$I388,Нормативы!$F:$F,'2020'!$K388)</f>
        <v>8110</v>
      </c>
      <c r="AA388" s="618">
        <f t="shared" si="1099"/>
        <v>19050</v>
      </c>
      <c r="AB388" s="618">
        <f>SUMIFS(Нормативы!N:N,Нормативы!$B:$B,$G388,Нормативы!$D:$D,'2020'!$I388,Нормативы!$F:$F,'2020'!$K388)*O388</f>
        <v>520</v>
      </c>
      <c r="AC388" s="618">
        <f>SUMIFS(Нормативы!O:O,Нормативы!$B:$B,$G388,Нормативы!$D:$D,'2020'!$I388,Нормативы!$F:$F,'2020'!$K388)</f>
        <v>17290</v>
      </c>
      <c r="AD388" s="618">
        <f>SUMIFS(Нормативы!P:P,Нормативы!$B:$B,$G388,Нормативы!$D:$D,'2020'!$I388,Нормативы!$F:$F,'2020'!$K388)*O388</f>
        <v>360</v>
      </c>
      <c r="AE388" s="618">
        <f>SUMIFS(Нормативы!Q:Q,Нормативы!$B:$B,$G388,Нормативы!$D:$D,'2020'!$I388,Нормативы!$F:$F,'2020'!$K388)</f>
        <v>880</v>
      </c>
      <c r="AF388" s="618">
        <f>SUMIFS(Нормативы!R:R,Нормативы!$B:$B,$G388,Нормативы!$D:$D,'2020'!$I388,Нормативы!$F:$F,'2020'!$K388)</f>
        <v>2680</v>
      </c>
      <c r="AG388" s="618">
        <f>SUMIFS(Нормативы!S:S,Нормативы!$B:$B,$G388,Нормативы!$D:$D,'2020'!$I388,Нормативы!$F:$F,'2020'!$K388)</f>
        <v>5800</v>
      </c>
      <c r="AH388" s="618">
        <f>SUMIFS(Нормативы!T:T,Нормативы!$B:$B,$G388,Нормативы!$D:$D,'2020'!$I388,Нормативы!$F:$F,'2020'!$K388)</f>
        <v>540</v>
      </c>
      <c r="AI388" s="618">
        <f>SUMIFS(Нормативы!U:U,Нормативы!$B:$B,$G388,Нормативы!$D:$D,'2020'!$I388,Нормативы!$F:$F,'2020'!$K388)</f>
        <v>770</v>
      </c>
      <c r="AJ388" s="618">
        <f>SUMIFS(Нормативы!V:V,Нормативы!$B:$B,$G388,Нормативы!$D:$D,'2020'!$I388,Нормативы!$F:$F,'2020'!$K388)</f>
        <v>80</v>
      </c>
      <c r="AK388" s="618">
        <f>SUMIFS(Нормативы!W:W,Нормативы!$B:$B,$G388,Нормативы!$D:$D,'2020'!$I388,Нормативы!$F:$F,'2020'!$K388)</f>
        <v>1050</v>
      </c>
      <c r="AL388" s="618">
        <f>SUMIFS(Нормативы!X:X,Нормативы!$B:$B,$G388,Нормативы!$D:$D,'2020'!$I388,Нормативы!$F:$F,'2020'!$K388)*O388</f>
        <v>16120</v>
      </c>
      <c r="AM388" s="618">
        <f t="shared" si="1100"/>
        <v>12381</v>
      </c>
      <c r="AN388" s="618">
        <f t="shared" si="1101"/>
        <v>3739</v>
      </c>
      <c r="AO388" s="618">
        <f>SUMIFS(Нормативы!AA:AA,Нормативы!$B:$B,$G388,Нормативы!$D:$D,'2020'!$I388,Нормативы!$F:$F,'2020'!$K388)</f>
        <v>3520</v>
      </c>
      <c r="AP388" s="619">
        <f t="shared" si="1102"/>
        <v>130740</v>
      </c>
      <c r="AQ388" s="413">
        <f t="shared" si="1040"/>
        <v>36203160</v>
      </c>
      <c r="AR388" s="618">
        <f t="shared" si="1103"/>
        <v>27805806.5</v>
      </c>
      <c r="AS388" s="618">
        <f t="shared" si="1104"/>
        <v>8397353.5</v>
      </c>
      <c r="AT388" s="616">
        <f t="shared" si="1041"/>
        <v>4980120</v>
      </c>
      <c r="AU388" s="616">
        <f t="shared" si="1042"/>
        <v>996024</v>
      </c>
      <c r="AV388" s="616">
        <f t="shared" si="1043"/>
        <v>4574040</v>
      </c>
      <c r="AW388" s="616">
        <f t="shared" si="1044"/>
        <v>10744200</v>
      </c>
      <c r="AX388" s="616">
        <f t="shared" si="1045"/>
        <v>293280</v>
      </c>
      <c r="AY388" s="616">
        <f t="shared" si="1046"/>
        <v>9751560</v>
      </c>
      <c r="AZ388" s="616">
        <f t="shared" si="1047"/>
        <v>203040</v>
      </c>
      <c r="BA388" s="616">
        <f t="shared" si="1048"/>
        <v>496320</v>
      </c>
      <c r="BB388" s="616">
        <f t="shared" si="1049"/>
        <v>1511520</v>
      </c>
      <c r="BC388" s="616">
        <f t="shared" si="1050"/>
        <v>3271200</v>
      </c>
      <c r="BD388" s="616">
        <f t="shared" si="1051"/>
        <v>304560</v>
      </c>
      <c r="BE388" s="616">
        <f t="shared" si="1052"/>
        <v>434280</v>
      </c>
      <c r="BF388" s="616">
        <f t="shared" si="1053"/>
        <v>45120</v>
      </c>
      <c r="BG388" s="616">
        <f t="shared" si="1054"/>
        <v>592200</v>
      </c>
      <c r="BH388" s="616">
        <f t="shared" si="1055"/>
        <v>9091680</v>
      </c>
      <c r="BI388" s="618">
        <f t="shared" si="1105"/>
        <v>6982857.0999999996</v>
      </c>
      <c r="BJ388" s="618">
        <f t="shared" si="1106"/>
        <v>2108822.9</v>
      </c>
      <c r="BK388" s="616">
        <f t="shared" si="1056"/>
        <v>1985280</v>
      </c>
      <c r="BL388" s="620">
        <f t="shared" si="1057"/>
        <v>73737360</v>
      </c>
      <c r="BM388" s="616">
        <f t="shared" si="1058"/>
        <v>49308704</v>
      </c>
      <c r="BN388" s="618">
        <f t="shared" si="1059"/>
        <v>37871508.399999999</v>
      </c>
      <c r="BO388" s="618">
        <f t="shared" si="1060"/>
        <v>11437195.6</v>
      </c>
      <c r="BP388" s="616">
        <f t="shared" si="1107"/>
        <v>4980120</v>
      </c>
      <c r="BQ388" s="616">
        <f t="shared" si="1108"/>
        <v>996024</v>
      </c>
      <c r="BR388" s="616">
        <f t="shared" si="1109"/>
        <v>4574040</v>
      </c>
      <c r="BS388" s="616">
        <f t="shared" si="1061"/>
        <v>10744200</v>
      </c>
      <c r="BT388" s="616">
        <f t="shared" si="1062"/>
        <v>293280</v>
      </c>
      <c r="BU388" s="616">
        <f t="shared" si="1063"/>
        <v>9751560</v>
      </c>
      <c r="BV388" s="616">
        <f t="shared" si="1064"/>
        <v>203040</v>
      </c>
      <c r="BW388" s="616">
        <f t="shared" si="1065"/>
        <v>496320</v>
      </c>
      <c r="BX388" s="616">
        <f t="shared" si="1066"/>
        <v>4465030</v>
      </c>
      <c r="BY388" s="616">
        <f t="shared" si="1067"/>
        <v>3271200</v>
      </c>
      <c r="BZ388" s="616">
        <f t="shared" si="1068"/>
        <v>304560</v>
      </c>
      <c r="CA388" s="616">
        <f t="shared" si="1069"/>
        <v>434280</v>
      </c>
      <c r="CB388" s="616">
        <f t="shared" si="1070"/>
        <v>45120</v>
      </c>
      <c r="CC388" s="616">
        <f t="shared" si="1071"/>
        <v>592200</v>
      </c>
      <c r="CD388" s="616">
        <f t="shared" si="1072"/>
        <v>12382868</v>
      </c>
      <c r="CE388" s="618">
        <f t="shared" si="1110"/>
        <v>9510651.3000000007</v>
      </c>
      <c r="CF388" s="618">
        <f t="shared" si="1111"/>
        <v>2872216.7</v>
      </c>
      <c r="CG388" s="616">
        <f t="shared" si="1073"/>
        <v>1985280</v>
      </c>
      <c r="CH388" s="621">
        <f t="shared" si="1074"/>
        <v>93087602</v>
      </c>
      <c r="CI388" s="88">
        <f t="shared" si="1075"/>
        <v>87426.780100000004</v>
      </c>
      <c r="CJ388" s="90">
        <f t="shared" si="1076"/>
        <v>67148.064499999993</v>
      </c>
      <c r="CK388" s="90">
        <f t="shared" si="1077"/>
        <v>20278.7156</v>
      </c>
      <c r="CL388" s="88">
        <f t="shared" si="1078"/>
        <v>8830</v>
      </c>
      <c r="CM388" s="88">
        <f t="shared" si="1079"/>
        <v>1766</v>
      </c>
      <c r="CN388" s="88">
        <f t="shared" si="1080"/>
        <v>8110</v>
      </c>
      <c r="CO388" s="88">
        <f t="shared" si="1081"/>
        <v>19050</v>
      </c>
      <c r="CP388" s="88">
        <f t="shared" si="1082"/>
        <v>520</v>
      </c>
      <c r="CQ388" s="88">
        <f t="shared" si="1083"/>
        <v>17290</v>
      </c>
      <c r="CR388" s="88">
        <f t="shared" si="1084"/>
        <v>360</v>
      </c>
      <c r="CS388" s="88">
        <f t="shared" si="1085"/>
        <v>880</v>
      </c>
      <c r="CT388" s="88">
        <f t="shared" si="1086"/>
        <v>7916.7199000000001</v>
      </c>
      <c r="CU388" s="88">
        <f t="shared" si="1087"/>
        <v>5800</v>
      </c>
      <c r="CV388" s="88">
        <f t="shared" si="1088"/>
        <v>540</v>
      </c>
      <c r="CW388" s="88">
        <f t="shared" si="1089"/>
        <v>770</v>
      </c>
      <c r="CX388" s="88">
        <f t="shared" si="1090"/>
        <v>80</v>
      </c>
      <c r="CY388" s="88">
        <f t="shared" si="1091"/>
        <v>1050</v>
      </c>
      <c r="CZ388" s="88">
        <f t="shared" si="1092"/>
        <v>21955.439699999999</v>
      </c>
      <c r="DA388" s="90">
        <f t="shared" si="1093"/>
        <v>16862.856899999999</v>
      </c>
      <c r="DB388" s="90">
        <f t="shared" si="1094"/>
        <v>5092.5828000000001</v>
      </c>
      <c r="DC388" s="88">
        <f t="shared" si="1095"/>
        <v>3520</v>
      </c>
      <c r="DD388" s="88">
        <f t="shared" si="1096"/>
        <v>165048.93969999999</v>
      </c>
      <c r="AUV388" s="699">
        <f t="shared" si="890"/>
        <v>87426.78</v>
      </c>
      <c r="AUW388" s="699">
        <f t="shared" si="891"/>
        <v>67148.06</v>
      </c>
      <c r="AUX388" s="699">
        <f t="shared" si="892"/>
        <v>20278.72</v>
      </c>
      <c r="AUY388" s="699">
        <f t="shared" si="1158"/>
        <v>8830</v>
      </c>
      <c r="AUZ388" s="699">
        <f t="shared" si="910"/>
        <v>337178.06</v>
      </c>
      <c r="AVA388" s="699">
        <f t="shared" si="910"/>
        <v>71.260000000000005</v>
      </c>
      <c r="AVB388" s="699">
        <f t="shared" si="1159"/>
        <v>19050</v>
      </c>
      <c r="AVC388" s="699">
        <f t="shared" si="1160"/>
        <v>520</v>
      </c>
      <c r="AVD388" s="699">
        <f t="shared" si="1161"/>
        <v>17290</v>
      </c>
      <c r="AVE388" s="699">
        <f t="shared" si="1162"/>
        <v>360</v>
      </c>
      <c r="AVF388" s="699">
        <f t="shared" si="1163"/>
        <v>880</v>
      </c>
      <c r="AVG388" s="699">
        <f t="shared" si="1164"/>
        <v>7916.72</v>
      </c>
      <c r="AVH388" s="699">
        <f t="shared" si="1165"/>
        <v>5800</v>
      </c>
      <c r="AVI388" s="699">
        <f t="shared" si="1166"/>
        <v>540</v>
      </c>
      <c r="AVJ388" s="699">
        <f t="shared" si="1167"/>
        <v>770</v>
      </c>
      <c r="AVK388" s="699">
        <f t="shared" si="1168"/>
        <v>80</v>
      </c>
      <c r="AVL388" s="699">
        <f t="shared" si="1169"/>
        <v>1050</v>
      </c>
      <c r="AVM388" s="699">
        <f t="shared" si="1170"/>
        <v>21955.439999999999</v>
      </c>
      <c r="AVN388" s="699">
        <f t="shared" si="1171"/>
        <v>16862.86</v>
      </c>
      <c r="AVO388" s="699">
        <f t="shared" si="1172"/>
        <v>5092.58</v>
      </c>
      <c r="AVP388" s="699">
        <f t="shared" si="1173"/>
        <v>3520</v>
      </c>
      <c r="AVQ388" s="699">
        <f t="shared" si="1174"/>
        <v>165048.94</v>
      </c>
    </row>
    <row r="389" spans="1:108 1244:1265" ht="30" customHeight="1" x14ac:dyDescent="0.25">
      <c r="A389" s="643">
        <v>1</v>
      </c>
      <c r="B389" s="643">
        <v>10</v>
      </c>
      <c r="C389" s="664" t="s">
        <v>251</v>
      </c>
      <c r="D389" s="2"/>
      <c r="E389" s="101" t="s">
        <v>344</v>
      </c>
      <c r="F389" s="643" t="s">
        <v>31</v>
      </c>
      <c r="G389" s="643">
        <v>1</v>
      </c>
      <c r="H389" s="658" t="s">
        <v>10</v>
      </c>
      <c r="I389" s="643">
        <v>0</v>
      </c>
      <c r="J389" s="101" t="s">
        <v>356</v>
      </c>
      <c r="K389" s="643">
        <v>3</v>
      </c>
      <c r="L389" s="683" t="s">
        <v>349</v>
      </c>
      <c r="M389" s="11" t="s">
        <v>256</v>
      </c>
      <c r="N389" s="101" t="s">
        <v>401</v>
      </c>
      <c r="O389" s="643">
        <v>2</v>
      </c>
      <c r="P389" s="632">
        <v>6</v>
      </c>
      <c r="Q389" s="632">
        <v>6</v>
      </c>
      <c r="R389" s="632">
        <v>6</v>
      </c>
      <c r="S389" s="675">
        <f>SUMIF('Территориальный кк'!$A:$A,'2020'!$B389,'Территориальный кк'!D:D)</f>
        <v>1.3620000000000001</v>
      </c>
      <c r="T389" s="676">
        <f>SUMIF('Территориальный кк'!$A:$A,'2020'!$B389,'Территориальный кк'!E:E)</f>
        <v>2.9540000000000002</v>
      </c>
      <c r="U389" s="618">
        <f>SUMIFS(Нормативы!G:G,Нормативы!$B:$B,$G389,Нормативы!$D:$D,'2020'!$I389,Нормативы!$F:$F,'2020'!$K389)*O389</f>
        <v>128380</v>
      </c>
      <c r="V389" s="618">
        <f t="shared" si="1097"/>
        <v>98602.2</v>
      </c>
      <c r="W389" s="618">
        <f t="shared" si="1098"/>
        <v>29777.8</v>
      </c>
      <c r="X389" s="618">
        <f>SUMIFS(Нормативы!J:J,Нормативы!$B:$B,$G389,Нормативы!$D:$D,'2020'!$I389,Нормативы!$F:$F,'2020'!$K389)</f>
        <v>8830</v>
      </c>
      <c r="Y389" s="618">
        <f>SUMIFS(Нормативы!K:K,Нормативы!$B:$B,$G389,Нормативы!$D:$D,'2020'!$I389,Нормативы!$F:$F,'2020'!$K389)</f>
        <v>1766</v>
      </c>
      <c r="Z389" s="618">
        <f>SUMIFS(Нормативы!L:L,Нормативы!$B:$B,$G389,Нормативы!$D:$D,'2020'!$I389,Нормативы!$F:$F,'2020'!$K389)</f>
        <v>8110</v>
      </c>
      <c r="AA389" s="618">
        <f t="shared" si="1099"/>
        <v>19930</v>
      </c>
      <c r="AB389" s="618">
        <f>SUMIFS(Нормативы!N:N,Нормативы!$B:$B,$G389,Нормативы!$D:$D,'2020'!$I389,Нормативы!$F:$F,'2020'!$K389)*O389</f>
        <v>1040</v>
      </c>
      <c r="AC389" s="618">
        <f>SUMIFS(Нормативы!O:O,Нормативы!$B:$B,$G389,Нормативы!$D:$D,'2020'!$I389,Нормативы!$F:$F,'2020'!$K389)</f>
        <v>17290</v>
      </c>
      <c r="AD389" s="618">
        <f>SUMIFS(Нормативы!P:P,Нормативы!$B:$B,$G389,Нормативы!$D:$D,'2020'!$I389,Нормативы!$F:$F,'2020'!$K389)*O389</f>
        <v>720</v>
      </c>
      <c r="AE389" s="618">
        <f>SUMIFS(Нормативы!Q:Q,Нормативы!$B:$B,$G389,Нормативы!$D:$D,'2020'!$I389,Нормативы!$F:$F,'2020'!$K389)</f>
        <v>880</v>
      </c>
      <c r="AF389" s="618">
        <f>SUMIFS(Нормативы!R:R,Нормативы!$B:$B,$G389,Нормативы!$D:$D,'2020'!$I389,Нормативы!$F:$F,'2020'!$K389)</f>
        <v>2680</v>
      </c>
      <c r="AG389" s="618">
        <f>SUMIFS(Нормативы!S:S,Нормативы!$B:$B,$G389,Нормативы!$D:$D,'2020'!$I389,Нормативы!$F:$F,'2020'!$K389)</f>
        <v>5800</v>
      </c>
      <c r="AH389" s="618">
        <f>SUMIFS(Нормативы!T:T,Нормативы!$B:$B,$G389,Нормативы!$D:$D,'2020'!$I389,Нормативы!$F:$F,'2020'!$K389)</f>
        <v>540</v>
      </c>
      <c r="AI389" s="618">
        <f>SUMIFS(Нормативы!U:U,Нормативы!$B:$B,$G389,Нормативы!$D:$D,'2020'!$I389,Нормативы!$F:$F,'2020'!$K389)</f>
        <v>770</v>
      </c>
      <c r="AJ389" s="618">
        <f>SUMIFS(Нормативы!V:V,Нормативы!$B:$B,$G389,Нормативы!$D:$D,'2020'!$I389,Нормативы!$F:$F,'2020'!$K389)</f>
        <v>80</v>
      </c>
      <c r="AK389" s="618">
        <f>SUMIFS(Нормативы!W:W,Нормативы!$B:$B,$G389,Нормативы!$D:$D,'2020'!$I389,Нормативы!$F:$F,'2020'!$K389)</f>
        <v>1050</v>
      </c>
      <c r="AL389" s="618">
        <f>SUMIFS(Нормативы!X:X,Нормативы!$B:$B,$G389,Нормативы!$D:$D,'2020'!$I389,Нормативы!$F:$F,'2020'!$K389)*O389</f>
        <v>32240</v>
      </c>
      <c r="AM389" s="618">
        <f t="shared" si="1100"/>
        <v>24761.9</v>
      </c>
      <c r="AN389" s="618">
        <f t="shared" si="1101"/>
        <v>7478.1</v>
      </c>
      <c r="AO389" s="618">
        <f>SUMIFS(Нормативы!AA:AA,Нормативы!$B:$B,$G389,Нормативы!$D:$D,'2020'!$I389,Нормативы!$F:$F,'2020'!$K389)</f>
        <v>3520</v>
      </c>
      <c r="AP389" s="619">
        <f t="shared" si="1102"/>
        <v>211930</v>
      </c>
      <c r="AQ389" s="413">
        <f t="shared" si="1040"/>
        <v>770280</v>
      </c>
      <c r="AR389" s="618">
        <f t="shared" si="1103"/>
        <v>591612.9</v>
      </c>
      <c r="AS389" s="618">
        <f t="shared" si="1104"/>
        <v>178667.1</v>
      </c>
      <c r="AT389" s="616">
        <f t="shared" si="1041"/>
        <v>52980</v>
      </c>
      <c r="AU389" s="616">
        <f t="shared" si="1042"/>
        <v>10596</v>
      </c>
      <c r="AV389" s="616">
        <f t="shared" si="1043"/>
        <v>48660</v>
      </c>
      <c r="AW389" s="616">
        <f t="shared" si="1044"/>
        <v>119580</v>
      </c>
      <c r="AX389" s="616">
        <f t="shared" si="1045"/>
        <v>6240</v>
      </c>
      <c r="AY389" s="616">
        <f t="shared" si="1046"/>
        <v>103740</v>
      </c>
      <c r="AZ389" s="616">
        <f t="shared" si="1047"/>
        <v>4320</v>
      </c>
      <c r="BA389" s="616">
        <f t="shared" si="1048"/>
        <v>5280</v>
      </c>
      <c r="BB389" s="616">
        <f t="shared" si="1049"/>
        <v>16080</v>
      </c>
      <c r="BC389" s="616">
        <f t="shared" si="1050"/>
        <v>34800</v>
      </c>
      <c r="BD389" s="616">
        <f t="shared" si="1051"/>
        <v>3240</v>
      </c>
      <c r="BE389" s="616">
        <f t="shared" si="1052"/>
        <v>4620</v>
      </c>
      <c r="BF389" s="616">
        <f t="shared" si="1053"/>
        <v>480</v>
      </c>
      <c r="BG389" s="616">
        <f t="shared" si="1054"/>
        <v>6300</v>
      </c>
      <c r="BH389" s="616">
        <f t="shared" si="1055"/>
        <v>193440</v>
      </c>
      <c r="BI389" s="618">
        <f t="shared" si="1105"/>
        <v>148571.4</v>
      </c>
      <c r="BJ389" s="618">
        <f t="shared" si="1106"/>
        <v>44868.6</v>
      </c>
      <c r="BK389" s="616">
        <f t="shared" si="1056"/>
        <v>21120</v>
      </c>
      <c r="BL389" s="620">
        <f t="shared" si="1057"/>
        <v>1271580</v>
      </c>
      <c r="BM389" s="616">
        <f t="shared" si="1058"/>
        <v>1049121</v>
      </c>
      <c r="BN389" s="618">
        <f t="shared" si="1059"/>
        <v>805776.5</v>
      </c>
      <c r="BO389" s="618">
        <f t="shared" si="1060"/>
        <v>243344.5</v>
      </c>
      <c r="BP389" s="616">
        <f t="shared" si="1107"/>
        <v>52980</v>
      </c>
      <c r="BQ389" s="616">
        <f t="shared" si="1108"/>
        <v>10596</v>
      </c>
      <c r="BR389" s="616">
        <f t="shared" si="1109"/>
        <v>48660</v>
      </c>
      <c r="BS389" s="616">
        <f t="shared" si="1061"/>
        <v>119580</v>
      </c>
      <c r="BT389" s="616">
        <f t="shared" si="1062"/>
        <v>6240</v>
      </c>
      <c r="BU389" s="616">
        <f t="shared" si="1063"/>
        <v>103740</v>
      </c>
      <c r="BV389" s="616">
        <f t="shared" si="1064"/>
        <v>4320</v>
      </c>
      <c r="BW389" s="616">
        <f t="shared" si="1065"/>
        <v>5280</v>
      </c>
      <c r="BX389" s="616">
        <f t="shared" si="1066"/>
        <v>47500</v>
      </c>
      <c r="BY389" s="616">
        <f t="shared" si="1067"/>
        <v>34800</v>
      </c>
      <c r="BZ389" s="616">
        <f t="shared" si="1068"/>
        <v>3240</v>
      </c>
      <c r="CA389" s="616">
        <f t="shared" si="1069"/>
        <v>4620</v>
      </c>
      <c r="CB389" s="616">
        <f t="shared" si="1070"/>
        <v>480</v>
      </c>
      <c r="CC389" s="616">
        <f t="shared" si="1071"/>
        <v>6300</v>
      </c>
      <c r="CD389" s="616">
        <f t="shared" si="1072"/>
        <v>263465</v>
      </c>
      <c r="CE389" s="618">
        <f t="shared" si="1110"/>
        <v>202354.1</v>
      </c>
      <c r="CF389" s="618">
        <f t="shared" si="1111"/>
        <v>61110.9</v>
      </c>
      <c r="CG389" s="616">
        <f t="shared" si="1073"/>
        <v>21120</v>
      </c>
      <c r="CH389" s="621">
        <f t="shared" si="1074"/>
        <v>1651866</v>
      </c>
      <c r="CI389" s="88">
        <f t="shared" si="1075"/>
        <v>174853.5</v>
      </c>
      <c r="CJ389" s="90">
        <f t="shared" si="1076"/>
        <v>134296.0833</v>
      </c>
      <c r="CK389" s="90">
        <f t="shared" si="1077"/>
        <v>40557.416700000002</v>
      </c>
      <c r="CL389" s="88">
        <f t="shared" si="1078"/>
        <v>8830</v>
      </c>
      <c r="CM389" s="88">
        <f t="shared" si="1079"/>
        <v>1766</v>
      </c>
      <c r="CN389" s="88">
        <f t="shared" si="1080"/>
        <v>8110</v>
      </c>
      <c r="CO389" s="88">
        <f t="shared" si="1081"/>
        <v>19930</v>
      </c>
      <c r="CP389" s="88">
        <f t="shared" si="1082"/>
        <v>1040</v>
      </c>
      <c r="CQ389" s="88">
        <f t="shared" si="1083"/>
        <v>17290</v>
      </c>
      <c r="CR389" s="88">
        <f t="shared" si="1084"/>
        <v>720</v>
      </c>
      <c r="CS389" s="88">
        <f t="shared" si="1085"/>
        <v>880</v>
      </c>
      <c r="CT389" s="88">
        <f t="shared" si="1086"/>
        <v>7916.6666999999998</v>
      </c>
      <c r="CU389" s="88">
        <f t="shared" si="1087"/>
        <v>5800</v>
      </c>
      <c r="CV389" s="88">
        <f t="shared" si="1088"/>
        <v>540</v>
      </c>
      <c r="CW389" s="88">
        <f t="shared" si="1089"/>
        <v>770</v>
      </c>
      <c r="CX389" s="88">
        <f t="shared" si="1090"/>
        <v>80</v>
      </c>
      <c r="CY389" s="88">
        <f t="shared" si="1091"/>
        <v>1050</v>
      </c>
      <c r="CZ389" s="88">
        <f t="shared" si="1092"/>
        <v>43910.833299999998</v>
      </c>
      <c r="DA389" s="90">
        <f t="shared" si="1093"/>
        <v>33725.683299999997</v>
      </c>
      <c r="DB389" s="90">
        <f t="shared" si="1094"/>
        <v>10185.15</v>
      </c>
      <c r="DC389" s="88">
        <f t="shared" si="1095"/>
        <v>3520</v>
      </c>
      <c r="DD389" s="88">
        <f t="shared" si="1096"/>
        <v>275311</v>
      </c>
      <c r="AUV389" s="699">
        <f t="shared" si="890"/>
        <v>174853.5</v>
      </c>
      <c r="AUW389" s="699">
        <f t="shared" si="891"/>
        <v>134296.07999999999</v>
      </c>
      <c r="AUX389" s="699">
        <f t="shared" si="892"/>
        <v>40557.42</v>
      </c>
      <c r="AUY389" s="699">
        <f t="shared" si="1158"/>
        <v>8830</v>
      </c>
      <c r="AUZ389" s="699">
        <f t="shared" si="910"/>
        <v>3587</v>
      </c>
      <c r="AVA389" s="699">
        <f t="shared" si="910"/>
        <v>0.38</v>
      </c>
      <c r="AVB389" s="699">
        <f t="shared" si="1159"/>
        <v>19930</v>
      </c>
      <c r="AVC389" s="699">
        <f t="shared" si="1160"/>
        <v>1040</v>
      </c>
      <c r="AVD389" s="699">
        <f t="shared" si="1161"/>
        <v>17290</v>
      </c>
      <c r="AVE389" s="699">
        <f t="shared" si="1162"/>
        <v>720</v>
      </c>
      <c r="AVF389" s="699">
        <f t="shared" si="1163"/>
        <v>880</v>
      </c>
      <c r="AVG389" s="699">
        <f t="shared" si="1164"/>
        <v>7916.67</v>
      </c>
      <c r="AVH389" s="699">
        <f t="shared" si="1165"/>
        <v>5800</v>
      </c>
      <c r="AVI389" s="699">
        <f t="shared" si="1166"/>
        <v>540</v>
      </c>
      <c r="AVJ389" s="699">
        <f t="shared" si="1167"/>
        <v>770</v>
      </c>
      <c r="AVK389" s="699">
        <f t="shared" si="1168"/>
        <v>80</v>
      </c>
      <c r="AVL389" s="699">
        <f t="shared" si="1169"/>
        <v>1050</v>
      </c>
      <c r="AVM389" s="699">
        <f t="shared" si="1170"/>
        <v>43910.83</v>
      </c>
      <c r="AVN389" s="699">
        <f t="shared" si="1171"/>
        <v>33725.68</v>
      </c>
      <c r="AVO389" s="699">
        <f t="shared" si="1172"/>
        <v>10185.15</v>
      </c>
      <c r="AVP389" s="699">
        <f t="shared" si="1173"/>
        <v>3520</v>
      </c>
      <c r="AVQ389" s="699">
        <f t="shared" si="1174"/>
        <v>275311</v>
      </c>
    </row>
    <row r="390" spans="1:108 1244:1265" ht="30" customHeight="1" x14ac:dyDescent="0.25">
      <c r="A390" s="643">
        <v>1</v>
      </c>
      <c r="B390" s="643">
        <v>10</v>
      </c>
      <c r="C390" s="664" t="s">
        <v>251</v>
      </c>
      <c r="D390" s="2"/>
      <c r="E390" s="101" t="s">
        <v>344</v>
      </c>
      <c r="F390" s="643" t="s">
        <v>31</v>
      </c>
      <c r="G390" s="643">
        <v>1</v>
      </c>
      <c r="H390" s="658" t="s">
        <v>8</v>
      </c>
      <c r="I390" s="643">
        <v>3</v>
      </c>
      <c r="J390" s="101" t="s">
        <v>356</v>
      </c>
      <c r="K390" s="643">
        <v>3</v>
      </c>
      <c r="L390" s="683" t="s">
        <v>349</v>
      </c>
      <c r="M390" s="11" t="s">
        <v>257</v>
      </c>
      <c r="N390" s="101" t="s">
        <v>387</v>
      </c>
      <c r="O390" s="643">
        <v>1</v>
      </c>
      <c r="P390" s="632">
        <v>186</v>
      </c>
      <c r="Q390" s="632">
        <v>186</v>
      </c>
      <c r="R390" s="632">
        <v>186</v>
      </c>
      <c r="S390" s="675">
        <f>SUMIF('Территориальный кк'!$A:$A,'2020'!$B390,'Территориальный кк'!D:D)</f>
        <v>1.3620000000000001</v>
      </c>
      <c r="T390" s="676">
        <f>SUMIF('Территориальный кк'!$A:$A,'2020'!$B390,'Территориальный кк'!E:E)</f>
        <v>2.9540000000000002</v>
      </c>
      <c r="U390" s="618">
        <f>SUMIFS(Нормативы!G:G,Нормативы!$B:$B,$G390,Нормативы!$D:$D,'2020'!$I390,Нормативы!$F:$F,'2020'!$K390)*O390</f>
        <v>6419</v>
      </c>
      <c r="V390" s="618">
        <f t="shared" si="1097"/>
        <v>4930.1000000000004</v>
      </c>
      <c r="W390" s="618">
        <f t="shared" si="1098"/>
        <v>1488.9</v>
      </c>
      <c r="X390" s="618">
        <f>SUMIFS(Нормативы!J:J,Нормативы!$B:$B,$G390,Нормативы!$D:$D,'2020'!$I390,Нормативы!$F:$F,'2020'!$K390)</f>
        <v>883</v>
      </c>
      <c r="Y390" s="618">
        <f>SUMIFS(Нормативы!K:K,Нормативы!$B:$B,$G390,Нормативы!$D:$D,'2020'!$I390,Нормативы!$F:$F,'2020'!$K390)</f>
        <v>177</v>
      </c>
      <c r="Z390" s="618">
        <f>SUMIFS(Нормативы!L:L,Нормативы!$B:$B,$G390,Нормативы!$D:$D,'2020'!$I390,Нормативы!$F:$F,'2020'!$K390)</f>
        <v>811</v>
      </c>
      <c r="AA390" s="618">
        <f t="shared" si="1099"/>
        <v>1905</v>
      </c>
      <c r="AB390" s="618">
        <f>SUMIFS(Нормативы!N:N,Нормативы!$B:$B,$G390,Нормативы!$D:$D,'2020'!$I390,Нормативы!$F:$F,'2020'!$K390)*O390</f>
        <v>52</v>
      </c>
      <c r="AC390" s="618">
        <f>SUMIFS(Нормативы!O:O,Нормативы!$B:$B,$G390,Нормативы!$D:$D,'2020'!$I390,Нормативы!$F:$F,'2020'!$K390)</f>
        <v>1729</v>
      </c>
      <c r="AD390" s="618">
        <f>SUMIFS(Нормативы!P:P,Нормативы!$B:$B,$G390,Нормативы!$D:$D,'2020'!$I390,Нормативы!$F:$F,'2020'!$K390)*O390</f>
        <v>36</v>
      </c>
      <c r="AE390" s="618">
        <f>SUMIFS(Нормативы!Q:Q,Нормативы!$B:$B,$G390,Нормативы!$D:$D,'2020'!$I390,Нормативы!$F:$F,'2020'!$K390)</f>
        <v>88</v>
      </c>
      <c r="AF390" s="618">
        <f>SUMIFS(Нормативы!R:R,Нормативы!$B:$B,$G390,Нормативы!$D:$D,'2020'!$I390,Нормативы!$F:$F,'2020'!$K390)</f>
        <v>268</v>
      </c>
      <c r="AG390" s="618">
        <f>SUMIFS(Нормативы!S:S,Нормативы!$B:$B,$G390,Нормативы!$D:$D,'2020'!$I390,Нормативы!$F:$F,'2020'!$K390)</f>
        <v>580</v>
      </c>
      <c r="AH390" s="618">
        <f>SUMIFS(Нормативы!T:T,Нормативы!$B:$B,$G390,Нормативы!$D:$D,'2020'!$I390,Нормативы!$F:$F,'2020'!$K390)</f>
        <v>54</v>
      </c>
      <c r="AI390" s="618">
        <f>SUMIFS(Нормативы!U:U,Нормативы!$B:$B,$G390,Нормативы!$D:$D,'2020'!$I390,Нормативы!$F:$F,'2020'!$K390)</f>
        <v>77</v>
      </c>
      <c r="AJ390" s="618">
        <f>SUMIFS(Нормативы!V:V,Нормативы!$B:$B,$G390,Нормативы!$D:$D,'2020'!$I390,Нормативы!$F:$F,'2020'!$K390)</f>
        <v>8</v>
      </c>
      <c r="AK390" s="618">
        <f>SUMIFS(Нормативы!W:W,Нормативы!$B:$B,$G390,Нормативы!$D:$D,'2020'!$I390,Нормативы!$F:$F,'2020'!$K390)</f>
        <v>105</v>
      </c>
      <c r="AL390" s="618">
        <f>SUMIFS(Нормативы!X:X,Нормативы!$B:$B,$G390,Нормативы!$D:$D,'2020'!$I390,Нормативы!$F:$F,'2020'!$K390)*O390</f>
        <v>1612</v>
      </c>
      <c r="AM390" s="618">
        <f t="shared" si="1100"/>
        <v>1238.0999999999999</v>
      </c>
      <c r="AN390" s="618">
        <f t="shared" si="1101"/>
        <v>373.9</v>
      </c>
      <c r="AO390" s="618">
        <f>SUMIFS(Нормативы!AA:AA,Нормативы!$B:$B,$G390,Нормативы!$D:$D,'2020'!$I390,Нормативы!$F:$F,'2020'!$K390)</f>
        <v>0</v>
      </c>
      <c r="AP390" s="619">
        <f t="shared" si="1102"/>
        <v>12722</v>
      </c>
      <c r="AQ390" s="413">
        <f t="shared" si="1040"/>
        <v>1193934</v>
      </c>
      <c r="AR390" s="618">
        <f t="shared" si="1103"/>
        <v>917000</v>
      </c>
      <c r="AS390" s="618">
        <f t="shared" si="1104"/>
        <v>276934</v>
      </c>
      <c r="AT390" s="616">
        <f t="shared" si="1041"/>
        <v>164238</v>
      </c>
      <c r="AU390" s="616">
        <f t="shared" si="1042"/>
        <v>32922</v>
      </c>
      <c r="AV390" s="616">
        <f t="shared" si="1043"/>
        <v>150846</v>
      </c>
      <c r="AW390" s="616">
        <f t="shared" si="1044"/>
        <v>354330</v>
      </c>
      <c r="AX390" s="616">
        <f t="shared" si="1045"/>
        <v>9672</v>
      </c>
      <c r="AY390" s="616">
        <f t="shared" si="1046"/>
        <v>321594</v>
      </c>
      <c r="AZ390" s="616">
        <f t="shared" si="1047"/>
        <v>6696</v>
      </c>
      <c r="BA390" s="616">
        <f t="shared" si="1048"/>
        <v>16368</v>
      </c>
      <c r="BB390" s="616">
        <f t="shared" si="1049"/>
        <v>49848</v>
      </c>
      <c r="BC390" s="616">
        <f t="shared" si="1050"/>
        <v>107880</v>
      </c>
      <c r="BD390" s="616">
        <f t="shared" si="1051"/>
        <v>10044</v>
      </c>
      <c r="BE390" s="616">
        <f t="shared" si="1052"/>
        <v>14322</v>
      </c>
      <c r="BF390" s="616">
        <f t="shared" si="1053"/>
        <v>1488</v>
      </c>
      <c r="BG390" s="616">
        <f t="shared" si="1054"/>
        <v>19530</v>
      </c>
      <c r="BH390" s="616">
        <f t="shared" si="1055"/>
        <v>299832</v>
      </c>
      <c r="BI390" s="618">
        <f t="shared" si="1105"/>
        <v>230285.7</v>
      </c>
      <c r="BJ390" s="618">
        <f t="shared" si="1106"/>
        <v>69546.3</v>
      </c>
      <c r="BK390" s="616">
        <f t="shared" si="1056"/>
        <v>0</v>
      </c>
      <c r="BL390" s="620">
        <f t="shared" si="1057"/>
        <v>2366292</v>
      </c>
      <c r="BM390" s="616">
        <f t="shared" si="1058"/>
        <v>1626138</v>
      </c>
      <c r="BN390" s="618">
        <f t="shared" si="1059"/>
        <v>1248953.8999999999</v>
      </c>
      <c r="BO390" s="618">
        <f t="shared" si="1060"/>
        <v>377184.1</v>
      </c>
      <c r="BP390" s="616">
        <f t="shared" si="1107"/>
        <v>164238</v>
      </c>
      <c r="BQ390" s="616">
        <f t="shared" si="1108"/>
        <v>32922</v>
      </c>
      <c r="BR390" s="616">
        <f t="shared" si="1109"/>
        <v>150846</v>
      </c>
      <c r="BS390" s="616">
        <f t="shared" si="1061"/>
        <v>354330</v>
      </c>
      <c r="BT390" s="616">
        <f t="shared" si="1062"/>
        <v>9672</v>
      </c>
      <c r="BU390" s="616">
        <f t="shared" si="1063"/>
        <v>321594</v>
      </c>
      <c r="BV390" s="616">
        <f t="shared" si="1064"/>
        <v>6696</v>
      </c>
      <c r="BW390" s="616">
        <f t="shared" si="1065"/>
        <v>16368</v>
      </c>
      <c r="BX390" s="616">
        <f t="shared" si="1066"/>
        <v>147251</v>
      </c>
      <c r="BY390" s="616">
        <f t="shared" si="1067"/>
        <v>107880</v>
      </c>
      <c r="BZ390" s="616">
        <f t="shared" si="1068"/>
        <v>10044</v>
      </c>
      <c r="CA390" s="616">
        <f t="shared" si="1069"/>
        <v>14322</v>
      </c>
      <c r="CB390" s="616">
        <f t="shared" si="1070"/>
        <v>1488</v>
      </c>
      <c r="CC390" s="616">
        <f t="shared" si="1071"/>
        <v>19530</v>
      </c>
      <c r="CD390" s="616">
        <f t="shared" si="1072"/>
        <v>408371</v>
      </c>
      <c r="CE390" s="618">
        <f t="shared" si="1110"/>
        <v>313649</v>
      </c>
      <c r="CF390" s="618">
        <f t="shared" si="1111"/>
        <v>94722</v>
      </c>
      <c r="CG390" s="616">
        <f t="shared" si="1073"/>
        <v>0</v>
      </c>
      <c r="CH390" s="621">
        <f t="shared" si="1074"/>
        <v>3004438</v>
      </c>
      <c r="CI390" s="88">
        <f t="shared" si="1075"/>
        <v>8742.6774000000005</v>
      </c>
      <c r="CJ390" s="90">
        <f t="shared" si="1076"/>
        <v>6714.8059000000003</v>
      </c>
      <c r="CK390" s="90">
        <f t="shared" si="1077"/>
        <v>2027.8715</v>
      </c>
      <c r="CL390" s="88">
        <f t="shared" si="1078"/>
        <v>883</v>
      </c>
      <c r="CM390" s="88">
        <f t="shared" si="1079"/>
        <v>177</v>
      </c>
      <c r="CN390" s="88">
        <f t="shared" si="1080"/>
        <v>811</v>
      </c>
      <c r="CO390" s="88">
        <f t="shared" si="1081"/>
        <v>1905</v>
      </c>
      <c r="CP390" s="88">
        <f t="shared" si="1082"/>
        <v>52</v>
      </c>
      <c r="CQ390" s="88">
        <f t="shared" si="1083"/>
        <v>1729</v>
      </c>
      <c r="CR390" s="88">
        <f t="shared" si="1084"/>
        <v>36</v>
      </c>
      <c r="CS390" s="88">
        <f t="shared" si="1085"/>
        <v>88</v>
      </c>
      <c r="CT390" s="88">
        <f t="shared" si="1086"/>
        <v>791.67200000000003</v>
      </c>
      <c r="CU390" s="88">
        <f t="shared" si="1087"/>
        <v>580</v>
      </c>
      <c r="CV390" s="88">
        <f t="shared" si="1088"/>
        <v>54</v>
      </c>
      <c r="CW390" s="88">
        <f t="shared" si="1089"/>
        <v>77</v>
      </c>
      <c r="CX390" s="88">
        <f t="shared" si="1090"/>
        <v>8</v>
      </c>
      <c r="CY390" s="88">
        <f t="shared" si="1091"/>
        <v>105</v>
      </c>
      <c r="CZ390" s="88">
        <f t="shared" si="1092"/>
        <v>2195.5430000000001</v>
      </c>
      <c r="DA390" s="90">
        <f t="shared" si="1093"/>
        <v>1686.2849000000001</v>
      </c>
      <c r="DB390" s="90">
        <f t="shared" si="1094"/>
        <v>509.25810000000001</v>
      </c>
      <c r="DC390" s="88">
        <f t="shared" si="1095"/>
        <v>0</v>
      </c>
      <c r="DD390" s="88">
        <f t="shared" si="1096"/>
        <v>16152.8925</v>
      </c>
      <c r="AUV390" s="699">
        <f t="shared" si="890"/>
        <v>8742.68</v>
      </c>
      <c r="AUW390" s="699">
        <f t="shared" si="891"/>
        <v>6714.81</v>
      </c>
      <c r="AUX390" s="699">
        <f t="shared" si="892"/>
        <v>2027.87</v>
      </c>
      <c r="AUY390" s="699">
        <f t="shared" si="1158"/>
        <v>883</v>
      </c>
      <c r="AUZ390" s="699">
        <f t="shared" si="910"/>
        <v>11144.89</v>
      </c>
      <c r="AVA390" s="699">
        <f t="shared" si="910"/>
        <v>23.5</v>
      </c>
      <c r="AVB390" s="699">
        <f t="shared" si="1159"/>
        <v>1905</v>
      </c>
      <c r="AVC390" s="699">
        <f t="shared" si="1160"/>
        <v>52</v>
      </c>
      <c r="AVD390" s="699">
        <f t="shared" si="1161"/>
        <v>1729</v>
      </c>
      <c r="AVE390" s="699">
        <f t="shared" si="1162"/>
        <v>36</v>
      </c>
      <c r="AVF390" s="699">
        <f t="shared" si="1163"/>
        <v>88</v>
      </c>
      <c r="AVG390" s="699">
        <f t="shared" si="1164"/>
        <v>791.67</v>
      </c>
      <c r="AVH390" s="699">
        <f t="shared" si="1165"/>
        <v>580</v>
      </c>
      <c r="AVI390" s="699">
        <f t="shared" si="1166"/>
        <v>54</v>
      </c>
      <c r="AVJ390" s="699">
        <f t="shared" si="1167"/>
        <v>77</v>
      </c>
      <c r="AVK390" s="699">
        <f t="shared" si="1168"/>
        <v>8</v>
      </c>
      <c r="AVL390" s="699">
        <f t="shared" si="1169"/>
        <v>105</v>
      </c>
      <c r="AVM390" s="699">
        <f t="shared" si="1170"/>
        <v>2195.54</v>
      </c>
      <c r="AVN390" s="699">
        <f t="shared" si="1171"/>
        <v>1686.28</v>
      </c>
      <c r="AVO390" s="699">
        <f t="shared" si="1172"/>
        <v>509.26</v>
      </c>
      <c r="AVP390" s="699">
        <f t="shared" si="1173"/>
        <v>0</v>
      </c>
      <c r="AVQ390" s="699">
        <f t="shared" si="1174"/>
        <v>16152.89</v>
      </c>
    </row>
    <row r="391" spans="1:108 1244:1265" ht="30" customHeight="1" x14ac:dyDescent="0.25">
      <c r="A391" s="643">
        <v>1</v>
      </c>
      <c r="B391" s="643">
        <v>10</v>
      </c>
      <c r="C391" s="664" t="s">
        <v>251</v>
      </c>
      <c r="D391" s="2"/>
      <c r="E391" s="101" t="s">
        <v>344</v>
      </c>
      <c r="F391" s="643" t="s">
        <v>31</v>
      </c>
      <c r="G391" s="643">
        <v>1</v>
      </c>
      <c r="H391" s="658" t="s">
        <v>10</v>
      </c>
      <c r="I391" s="643">
        <v>0</v>
      </c>
      <c r="J391" s="101" t="s">
        <v>357</v>
      </c>
      <c r="K391" s="643">
        <v>3</v>
      </c>
      <c r="L391" s="683" t="s">
        <v>349</v>
      </c>
      <c r="M391" s="11" t="s">
        <v>258</v>
      </c>
      <c r="N391" s="101" t="s">
        <v>387</v>
      </c>
      <c r="O391" s="643">
        <v>1</v>
      </c>
      <c r="P391" s="632">
        <v>68</v>
      </c>
      <c r="Q391" s="632">
        <v>68</v>
      </c>
      <c r="R391" s="632">
        <v>68</v>
      </c>
      <c r="S391" s="675">
        <f>SUMIF('Территориальный кк'!$A:$A,'2020'!$B391,'Территориальный кк'!D:D)</f>
        <v>1.3620000000000001</v>
      </c>
      <c r="T391" s="676">
        <f>SUMIF('Территориальный кк'!$A:$A,'2020'!$B391,'Территориальный кк'!E:E)</f>
        <v>2.9540000000000002</v>
      </c>
      <c r="U391" s="618">
        <f>SUMIFS(Нормативы!G:G,Нормативы!$B:$B,$G391,Нормативы!$D:$D,'2020'!$I391,Нормативы!$F:$F,'2020'!$K391)*O391</f>
        <v>64190</v>
      </c>
      <c r="V391" s="618">
        <f t="shared" si="1097"/>
        <v>49301.1</v>
      </c>
      <c r="W391" s="618">
        <f t="shared" si="1098"/>
        <v>14888.9</v>
      </c>
      <c r="X391" s="618">
        <f>SUMIFS(Нормативы!J:J,Нормативы!$B:$B,$G391,Нормативы!$D:$D,'2020'!$I391,Нормативы!$F:$F,'2020'!$K391)</f>
        <v>8830</v>
      </c>
      <c r="Y391" s="618">
        <f>SUMIFS(Нормативы!K:K,Нормативы!$B:$B,$G391,Нормативы!$D:$D,'2020'!$I391,Нормативы!$F:$F,'2020'!$K391)</f>
        <v>1766</v>
      </c>
      <c r="Z391" s="618">
        <f>SUMIFS(Нормативы!L:L,Нормативы!$B:$B,$G391,Нормативы!$D:$D,'2020'!$I391,Нормативы!$F:$F,'2020'!$K391)</f>
        <v>8110</v>
      </c>
      <c r="AA391" s="618">
        <f t="shared" si="1099"/>
        <v>19050</v>
      </c>
      <c r="AB391" s="618">
        <f>SUMIFS(Нормативы!N:N,Нормативы!$B:$B,$G391,Нормативы!$D:$D,'2020'!$I391,Нормативы!$F:$F,'2020'!$K391)*O391</f>
        <v>520</v>
      </c>
      <c r="AC391" s="618">
        <f>SUMIFS(Нормативы!O:O,Нормативы!$B:$B,$G391,Нормативы!$D:$D,'2020'!$I391,Нормативы!$F:$F,'2020'!$K391)</f>
        <v>17290</v>
      </c>
      <c r="AD391" s="618">
        <f>SUMIFS(Нормативы!P:P,Нормативы!$B:$B,$G391,Нормативы!$D:$D,'2020'!$I391,Нормативы!$F:$F,'2020'!$K391)*O391</f>
        <v>360</v>
      </c>
      <c r="AE391" s="618">
        <f>SUMIFS(Нормативы!Q:Q,Нормативы!$B:$B,$G391,Нормативы!$D:$D,'2020'!$I391,Нормативы!$F:$F,'2020'!$K391)</f>
        <v>880</v>
      </c>
      <c r="AF391" s="618">
        <f>SUMIFS(Нормативы!R:R,Нормативы!$B:$B,$G391,Нормативы!$D:$D,'2020'!$I391,Нормативы!$F:$F,'2020'!$K391)</f>
        <v>2680</v>
      </c>
      <c r="AG391" s="618">
        <f>SUMIFS(Нормативы!S:S,Нормативы!$B:$B,$G391,Нормативы!$D:$D,'2020'!$I391,Нормативы!$F:$F,'2020'!$K391)</f>
        <v>5800</v>
      </c>
      <c r="AH391" s="618">
        <f>SUMIFS(Нормативы!T:T,Нормативы!$B:$B,$G391,Нормативы!$D:$D,'2020'!$I391,Нормативы!$F:$F,'2020'!$K391)</f>
        <v>540</v>
      </c>
      <c r="AI391" s="618">
        <f>SUMIFS(Нормативы!U:U,Нормативы!$B:$B,$G391,Нормативы!$D:$D,'2020'!$I391,Нормативы!$F:$F,'2020'!$K391)</f>
        <v>770</v>
      </c>
      <c r="AJ391" s="618">
        <f>SUMIFS(Нормативы!V:V,Нормативы!$B:$B,$G391,Нормативы!$D:$D,'2020'!$I391,Нормативы!$F:$F,'2020'!$K391)</f>
        <v>80</v>
      </c>
      <c r="AK391" s="618">
        <f>SUMIFS(Нормативы!W:W,Нормативы!$B:$B,$G391,Нормативы!$D:$D,'2020'!$I391,Нормативы!$F:$F,'2020'!$K391)</f>
        <v>1050</v>
      </c>
      <c r="AL391" s="618">
        <f>SUMIFS(Нормативы!X:X,Нормативы!$B:$B,$G391,Нормативы!$D:$D,'2020'!$I391,Нормативы!$F:$F,'2020'!$K391)*O391</f>
        <v>16120</v>
      </c>
      <c r="AM391" s="618">
        <f t="shared" si="1100"/>
        <v>12381</v>
      </c>
      <c r="AN391" s="618">
        <f t="shared" si="1101"/>
        <v>3739</v>
      </c>
      <c r="AO391" s="618">
        <f>SUMIFS(Нормативы!AA:AA,Нормативы!$B:$B,$G391,Нормативы!$D:$D,'2020'!$I391,Нормативы!$F:$F,'2020'!$K391)</f>
        <v>3520</v>
      </c>
      <c r="AP391" s="619">
        <f t="shared" si="1102"/>
        <v>130740</v>
      </c>
      <c r="AQ391" s="413">
        <f t="shared" si="1040"/>
        <v>4364920</v>
      </c>
      <c r="AR391" s="618">
        <f t="shared" si="1103"/>
        <v>3352473.1</v>
      </c>
      <c r="AS391" s="618">
        <f t="shared" si="1104"/>
        <v>1012446.9</v>
      </c>
      <c r="AT391" s="616">
        <f t="shared" si="1041"/>
        <v>600440</v>
      </c>
      <c r="AU391" s="616">
        <f t="shared" si="1042"/>
        <v>120088</v>
      </c>
      <c r="AV391" s="616">
        <f t="shared" si="1043"/>
        <v>551480</v>
      </c>
      <c r="AW391" s="616">
        <f t="shared" si="1044"/>
        <v>1295400</v>
      </c>
      <c r="AX391" s="616">
        <f t="shared" si="1045"/>
        <v>35360</v>
      </c>
      <c r="AY391" s="616">
        <f t="shared" si="1046"/>
        <v>1175720</v>
      </c>
      <c r="AZ391" s="616">
        <f t="shared" si="1047"/>
        <v>24480</v>
      </c>
      <c r="BA391" s="616">
        <f t="shared" si="1048"/>
        <v>59840</v>
      </c>
      <c r="BB391" s="616">
        <f t="shared" si="1049"/>
        <v>182240</v>
      </c>
      <c r="BC391" s="616">
        <f t="shared" si="1050"/>
        <v>394400</v>
      </c>
      <c r="BD391" s="616">
        <f t="shared" si="1051"/>
        <v>36720</v>
      </c>
      <c r="BE391" s="616">
        <f t="shared" si="1052"/>
        <v>52360</v>
      </c>
      <c r="BF391" s="616">
        <f t="shared" si="1053"/>
        <v>5440</v>
      </c>
      <c r="BG391" s="616">
        <f t="shared" si="1054"/>
        <v>71400</v>
      </c>
      <c r="BH391" s="616">
        <f t="shared" si="1055"/>
        <v>1096160</v>
      </c>
      <c r="BI391" s="618">
        <f t="shared" si="1105"/>
        <v>841904.8</v>
      </c>
      <c r="BJ391" s="618">
        <f t="shared" si="1106"/>
        <v>254255.2</v>
      </c>
      <c r="BK391" s="616">
        <f t="shared" si="1056"/>
        <v>239360</v>
      </c>
      <c r="BL391" s="620">
        <f t="shared" si="1057"/>
        <v>8890320</v>
      </c>
      <c r="BM391" s="616">
        <f t="shared" si="1058"/>
        <v>5945021</v>
      </c>
      <c r="BN391" s="618">
        <f t="shared" si="1059"/>
        <v>4566068.4000000004</v>
      </c>
      <c r="BO391" s="618">
        <f t="shared" si="1060"/>
        <v>1378952.6</v>
      </c>
      <c r="BP391" s="616">
        <f t="shared" si="1107"/>
        <v>600440</v>
      </c>
      <c r="BQ391" s="616">
        <f t="shared" si="1108"/>
        <v>120088</v>
      </c>
      <c r="BR391" s="616">
        <f t="shared" si="1109"/>
        <v>551480</v>
      </c>
      <c r="BS391" s="616">
        <f t="shared" si="1061"/>
        <v>1295400</v>
      </c>
      <c r="BT391" s="616">
        <f t="shared" si="1062"/>
        <v>35360</v>
      </c>
      <c r="BU391" s="616">
        <f t="shared" si="1063"/>
        <v>1175720</v>
      </c>
      <c r="BV391" s="616">
        <f t="shared" si="1064"/>
        <v>24480</v>
      </c>
      <c r="BW391" s="616">
        <f t="shared" si="1065"/>
        <v>59840</v>
      </c>
      <c r="BX391" s="616">
        <f t="shared" si="1066"/>
        <v>538337</v>
      </c>
      <c r="BY391" s="616">
        <f t="shared" si="1067"/>
        <v>394400</v>
      </c>
      <c r="BZ391" s="616">
        <f t="shared" si="1068"/>
        <v>36720</v>
      </c>
      <c r="CA391" s="616">
        <f t="shared" si="1069"/>
        <v>52360</v>
      </c>
      <c r="CB391" s="616">
        <f t="shared" si="1070"/>
        <v>5440</v>
      </c>
      <c r="CC391" s="616">
        <f t="shared" si="1071"/>
        <v>71400</v>
      </c>
      <c r="CD391" s="616">
        <f t="shared" si="1072"/>
        <v>1492970</v>
      </c>
      <c r="CE391" s="618">
        <f t="shared" si="1110"/>
        <v>1146674.3</v>
      </c>
      <c r="CF391" s="618">
        <f t="shared" si="1111"/>
        <v>346295.7</v>
      </c>
      <c r="CG391" s="616">
        <f t="shared" si="1073"/>
        <v>239360</v>
      </c>
      <c r="CH391" s="621">
        <f t="shared" si="1074"/>
        <v>11223328</v>
      </c>
      <c r="CI391" s="88">
        <f t="shared" si="1075"/>
        <v>87426.779399999999</v>
      </c>
      <c r="CJ391" s="90">
        <f t="shared" si="1076"/>
        <v>67148.064700000003</v>
      </c>
      <c r="CK391" s="90">
        <f t="shared" si="1077"/>
        <v>20278.7147</v>
      </c>
      <c r="CL391" s="88">
        <f t="shared" si="1078"/>
        <v>8830</v>
      </c>
      <c r="CM391" s="88">
        <f t="shared" si="1079"/>
        <v>1766</v>
      </c>
      <c r="CN391" s="88">
        <f t="shared" si="1080"/>
        <v>8110</v>
      </c>
      <c r="CO391" s="88">
        <f t="shared" si="1081"/>
        <v>19050</v>
      </c>
      <c r="CP391" s="88">
        <f t="shared" si="1082"/>
        <v>520</v>
      </c>
      <c r="CQ391" s="88">
        <f t="shared" si="1083"/>
        <v>17290</v>
      </c>
      <c r="CR391" s="88">
        <f t="shared" si="1084"/>
        <v>360</v>
      </c>
      <c r="CS391" s="88">
        <f t="shared" si="1085"/>
        <v>880</v>
      </c>
      <c r="CT391" s="88">
        <f t="shared" si="1086"/>
        <v>7916.7205999999996</v>
      </c>
      <c r="CU391" s="88">
        <f t="shared" si="1087"/>
        <v>5800</v>
      </c>
      <c r="CV391" s="88">
        <f t="shared" si="1088"/>
        <v>540</v>
      </c>
      <c r="CW391" s="88">
        <f t="shared" si="1089"/>
        <v>770</v>
      </c>
      <c r="CX391" s="88">
        <f t="shared" si="1090"/>
        <v>80</v>
      </c>
      <c r="CY391" s="88">
        <f t="shared" si="1091"/>
        <v>1050</v>
      </c>
      <c r="CZ391" s="88">
        <f t="shared" si="1092"/>
        <v>21955.441200000001</v>
      </c>
      <c r="DA391" s="90">
        <f t="shared" si="1093"/>
        <v>16862.857400000001</v>
      </c>
      <c r="DB391" s="90">
        <f t="shared" si="1094"/>
        <v>5092.5838000000003</v>
      </c>
      <c r="DC391" s="88">
        <f t="shared" si="1095"/>
        <v>3520</v>
      </c>
      <c r="DD391" s="88">
        <f t="shared" si="1096"/>
        <v>165048.9412</v>
      </c>
      <c r="AUV391" s="699">
        <f t="shared" ref="AUV391:AUV454" si="1184">BM391/P391</f>
        <v>87426.78</v>
      </c>
      <c r="AUW391" s="699">
        <f t="shared" ref="AUW391:AUW454" si="1185">AUV391/1.302</f>
        <v>67148.06</v>
      </c>
      <c r="AUX391" s="699">
        <f t="shared" ref="AUX391:AUX454" si="1186">AUV391-AUW391</f>
        <v>20278.72</v>
      </c>
      <c r="AUY391" s="699">
        <f t="shared" si="1158"/>
        <v>8830</v>
      </c>
      <c r="AUZ391" s="699">
        <f t="shared" si="910"/>
        <v>40652.67</v>
      </c>
      <c r="AVA391" s="699">
        <f t="shared" si="910"/>
        <v>8.59</v>
      </c>
      <c r="AVB391" s="699">
        <f t="shared" si="1159"/>
        <v>19050</v>
      </c>
      <c r="AVC391" s="699">
        <f t="shared" si="1160"/>
        <v>520</v>
      </c>
      <c r="AVD391" s="699">
        <f t="shared" si="1161"/>
        <v>17290</v>
      </c>
      <c r="AVE391" s="699">
        <f t="shared" si="1162"/>
        <v>360</v>
      </c>
      <c r="AVF391" s="699">
        <f t="shared" si="1163"/>
        <v>880</v>
      </c>
      <c r="AVG391" s="699">
        <f t="shared" si="1164"/>
        <v>7916.72</v>
      </c>
      <c r="AVH391" s="699">
        <f t="shared" si="1165"/>
        <v>5800</v>
      </c>
      <c r="AVI391" s="699">
        <f t="shared" si="1166"/>
        <v>540</v>
      </c>
      <c r="AVJ391" s="699">
        <f t="shared" si="1167"/>
        <v>770</v>
      </c>
      <c r="AVK391" s="699">
        <f t="shared" si="1168"/>
        <v>80</v>
      </c>
      <c r="AVL391" s="699">
        <f t="shared" si="1169"/>
        <v>1050</v>
      </c>
      <c r="AVM391" s="699">
        <f t="shared" si="1170"/>
        <v>21955.439999999999</v>
      </c>
      <c r="AVN391" s="699">
        <f t="shared" si="1171"/>
        <v>16862.86</v>
      </c>
      <c r="AVO391" s="699">
        <f t="shared" si="1172"/>
        <v>5092.58</v>
      </c>
      <c r="AVP391" s="699">
        <f t="shared" si="1173"/>
        <v>3520</v>
      </c>
      <c r="AVQ391" s="699">
        <f t="shared" si="1174"/>
        <v>165048.94</v>
      </c>
    </row>
    <row r="392" spans="1:108 1244:1265" ht="30" customHeight="1" x14ac:dyDescent="0.25">
      <c r="A392" s="643">
        <v>1</v>
      </c>
      <c r="B392" s="643">
        <v>10</v>
      </c>
      <c r="C392" s="664" t="s">
        <v>251</v>
      </c>
      <c r="D392" s="2"/>
      <c r="E392" s="101" t="s">
        <v>344</v>
      </c>
      <c r="F392" s="643" t="s">
        <v>31</v>
      </c>
      <c r="G392" s="643">
        <v>1</v>
      </c>
      <c r="H392" s="658" t="s">
        <v>10</v>
      </c>
      <c r="I392" s="643">
        <v>0</v>
      </c>
      <c r="J392" s="101" t="s">
        <v>357</v>
      </c>
      <c r="K392" s="643">
        <v>3</v>
      </c>
      <c r="L392" s="683" t="s">
        <v>349</v>
      </c>
      <c r="M392" s="11" t="s">
        <v>259</v>
      </c>
      <c r="N392" s="101" t="s">
        <v>401</v>
      </c>
      <c r="O392" s="643">
        <v>2</v>
      </c>
      <c r="P392" s="632">
        <v>4</v>
      </c>
      <c r="Q392" s="632">
        <v>4</v>
      </c>
      <c r="R392" s="632">
        <v>4</v>
      </c>
      <c r="S392" s="675">
        <f>SUMIF('Территориальный кк'!$A:$A,'2020'!$B392,'Территориальный кк'!D:D)</f>
        <v>1.3620000000000001</v>
      </c>
      <c r="T392" s="676">
        <f>SUMIF('Территориальный кк'!$A:$A,'2020'!$B392,'Территориальный кк'!E:E)</f>
        <v>2.9540000000000002</v>
      </c>
      <c r="U392" s="618">
        <f>SUMIFS(Нормативы!G:G,Нормативы!$B:$B,$G392,Нормативы!$D:$D,'2020'!$I392,Нормативы!$F:$F,'2020'!$K392)*O392</f>
        <v>128380</v>
      </c>
      <c r="V392" s="618">
        <f t="shared" si="1097"/>
        <v>98602.2</v>
      </c>
      <c r="W392" s="618">
        <f t="shared" si="1098"/>
        <v>29777.8</v>
      </c>
      <c r="X392" s="618">
        <f>SUMIFS(Нормативы!J:J,Нормативы!$B:$B,$G392,Нормативы!$D:$D,'2020'!$I392,Нормативы!$F:$F,'2020'!$K392)</f>
        <v>8830</v>
      </c>
      <c r="Y392" s="618">
        <f>SUMIFS(Нормативы!K:K,Нормативы!$B:$B,$G392,Нормативы!$D:$D,'2020'!$I392,Нормативы!$F:$F,'2020'!$K392)</f>
        <v>1766</v>
      </c>
      <c r="Z392" s="618">
        <f>SUMIFS(Нормативы!L:L,Нормативы!$B:$B,$G392,Нормативы!$D:$D,'2020'!$I392,Нормативы!$F:$F,'2020'!$K392)</f>
        <v>8110</v>
      </c>
      <c r="AA392" s="618">
        <f t="shared" si="1099"/>
        <v>19930</v>
      </c>
      <c r="AB392" s="618">
        <f>SUMIFS(Нормативы!N:N,Нормативы!$B:$B,$G392,Нормативы!$D:$D,'2020'!$I392,Нормативы!$F:$F,'2020'!$K392)*O392</f>
        <v>1040</v>
      </c>
      <c r="AC392" s="618">
        <f>SUMIFS(Нормативы!O:O,Нормативы!$B:$B,$G392,Нормативы!$D:$D,'2020'!$I392,Нормативы!$F:$F,'2020'!$K392)</f>
        <v>17290</v>
      </c>
      <c r="AD392" s="618">
        <f>SUMIFS(Нормативы!P:P,Нормативы!$B:$B,$G392,Нормативы!$D:$D,'2020'!$I392,Нормативы!$F:$F,'2020'!$K392)*O392</f>
        <v>720</v>
      </c>
      <c r="AE392" s="618">
        <f>SUMIFS(Нормативы!Q:Q,Нормативы!$B:$B,$G392,Нормативы!$D:$D,'2020'!$I392,Нормативы!$F:$F,'2020'!$K392)</f>
        <v>880</v>
      </c>
      <c r="AF392" s="618">
        <f>SUMIFS(Нормативы!R:R,Нормативы!$B:$B,$G392,Нормативы!$D:$D,'2020'!$I392,Нормативы!$F:$F,'2020'!$K392)</f>
        <v>2680</v>
      </c>
      <c r="AG392" s="618">
        <f>SUMIFS(Нормативы!S:S,Нормативы!$B:$B,$G392,Нормативы!$D:$D,'2020'!$I392,Нормативы!$F:$F,'2020'!$K392)</f>
        <v>5800</v>
      </c>
      <c r="AH392" s="618">
        <f>SUMIFS(Нормативы!T:T,Нормативы!$B:$B,$G392,Нормативы!$D:$D,'2020'!$I392,Нормативы!$F:$F,'2020'!$K392)</f>
        <v>540</v>
      </c>
      <c r="AI392" s="618">
        <f>SUMIFS(Нормативы!U:U,Нормативы!$B:$B,$G392,Нормативы!$D:$D,'2020'!$I392,Нормативы!$F:$F,'2020'!$K392)</f>
        <v>770</v>
      </c>
      <c r="AJ392" s="618">
        <f>SUMIFS(Нормативы!V:V,Нормативы!$B:$B,$G392,Нормативы!$D:$D,'2020'!$I392,Нормативы!$F:$F,'2020'!$K392)</f>
        <v>80</v>
      </c>
      <c r="AK392" s="618">
        <f>SUMIFS(Нормативы!W:W,Нормативы!$B:$B,$G392,Нормативы!$D:$D,'2020'!$I392,Нормативы!$F:$F,'2020'!$K392)</f>
        <v>1050</v>
      </c>
      <c r="AL392" s="618">
        <f>SUMIFS(Нормативы!X:X,Нормативы!$B:$B,$G392,Нормативы!$D:$D,'2020'!$I392,Нормативы!$F:$F,'2020'!$K392)*O392</f>
        <v>32240</v>
      </c>
      <c r="AM392" s="618">
        <f t="shared" si="1100"/>
        <v>24761.9</v>
      </c>
      <c r="AN392" s="618">
        <f t="shared" si="1101"/>
        <v>7478.1</v>
      </c>
      <c r="AO392" s="618">
        <f>SUMIFS(Нормативы!AA:AA,Нормативы!$B:$B,$G392,Нормативы!$D:$D,'2020'!$I392,Нормативы!$F:$F,'2020'!$K392)</f>
        <v>3520</v>
      </c>
      <c r="AP392" s="619">
        <f t="shared" si="1102"/>
        <v>211930</v>
      </c>
      <c r="AQ392" s="413">
        <f t="shared" si="1040"/>
        <v>513520</v>
      </c>
      <c r="AR392" s="618">
        <f t="shared" si="1103"/>
        <v>394408.6</v>
      </c>
      <c r="AS392" s="618">
        <f t="shared" si="1104"/>
        <v>119111.4</v>
      </c>
      <c r="AT392" s="616">
        <f t="shared" si="1041"/>
        <v>35320</v>
      </c>
      <c r="AU392" s="616">
        <f t="shared" si="1042"/>
        <v>7064</v>
      </c>
      <c r="AV392" s="616">
        <f t="shared" si="1043"/>
        <v>32440</v>
      </c>
      <c r="AW392" s="616">
        <f t="shared" si="1044"/>
        <v>79720</v>
      </c>
      <c r="AX392" s="616">
        <f t="shared" si="1045"/>
        <v>4160</v>
      </c>
      <c r="AY392" s="616">
        <f t="shared" si="1046"/>
        <v>69160</v>
      </c>
      <c r="AZ392" s="616">
        <f t="shared" si="1047"/>
        <v>2880</v>
      </c>
      <c r="BA392" s="616">
        <f t="shared" si="1048"/>
        <v>3520</v>
      </c>
      <c r="BB392" s="616">
        <f t="shared" si="1049"/>
        <v>10720</v>
      </c>
      <c r="BC392" s="616">
        <f t="shared" si="1050"/>
        <v>23200</v>
      </c>
      <c r="BD392" s="616">
        <f t="shared" si="1051"/>
        <v>2160</v>
      </c>
      <c r="BE392" s="616">
        <f t="shared" si="1052"/>
        <v>3080</v>
      </c>
      <c r="BF392" s="616">
        <f t="shared" si="1053"/>
        <v>320</v>
      </c>
      <c r="BG392" s="616">
        <f t="shared" si="1054"/>
        <v>4200</v>
      </c>
      <c r="BH392" s="616">
        <f t="shared" si="1055"/>
        <v>128960</v>
      </c>
      <c r="BI392" s="618">
        <f t="shared" si="1105"/>
        <v>99047.6</v>
      </c>
      <c r="BJ392" s="618">
        <f t="shared" si="1106"/>
        <v>29912.400000000001</v>
      </c>
      <c r="BK392" s="616">
        <f t="shared" si="1056"/>
        <v>14080</v>
      </c>
      <c r="BL392" s="620">
        <f t="shared" si="1057"/>
        <v>847720</v>
      </c>
      <c r="BM392" s="616">
        <f t="shared" si="1058"/>
        <v>699414</v>
      </c>
      <c r="BN392" s="618">
        <f t="shared" si="1059"/>
        <v>537184.30000000005</v>
      </c>
      <c r="BO392" s="618">
        <f t="shared" si="1060"/>
        <v>162229.70000000001</v>
      </c>
      <c r="BP392" s="616">
        <f t="shared" si="1107"/>
        <v>35320</v>
      </c>
      <c r="BQ392" s="616">
        <f t="shared" si="1108"/>
        <v>7064</v>
      </c>
      <c r="BR392" s="616">
        <f t="shared" si="1109"/>
        <v>32440</v>
      </c>
      <c r="BS392" s="616">
        <f t="shared" si="1061"/>
        <v>79720</v>
      </c>
      <c r="BT392" s="616">
        <f t="shared" si="1062"/>
        <v>4160</v>
      </c>
      <c r="BU392" s="616">
        <f t="shared" si="1063"/>
        <v>69160</v>
      </c>
      <c r="BV392" s="616">
        <f t="shared" si="1064"/>
        <v>2880</v>
      </c>
      <c r="BW392" s="616">
        <f t="shared" si="1065"/>
        <v>3520</v>
      </c>
      <c r="BX392" s="616">
        <f t="shared" si="1066"/>
        <v>31667</v>
      </c>
      <c r="BY392" s="616">
        <f t="shared" si="1067"/>
        <v>23200</v>
      </c>
      <c r="BZ392" s="616">
        <f t="shared" si="1068"/>
        <v>2160</v>
      </c>
      <c r="CA392" s="616">
        <f t="shared" si="1069"/>
        <v>3080</v>
      </c>
      <c r="CB392" s="616">
        <f t="shared" si="1070"/>
        <v>320</v>
      </c>
      <c r="CC392" s="616">
        <f t="shared" si="1071"/>
        <v>4200</v>
      </c>
      <c r="CD392" s="616">
        <f t="shared" si="1072"/>
        <v>175644</v>
      </c>
      <c r="CE392" s="618">
        <f t="shared" si="1110"/>
        <v>134903.20000000001</v>
      </c>
      <c r="CF392" s="618">
        <f t="shared" si="1111"/>
        <v>40740.800000000003</v>
      </c>
      <c r="CG392" s="616">
        <f t="shared" si="1073"/>
        <v>14080</v>
      </c>
      <c r="CH392" s="621">
        <f t="shared" si="1074"/>
        <v>1101245</v>
      </c>
      <c r="CI392" s="88">
        <f t="shared" si="1075"/>
        <v>174853.5</v>
      </c>
      <c r="CJ392" s="90">
        <f t="shared" si="1076"/>
        <v>134296.07500000001</v>
      </c>
      <c r="CK392" s="90">
        <f t="shared" si="1077"/>
        <v>40557.425000000003</v>
      </c>
      <c r="CL392" s="88">
        <f t="shared" si="1078"/>
        <v>8830</v>
      </c>
      <c r="CM392" s="88">
        <f t="shared" si="1079"/>
        <v>1766</v>
      </c>
      <c r="CN392" s="88">
        <f t="shared" si="1080"/>
        <v>8110</v>
      </c>
      <c r="CO392" s="88">
        <f t="shared" si="1081"/>
        <v>19930</v>
      </c>
      <c r="CP392" s="88">
        <f t="shared" si="1082"/>
        <v>1040</v>
      </c>
      <c r="CQ392" s="88">
        <f t="shared" si="1083"/>
        <v>17290</v>
      </c>
      <c r="CR392" s="88">
        <f t="shared" si="1084"/>
        <v>720</v>
      </c>
      <c r="CS392" s="88">
        <f t="shared" si="1085"/>
        <v>880</v>
      </c>
      <c r="CT392" s="88">
        <f t="shared" si="1086"/>
        <v>7916.75</v>
      </c>
      <c r="CU392" s="88">
        <f t="shared" si="1087"/>
        <v>5800</v>
      </c>
      <c r="CV392" s="88">
        <f t="shared" si="1088"/>
        <v>540</v>
      </c>
      <c r="CW392" s="88">
        <f t="shared" si="1089"/>
        <v>770</v>
      </c>
      <c r="CX392" s="88">
        <f t="shared" si="1090"/>
        <v>80</v>
      </c>
      <c r="CY392" s="88">
        <f t="shared" si="1091"/>
        <v>1050</v>
      </c>
      <c r="CZ392" s="88">
        <f t="shared" si="1092"/>
        <v>43911</v>
      </c>
      <c r="DA392" s="90">
        <f t="shared" si="1093"/>
        <v>33725.800000000003</v>
      </c>
      <c r="DB392" s="90">
        <f t="shared" si="1094"/>
        <v>10185.200000000001</v>
      </c>
      <c r="DC392" s="88">
        <f t="shared" si="1095"/>
        <v>3520</v>
      </c>
      <c r="DD392" s="88">
        <f t="shared" si="1096"/>
        <v>275311.25</v>
      </c>
      <c r="AUV392" s="699">
        <f t="shared" si="1184"/>
        <v>174853.5</v>
      </c>
      <c r="AUW392" s="699">
        <f t="shared" si="1185"/>
        <v>134296.07999999999</v>
      </c>
      <c r="AUX392" s="699">
        <f t="shared" si="1186"/>
        <v>40557.42</v>
      </c>
      <c r="AUY392" s="699">
        <f t="shared" si="1158"/>
        <v>8830</v>
      </c>
      <c r="AUZ392" s="699">
        <f t="shared" si="910"/>
        <v>2391.33</v>
      </c>
      <c r="AVA392" s="699">
        <f t="shared" si="910"/>
        <v>0.25</v>
      </c>
      <c r="AVB392" s="699">
        <f t="shared" si="1159"/>
        <v>19930</v>
      </c>
      <c r="AVC392" s="699">
        <f t="shared" si="1160"/>
        <v>1040</v>
      </c>
      <c r="AVD392" s="699">
        <f t="shared" si="1161"/>
        <v>17290</v>
      </c>
      <c r="AVE392" s="699">
        <f t="shared" si="1162"/>
        <v>720</v>
      </c>
      <c r="AVF392" s="699">
        <f t="shared" si="1163"/>
        <v>880</v>
      </c>
      <c r="AVG392" s="699">
        <f t="shared" si="1164"/>
        <v>7916.75</v>
      </c>
      <c r="AVH392" s="699">
        <f t="shared" si="1165"/>
        <v>5800</v>
      </c>
      <c r="AVI392" s="699">
        <f t="shared" si="1166"/>
        <v>540</v>
      </c>
      <c r="AVJ392" s="699">
        <f t="shared" si="1167"/>
        <v>770</v>
      </c>
      <c r="AVK392" s="699">
        <f t="shared" si="1168"/>
        <v>80</v>
      </c>
      <c r="AVL392" s="699">
        <f t="shared" si="1169"/>
        <v>1050</v>
      </c>
      <c r="AVM392" s="699">
        <f t="shared" si="1170"/>
        <v>43911</v>
      </c>
      <c r="AVN392" s="699">
        <f t="shared" si="1171"/>
        <v>33725.81</v>
      </c>
      <c r="AVO392" s="699">
        <f t="shared" si="1172"/>
        <v>10185.19</v>
      </c>
      <c r="AVP392" s="699">
        <f t="shared" si="1173"/>
        <v>3520</v>
      </c>
      <c r="AVQ392" s="699">
        <f t="shared" si="1174"/>
        <v>275311.25</v>
      </c>
    </row>
    <row r="393" spans="1:108 1244:1265" ht="30" customHeight="1" x14ac:dyDescent="0.25">
      <c r="A393" s="643">
        <v>1</v>
      </c>
      <c r="B393" s="643">
        <v>10</v>
      </c>
      <c r="C393" s="664" t="s">
        <v>251</v>
      </c>
      <c r="D393" s="2"/>
      <c r="E393" s="101" t="s">
        <v>344</v>
      </c>
      <c r="F393" s="643" t="s">
        <v>31</v>
      </c>
      <c r="G393" s="643">
        <v>1</v>
      </c>
      <c r="H393" s="658" t="s">
        <v>8</v>
      </c>
      <c r="I393" s="643">
        <v>3</v>
      </c>
      <c r="J393" s="101" t="s">
        <v>357</v>
      </c>
      <c r="K393" s="643">
        <v>3</v>
      </c>
      <c r="L393" s="683" t="s">
        <v>349</v>
      </c>
      <c r="M393" s="11" t="s">
        <v>260</v>
      </c>
      <c r="N393" s="101" t="s">
        <v>387</v>
      </c>
      <c r="O393" s="643">
        <v>1</v>
      </c>
      <c r="P393" s="632">
        <v>35</v>
      </c>
      <c r="Q393" s="632">
        <v>35</v>
      </c>
      <c r="R393" s="632">
        <v>35</v>
      </c>
      <c r="S393" s="675">
        <f>SUMIF('Территориальный кк'!$A:$A,'2020'!$B393,'Территориальный кк'!D:D)</f>
        <v>1.3620000000000001</v>
      </c>
      <c r="T393" s="676">
        <f>SUMIF('Территориальный кк'!$A:$A,'2020'!$B393,'Территориальный кк'!E:E)</f>
        <v>2.9540000000000002</v>
      </c>
      <c r="U393" s="618">
        <f>SUMIFS(Нормативы!G:G,Нормативы!$B:$B,$G393,Нормативы!$D:$D,'2020'!$I393,Нормативы!$F:$F,'2020'!$K393)*O393</f>
        <v>6419</v>
      </c>
      <c r="V393" s="618">
        <f t="shared" si="1097"/>
        <v>4930.1000000000004</v>
      </c>
      <c r="W393" s="618">
        <f t="shared" si="1098"/>
        <v>1488.9</v>
      </c>
      <c r="X393" s="618">
        <f>SUMIFS(Нормативы!J:J,Нормативы!$B:$B,$G393,Нормативы!$D:$D,'2020'!$I393,Нормативы!$F:$F,'2020'!$K393)</f>
        <v>883</v>
      </c>
      <c r="Y393" s="618">
        <f>SUMIFS(Нормативы!K:K,Нормативы!$B:$B,$G393,Нормативы!$D:$D,'2020'!$I393,Нормативы!$F:$F,'2020'!$K393)</f>
        <v>177</v>
      </c>
      <c r="Z393" s="618">
        <f>SUMIFS(Нормативы!L:L,Нормативы!$B:$B,$G393,Нормативы!$D:$D,'2020'!$I393,Нормативы!$F:$F,'2020'!$K393)</f>
        <v>811</v>
      </c>
      <c r="AA393" s="618">
        <f t="shared" si="1099"/>
        <v>1905</v>
      </c>
      <c r="AB393" s="618">
        <f>SUMIFS(Нормативы!N:N,Нормативы!$B:$B,$G393,Нормативы!$D:$D,'2020'!$I393,Нормативы!$F:$F,'2020'!$K393)*O393</f>
        <v>52</v>
      </c>
      <c r="AC393" s="618">
        <f>SUMIFS(Нормативы!O:O,Нормативы!$B:$B,$G393,Нормативы!$D:$D,'2020'!$I393,Нормативы!$F:$F,'2020'!$K393)</f>
        <v>1729</v>
      </c>
      <c r="AD393" s="618">
        <f>SUMIFS(Нормативы!P:P,Нормативы!$B:$B,$G393,Нормативы!$D:$D,'2020'!$I393,Нормативы!$F:$F,'2020'!$K393)*O393</f>
        <v>36</v>
      </c>
      <c r="AE393" s="618">
        <f>SUMIFS(Нормативы!Q:Q,Нормативы!$B:$B,$G393,Нормативы!$D:$D,'2020'!$I393,Нормативы!$F:$F,'2020'!$K393)</f>
        <v>88</v>
      </c>
      <c r="AF393" s="618">
        <f>SUMIFS(Нормативы!R:R,Нормативы!$B:$B,$G393,Нормативы!$D:$D,'2020'!$I393,Нормативы!$F:$F,'2020'!$K393)</f>
        <v>268</v>
      </c>
      <c r="AG393" s="618">
        <f>SUMIFS(Нормативы!S:S,Нормативы!$B:$B,$G393,Нормативы!$D:$D,'2020'!$I393,Нормативы!$F:$F,'2020'!$K393)</f>
        <v>580</v>
      </c>
      <c r="AH393" s="618">
        <f>SUMIFS(Нормативы!T:T,Нормативы!$B:$B,$G393,Нормативы!$D:$D,'2020'!$I393,Нормативы!$F:$F,'2020'!$K393)</f>
        <v>54</v>
      </c>
      <c r="AI393" s="618">
        <f>SUMIFS(Нормативы!U:U,Нормативы!$B:$B,$G393,Нормативы!$D:$D,'2020'!$I393,Нормативы!$F:$F,'2020'!$K393)</f>
        <v>77</v>
      </c>
      <c r="AJ393" s="618">
        <f>SUMIFS(Нормативы!V:V,Нормативы!$B:$B,$G393,Нормативы!$D:$D,'2020'!$I393,Нормативы!$F:$F,'2020'!$K393)</f>
        <v>8</v>
      </c>
      <c r="AK393" s="618">
        <f>SUMIFS(Нормативы!W:W,Нормативы!$B:$B,$G393,Нормативы!$D:$D,'2020'!$I393,Нормативы!$F:$F,'2020'!$K393)</f>
        <v>105</v>
      </c>
      <c r="AL393" s="618">
        <f>SUMIFS(Нормативы!X:X,Нормативы!$B:$B,$G393,Нормативы!$D:$D,'2020'!$I393,Нормативы!$F:$F,'2020'!$K393)*O393</f>
        <v>1612</v>
      </c>
      <c r="AM393" s="618">
        <f t="shared" si="1100"/>
        <v>1238.0999999999999</v>
      </c>
      <c r="AN393" s="618">
        <f t="shared" si="1101"/>
        <v>373.9</v>
      </c>
      <c r="AO393" s="618">
        <f>SUMIFS(Нормативы!AA:AA,Нормативы!$B:$B,$G393,Нормативы!$D:$D,'2020'!$I393,Нормативы!$F:$F,'2020'!$K393)</f>
        <v>0</v>
      </c>
      <c r="AP393" s="619">
        <f t="shared" si="1102"/>
        <v>12722</v>
      </c>
      <c r="AQ393" s="413">
        <f t="shared" si="1040"/>
        <v>224665</v>
      </c>
      <c r="AR393" s="618">
        <f t="shared" si="1103"/>
        <v>172553.8</v>
      </c>
      <c r="AS393" s="618">
        <f t="shared" si="1104"/>
        <v>52111.199999999997</v>
      </c>
      <c r="AT393" s="616">
        <f t="shared" si="1041"/>
        <v>30905</v>
      </c>
      <c r="AU393" s="616">
        <f t="shared" si="1042"/>
        <v>6195</v>
      </c>
      <c r="AV393" s="616">
        <f t="shared" si="1043"/>
        <v>28385</v>
      </c>
      <c r="AW393" s="616">
        <f t="shared" si="1044"/>
        <v>66675</v>
      </c>
      <c r="AX393" s="616">
        <f t="shared" si="1045"/>
        <v>1820</v>
      </c>
      <c r="AY393" s="616">
        <f t="shared" si="1046"/>
        <v>60515</v>
      </c>
      <c r="AZ393" s="616">
        <f t="shared" si="1047"/>
        <v>1260</v>
      </c>
      <c r="BA393" s="616">
        <f t="shared" si="1048"/>
        <v>3080</v>
      </c>
      <c r="BB393" s="616">
        <f t="shared" si="1049"/>
        <v>9380</v>
      </c>
      <c r="BC393" s="616">
        <f t="shared" si="1050"/>
        <v>20300</v>
      </c>
      <c r="BD393" s="616">
        <f t="shared" si="1051"/>
        <v>1890</v>
      </c>
      <c r="BE393" s="616">
        <f t="shared" si="1052"/>
        <v>2695</v>
      </c>
      <c r="BF393" s="616">
        <f t="shared" si="1053"/>
        <v>280</v>
      </c>
      <c r="BG393" s="616">
        <f t="shared" si="1054"/>
        <v>3675</v>
      </c>
      <c r="BH393" s="616">
        <f t="shared" si="1055"/>
        <v>56420</v>
      </c>
      <c r="BI393" s="618">
        <f t="shared" si="1105"/>
        <v>43333.3</v>
      </c>
      <c r="BJ393" s="618">
        <f t="shared" si="1106"/>
        <v>13086.7</v>
      </c>
      <c r="BK393" s="616">
        <f t="shared" si="1056"/>
        <v>0</v>
      </c>
      <c r="BL393" s="620">
        <f t="shared" si="1057"/>
        <v>445270</v>
      </c>
      <c r="BM393" s="616">
        <f t="shared" si="1058"/>
        <v>305994</v>
      </c>
      <c r="BN393" s="618">
        <f t="shared" si="1059"/>
        <v>235018.4</v>
      </c>
      <c r="BO393" s="618">
        <f t="shared" si="1060"/>
        <v>70975.600000000006</v>
      </c>
      <c r="BP393" s="616">
        <f t="shared" si="1107"/>
        <v>30905</v>
      </c>
      <c r="BQ393" s="616">
        <f t="shared" si="1108"/>
        <v>6195</v>
      </c>
      <c r="BR393" s="616">
        <f t="shared" si="1109"/>
        <v>28385</v>
      </c>
      <c r="BS393" s="616">
        <f t="shared" si="1061"/>
        <v>66675</v>
      </c>
      <c r="BT393" s="616">
        <f t="shared" si="1062"/>
        <v>1820</v>
      </c>
      <c r="BU393" s="616">
        <f t="shared" si="1063"/>
        <v>60515</v>
      </c>
      <c r="BV393" s="616">
        <f t="shared" si="1064"/>
        <v>1260</v>
      </c>
      <c r="BW393" s="616">
        <f t="shared" si="1065"/>
        <v>3080</v>
      </c>
      <c r="BX393" s="616">
        <f t="shared" si="1066"/>
        <v>27709</v>
      </c>
      <c r="BY393" s="616">
        <f t="shared" si="1067"/>
        <v>20300</v>
      </c>
      <c r="BZ393" s="616">
        <f t="shared" si="1068"/>
        <v>1890</v>
      </c>
      <c r="CA393" s="616">
        <f t="shared" si="1069"/>
        <v>2695</v>
      </c>
      <c r="CB393" s="616">
        <f t="shared" si="1070"/>
        <v>280</v>
      </c>
      <c r="CC393" s="616">
        <f t="shared" si="1071"/>
        <v>3675</v>
      </c>
      <c r="CD393" s="616">
        <f t="shared" si="1072"/>
        <v>76844</v>
      </c>
      <c r="CE393" s="618">
        <f t="shared" si="1110"/>
        <v>59020</v>
      </c>
      <c r="CF393" s="618">
        <f t="shared" si="1111"/>
        <v>17824</v>
      </c>
      <c r="CG393" s="616">
        <f t="shared" si="1073"/>
        <v>0</v>
      </c>
      <c r="CH393" s="621">
        <f t="shared" si="1074"/>
        <v>565352</v>
      </c>
      <c r="CI393" s="88">
        <f t="shared" si="1075"/>
        <v>8742.6857</v>
      </c>
      <c r="CJ393" s="90">
        <f t="shared" si="1076"/>
        <v>6714.8113999999996</v>
      </c>
      <c r="CK393" s="90">
        <f t="shared" si="1077"/>
        <v>2027.8742999999999</v>
      </c>
      <c r="CL393" s="88">
        <f t="shared" si="1078"/>
        <v>883</v>
      </c>
      <c r="CM393" s="88">
        <f t="shared" si="1079"/>
        <v>177</v>
      </c>
      <c r="CN393" s="88">
        <f t="shared" si="1080"/>
        <v>811</v>
      </c>
      <c r="CO393" s="88">
        <f t="shared" si="1081"/>
        <v>1905</v>
      </c>
      <c r="CP393" s="88">
        <f t="shared" si="1082"/>
        <v>52</v>
      </c>
      <c r="CQ393" s="88">
        <f t="shared" si="1083"/>
        <v>1729</v>
      </c>
      <c r="CR393" s="88">
        <f t="shared" si="1084"/>
        <v>36</v>
      </c>
      <c r="CS393" s="88">
        <f t="shared" si="1085"/>
        <v>88</v>
      </c>
      <c r="CT393" s="88">
        <f t="shared" si="1086"/>
        <v>791.6857</v>
      </c>
      <c r="CU393" s="88">
        <f t="shared" si="1087"/>
        <v>580</v>
      </c>
      <c r="CV393" s="88">
        <f t="shared" si="1088"/>
        <v>54</v>
      </c>
      <c r="CW393" s="88">
        <f t="shared" si="1089"/>
        <v>77</v>
      </c>
      <c r="CX393" s="88">
        <f t="shared" si="1090"/>
        <v>8</v>
      </c>
      <c r="CY393" s="88">
        <f t="shared" si="1091"/>
        <v>105</v>
      </c>
      <c r="CZ393" s="88">
        <f t="shared" si="1092"/>
        <v>2195.5428999999999</v>
      </c>
      <c r="DA393" s="90">
        <f t="shared" si="1093"/>
        <v>1686.2856999999999</v>
      </c>
      <c r="DB393" s="90">
        <f t="shared" si="1094"/>
        <v>509.25709999999998</v>
      </c>
      <c r="DC393" s="88">
        <f t="shared" si="1095"/>
        <v>0</v>
      </c>
      <c r="DD393" s="88">
        <f t="shared" si="1096"/>
        <v>16152.9143</v>
      </c>
      <c r="AUV393" s="699">
        <f t="shared" si="1184"/>
        <v>8742.69</v>
      </c>
      <c r="AUW393" s="699">
        <f t="shared" si="1185"/>
        <v>6714.82</v>
      </c>
      <c r="AUX393" s="699">
        <f t="shared" si="1186"/>
        <v>2027.87</v>
      </c>
      <c r="AUY393" s="699">
        <f t="shared" si="1158"/>
        <v>883</v>
      </c>
      <c r="AUZ393" s="699">
        <f t="shared" si="910"/>
        <v>2097.16</v>
      </c>
      <c r="AVA393" s="699">
        <f t="shared" si="910"/>
        <v>4.42</v>
      </c>
      <c r="AVB393" s="699">
        <f t="shared" si="1159"/>
        <v>1905</v>
      </c>
      <c r="AVC393" s="699">
        <f t="shared" si="1160"/>
        <v>52</v>
      </c>
      <c r="AVD393" s="699">
        <f t="shared" si="1161"/>
        <v>1729</v>
      </c>
      <c r="AVE393" s="699">
        <f t="shared" si="1162"/>
        <v>36</v>
      </c>
      <c r="AVF393" s="699">
        <f t="shared" si="1163"/>
        <v>88</v>
      </c>
      <c r="AVG393" s="699">
        <f t="shared" si="1164"/>
        <v>791.69</v>
      </c>
      <c r="AVH393" s="699">
        <f t="shared" si="1165"/>
        <v>580</v>
      </c>
      <c r="AVI393" s="699">
        <f t="shared" si="1166"/>
        <v>54</v>
      </c>
      <c r="AVJ393" s="699">
        <f t="shared" si="1167"/>
        <v>77</v>
      </c>
      <c r="AVK393" s="699">
        <f t="shared" si="1168"/>
        <v>8</v>
      </c>
      <c r="AVL393" s="699">
        <f t="shared" si="1169"/>
        <v>105</v>
      </c>
      <c r="AVM393" s="699">
        <f t="shared" si="1170"/>
        <v>2195.54</v>
      </c>
      <c r="AVN393" s="699">
        <f t="shared" si="1171"/>
        <v>1686.28</v>
      </c>
      <c r="AVO393" s="699">
        <f t="shared" si="1172"/>
        <v>509.26</v>
      </c>
      <c r="AVP393" s="699">
        <f t="shared" si="1173"/>
        <v>0</v>
      </c>
      <c r="AVQ393" s="699">
        <f t="shared" si="1174"/>
        <v>16152.91</v>
      </c>
    </row>
    <row r="394" spans="1:108 1244:1265" ht="30" customHeight="1" x14ac:dyDescent="0.25">
      <c r="A394" s="643">
        <v>1</v>
      </c>
      <c r="B394" s="643">
        <v>10</v>
      </c>
      <c r="C394" s="664" t="s">
        <v>251</v>
      </c>
      <c r="D394" s="2"/>
      <c r="E394" s="101" t="s">
        <v>344</v>
      </c>
      <c r="F394" s="643" t="s">
        <v>31</v>
      </c>
      <c r="G394" s="643">
        <v>1</v>
      </c>
      <c r="H394" s="658" t="s">
        <v>8</v>
      </c>
      <c r="I394" s="643">
        <v>3</v>
      </c>
      <c r="J394" s="101" t="s">
        <v>357</v>
      </c>
      <c r="K394" s="643">
        <v>3</v>
      </c>
      <c r="L394" s="683" t="s">
        <v>349</v>
      </c>
      <c r="M394" s="11" t="s">
        <v>261</v>
      </c>
      <c r="N394" s="101" t="s">
        <v>401</v>
      </c>
      <c r="O394" s="643">
        <v>2</v>
      </c>
      <c r="P394" s="632">
        <v>3</v>
      </c>
      <c r="Q394" s="632">
        <v>3</v>
      </c>
      <c r="R394" s="632">
        <v>3</v>
      </c>
      <c r="S394" s="675">
        <f>SUMIF('Территориальный кк'!$A:$A,'2020'!$B394,'Территориальный кк'!D:D)</f>
        <v>1.3620000000000001</v>
      </c>
      <c r="T394" s="676">
        <f>SUMIF('Территориальный кк'!$A:$A,'2020'!$B394,'Территориальный кк'!E:E)</f>
        <v>2.9540000000000002</v>
      </c>
      <c r="U394" s="618">
        <f>SUMIFS(Нормативы!G:G,Нормативы!$B:$B,$G394,Нормативы!$D:$D,'2020'!$I394,Нормативы!$F:$F,'2020'!$K394)*O394</f>
        <v>12838</v>
      </c>
      <c r="V394" s="618">
        <f t="shared" si="1097"/>
        <v>9860.2000000000007</v>
      </c>
      <c r="W394" s="618">
        <f t="shared" si="1098"/>
        <v>2977.8</v>
      </c>
      <c r="X394" s="618">
        <f>SUMIFS(Нормативы!J:J,Нормативы!$B:$B,$G394,Нормативы!$D:$D,'2020'!$I394,Нормативы!$F:$F,'2020'!$K394)</f>
        <v>883</v>
      </c>
      <c r="Y394" s="618">
        <f>SUMIFS(Нормативы!K:K,Нормативы!$B:$B,$G394,Нормативы!$D:$D,'2020'!$I394,Нормативы!$F:$F,'2020'!$K394)</f>
        <v>177</v>
      </c>
      <c r="Z394" s="618">
        <f>SUMIFS(Нормативы!L:L,Нормативы!$B:$B,$G394,Нормативы!$D:$D,'2020'!$I394,Нормативы!$F:$F,'2020'!$K394)</f>
        <v>811</v>
      </c>
      <c r="AA394" s="618">
        <f t="shared" si="1099"/>
        <v>1993</v>
      </c>
      <c r="AB394" s="618">
        <f>SUMIFS(Нормативы!N:N,Нормативы!$B:$B,$G394,Нормативы!$D:$D,'2020'!$I394,Нормативы!$F:$F,'2020'!$K394)*O394</f>
        <v>104</v>
      </c>
      <c r="AC394" s="618">
        <f>SUMIFS(Нормативы!O:O,Нормативы!$B:$B,$G394,Нормативы!$D:$D,'2020'!$I394,Нормативы!$F:$F,'2020'!$K394)</f>
        <v>1729</v>
      </c>
      <c r="AD394" s="618">
        <f>SUMIFS(Нормативы!P:P,Нормативы!$B:$B,$G394,Нормативы!$D:$D,'2020'!$I394,Нормативы!$F:$F,'2020'!$K394)*O394</f>
        <v>72</v>
      </c>
      <c r="AE394" s="618">
        <f>SUMIFS(Нормативы!Q:Q,Нормативы!$B:$B,$G394,Нормативы!$D:$D,'2020'!$I394,Нормативы!$F:$F,'2020'!$K394)</f>
        <v>88</v>
      </c>
      <c r="AF394" s="618">
        <f>SUMIFS(Нормативы!R:R,Нормативы!$B:$B,$G394,Нормативы!$D:$D,'2020'!$I394,Нормативы!$F:$F,'2020'!$K394)</f>
        <v>268</v>
      </c>
      <c r="AG394" s="618">
        <f>SUMIFS(Нормативы!S:S,Нормативы!$B:$B,$G394,Нормативы!$D:$D,'2020'!$I394,Нормативы!$F:$F,'2020'!$K394)</f>
        <v>580</v>
      </c>
      <c r="AH394" s="618">
        <f>SUMIFS(Нормативы!T:T,Нормативы!$B:$B,$G394,Нормативы!$D:$D,'2020'!$I394,Нормативы!$F:$F,'2020'!$K394)</f>
        <v>54</v>
      </c>
      <c r="AI394" s="618">
        <f>SUMIFS(Нормативы!U:U,Нормативы!$B:$B,$G394,Нормативы!$D:$D,'2020'!$I394,Нормативы!$F:$F,'2020'!$K394)</f>
        <v>77</v>
      </c>
      <c r="AJ394" s="618">
        <f>SUMIFS(Нормативы!V:V,Нормативы!$B:$B,$G394,Нормативы!$D:$D,'2020'!$I394,Нормативы!$F:$F,'2020'!$K394)</f>
        <v>8</v>
      </c>
      <c r="AK394" s="618">
        <f>SUMIFS(Нормативы!W:W,Нормативы!$B:$B,$G394,Нормативы!$D:$D,'2020'!$I394,Нормативы!$F:$F,'2020'!$K394)</f>
        <v>105</v>
      </c>
      <c r="AL394" s="618">
        <f>SUMIFS(Нормативы!X:X,Нормативы!$B:$B,$G394,Нормативы!$D:$D,'2020'!$I394,Нормативы!$F:$F,'2020'!$K394)*O394</f>
        <v>3224</v>
      </c>
      <c r="AM394" s="618">
        <f t="shared" si="1100"/>
        <v>2476.1999999999998</v>
      </c>
      <c r="AN394" s="618">
        <f t="shared" si="1101"/>
        <v>747.8</v>
      </c>
      <c r="AO394" s="618">
        <f>SUMIFS(Нормативы!AA:AA,Нормативы!$B:$B,$G394,Нормативы!$D:$D,'2020'!$I394,Нормативы!$F:$F,'2020'!$K394)</f>
        <v>0</v>
      </c>
      <c r="AP394" s="619">
        <f t="shared" si="1102"/>
        <v>20841</v>
      </c>
      <c r="AQ394" s="413">
        <f t="shared" si="1040"/>
        <v>38514</v>
      </c>
      <c r="AR394" s="618">
        <f t="shared" si="1103"/>
        <v>29580.6</v>
      </c>
      <c r="AS394" s="618">
        <f t="shared" si="1104"/>
        <v>8933.4</v>
      </c>
      <c r="AT394" s="616">
        <f t="shared" si="1041"/>
        <v>2649</v>
      </c>
      <c r="AU394" s="616">
        <f t="shared" si="1042"/>
        <v>531</v>
      </c>
      <c r="AV394" s="616">
        <f t="shared" si="1043"/>
        <v>2433</v>
      </c>
      <c r="AW394" s="616">
        <f t="shared" si="1044"/>
        <v>5979</v>
      </c>
      <c r="AX394" s="616">
        <f t="shared" si="1045"/>
        <v>312</v>
      </c>
      <c r="AY394" s="616">
        <f t="shared" si="1046"/>
        <v>5187</v>
      </c>
      <c r="AZ394" s="616">
        <f t="shared" si="1047"/>
        <v>216</v>
      </c>
      <c r="BA394" s="616">
        <f t="shared" si="1048"/>
        <v>264</v>
      </c>
      <c r="BB394" s="616">
        <f t="shared" si="1049"/>
        <v>804</v>
      </c>
      <c r="BC394" s="616">
        <f t="shared" si="1050"/>
        <v>1740</v>
      </c>
      <c r="BD394" s="616">
        <f t="shared" si="1051"/>
        <v>162</v>
      </c>
      <c r="BE394" s="616">
        <f t="shared" si="1052"/>
        <v>231</v>
      </c>
      <c r="BF394" s="616">
        <f t="shared" si="1053"/>
        <v>24</v>
      </c>
      <c r="BG394" s="616">
        <f t="shared" si="1054"/>
        <v>315</v>
      </c>
      <c r="BH394" s="616">
        <f t="shared" si="1055"/>
        <v>9672</v>
      </c>
      <c r="BI394" s="618">
        <f t="shared" si="1105"/>
        <v>7428.6</v>
      </c>
      <c r="BJ394" s="618">
        <f t="shared" si="1106"/>
        <v>2243.4</v>
      </c>
      <c r="BK394" s="616">
        <f t="shared" si="1056"/>
        <v>0</v>
      </c>
      <c r="BL394" s="620">
        <f t="shared" si="1057"/>
        <v>62523</v>
      </c>
      <c r="BM394" s="616">
        <f t="shared" si="1058"/>
        <v>52456</v>
      </c>
      <c r="BN394" s="618">
        <f t="shared" si="1059"/>
        <v>40288.800000000003</v>
      </c>
      <c r="BO394" s="618">
        <f t="shared" si="1060"/>
        <v>12167.2</v>
      </c>
      <c r="BP394" s="616">
        <f t="shared" si="1107"/>
        <v>2649</v>
      </c>
      <c r="BQ394" s="616">
        <f t="shared" si="1108"/>
        <v>531</v>
      </c>
      <c r="BR394" s="616">
        <f t="shared" si="1109"/>
        <v>2433</v>
      </c>
      <c r="BS394" s="616">
        <f t="shared" si="1061"/>
        <v>5979</v>
      </c>
      <c r="BT394" s="616">
        <f t="shared" si="1062"/>
        <v>312</v>
      </c>
      <c r="BU394" s="616">
        <f t="shared" si="1063"/>
        <v>5187</v>
      </c>
      <c r="BV394" s="616">
        <f t="shared" si="1064"/>
        <v>216</v>
      </c>
      <c r="BW394" s="616">
        <f t="shared" si="1065"/>
        <v>264</v>
      </c>
      <c r="BX394" s="616">
        <f t="shared" si="1066"/>
        <v>2375</v>
      </c>
      <c r="BY394" s="616">
        <f t="shared" si="1067"/>
        <v>1740</v>
      </c>
      <c r="BZ394" s="616">
        <f t="shared" si="1068"/>
        <v>162</v>
      </c>
      <c r="CA394" s="616">
        <f t="shared" si="1069"/>
        <v>231</v>
      </c>
      <c r="CB394" s="616">
        <f t="shared" si="1070"/>
        <v>24</v>
      </c>
      <c r="CC394" s="616">
        <f t="shared" si="1071"/>
        <v>315</v>
      </c>
      <c r="CD394" s="616">
        <f t="shared" si="1072"/>
        <v>13173</v>
      </c>
      <c r="CE394" s="618">
        <f t="shared" si="1110"/>
        <v>10117.5</v>
      </c>
      <c r="CF394" s="618">
        <f t="shared" si="1111"/>
        <v>3055.5</v>
      </c>
      <c r="CG394" s="616">
        <f t="shared" si="1073"/>
        <v>0</v>
      </c>
      <c r="CH394" s="621">
        <f t="shared" si="1074"/>
        <v>81537</v>
      </c>
      <c r="CI394" s="88">
        <f t="shared" si="1075"/>
        <v>17485.333299999998</v>
      </c>
      <c r="CJ394" s="90">
        <f t="shared" si="1076"/>
        <v>13429.6</v>
      </c>
      <c r="CK394" s="90">
        <f t="shared" si="1077"/>
        <v>4055.7332999999999</v>
      </c>
      <c r="CL394" s="88">
        <f t="shared" si="1078"/>
        <v>883</v>
      </c>
      <c r="CM394" s="88">
        <f t="shared" si="1079"/>
        <v>177</v>
      </c>
      <c r="CN394" s="88">
        <f t="shared" si="1080"/>
        <v>811</v>
      </c>
      <c r="CO394" s="88">
        <f t="shared" si="1081"/>
        <v>1993</v>
      </c>
      <c r="CP394" s="88">
        <f t="shared" si="1082"/>
        <v>104</v>
      </c>
      <c r="CQ394" s="88">
        <f t="shared" si="1083"/>
        <v>1729</v>
      </c>
      <c r="CR394" s="88">
        <f t="shared" si="1084"/>
        <v>72</v>
      </c>
      <c r="CS394" s="88">
        <f t="shared" si="1085"/>
        <v>88</v>
      </c>
      <c r="CT394" s="88">
        <f t="shared" si="1086"/>
        <v>791.66669999999999</v>
      </c>
      <c r="CU394" s="88">
        <f t="shared" si="1087"/>
        <v>580</v>
      </c>
      <c r="CV394" s="88">
        <f t="shared" si="1088"/>
        <v>54</v>
      </c>
      <c r="CW394" s="88">
        <f t="shared" si="1089"/>
        <v>77</v>
      </c>
      <c r="CX394" s="88">
        <f t="shared" si="1090"/>
        <v>8</v>
      </c>
      <c r="CY394" s="88">
        <f t="shared" si="1091"/>
        <v>105</v>
      </c>
      <c r="CZ394" s="88">
        <f t="shared" si="1092"/>
        <v>4391</v>
      </c>
      <c r="DA394" s="90">
        <f t="shared" si="1093"/>
        <v>3372.5</v>
      </c>
      <c r="DB394" s="90">
        <f t="shared" si="1094"/>
        <v>1018.5</v>
      </c>
      <c r="DC394" s="88">
        <f t="shared" si="1095"/>
        <v>0</v>
      </c>
      <c r="DD394" s="88">
        <f t="shared" si="1096"/>
        <v>27179</v>
      </c>
      <c r="AUV394" s="699">
        <f t="shared" si="1184"/>
        <v>17485.330000000002</v>
      </c>
      <c r="AUW394" s="699">
        <f t="shared" si="1185"/>
        <v>13429.59</v>
      </c>
      <c r="AUX394" s="699">
        <f t="shared" si="1186"/>
        <v>4055.74</v>
      </c>
      <c r="AUY394" s="699">
        <f t="shared" si="1158"/>
        <v>883</v>
      </c>
      <c r="AUZ394" s="699">
        <f t="shared" si="910"/>
        <v>179.76</v>
      </c>
      <c r="AVA394" s="699">
        <f t="shared" si="910"/>
        <v>0.19</v>
      </c>
      <c r="AVB394" s="699">
        <f t="shared" si="1159"/>
        <v>1993</v>
      </c>
      <c r="AVC394" s="699">
        <f t="shared" si="1160"/>
        <v>104</v>
      </c>
      <c r="AVD394" s="699">
        <f t="shared" si="1161"/>
        <v>1729</v>
      </c>
      <c r="AVE394" s="699">
        <f t="shared" si="1162"/>
        <v>72</v>
      </c>
      <c r="AVF394" s="699">
        <f t="shared" si="1163"/>
        <v>88</v>
      </c>
      <c r="AVG394" s="699">
        <f t="shared" si="1164"/>
        <v>791.67</v>
      </c>
      <c r="AVH394" s="699">
        <f t="shared" si="1165"/>
        <v>580</v>
      </c>
      <c r="AVI394" s="699">
        <f t="shared" si="1166"/>
        <v>54</v>
      </c>
      <c r="AVJ394" s="699">
        <f t="shared" si="1167"/>
        <v>77</v>
      </c>
      <c r="AVK394" s="699">
        <f t="shared" si="1168"/>
        <v>8</v>
      </c>
      <c r="AVL394" s="699">
        <f t="shared" si="1169"/>
        <v>105</v>
      </c>
      <c r="AVM394" s="699">
        <f t="shared" si="1170"/>
        <v>4391</v>
      </c>
      <c r="AVN394" s="699">
        <f t="shared" si="1171"/>
        <v>3372.5</v>
      </c>
      <c r="AVO394" s="699">
        <f t="shared" si="1172"/>
        <v>1018.5</v>
      </c>
      <c r="AVP394" s="699">
        <f t="shared" si="1173"/>
        <v>0</v>
      </c>
      <c r="AVQ394" s="699">
        <f t="shared" si="1174"/>
        <v>27179</v>
      </c>
    </row>
    <row r="395" spans="1:108 1244:1265" ht="30" customHeight="1" x14ac:dyDescent="0.25">
      <c r="A395" s="643">
        <v>1</v>
      </c>
      <c r="B395" s="643">
        <v>10</v>
      </c>
      <c r="C395" s="664" t="s">
        <v>251</v>
      </c>
      <c r="D395" s="2"/>
      <c r="E395" s="101" t="s">
        <v>344</v>
      </c>
      <c r="F395" s="643" t="s">
        <v>31</v>
      </c>
      <c r="G395" s="643">
        <v>1</v>
      </c>
      <c r="H395" s="658" t="s">
        <v>10</v>
      </c>
      <c r="I395" s="643">
        <v>0</v>
      </c>
      <c r="J395" s="101" t="s">
        <v>373</v>
      </c>
      <c r="K395" s="643">
        <v>3</v>
      </c>
      <c r="L395" s="683" t="s">
        <v>349</v>
      </c>
      <c r="M395" s="11" t="s">
        <v>281</v>
      </c>
      <c r="N395" s="101" t="s">
        <v>387</v>
      </c>
      <c r="O395" s="643">
        <v>1</v>
      </c>
      <c r="P395" s="632">
        <v>66</v>
      </c>
      <c r="Q395" s="632">
        <v>66</v>
      </c>
      <c r="R395" s="632">
        <v>66</v>
      </c>
      <c r="S395" s="675">
        <f>SUMIF('Территориальный кк'!$A:$A,'2020'!$B395,'Территориальный кк'!D:D)</f>
        <v>1.3620000000000001</v>
      </c>
      <c r="T395" s="676">
        <f>SUMIF('Территориальный кк'!$A:$A,'2020'!$B395,'Территориальный кк'!E:E)</f>
        <v>2.9540000000000002</v>
      </c>
      <c r="U395" s="618">
        <f>SUMIFS(Нормативы!G:G,Нормативы!$B:$B,$G395,Нормативы!$D:$D,'2020'!$I395,Нормативы!$F:$F,'2020'!$K395)*O395</f>
        <v>64190</v>
      </c>
      <c r="V395" s="618">
        <f t="shared" si="1097"/>
        <v>49301.1</v>
      </c>
      <c r="W395" s="618">
        <f t="shared" si="1098"/>
        <v>14888.9</v>
      </c>
      <c r="X395" s="618">
        <f>SUMIFS(Нормативы!J:J,Нормативы!$B:$B,$G395,Нормативы!$D:$D,'2020'!$I395,Нормативы!$F:$F,'2020'!$K395)</f>
        <v>8830</v>
      </c>
      <c r="Y395" s="618">
        <f>SUMIFS(Нормативы!K:K,Нормативы!$B:$B,$G395,Нормативы!$D:$D,'2020'!$I395,Нормативы!$F:$F,'2020'!$K395)</f>
        <v>1766</v>
      </c>
      <c r="Z395" s="618">
        <f>SUMIFS(Нормативы!L:L,Нормативы!$B:$B,$G395,Нормативы!$D:$D,'2020'!$I395,Нормативы!$F:$F,'2020'!$K395)</f>
        <v>8110</v>
      </c>
      <c r="AA395" s="618">
        <f t="shared" si="1099"/>
        <v>19050</v>
      </c>
      <c r="AB395" s="618">
        <f>SUMIFS(Нормативы!N:N,Нормативы!$B:$B,$G395,Нормативы!$D:$D,'2020'!$I395,Нормативы!$F:$F,'2020'!$K395)*O395</f>
        <v>520</v>
      </c>
      <c r="AC395" s="618">
        <f>SUMIFS(Нормативы!O:O,Нормативы!$B:$B,$G395,Нормативы!$D:$D,'2020'!$I395,Нормативы!$F:$F,'2020'!$K395)</f>
        <v>17290</v>
      </c>
      <c r="AD395" s="618">
        <f>SUMIFS(Нормативы!P:P,Нормативы!$B:$B,$G395,Нормативы!$D:$D,'2020'!$I395,Нормативы!$F:$F,'2020'!$K395)*O395</f>
        <v>360</v>
      </c>
      <c r="AE395" s="618">
        <f>SUMIFS(Нормативы!Q:Q,Нормативы!$B:$B,$G395,Нормативы!$D:$D,'2020'!$I395,Нормативы!$F:$F,'2020'!$K395)</f>
        <v>880</v>
      </c>
      <c r="AF395" s="618">
        <f>SUMIFS(Нормативы!R:R,Нормативы!$B:$B,$G395,Нормативы!$D:$D,'2020'!$I395,Нормативы!$F:$F,'2020'!$K395)</f>
        <v>2680</v>
      </c>
      <c r="AG395" s="618">
        <f>SUMIFS(Нормативы!S:S,Нормативы!$B:$B,$G395,Нормативы!$D:$D,'2020'!$I395,Нормативы!$F:$F,'2020'!$K395)</f>
        <v>5800</v>
      </c>
      <c r="AH395" s="618">
        <f>SUMIFS(Нормативы!T:T,Нормативы!$B:$B,$G395,Нормативы!$D:$D,'2020'!$I395,Нормативы!$F:$F,'2020'!$K395)</f>
        <v>540</v>
      </c>
      <c r="AI395" s="618">
        <f>SUMIFS(Нормативы!U:U,Нормативы!$B:$B,$G395,Нормативы!$D:$D,'2020'!$I395,Нормативы!$F:$F,'2020'!$K395)</f>
        <v>770</v>
      </c>
      <c r="AJ395" s="618">
        <f>SUMIFS(Нормативы!V:V,Нормативы!$B:$B,$G395,Нормативы!$D:$D,'2020'!$I395,Нормативы!$F:$F,'2020'!$K395)</f>
        <v>80</v>
      </c>
      <c r="AK395" s="618">
        <f>SUMIFS(Нормативы!W:W,Нормативы!$B:$B,$G395,Нормативы!$D:$D,'2020'!$I395,Нормативы!$F:$F,'2020'!$K395)</f>
        <v>1050</v>
      </c>
      <c r="AL395" s="618">
        <f>SUMIFS(Нормативы!X:X,Нормативы!$B:$B,$G395,Нормативы!$D:$D,'2020'!$I395,Нормативы!$F:$F,'2020'!$K395)*O395</f>
        <v>16120</v>
      </c>
      <c r="AM395" s="618">
        <f t="shared" si="1100"/>
        <v>12381</v>
      </c>
      <c r="AN395" s="618">
        <f t="shared" si="1101"/>
        <v>3739</v>
      </c>
      <c r="AO395" s="618">
        <f>SUMIFS(Нормативы!AA:AA,Нормативы!$B:$B,$G395,Нормативы!$D:$D,'2020'!$I395,Нормативы!$F:$F,'2020'!$K395)</f>
        <v>3520</v>
      </c>
      <c r="AP395" s="619">
        <f t="shared" si="1102"/>
        <v>130740</v>
      </c>
      <c r="AQ395" s="413">
        <f t="shared" si="1040"/>
        <v>4236540</v>
      </c>
      <c r="AR395" s="618">
        <f t="shared" si="1103"/>
        <v>3253871</v>
      </c>
      <c r="AS395" s="618">
        <f t="shared" si="1104"/>
        <v>982669</v>
      </c>
      <c r="AT395" s="616">
        <f t="shared" si="1041"/>
        <v>582780</v>
      </c>
      <c r="AU395" s="616">
        <f t="shared" si="1042"/>
        <v>116556</v>
      </c>
      <c r="AV395" s="616">
        <f t="shared" si="1043"/>
        <v>535260</v>
      </c>
      <c r="AW395" s="616">
        <f t="shared" si="1044"/>
        <v>1257300</v>
      </c>
      <c r="AX395" s="616">
        <f t="shared" si="1045"/>
        <v>34320</v>
      </c>
      <c r="AY395" s="616">
        <f t="shared" si="1046"/>
        <v>1141140</v>
      </c>
      <c r="AZ395" s="616">
        <f t="shared" si="1047"/>
        <v>23760</v>
      </c>
      <c r="BA395" s="616">
        <f t="shared" si="1048"/>
        <v>58080</v>
      </c>
      <c r="BB395" s="616">
        <f t="shared" si="1049"/>
        <v>176880</v>
      </c>
      <c r="BC395" s="616">
        <f t="shared" si="1050"/>
        <v>382800</v>
      </c>
      <c r="BD395" s="616">
        <f t="shared" si="1051"/>
        <v>35640</v>
      </c>
      <c r="BE395" s="616">
        <f t="shared" si="1052"/>
        <v>50820</v>
      </c>
      <c r="BF395" s="616">
        <f t="shared" si="1053"/>
        <v>5280</v>
      </c>
      <c r="BG395" s="616">
        <f t="shared" si="1054"/>
        <v>69300</v>
      </c>
      <c r="BH395" s="616">
        <f t="shared" si="1055"/>
        <v>1063920</v>
      </c>
      <c r="BI395" s="618">
        <f t="shared" si="1105"/>
        <v>817142.9</v>
      </c>
      <c r="BJ395" s="618">
        <f t="shared" si="1106"/>
        <v>246777.1</v>
      </c>
      <c r="BK395" s="616">
        <f t="shared" si="1056"/>
        <v>232320</v>
      </c>
      <c r="BL395" s="620">
        <f t="shared" si="1057"/>
        <v>8628840</v>
      </c>
      <c r="BM395" s="616">
        <f t="shared" si="1058"/>
        <v>5770167</v>
      </c>
      <c r="BN395" s="618">
        <f t="shared" si="1059"/>
        <v>4431771.9000000004</v>
      </c>
      <c r="BO395" s="618">
        <f t="shared" si="1060"/>
        <v>1338395.1000000001</v>
      </c>
      <c r="BP395" s="616">
        <f t="shared" si="1107"/>
        <v>582780</v>
      </c>
      <c r="BQ395" s="616">
        <f t="shared" si="1108"/>
        <v>116556</v>
      </c>
      <c r="BR395" s="616">
        <f t="shared" si="1109"/>
        <v>535260</v>
      </c>
      <c r="BS395" s="616">
        <f t="shared" si="1061"/>
        <v>1257300</v>
      </c>
      <c r="BT395" s="616">
        <f t="shared" si="1062"/>
        <v>34320</v>
      </c>
      <c r="BU395" s="616">
        <f t="shared" si="1063"/>
        <v>1141140</v>
      </c>
      <c r="BV395" s="616">
        <f t="shared" si="1064"/>
        <v>23760</v>
      </c>
      <c r="BW395" s="616">
        <f t="shared" si="1065"/>
        <v>58080</v>
      </c>
      <c r="BX395" s="616">
        <f t="shared" si="1066"/>
        <v>522504</v>
      </c>
      <c r="BY395" s="616">
        <f t="shared" si="1067"/>
        <v>382800</v>
      </c>
      <c r="BZ395" s="616">
        <f t="shared" si="1068"/>
        <v>35640</v>
      </c>
      <c r="CA395" s="616">
        <f t="shared" si="1069"/>
        <v>50820</v>
      </c>
      <c r="CB395" s="616">
        <f t="shared" si="1070"/>
        <v>5280</v>
      </c>
      <c r="CC395" s="616">
        <f t="shared" si="1071"/>
        <v>69300</v>
      </c>
      <c r="CD395" s="616">
        <f t="shared" si="1072"/>
        <v>1449059</v>
      </c>
      <c r="CE395" s="618">
        <f t="shared" si="1110"/>
        <v>1112948.5</v>
      </c>
      <c r="CF395" s="618">
        <f t="shared" si="1111"/>
        <v>336110.5</v>
      </c>
      <c r="CG395" s="616">
        <f t="shared" si="1073"/>
        <v>232320</v>
      </c>
      <c r="CH395" s="621">
        <f t="shared" si="1074"/>
        <v>10893230</v>
      </c>
      <c r="CI395" s="88">
        <f t="shared" si="1075"/>
        <v>87426.772700000001</v>
      </c>
      <c r="CJ395" s="90">
        <f t="shared" si="1076"/>
        <v>67148.059099999999</v>
      </c>
      <c r="CK395" s="90">
        <f t="shared" si="1077"/>
        <v>20278.713599999999</v>
      </c>
      <c r="CL395" s="88">
        <f t="shared" si="1078"/>
        <v>8830</v>
      </c>
      <c r="CM395" s="88">
        <f t="shared" si="1079"/>
        <v>1766</v>
      </c>
      <c r="CN395" s="88">
        <f t="shared" si="1080"/>
        <v>8110</v>
      </c>
      <c r="CO395" s="88">
        <f t="shared" si="1081"/>
        <v>19050</v>
      </c>
      <c r="CP395" s="88">
        <f t="shared" si="1082"/>
        <v>520</v>
      </c>
      <c r="CQ395" s="88">
        <f t="shared" si="1083"/>
        <v>17290</v>
      </c>
      <c r="CR395" s="88">
        <f t="shared" si="1084"/>
        <v>360</v>
      </c>
      <c r="CS395" s="88">
        <f t="shared" si="1085"/>
        <v>880</v>
      </c>
      <c r="CT395" s="88">
        <f t="shared" si="1086"/>
        <v>7916.7272999999996</v>
      </c>
      <c r="CU395" s="88">
        <f t="shared" si="1087"/>
        <v>5800</v>
      </c>
      <c r="CV395" s="88">
        <f t="shared" si="1088"/>
        <v>540</v>
      </c>
      <c r="CW395" s="88">
        <f t="shared" si="1089"/>
        <v>770</v>
      </c>
      <c r="CX395" s="88">
        <f t="shared" si="1090"/>
        <v>80</v>
      </c>
      <c r="CY395" s="88">
        <f t="shared" si="1091"/>
        <v>1050</v>
      </c>
      <c r="CZ395" s="88">
        <f t="shared" si="1092"/>
        <v>21955.439399999999</v>
      </c>
      <c r="DA395" s="90">
        <f t="shared" si="1093"/>
        <v>16862.856100000001</v>
      </c>
      <c r="DB395" s="90">
        <f t="shared" si="1094"/>
        <v>5092.5833000000002</v>
      </c>
      <c r="DC395" s="88">
        <f t="shared" si="1095"/>
        <v>3520</v>
      </c>
      <c r="DD395" s="88">
        <f t="shared" si="1096"/>
        <v>165048.9394</v>
      </c>
      <c r="AUV395" s="699">
        <f t="shared" si="1184"/>
        <v>87426.77</v>
      </c>
      <c r="AUW395" s="699">
        <f t="shared" si="1185"/>
        <v>67148.06</v>
      </c>
      <c r="AUX395" s="699">
        <f t="shared" si="1186"/>
        <v>20278.71</v>
      </c>
      <c r="AUY395" s="699">
        <f t="shared" si="1158"/>
        <v>8830</v>
      </c>
      <c r="AUZ395" s="699">
        <f t="shared" si="910"/>
        <v>39457.01</v>
      </c>
      <c r="AVA395" s="699">
        <f t="shared" si="910"/>
        <v>8.34</v>
      </c>
      <c r="AVB395" s="699">
        <f t="shared" si="1159"/>
        <v>19050</v>
      </c>
      <c r="AVC395" s="699">
        <f t="shared" si="1160"/>
        <v>520</v>
      </c>
      <c r="AVD395" s="699">
        <f t="shared" si="1161"/>
        <v>17290</v>
      </c>
      <c r="AVE395" s="699">
        <f t="shared" si="1162"/>
        <v>360</v>
      </c>
      <c r="AVF395" s="699">
        <f t="shared" si="1163"/>
        <v>880</v>
      </c>
      <c r="AVG395" s="699">
        <f t="shared" si="1164"/>
        <v>7916.73</v>
      </c>
      <c r="AVH395" s="699">
        <f t="shared" si="1165"/>
        <v>5800</v>
      </c>
      <c r="AVI395" s="699">
        <f t="shared" si="1166"/>
        <v>540</v>
      </c>
      <c r="AVJ395" s="699">
        <f t="shared" si="1167"/>
        <v>770</v>
      </c>
      <c r="AVK395" s="699">
        <f t="shared" si="1168"/>
        <v>80</v>
      </c>
      <c r="AVL395" s="699">
        <f t="shared" si="1169"/>
        <v>1050</v>
      </c>
      <c r="AVM395" s="699">
        <f t="shared" si="1170"/>
        <v>21955.439999999999</v>
      </c>
      <c r="AVN395" s="699">
        <f t="shared" si="1171"/>
        <v>16862.86</v>
      </c>
      <c r="AVO395" s="699">
        <f t="shared" si="1172"/>
        <v>5092.58</v>
      </c>
      <c r="AVP395" s="699">
        <f t="shared" si="1173"/>
        <v>3520</v>
      </c>
      <c r="AVQ395" s="699">
        <f t="shared" si="1174"/>
        <v>165048.94</v>
      </c>
    </row>
    <row r="396" spans="1:108 1244:1265" ht="30" customHeight="1" x14ac:dyDescent="0.25">
      <c r="A396" s="643">
        <v>1</v>
      </c>
      <c r="B396" s="643">
        <v>10</v>
      </c>
      <c r="C396" s="664" t="s">
        <v>251</v>
      </c>
      <c r="D396" s="2"/>
      <c r="E396" s="101" t="s">
        <v>344</v>
      </c>
      <c r="F396" s="643" t="s">
        <v>31</v>
      </c>
      <c r="G396" s="643">
        <v>1</v>
      </c>
      <c r="H396" s="658" t="s">
        <v>8</v>
      </c>
      <c r="I396" s="643">
        <v>3</v>
      </c>
      <c r="J396" s="101" t="s">
        <v>373</v>
      </c>
      <c r="K396" s="643">
        <v>3</v>
      </c>
      <c r="L396" s="683" t="s">
        <v>349</v>
      </c>
      <c r="M396" s="11" t="s">
        <v>282</v>
      </c>
      <c r="N396" s="101" t="s">
        <v>387</v>
      </c>
      <c r="O396" s="643">
        <v>1</v>
      </c>
      <c r="P396" s="632">
        <v>37</v>
      </c>
      <c r="Q396" s="632">
        <v>37</v>
      </c>
      <c r="R396" s="632">
        <v>37</v>
      </c>
      <c r="S396" s="675">
        <f>SUMIF('Территориальный кк'!$A:$A,'2020'!$B396,'Территориальный кк'!D:D)</f>
        <v>1.3620000000000001</v>
      </c>
      <c r="T396" s="676">
        <f>SUMIF('Территориальный кк'!$A:$A,'2020'!$B396,'Территориальный кк'!E:E)</f>
        <v>2.9540000000000002</v>
      </c>
      <c r="U396" s="618">
        <f>SUMIFS(Нормативы!G:G,Нормативы!$B:$B,$G396,Нормативы!$D:$D,'2020'!$I396,Нормативы!$F:$F,'2020'!$K396)*O396</f>
        <v>6419</v>
      </c>
      <c r="V396" s="618">
        <f t="shared" si="1097"/>
        <v>4930.1000000000004</v>
      </c>
      <c r="W396" s="618">
        <f t="shared" si="1098"/>
        <v>1488.9</v>
      </c>
      <c r="X396" s="618">
        <f>SUMIFS(Нормативы!J:J,Нормативы!$B:$B,$G396,Нормативы!$D:$D,'2020'!$I396,Нормативы!$F:$F,'2020'!$K396)</f>
        <v>883</v>
      </c>
      <c r="Y396" s="618">
        <f>SUMIFS(Нормативы!K:K,Нормативы!$B:$B,$G396,Нормативы!$D:$D,'2020'!$I396,Нормативы!$F:$F,'2020'!$K396)</f>
        <v>177</v>
      </c>
      <c r="Z396" s="618">
        <f>SUMIFS(Нормативы!L:L,Нормативы!$B:$B,$G396,Нормативы!$D:$D,'2020'!$I396,Нормативы!$F:$F,'2020'!$K396)</f>
        <v>811</v>
      </c>
      <c r="AA396" s="618">
        <f t="shared" si="1099"/>
        <v>1905</v>
      </c>
      <c r="AB396" s="618">
        <f>SUMIFS(Нормативы!N:N,Нормативы!$B:$B,$G396,Нормативы!$D:$D,'2020'!$I396,Нормативы!$F:$F,'2020'!$K396)*O396</f>
        <v>52</v>
      </c>
      <c r="AC396" s="618">
        <f>SUMIFS(Нормативы!O:O,Нормативы!$B:$B,$G396,Нормативы!$D:$D,'2020'!$I396,Нормативы!$F:$F,'2020'!$K396)</f>
        <v>1729</v>
      </c>
      <c r="AD396" s="618">
        <f>SUMIFS(Нормативы!P:P,Нормативы!$B:$B,$G396,Нормативы!$D:$D,'2020'!$I396,Нормативы!$F:$F,'2020'!$K396)*O396</f>
        <v>36</v>
      </c>
      <c r="AE396" s="618">
        <f>SUMIFS(Нормативы!Q:Q,Нормативы!$B:$B,$G396,Нормативы!$D:$D,'2020'!$I396,Нормативы!$F:$F,'2020'!$K396)</f>
        <v>88</v>
      </c>
      <c r="AF396" s="618">
        <f>SUMIFS(Нормативы!R:R,Нормативы!$B:$B,$G396,Нормативы!$D:$D,'2020'!$I396,Нормативы!$F:$F,'2020'!$K396)</f>
        <v>268</v>
      </c>
      <c r="AG396" s="618">
        <f>SUMIFS(Нормативы!S:S,Нормативы!$B:$B,$G396,Нормативы!$D:$D,'2020'!$I396,Нормативы!$F:$F,'2020'!$K396)</f>
        <v>580</v>
      </c>
      <c r="AH396" s="618">
        <f>SUMIFS(Нормативы!T:T,Нормативы!$B:$B,$G396,Нормативы!$D:$D,'2020'!$I396,Нормативы!$F:$F,'2020'!$K396)</f>
        <v>54</v>
      </c>
      <c r="AI396" s="618">
        <f>SUMIFS(Нормативы!U:U,Нормативы!$B:$B,$G396,Нормативы!$D:$D,'2020'!$I396,Нормативы!$F:$F,'2020'!$K396)</f>
        <v>77</v>
      </c>
      <c r="AJ396" s="618">
        <f>SUMIFS(Нормативы!V:V,Нормативы!$B:$B,$G396,Нормативы!$D:$D,'2020'!$I396,Нормативы!$F:$F,'2020'!$K396)</f>
        <v>8</v>
      </c>
      <c r="AK396" s="618">
        <f>SUMIFS(Нормативы!W:W,Нормативы!$B:$B,$G396,Нормативы!$D:$D,'2020'!$I396,Нормативы!$F:$F,'2020'!$K396)</f>
        <v>105</v>
      </c>
      <c r="AL396" s="618">
        <f>SUMIFS(Нормативы!X:X,Нормативы!$B:$B,$G396,Нормативы!$D:$D,'2020'!$I396,Нормативы!$F:$F,'2020'!$K396)*O396</f>
        <v>1612</v>
      </c>
      <c r="AM396" s="618">
        <f t="shared" si="1100"/>
        <v>1238.0999999999999</v>
      </c>
      <c r="AN396" s="618">
        <f t="shared" si="1101"/>
        <v>373.9</v>
      </c>
      <c r="AO396" s="618">
        <f>SUMIFS(Нормативы!AA:AA,Нормативы!$B:$B,$G396,Нормативы!$D:$D,'2020'!$I396,Нормативы!$F:$F,'2020'!$K396)</f>
        <v>0</v>
      </c>
      <c r="AP396" s="619">
        <f t="shared" si="1102"/>
        <v>12722</v>
      </c>
      <c r="AQ396" s="413">
        <f t="shared" si="1040"/>
        <v>237503</v>
      </c>
      <c r="AR396" s="618">
        <f t="shared" si="1103"/>
        <v>182414</v>
      </c>
      <c r="AS396" s="618">
        <f t="shared" si="1104"/>
        <v>55089</v>
      </c>
      <c r="AT396" s="616">
        <f t="shared" si="1041"/>
        <v>32671</v>
      </c>
      <c r="AU396" s="616">
        <f t="shared" si="1042"/>
        <v>6549</v>
      </c>
      <c r="AV396" s="616">
        <f t="shared" si="1043"/>
        <v>30007</v>
      </c>
      <c r="AW396" s="616">
        <f t="shared" si="1044"/>
        <v>70485</v>
      </c>
      <c r="AX396" s="616">
        <f t="shared" si="1045"/>
        <v>1924</v>
      </c>
      <c r="AY396" s="616">
        <f t="shared" si="1046"/>
        <v>63973</v>
      </c>
      <c r="AZ396" s="616">
        <f t="shared" si="1047"/>
        <v>1332</v>
      </c>
      <c r="BA396" s="616">
        <f t="shared" si="1048"/>
        <v>3256</v>
      </c>
      <c r="BB396" s="616">
        <f t="shared" si="1049"/>
        <v>9916</v>
      </c>
      <c r="BC396" s="616">
        <f t="shared" si="1050"/>
        <v>21460</v>
      </c>
      <c r="BD396" s="616">
        <f t="shared" si="1051"/>
        <v>1998</v>
      </c>
      <c r="BE396" s="616">
        <f t="shared" si="1052"/>
        <v>2849</v>
      </c>
      <c r="BF396" s="616">
        <f t="shared" si="1053"/>
        <v>296</v>
      </c>
      <c r="BG396" s="616">
        <f t="shared" si="1054"/>
        <v>3885</v>
      </c>
      <c r="BH396" s="616">
        <f t="shared" si="1055"/>
        <v>59644</v>
      </c>
      <c r="BI396" s="618">
        <f t="shared" si="1105"/>
        <v>45809.5</v>
      </c>
      <c r="BJ396" s="618">
        <f t="shared" si="1106"/>
        <v>13834.5</v>
      </c>
      <c r="BK396" s="616">
        <f t="shared" si="1056"/>
        <v>0</v>
      </c>
      <c r="BL396" s="620">
        <f t="shared" si="1057"/>
        <v>470714</v>
      </c>
      <c r="BM396" s="616">
        <f t="shared" si="1058"/>
        <v>323479</v>
      </c>
      <c r="BN396" s="618">
        <f t="shared" si="1059"/>
        <v>248447.8</v>
      </c>
      <c r="BO396" s="618">
        <f t="shared" si="1060"/>
        <v>75031.199999999997</v>
      </c>
      <c r="BP396" s="616">
        <f t="shared" si="1107"/>
        <v>32671</v>
      </c>
      <c r="BQ396" s="616">
        <f t="shared" si="1108"/>
        <v>6549</v>
      </c>
      <c r="BR396" s="616">
        <f t="shared" si="1109"/>
        <v>30007</v>
      </c>
      <c r="BS396" s="616">
        <f t="shared" si="1061"/>
        <v>70485</v>
      </c>
      <c r="BT396" s="616">
        <f t="shared" si="1062"/>
        <v>1924</v>
      </c>
      <c r="BU396" s="616">
        <f t="shared" si="1063"/>
        <v>63973</v>
      </c>
      <c r="BV396" s="616">
        <f t="shared" si="1064"/>
        <v>1332</v>
      </c>
      <c r="BW396" s="616">
        <f t="shared" si="1065"/>
        <v>3256</v>
      </c>
      <c r="BX396" s="616">
        <f t="shared" si="1066"/>
        <v>29292</v>
      </c>
      <c r="BY396" s="616">
        <f t="shared" si="1067"/>
        <v>21460</v>
      </c>
      <c r="BZ396" s="616">
        <f t="shared" si="1068"/>
        <v>1998</v>
      </c>
      <c r="CA396" s="616">
        <f t="shared" si="1069"/>
        <v>2849</v>
      </c>
      <c r="CB396" s="616">
        <f t="shared" si="1070"/>
        <v>296</v>
      </c>
      <c r="CC396" s="616">
        <f t="shared" si="1071"/>
        <v>3885</v>
      </c>
      <c r="CD396" s="616">
        <f t="shared" si="1072"/>
        <v>81235</v>
      </c>
      <c r="CE396" s="618">
        <f t="shared" si="1110"/>
        <v>62392.5</v>
      </c>
      <c r="CF396" s="618">
        <f t="shared" si="1111"/>
        <v>18842.5</v>
      </c>
      <c r="CG396" s="616">
        <f t="shared" si="1073"/>
        <v>0</v>
      </c>
      <c r="CH396" s="621">
        <f t="shared" si="1074"/>
        <v>597657</v>
      </c>
      <c r="CI396" s="88">
        <f t="shared" si="1075"/>
        <v>8742.6756999999998</v>
      </c>
      <c r="CJ396" s="90">
        <f t="shared" si="1076"/>
        <v>6714.8054000000002</v>
      </c>
      <c r="CK396" s="90">
        <f t="shared" si="1077"/>
        <v>2027.8703</v>
      </c>
      <c r="CL396" s="88">
        <f t="shared" si="1078"/>
        <v>883</v>
      </c>
      <c r="CM396" s="88">
        <f t="shared" si="1079"/>
        <v>177</v>
      </c>
      <c r="CN396" s="88">
        <f t="shared" si="1080"/>
        <v>811</v>
      </c>
      <c r="CO396" s="88">
        <f t="shared" si="1081"/>
        <v>1905</v>
      </c>
      <c r="CP396" s="88">
        <f t="shared" si="1082"/>
        <v>52</v>
      </c>
      <c r="CQ396" s="88">
        <f t="shared" si="1083"/>
        <v>1729</v>
      </c>
      <c r="CR396" s="88">
        <f t="shared" si="1084"/>
        <v>36</v>
      </c>
      <c r="CS396" s="88">
        <f t="shared" si="1085"/>
        <v>88</v>
      </c>
      <c r="CT396" s="88">
        <f t="shared" si="1086"/>
        <v>791.67570000000001</v>
      </c>
      <c r="CU396" s="88">
        <f t="shared" si="1087"/>
        <v>580</v>
      </c>
      <c r="CV396" s="88">
        <f t="shared" si="1088"/>
        <v>54</v>
      </c>
      <c r="CW396" s="88">
        <f t="shared" si="1089"/>
        <v>77</v>
      </c>
      <c r="CX396" s="88">
        <f t="shared" si="1090"/>
        <v>8</v>
      </c>
      <c r="CY396" s="88">
        <f t="shared" si="1091"/>
        <v>105</v>
      </c>
      <c r="CZ396" s="88">
        <f t="shared" si="1092"/>
        <v>2195.5405000000001</v>
      </c>
      <c r="DA396" s="90">
        <f t="shared" si="1093"/>
        <v>1686.2837999999999</v>
      </c>
      <c r="DB396" s="90">
        <f t="shared" si="1094"/>
        <v>509.2568</v>
      </c>
      <c r="DC396" s="88">
        <f t="shared" si="1095"/>
        <v>0</v>
      </c>
      <c r="DD396" s="88">
        <f t="shared" si="1096"/>
        <v>16152.891900000001</v>
      </c>
      <c r="AUV396" s="699">
        <f t="shared" si="1184"/>
        <v>8742.68</v>
      </c>
      <c r="AUW396" s="699">
        <f t="shared" si="1185"/>
        <v>6714.81</v>
      </c>
      <c r="AUX396" s="699">
        <f t="shared" si="1186"/>
        <v>2027.87</v>
      </c>
      <c r="AUY396" s="699">
        <f t="shared" si="1158"/>
        <v>883</v>
      </c>
      <c r="AUZ396" s="699">
        <f t="shared" si="910"/>
        <v>2216.9899999999998</v>
      </c>
      <c r="AVA396" s="699">
        <f t="shared" si="910"/>
        <v>4.67</v>
      </c>
      <c r="AVB396" s="699">
        <f t="shared" si="1159"/>
        <v>1905</v>
      </c>
      <c r="AVC396" s="699">
        <f t="shared" si="1160"/>
        <v>52</v>
      </c>
      <c r="AVD396" s="699">
        <f t="shared" si="1161"/>
        <v>1729</v>
      </c>
      <c r="AVE396" s="699">
        <f t="shared" si="1162"/>
        <v>36</v>
      </c>
      <c r="AVF396" s="699">
        <f t="shared" si="1163"/>
        <v>88</v>
      </c>
      <c r="AVG396" s="699">
        <f t="shared" si="1164"/>
        <v>791.68</v>
      </c>
      <c r="AVH396" s="699">
        <f t="shared" si="1165"/>
        <v>580</v>
      </c>
      <c r="AVI396" s="699">
        <f t="shared" si="1166"/>
        <v>54</v>
      </c>
      <c r="AVJ396" s="699">
        <f t="shared" si="1167"/>
        <v>77</v>
      </c>
      <c r="AVK396" s="699">
        <f t="shared" si="1168"/>
        <v>8</v>
      </c>
      <c r="AVL396" s="699">
        <f t="shared" si="1169"/>
        <v>105</v>
      </c>
      <c r="AVM396" s="699">
        <f t="shared" si="1170"/>
        <v>2195.54</v>
      </c>
      <c r="AVN396" s="699">
        <f t="shared" si="1171"/>
        <v>1686.28</v>
      </c>
      <c r="AVO396" s="699">
        <f t="shared" si="1172"/>
        <v>509.26</v>
      </c>
      <c r="AVP396" s="699">
        <f t="shared" si="1173"/>
        <v>0</v>
      </c>
      <c r="AVQ396" s="699">
        <f t="shared" si="1174"/>
        <v>16152.89</v>
      </c>
    </row>
    <row r="397" spans="1:108 1244:1265" ht="30" customHeight="1" x14ac:dyDescent="0.25">
      <c r="A397" s="643">
        <v>1</v>
      </c>
      <c r="B397" s="643">
        <v>10</v>
      </c>
      <c r="C397" s="664" t="s">
        <v>251</v>
      </c>
      <c r="D397" s="2"/>
      <c r="E397" s="101" t="s">
        <v>344</v>
      </c>
      <c r="F397" s="643" t="s">
        <v>31</v>
      </c>
      <c r="G397" s="643">
        <v>1</v>
      </c>
      <c r="H397" s="658" t="s">
        <v>10</v>
      </c>
      <c r="I397" s="643">
        <v>0</v>
      </c>
      <c r="J397" s="101" t="s">
        <v>374</v>
      </c>
      <c r="K397" s="643">
        <v>1</v>
      </c>
      <c r="L397" s="683" t="s">
        <v>349</v>
      </c>
      <c r="M397" s="11" t="s">
        <v>283</v>
      </c>
      <c r="N397" s="101" t="s">
        <v>387</v>
      </c>
      <c r="O397" s="643">
        <v>1</v>
      </c>
      <c r="P397" s="632">
        <v>31</v>
      </c>
      <c r="Q397" s="632">
        <v>31</v>
      </c>
      <c r="R397" s="632">
        <v>31</v>
      </c>
      <c r="S397" s="675">
        <f>SUMIF('Территориальный кк'!$A:$A,'2020'!$B397,'Территориальный кк'!D:D)</f>
        <v>1.3620000000000001</v>
      </c>
      <c r="T397" s="676">
        <f>SUMIF('Территориальный кк'!$A:$A,'2020'!$B397,'Территориальный кк'!E:E)</f>
        <v>2.9540000000000002</v>
      </c>
      <c r="U397" s="618">
        <f>SUMIFS(Нормативы!G:G,Нормативы!$B:$B,$G397,Нормативы!$D:$D,'2020'!$I397,Нормативы!$F:$F,'2020'!$K397)*O397</f>
        <v>54020</v>
      </c>
      <c r="V397" s="618">
        <f t="shared" si="1097"/>
        <v>41490</v>
      </c>
      <c r="W397" s="618">
        <f t="shared" si="1098"/>
        <v>12530</v>
      </c>
      <c r="X397" s="618">
        <f>SUMIFS(Нормативы!J:J,Нормативы!$B:$B,$G397,Нормативы!$D:$D,'2020'!$I397,Нормативы!$F:$F,'2020'!$K397)</f>
        <v>220</v>
      </c>
      <c r="Y397" s="618">
        <f>SUMIFS(Нормативы!K:K,Нормативы!$B:$B,$G397,Нормативы!$D:$D,'2020'!$I397,Нормативы!$F:$F,'2020'!$K397)</f>
        <v>44</v>
      </c>
      <c r="Z397" s="618">
        <f>SUMIFS(Нормативы!L:L,Нормативы!$B:$B,$G397,Нормативы!$D:$D,'2020'!$I397,Нормативы!$F:$F,'2020'!$K397)</f>
        <v>2320</v>
      </c>
      <c r="AA397" s="618">
        <f t="shared" si="1099"/>
        <v>3710</v>
      </c>
      <c r="AB397" s="618">
        <f>SUMIFS(Нормативы!N:N,Нормативы!$B:$B,$G397,Нормативы!$D:$D,'2020'!$I397,Нормативы!$F:$F,'2020'!$K397)*O397</f>
        <v>520</v>
      </c>
      <c r="AC397" s="618">
        <f>SUMIFS(Нормативы!O:O,Нормативы!$B:$B,$G397,Нормативы!$D:$D,'2020'!$I397,Нормативы!$F:$F,'2020'!$K397)</f>
        <v>2140</v>
      </c>
      <c r="AD397" s="618">
        <f>SUMIFS(Нормативы!P:P,Нормативы!$B:$B,$G397,Нормативы!$D:$D,'2020'!$I397,Нормативы!$F:$F,'2020'!$K397)*O397</f>
        <v>310</v>
      </c>
      <c r="AE397" s="618">
        <f>SUMIFS(Нормативы!Q:Q,Нормативы!$B:$B,$G397,Нормативы!$D:$D,'2020'!$I397,Нормативы!$F:$F,'2020'!$K397)</f>
        <v>740</v>
      </c>
      <c r="AF397" s="618">
        <f>SUMIFS(Нормативы!R:R,Нормативы!$B:$B,$G397,Нормативы!$D:$D,'2020'!$I397,Нормативы!$F:$F,'2020'!$K397)</f>
        <v>2460</v>
      </c>
      <c r="AG397" s="618">
        <f>SUMIFS(Нормативы!S:S,Нормативы!$B:$B,$G397,Нормативы!$D:$D,'2020'!$I397,Нормативы!$F:$F,'2020'!$K397)</f>
        <v>5080</v>
      </c>
      <c r="AH397" s="618">
        <f>SUMIFS(Нормативы!T:T,Нормативы!$B:$B,$G397,Нормативы!$D:$D,'2020'!$I397,Нормативы!$F:$F,'2020'!$K397)</f>
        <v>540</v>
      </c>
      <c r="AI397" s="618">
        <f>SUMIFS(Нормативы!U:U,Нормативы!$B:$B,$G397,Нормативы!$D:$D,'2020'!$I397,Нормативы!$F:$F,'2020'!$K397)</f>
        <v>770</v>
      </c>
      <c r="AJ397" s="618">
        <f>SUMIFS(Нормативы!V:V,Нормативы!$B:$B,$G397,Нормативы!$D:$D,'2020'!$I397,Нормативы!$F:$F,'2020'!$K397)</f>
        <v>80</v>
      </c>
      <c r="AK397" s="618">
        <f>SUMIFS(Нормативы!W:W,Нормативы!$B:$B,$G397,Нормативы!$D:$D,'2020'!$I397,Нормативы!$F:$F,'2020'!$K397)</f>
        <v>300</v>
      </c>
      <c r="AL397" s="618">
        <f>SUMIFS(Нормативы!X:X,Нормативы!$B:$B,$G397,Нормативы!$D:$D,'2020'!$I397,Нормативы!$F:$F,'2020'!$K397)*O397</f>
        <v>13440</v>
      </c>
      <c r="AM397" s="618">
        <f t="shared" si="1100"/>
        <v>10322.6</v>
      </c>
      <c r="AN397" s="618">
        <f t="shared" si="1101"/>
        <v>3117.4</v>
      </c>
      <c r="AO397" s="618">
        <f>SUMIFS(Нормативы!AA:AA,Нормативы!$B:$B,$G397,Нормативы!$D:$D,'2020'!$I397,Нормативы!$F:$F,'2020'!$K397)</f>
        <v>3520</v>
      </c>
      <c r="AP397" s="619">
        <f t="shared" si="1102"/>
        <v>86460</v>
      </c>
      <c r="AQ397" s="413">
        <f t="shared" si="1040"/>
        <v>1674620</v>
      </c>
      <c r="AR397" s="618">
        <f t="shared" si="1103"/>
        <v>1286190.5</v>
      </c>
      <c r="AS397" s="618">
        <f t="shared" si="1104"/>
        <v>388429.5</v>
      </c>
      <c r="AT397" s="616">
        <f t="shared" si="1041"/>
        <v>6820</v>
      </c>
      <c r="AU397" s="616">
        <f t="shared" si="1042"/>
        <v>1364</v>
      </c>
      <c r="AV397" s="616">
        <f t="shared" si="1043"/>
        <v>71920</v>
      </c>
      <c r="AW397" s="616">
        <f t="shared" si="1044"/>
        <v>115010</v>
      </c>
      <c r="AX397" s="616">
        <f t="shared" si="1045"/>
        <v>16120</v>
      </c>
      <c r="AY397" s="616">
        <f t="shared" si="1046"/>
        <v>66340</v>
      </c>
      <c r="AZ397" s="616">
        <f t="shared" si="1047"/>
        <v>9610</v>
      </c>
      <c r="BA397" s="616">
        <f t="shared" si="1048"/>
        <v>22940</v>
      </c>
      <c r="BB397" s="616">
        <f t="shared" si="1049"/>
        <v>76260</v>
      </c>
      <c r="BC397" s="616">
        <f t="shared" si="1050"/>
        <v>157480</v>
      </c>
      <c r="BD397" s="616">
        <f t="shared" si="1051"/>
        <v>16740</v>
      </c>
      <c r="BE397" s="616">
        <f t="shared" si="1052"/>
        <v>23870</v>
      </c>
      <c r="BF397" s="616">
        <f t="shared" si="1053"/>
        <v>2480</v>
      </c>
      <c r="BG397" s="616">
        <f t="shared" si="1054"/>
        <v>9300</v>
      </c>
      <c r="BH397" s="616">
        <f t="shared" si="1055"/>
        <v>416640</v>
      </c>
      <c r="BI397" s="618">
        <f t="shared" si="1105"/>
        <v>320000</v>
      </c>
      <c r="BJ397" s="618">
        <f t="shared" si="1106"/>
        <v>96640</v>
      </c>
      <c r="BK397" s="616">
        <f t="shared" si="1056"/>
        <v>109120</v>
      </c>
      <c r="BL397" s="620">
        <f t="shared" si="1057"/>
        <v>2680260</v>
      </c>
      <c r="BM397" s="616">
        <f t="shared" si="1058"/>
        <v>2280832</v>
      </c>
      <c r="BN397" s="618">
        <f t="shared" si="1059"/>
        <v>1751791.1</v>
      </c>
      <c r="BO397" s="618">
        <f t="shared" si="1060"/>
        <v>529040.9</v>
      </c>
      <c r="BP397" s="616">
        <f t="shared" si="1107"/>
        <v>6820</v>
      </c>
      <c r="BQ397" s="616">
        <f t="shared" si="1108"/>
        <v>1364</v>
      </c>
      <c r="BR397" s="616">
        <f t="shared" si="1109"/>
        <v>71920</v>
      </c>
      <c r="BS397" s="616">
        <f t="shared" si="1061"/>
        <v>115010</v>
      </c>
      <c r="BT397" s="616">
        <f t="shared" si="1062"/>
        <v>16120</v>
      </c>
      <c r="BU397" s="616">
        <f t="shared" si="1063"/>
        <v>66340</v>
      </c>
      <c r="BV397" s="616">
        <f t="shared" si="1064"/>
        <v>9610</v>
      </c>
      <c r="BW397" s="616">
        <f t="shared" si="1065"/>
        <v>22940</v>
      </c>
      <c r="BX397" s="616">
        <f t="shared" si="1066"/>
        <v>225272</v>
      </c>
      <c r="BY397" s="616">
        <f t="shared" si="1067"/>
        <v>157480</v>
      </c>
      <c r="BZ397" s="616">
        <f t="shared" si="1068"/>
        <v>16740</v>
      </c>
      <c r="CA397" s="616">
        <f t="shared" si="1069"/>
        <v>23870</v>
      </c>
      <c r="CB397" s="616">
        <f t="shared" si="1070"/>
        <v>2480</v>
      </c>
      <c r="CC397" s="616">
        <f t="shared" si="1071"/>
        <v>9300</v>
      </c>
      <c r="CD397" s="616">
        <f t="shared" si="1072"/>
        <v>567464</v>
      </c>
      <c r="CE397" s="618">
        <f t="shared" si="1110"/>
        <v>435840.2</v>
      </c>
      <c r="CF397" s="618">
        <f t="shared" si="1111"/>
        <v>131623.79999999999</v>
      </c>
      <c r="CG397" s="616">
        <f t="shared" si="1073"/>
        <v>109120</v>
      </c>
      <c r="CH397" s="621">
        <f t="shared" si="1074"/>
        <v>3586308</v>
      </c>
      <c r="CI397" s="88">
        <f t="shared" si="1075"/>
        <v>73575.2258</v>
      </c>
      <c r="CJ397" s="90">
        <f t="shared" si="1076"/>
        <v>56509.390299999999</v>
      </c>
      <c r="CK397" s="90">
        <f t="shared" si="1077"/>
        <v>17065.835500000001</v>
      </c>
      <c r="CL397" s="88">
        <f t="shared" si="1078"/>
        <v>220</v>
      </c>
      <c r="CM397" s="88">
        <f t="shared" si="1079"/>
        <v>44</v>
      </c>
      <c r="CN397" s="88">
        <f t="shared" si="1080"/>
        <v>2320</v>
      </c>
      <c r="CO397" s="88">
        <f t="shared" si="1081"/>
        <v>3710</v>
      </c>
      <c r="CP397" s="88">
        <f t="shared" si="1082"/>
        <v>520</v>
      </c>
      <c r="CQ397" s="88">
        <f t="shared" si="1083"/>
        <v>2140</v>
      </c>
      <c r="CR397" s="88">
        <f t="shared" si="1084"/>
        <v>310</v>
      </c>
      <c r="CS397" s="88">
        <f t="shared" si="1085"/>
        <v>740</v>
      </c>
      <c r="CT397" s="88">
        <f t="shared" si="1086"/>
        <v>7266.8387000000002</v>
      </c>
      <c r="CU397" s="88">
        <f t="shared" si="1087"/>
        <v>5080</v>
      </c>
      <c r="CV397" s="88">
        <f t="shared" si="1088"/>
        <v>540</v>
      </c>
      <c r="CW397" s="88">
        <f t="shared" si="1089"/>
        <v>770</v>
      </c>
      <c r="CX397" s="88">
        <f t="shared" si="1090"/>
        <v>80</v>
      </c>
      <c r="CY397" s="88">
        <f t="shared" si="1091"/>
        <v>300</v>
      </c>
      <c r="CZ397" s="88">
        <f t="shared" si="1092"/>
        <v>18305.290300000001</v>
      </c>
      <c r="DA397" s="90">
        <f t="shared" si="1093"/>
        <v>14059.3613</v>
      </c>
      <c r="DB397" s="90">
        <f t="shared" si="1094"/>
        <v>4245.9290000000001</v>
      </c>
      <c r="DC397" s="88">
        <f t="shared" si="1095"/>
        <v>3520</v>
      </c>
      <c r="DD397" s="88">
        <f t="shared" si="1096"/>
        <v>115687.3548</v>
      </c>
      <c r="AUV397" s="699">
        <f t="shared" si="1184"/>
        <v>73575.23</v>
      </c>
      <c r="AUW397" s="699">
        <f t="shared" si="1185"/>
        <v>56509.39</v>
      </c>
      <c r="AUX397" s="699">
        <f t="shared" si="1186"/>
        <v>17065.84</v>
      </c>
      <c r="AUY397" s="699">
        <f t="shared" si="1158"/>
        <v>220</v>
      </c>
      <c r="AUZ397" s="699">
        <f t="shared" si="910"/>
        <v>461.75</v>
      </c>
      <c r="AVA397" s="699">
        <f t="shared" si="910"/>
        <v>1.33</v>
      </c>
      <c r="AVB397" s="699">
        <f t="shared" si="1159"/>
        <v>3710</v>
      </c>
      <c r="AVC397" s="699">
        <f t="shared" si="1160"/>
        <v>520</v>
      </c>
      <c r="AVD397" s="699">
        <f t="shared" si="1161"/>
        <v>2140</v>
      </c>
      <c r="AVE397" s="699">
        <f t="shared" si="1162"/>
        <v>310</v>
      </c>
      <c r="AVF397" s="699">
        <f t="shared" si="1163"/>
        <v>740</v>
      </c>
      <c r="AVG397" s="699">
        <f t="shared" si="1164"/>
        <v>7266.84</v>
      </c>
      <c r="AVH397" s="699">
        <f t="shared" si="1165"/>
        <v>5080</v>
      </c>
      <c r="AVI397" s="699">
        <f t="shared" si="1166"/>
        <v>540</v>
      </c>
      <c r="AVJ397" s="699">
        <f t="shared" si="1167"/>
        <v>770</v>
      </c>
      <c r="AVK397" s="699">
        <f t="shared" si="1168"/>
        <v>80</v>
      </c>
      <c r="AVL397" s="699">
        <f t="shared" si="1169"/>
        <v>300</v>
      </c>
      <c r="AVM397" s="699">
        <f t="shared" si="1170"/>
        <v>18305.29</v>
      </c>
      <c r="AVN397" s="699">
        <f t="shared" si="1171"/>
        <v>14059.36</v>
      </c>
      <c r="AVO397" s="699">
        <f t="shared" si="1172"/>
        <v>4245.93</v>
      </c>
      <c r="AVP397" s="699">
        <f t="shared" si="1173"/>
        <v>3520</v>
      </c>
      <c r="AVQ397" s="699">
        <f t="shared" si="1174"/>
        <v>115687.35</v>
      </c>
    </row>
    <row r="398" spans="1:108 1244:1265" ht="30" customHeight="1" x14ac:dyDescent="0.25">
      <c r="A398" s="643">
        <v>1</v>
      </c>
      <c r="B398" s="643">
        <v>10</v>
      </c>
      <c r="C398" s="664" t="s">
        <v>251</v>
      </c>
      <c r="D398" s="2"/>
      <c r="E398" s="101" t="s">
        <v>344</v>
      </c>
      <c r="F398" s="643" t="s">
        <v>31</v>
      </c>
      <c r="G398" s="643">
        <v>1</v>
      </c>
      <c r="H398" s="658" t="s">
        <v>8</v>
      </c>
      <c r="I398" s="643">
        <v>3</v>
      </c>
      <c r="J398" s="101" t="s">
        <v>377</v>
      </c>
      <c r="K398" s="643">
        <v>1</v>
      </c>
      <c r="L398" s="683" t="s">
        <v>349</v>
      </c>
      <c r="M398" s="11" t="s">
        <v>287</v>
      </c>
      <c r="N398" s="101" t="s">
        <v>387</v>
      </c>
      <c r="O398" s="643">
        <v>1</v>
      </c>
      <c r="P398" s="632"/>
      <c r="Q398" s="632"/>
      <c r="R398" s="632"/>
      <c r="S398" s="675">
        <f>SUMIF('Территориальный кк'!$A:$A,'2020'!$B398,'Территориальный кк'!D:D)</f>
        <v>1.3620000000000001</v>
      </c>
      <c r="T398" s="676">
        <f>SUMIF('Территориальный кк'!$A:$A,'2020'!$B398,'Территориальный кк'!E:E)</f>
        <v>2.9540000000000002</v>
      </c>
      <c r="U398" s="618">
        <f>SUMIFS(Нормативы!G:G,Нормативы!$B:$B,$G398,Нормативы!$D:$D,'2020'!$I398,Нормативы!$F:$F,'2020'!$K398)*O398</f>
        <v>5402</v>
      </c>
      <c r="V398" s="618">
        <f t="shared" si="1097"/>
        <v>4149</v>
      </c>
      <c r="W398" s="618">
        <f t="shared" si="1098"/>
        <v>1253</v>
      </c>
      <c r="X398" s="618">
        <f>SUMIFS(Нормативы!J:J,Нормативы!$B:$B,$G398,Нормативы!$D:$D,'2020'!$I398,Нормативы!$F:$F,'2020'!$K398)</f>
        <v>22</v>
      </c>
      <c r="Y398" s="618">
        <f>SUMIFS(Нормативы!K:K,Нормативы!$B:$B,$G398,Нормативы!$D:$D,'2020'!$I398,Нормативы!$F:$F,'2020'!$K398)</f>
        <v>4</v>
      </c>
      <c r="Z398" s="618">
        <f>SUMIFS(Нормативы!L:L,Нормативы!$B:$B,$G398,Нормативы!$D:$D,'2020'!$I398,Нормативы!$F:$F,'2020'!$K398)</f>
        <v>232</v>
      </c>
      <c r="AA398" s="618">
        <f t="shared" si="1099"/>
        <v>371</v>
      </c>
      <c r="AB398" s="618">
        <f>SUMIFS(Нормативы!N:N,Нормативы!$B:$B,$G398,Нормативы!$D:$D,'2020'!$I398,Нормативы!$F:$F,'2020'!$K398)*O398</f>
        <v>52</v>
      </c>
      <c r="AC398" s="618">
        <f>SUMIFS(Нормативы!O:O,Нормативы!$B:$B,$G398,Нормативы!$D:$D,'2020'!$I398,Нормативы!$F:$F,'2020'!$K398)</f>
        <v>214</v>
      </c>
      <c r="AD398" s="618">
        <f>SUMIFS(Нормативы!P:P,Нормативы!$B:$B,$G398,Нормативы!$D:$D,'2020'!$I398,Нормативы!$F:$F,'2020'!$K398)*O398</f>
        <v>31</v>
      </c>
      <c r="AE398" s="618">
        <f>SUMIFS(Нормативы!Q:Q,Нормативы!$B:$B,$G398,Нормативы!$D:$D,'2020'!$I398,Нормативы!$F:$F,'2020'!$K398)</f>
        <v>74</v>
      </c>
      <c r="AF398" s="618">
        <f>SUMIFS(Нормативы!R:R,Нормативы!$B:$B,$G398,Нормативы!$D:$D,'2020'!$I398,Нормативы!$F:$F,'2020'!$K398)</f>
        <v>246</v>
      </c>
      <c r="AG398" s="618">
        <f>SUMIFS(Нормативы!S:S,Нормативы!$B:$B,$G398,Нормативы!$D:$D,'2020'!$I398,Нормативы!$F:$F,'2020'!$K398)</f>
        <v>508</v>
      </c>
      <c r="AH398" s="618">
        <f>SUMIFS(Нормативы!T:T,Нормативы!$B:$B,$G398,Нормативы!$D:$D,'2020'!$I398,Нормативы!$F:$F,'2020'!$K398)</f>
        <v>54</v>
      </c>
      <c r="AI398" s="618">
        <f>SUMIFS(Нормативы!U:U,Нормативы!$B:$B,$G398,Нормативы!$D:$D,'2020'!$I398,Нормативы!$F:$F,'2020'!$K398)</f>
        <v>77</v>
      </c>
      <c r="AJ398" s="618">
        <f>SUMIFS(Нормативы!V:V,Нормативы!$B:$B,$G398,Нормативы!$D:$D,'2020'!$I398,Нормативы!$F:$F,'2020'!$K398)</f>
        <v>8</v>
      </c>
      <c r="AK398" s="618">
        <f>SUMIFS(Нормативы!W:W,Нормативы!$B:$B,$G398,Нормативы!$D:$D,'2020'!$I398,Нормативы!$F:$F,'2020'!$K398)</f>
        <v>30</v>
      </c>
      <c r="AL398" s="618">
        <f>SUMIFS(Нормативы!X:X,Нормативы!$B:$B,$G398,Нормативы!$D:$D,'2020'!$I398,Нормативы!$F:$F,'2020'!$K398)*O398</f>
        <v>1344</v>
      </c>
      <c r="AM398" s="618">
        <f t="shared" si="1100"/>
        <v>1032.3</v>
      </c>
      <c r="AN398" s="618">
        <f t="shared" si="1101"/>
        <v>311.7</v>
      </c>
      <c r="AO398" s="618">
        <f>SUMIFS(Нормативы!AA:AA,Нормативы!$B:$B,$G398,Нормативы!$D:$D,'2020'!$I398,Нормативы!$F:$F,'2020'!$K398)</f>
        <v>0</v>
      </c>
      <c r="AP398" s="619">
        <f t="shared" si="1102"/>
        <v>8294</v>
      </c>
      <c r="AQ398" s="413">
        <f t="shared" si="1040"/>
        <v>0</v>
      </c>
      <c r="AR398" s="618">
        <f t="shared" si="1103"/>
        <v>0</v>
      </c>
      <c r="AS398" s="618">
        <f t="shared" si="1104"/>
        <v>0</v>
      </c>
      <c r="AT398" s="616">
        <f t="shared" si="1041"/>
        <v>0</v>
      </c>
      <c r="AU398" s="616">
        <f t="shared" si="1042"/>
        <v>0</v>
      </c>
      <c r="AV398" s="616">
        <f t="shared" si="1043"/>
        <v>0</v>
      </c>
      <c r="AW398" s="616">
        <f t="shared" si="1044"/>
        <v>0</v>
      </c>
      <c r="AX398" s="616">
        <f t="shared" si="1045"/>
        <v>0</v>
      </c>
      <c r="AY398" s="616">
        <f t="shared" si="1046"/>
        <v>0</v>
      </c>
      <c r="AZ398" s="616">
        <f t="shared" si="1047"/>
        <v>0</v>
      </c>
      <c r="BA398" s="616">
        <f t="shared" si="1048"/>
        <v>0</v>
      </c>
      <c r="BB398" s="616">
        <f t="shared" si="1049"/>
        <v>0</v>
      </c>
      <c r="BC398" s="616">
        <f t="shared" si="1050"/>
        <v>0</v>
      </c>
      <c r="BD398" s="616">
        <f t="shared" si="1051"/>
        <v>0</v>
      </c>
      <c r="BE398" s="616">
        <f t="shared" si="1052"/>
        <v>0</v>
      </c>
      <c r="BF398" s="616">
        <f t="shared" si="1053"/>
        <v>0</v>
      </c>
      <c r="BG398" s="616">
        <f t="shared" si="1054"/>
        <v>0</v>
      </c>
      <c r="BH398" s="616">
        <f t="shared" si="1055"/>
        <v>0</v>
      </c>
      <c r="BI398" s="618">
        <f t="shared" si="1105"/>
        <v>0</v>
      </c>
      <c r="BJ398" s="618">
        <f t="shared" si="1106"/>
        <v>0</v>
      </c>
      <c r="BK398" s="616">
        <f t="shared" si="1056"/>
        <v>0</v>
      </c>
      <c r="BL398" s="620">
        <f t="shared" si="1057"/>
        <v>0</v>
      </c>
      <c r="BM398" s="616">
        <f t="shared" si="1058"/>
        <v>0</v>
      </c>
      <c r="BN398" s="618">
        <f t="shared" si="1059"/>
        <v>0</v>
      </c>
      <c r="BO398" s="618">
        <f t="shared" si="1060"/>
        <v>0</v>
      </c>
      <c r="BP398" s="616">
        <f t="shared" si="1107"/>
        <v>0</v>
      </c>
      <c r="BQ398" s="616">
        <f t="shared" si="1108"/>
        <v>0</v>
      </c>
      <c r="BR398" s="616">
        <f t="shared" si="1109"/>
        <v>0</v>
      </c>
      <c r="BS398" s="616">
        <f t="shared" si="1061"/>
        <v>0</v>
      </c>
      <c r="BT398" s="616">
        <f t="shared" si="1062"/>
        <v>0</v>
      </c>
      <c r="BU398" s="616">
        <f t="shared" si="1063"/>
        <v>0</v>
      </c>
      <c r="BV398" s="616">
        <f t="shared" si="1064"/>
        <v>0</v>
      </c>
      <c r="BW398" s="616">
        <f t="shared" si="1065"/>
        <v>0</v>
      </c>
      <c r="BX398" s="616">
        <f t="shared" si="1066"/>
        <v>0</v>
      </c>
      <c r="BY398" s="616">
        <f t="shared" si="1067"/>
        <v>0</v>
      </c>
      <c r="BZ398" s="616">
        <f t="shared" si="1068"/>
        <v>0</v>
      </c>
      <c r="CA398" s="616">
        <f t="shared" si="1069"/>
        <v>0</v>
      </c>
      <c r="CB398" s="616">
        <f t="shared" si="1070"/>
        <v>0</v>
      </c>
      <c r="CC398" s="616">
        <f t="shared" si="1071"/>
        <v>0</v>
      </c>
      <c r="CD398" s="616">
        <f t="shared" si="1072"/>
        <v>0</v>
      </c>
      <c r="CE398" s="618">
        <f t="shared" si="1110"/>
        <v>0</v>
      </c>
      <c r="CF398" s="618">
        <f t="shared" si="1111"/>
        <v>0</v>
      </c>
      <c r="CG398" s="616">
        <f t="shared" si="1073"/>
        <v>0</v>
      </c>
      <c r="CH398" s="621">
        <f t="shared" si="1074"/>
        <v>0</v>
      </c>
      <c r="CI398" s="88" t="e">
        <f t="shared" si="1075"/>
        <v>#DIV/0!</v>
      </c>
      <c r="CJ398" s="90" t="e">
        <f t="shared" si="1076"/>
        <v>#DIV/0!</v>
      </c>
      <c r="CK398" s="90" t="e">
        <f t="shared" si="1077"/>
        <v>#DIV/0!</v>
      </c>
      <c r="CL398" s="88" t="e">
        <f t="shared" si="1078"/>
        <v>#DIV/0!</v>
      </c>
      <c r="CM398" s="88" t="e">
        <f t="shared" si="1079"/>
        <v>#DIV/0!</v>
      </c>
      <c r="CN398" s="88" t="e">
        <f t="shared" si="1080"/>
        <v>#DIV/0!</v>
      </c>
      <c r="CO398" s="88" t="e">
        <f t="shared" si="1081"/>
        <v>#DIV/0!</v>
      </c>
      <c r="CP398" s="88" t="e">
        <f t="shared" si="1082"/>
        <v>#DIV/0!</v>
      </c>
      <c r="CQ398" s="88" t="e">
        <f t="shared" si="1083"/>
        <v>#DIV/0!</v>
      </c>
      <c r="CR398" s="88" t="e">
        <f t="shared" si="1084"/>
        <v>#DIV/0!</v>
      </c>
      <c r="CS398" s="88" t="e">
        <f t="shared" si="1085"/>
        <v>#DIV/0!</v>
      </c>
      <c r="CT398" s="88" t="e">
        <f t="shared" si="1086"/>
        <v>#DIV/0!</v>
      </c>
      <c r="CU398" s="88" t="e">
        <f t="shared" si="1087"/>
        <v>#DIV/0!</v>
      </c>
      <c r="CV398" s="88" t="e">
        <f t="shared" si="1088"/>
        <v>#DIV/0!</v>
      </c>
      <c r="CW398" s="88" t="e">
        <f t="shared" si="1089"/>
        <v>#DIV/0!</v>
      </c>
      <c r="CX398" s="88" t="e">
        <f t="shared" si="1090"/>
        <v>#DIV/0!</v>
      </c>
      <c r="CY398" s="88" t="e">
        <f t="shared" si="1091"/>
        <v>#DIV/0!</v>
      </c>
      <c r="CZ398" s="88" t="e">
        <f t="shared" si="1092"/>
        <v>#DIV/0!</v>
      </c>
      <c r="DA398" s="90" t="e">
        <f t="shared" si="1093"/>
        <v>#DIV/0!</v>
      </c>
      <c r="DB398" s="90" t="e">
        <f t="shared" si="1094"/>
        <v>#DIV/0!</v>
      </c>
      <c r="DC398" s="88" t="e">
        <f t="shared" si="1095"/>
        <v>#DIV/0!</v>
      </c>
      <c r="DD398" s="88" t="e">
        <f t="shared" si="1096"/>
        <v>#DIV/0!</v>
      </c>
      <c r="AUV398" s="699">
        <v>0</v>
      </c>
      <c r="AUW398" s="699">
        <f t="shared" si="1185"/>
        <v>0</v>
      </c>
      <c r="AUX398" s="699">
        <f t="shared" si="1186"/>
        <v>0</v>
      </c>
      <c r="AUY398" s="699">
        <f t="shared" si="910"/>
        <v>0</v>
      </c>
      <c r="AUZ398" s="699">
        <f t="shared" si="910"/>
        <v>0</v>
      </c>
      <c r="AVA398" s="699">
        <f t="shared" si="910"/>
        <v>0</v>
      </c>
      <c r="AVB398" s="699">
        <f t="shared" si="911"/>
        <v>0</v>
      </c>
      <c r="AVC398" s="697"/>
      <c r="AVD398" s="697"/>
      <c r="AVE398" s="697"/>
      <c r="AVF398" s="697"/>
      <c r="AVG398" s="697"/>
      <c r="AVH398" s="697"/>
      <c r="AVI398" s="697"/>
      <c r="AVJ398" s="697"/>
      <c r="AVK398" s="697"/>
      <c r="AVL398" s="697"/>
      <c r="AVM398" s="697"/>
      <c r="AVN398" s="697"/>
      <c r="AVO398" s="697"/>
      <c r="AVP398" s="697"/>
      <c r="AVQ398" s="697"/>
    </row>
    <row r="399" spans="1:108 1244:1265" ht="30" customHeight="1" x14ac:dyDescent="0.25">
      <c r="A399" s="643">
        <v>1</v>
      </c>
      <c r="B399" s="643">
        <v>10</v>
      </c>
      <c r="C399" s="664" t="s">
        <v>251</v>
      </c>
      <c r="D399" s="2"/>
      <c r="E399" s="101" t="s">
        <v>344</v>
      </c>
      <c r="F399" s="643" t="s">
        <v>31</v>
      </c>
      <c r="G399" s="643">
        <v>1</v>
      </c>
      <c r="H399" s="658" t="s">
        <v>10</v>
      </c>
      <c r="I399" s="643">
        <v>0</v>
      </c>
      <c r="J399" s="101" t="s">
        <v>358</v>
      </c>
      <c r="K399" s="643">
        <v>1</v>
      </c>
      <c r="L399" s="683" t="s">
        <v>349</v>
      </c>
      <c r="M399" s="11" t="s">
        <v>262</v>
      </c>
      <c r="N399" s="101" t="s">
        <v>387</v>
      </c>
      <c r="O399" s="643">
        <v>1</v>
      </c>
      <c r="P399" s="632">
        <v>10</v>
      </c>
      <c r="Q399" s="632">
        <v>10</v>
      </c>
      <c r="R399" s="632">
        <v>10</v>
      </c>
      <c r="S399" s="675">
        <f>SUMIF('Территориальный кк'!$A:$A,'2020'!$B399,'Территориальный кк'!D:D)</f>
        <v>1.3620000000000001</v>
      </c>
      <c r="T399" s="676">
        <f>SUMIF('Территориальный кк'!$A:$A,'2020'!$B399,'Территориальный кк'!E:E)</f>
        <v>2.9540000000000002</v>
      </c>
      <c r="U399" s="618">
        <f>SUMIFS(Нормативы!G:G,Нормативы!$B:$B,$G399,Нормативы!$D:$D,'2020'!$I399,Нормативы!$F:$F,'2020'!$K399)*O399</f>
        <v>54020</v>
      </c>
      <c r="V399" s="618">
        <f t="shared" si="1097"/>
        <v>41490</v>
      </c>
      <c r="W399" s="618">
        <f t="shared" si="1098"/>
        <v>12530</v>
      </c>
      <c r="X399" s="618">
        <f>SUMIFS(Нормативы!J:J,Нормативы!$B:$B,$G399,Нормативы!$D:$D,'2020'!$I399,Нормативы!$F:$F,'2020'!$K399)</f>
        <v>220</v>
      </c>
      <c r="Y399" s="618">
        <f>SUMIFS(Нормативы!K:K,Нормативы!$B:$B,$G399,Нормативы!$D:$D,'2020'!$I399,Нормативы!$F:$F,'2020'!$K399)</f>
        <v>44</v>
      </c>
      <c r="Z399" s="618">
        <f>SUMIFS(Нормативы!L:L,Нормативы!$B:$B,$G399,Нормативы!$D:$D,'2020'!$I399,Нормативы!$F:$F,'2020'!$K399)</f>
        <v>2320</v>
      </c>
      <c r="AA399" s="618">
        <f t="shared" si="1099"/>
        <v>3710</v>
      </c>
      <c r="AB399" s="618">
        <f>SUMIFS(Нормативы!N:N,Нормативы!$B:$B,$G399,Нормативы!$D:$D,'2020'!$I399,Нормативы!$F:$F,'2020'!$K399)*O399</f>
        <v>520</v>
      </c>
      <c r="AC399" s="618">
        <f>SUMIFS(Нормативы!O:O,Нормативы!$B:$B,$G399,Нормативы!$D:$D,'2020'!$I399,Нормативы!$F:$F,'2020'!$K399)</f>
        <v>2140</v>
      </c>
      <c r="AD399" s="618">
        <f>SUMIFS(Нормативы!P:P,Нормативы!$B:$B,$G399,Нормативы!$D:$D,'2020'!$I399,Нормативы!$F:$F,'2020'!$K399)*O399</f>
        <v>310</v>
      </c>
      <c r="AE399" s="618">
        <f>SUMIFS(Нормативы!Q:Q,Нормативы!$B:$B,$G399,Нормативы!$D:$D,'2020'!$I399,Нормативы!$F:$F,'2020'!$K399)</f>
        <v>740</v>
      </c>
      <c r="AF399" s="618">
        <f>SUMIFS(Нормативы!R:R,Нормативы!$B:$B,$G399,Нормативы!$D:$D,'2020'!$I399,Нормативы!$F:$F,'2020'!$K399)</f>
        <v>2460</v>
      </c>
      <c r="AG399" s="618">
        <f>SUMIFS(Нормативы!S:S,Нормативы!$B:$B,$G399,Нормативы!$D:$D,'2020'!$I399,Нормативы!$F:$F,'2020'!$K399)</f>
        <v>5080</v>
      </c>
      <c r="AH399" s="618">
        <f>SUMIFS(Нормативы!T:T,Нормативы!$B:$B,$G399,Нормативы!$D:$D,'2020'!$I399,Нормативы!$F:$F,'2020'!$K399)</f>
        <v>540</v>
      </c>
      <c r="AI399" s="618">
        <f>SUMIFS(Нормативы!U:U,Нормативы!$B:$B,$G399,Нормативы!$D:$D,'2020'!$I399,Нормативы!$F:$F,'2020'!$K399)</f>
        <v>770</v>
      </c>
      <c r="AJ399" s="618">
        <f>SUMIFS(Нормативы!V:V,Нормативы!$B:$B,$G399,Нормативы!$D:$D,'2020'!$I399,Нормативы!$F:$F,'2020'!$K399)</f>
        <v>80</v>
      </c>
      <c r="AK399" s="618">
        <f>SUMIFS(Нормативы!W:W,Нормативы!$B:$B,$G399,Нормативы!$D:$D,'2020'!$I399,Нормативы!$F:$F,'2020'!$K399)</f>
        <v>300</v>
      </c>
      <c r="AL399" s="618">
        <f>SUMIFS(Нормативы!X:X,Нормативы!$B:$B,$G399,Нормативы!$D:$D,'2020'!$I399,Нормативы!$F:$F,'2020'!$K399)*O399</f>
        <v>13440</v>
      </c>
      <c r="AM399" s="618">
        <f t="shared" si="1100"/>
        <v>10322.6</v>
      </c>
      <c r="AN399" s="618">
        <f t="shared" si="1101"/>
        <v>3117.4</v>
      </c>
      <c r="AO399" s="618">
        <f>SUMIFS(Нормативы!AA:AA,Нормативы!$B:$B,$G399,Нормативы!$D:$D,'2020'!$I399,Нормативы!$F:$F,'2020'!$K399)</f>
        <v>3520</v>
      </c>
      <c r="AP399" s="619">
        <f t="shared" si="1102"/>
        <v>86460</v>
      </c>
      <c r="AQ399" s="413">
        <f t="shared" si="1040"/>
        <v>540200</v>
      </c>
      <c r="AR399" s="618">
        <f t="shared" si="1103"/>
        <v>414900.2</v>
      </c>
      <c r="AS399" s="618">
        <f t="shared" si="1104"/>
        <v>125299.8</v>
      </c>
      <c r="AT399" s="616">
        <f t="shared" si="1041"/>
        <v>2200</v>
      </c>
      <c r="AU399" s="616">
        <f t="shared" si="1042"/>
        <v>440</v>
      </c>
      <c r="AV399" s="616">
        <f t="shared" si="1043"/>
        <v>23200</v>
      </c>
      <c r="AW399" s="616">
        <f t="shared" si="1044"/>
        <v>37100</v>
      </c>
      <c r="AX399" s="616">
        <f t="shared" si="1045"/>
        <v>5200</v>
      </c>
      <c r="AY399" s="616">
        <f t="shared" si="1046"/>
        <v>21400</v>
      </c>
      <c r="AZ399" s="616">
        <f t="shared" si="1047"/>
        <v>3100</v>
      </c>
      <c r="BA399" s="616">
        <f t="shared" si="1048"/>
        <v>7400</v>
      </c>
      <c r="BB399" s="616">
        <f t="shared" si="1049"/>
        <v>24600</v>
      </c>
      <c r="BC399" s="616">
        <f t="shared" si="1050"/>
        <v>50800</v>
      </c>
      <c r="BD399" s="616">
        <f t="shared" si="1051"/>
        <v>5400</v>
      </c>
      <c r="BE399" s="616">
        <f t="shared" si="1052"/>
        <v>7700</v>
      </c>
      <c r="BF399" s="616">
        <f t="shared" si="1053"/>
        <v>800</v>
      </c>
      <c r="BG399" s="616">
        <f t="shared" si="1054"/>
        <v>3000</v>
      </c>
      <c r="BH399" s="616">
        <f t="shared" si="1055"/>
        <v>134400</v>
      </c>
      <c r="BI399" s="618">
        <f t="shared" si="1105"/>
        <v>103225.8</v>
      </c>
      <c r="BJ399" s="618">
        <f t="shared" si="1106"/>
        <v>31174.2</v>
      </c>
      <c r="BK399" s="616">
        <f t="shared" si="1056"/>
        <v>35200</v>
      </c>
      <c r="BL399" s="620">
        <f t="shared" si="1057"/>
        <v>864600</v>
      </c>
      <c r="BM399" s="616">
        <f t="shared" si="1058"/>
        <v>735752</v>
      </c>
      <c r="BN399" s="618">
        <f t="shared" si="1059"/>
        <v>565093.69999999995</v>
      </c>
      <c r="BO399" s="618">
        <f t="shared" si="1060"/>
        <v>170658.3</v>
      </c>
      <c r="BP399" s="616">
        <f t="shared" si="1107"/>
        <v>2200</v>
      </c>
      <c r="BQ399" s="616">
        <f t="shared" si="1108"/>
        <v>440</v>
      </c>
      <c r="BR399" s="616">
        <f t="shared" si="1109"/>
        <v>23200</v>
      </c>
      <c r="BS399" s="616">
        <f t="shared" si="1061"/>
        <v>37100</v>
      </c>
      <c r="BT399" s="616">
        <f t="shared" si="1062"/>
        <v>5200</v>
      </c>
      <c r="BU399" s="616">
        <f t="shared" si="1063"/>
        <v>21400</v>
      </c>
      <c r="BV399" s="616">
        <f t="shared" si="1064"/>
        <v>3100</v>
      </c>
      <c r="BW399" s="616">
        <f t="shared" si="1065"/>
        <v>7400</v>
      </c>
      <c r="BX399" s="616">
        <f t="shared" si="1066"/>
        <v>72668</v>
      </c>
      <c r="BY399" s="616">
        <f t="shared" si="1067"/>
        <v>50800</v>
      </c>
      <c r="BZ399" s="616">
        <f t="shared" si="1068"/>
        <v>5400</v>
      </c>
      <c r="CA399" s="616">
        <f t="shared" si="1069"/>
        <v>7700</v>
      </c>
      <c r="CB399" s="616">
        <f t="shared" si="1070"/>
        <v>800</v>
      </c>
      <c r="CC399" s="616">
        <f t="shared" si="1071"/>
        <v>3000</v>
      </c>
      <c r="CD399" s="616">
        <f t="shared" si="1072"/>
        <v>183053</v>
      </c>
      <c r="CE399" s="618">
        <f t="shared" si="1110"/>
        <v>140593.70000000001</v>
      </c>
      <c r="CF399" s="618">
        <f t="shared" si="1111"/>
        <v>42459.3</v>
      </c>
      <c r="CG399" s="616">
        <f t="shared" si="1073"/>
        <v>35200</v>
      </c>
      <c r="CH399" s="621">
        <f t="shared" si="1074"/>
        <v>1156873</v>
      </c>
      <c r="CI399" s="88">
        <f t="shared" si="1075"/>
        <v>73575.199999999997</v>
      </c>
      <c r="CJ399" s="90">
        <f t="shared" si="1076"/>
        <v>56509.37</v>
      </c>
      <c r="CK399" s="90">
        <f t="shared" si="1077"/>
        <v>17065.830000000002</v>
      </c>
      <c r="CL399" s="88">
        <f t="shared" si="1078"/>
        <v>220</v>
      </c>
      <c r="CM399" s="88">
        <f t="shared" si="1079"/>
        <v>44</v>
      </c>
      <c r="CN399" s="88">
        <f t="shared" si="1080"/>
        <v>2320</v>
      </c>
      <c r="CO399" s="88">
        <f t="shared" si="1081"/>
        <v>3710</v>
      </c>
      <c r="CP399" s="88">
        <f t="shared" si="1082"/>
        <v>520</v>
      </c>
      <c r="CQ399" s="88">
        <f t="shared" si="1083"/>
        <v>2140</v>
      </c>
      <c r="CR399" s="88">
        <f t="shared" si="1084"/>
        <v>310</v>
      </c>
      <c r="CS399" s="88">
        <f t="shared" si="1085"/>
        <v>740</v>
      </c>
      <c r="CT399" s="88">
        <f t="shared" si="1086"/>
        <v>7266.8</v>
      </c>
      <c r="CU399" s="88">
        <f t="shared" si="1087"/>
        <v>5080</v>
      </c>
      <c r="CV399" s="88">
        <f t="shared" si="1088"/>
        <v>540</v>
      </c>
      <c r="CW399" s="88">
        <f t="shared" si="1089"/>
        <v>770</v>
      </c>
      <c r="CX399" s="88">
        <f t="shared" si="1090"/>
        <v>80</v>
      </c>
      <c r="CY399" s="88">
        <f t="shared" si="1091"/>
        <v>300</v>
      </c>
      <c r="CZ399" s="88">
        <f t="shared" si="1092"/>
        <v>18305.3</v>
      </c>
      <c r="DA399" s="90">
        <f t="shared" si="1093"/>
        <v>14059.37</v>
      </c>
      <c r="DB399" s="90">
        <f t="shared" si="1094"/>
        <v>4245.93</v>
      </c>
      <c r="DC399" s="88">
        <f t="shared" si="1095"/>
        <v>3520</v>
      </c>
      <c r="DD399" s="88">
        <f t="shared" si="1096"/>
        <v>115687.3</v>
      </c>
      <c r="AUV399" s="699">
        <f t="shared" si="1184"/>
        <v>73575.199999999997</v>
      </c>
      <c r="AUW399" s="699">
        <f t="shared" si="1185"/>
        <v>56509.37</v>
      </c>
      <c r="AUX399" s="699">
        <f t="shared" si="1186"/>
        <v>17065.830000000002</v>
      </c>
      <c r="AUY399" s="699">
        <f t="shared" ref="AUY399:AUY414" si="1187">BP399/P399</f>
        <v>220</v>
      </c>
      <c r="AUZ399" s="699">
        <f t="shared" si="910"/>
        <v>148.94999999999999</v>
      </c>
      <c r="AVA399" s="699">
        <f t="shared" si="910"/>
        <v>0.43</v>
      </c>
      <c r="AVB399" s="699">
        <f t="shared" ref="AVB399:AVB414" si="1188">AVC399+AVD399+AVE399+AVF399</f>
        <v>3710</v>
      </c>
      <c r="AVC399" s="699">
        <f t="shared" ref="AVC399:AVC414" si="1189">BT399/P399</f>
        <v>520</v>
      </c>
      <c r="AVD399" s="699">
        <f t="shared" ref="AVD399:AVD414" si="1190">BU399/P399</f>
        <v>2140</v>
      </c>
      <c r="AVE399" s="699">
        <f t="shared" ref="AVE399:AVE414" si="1191">BV399/P399</f>
        <v>310</v>
      </c>
      <c r="AVF399" s="699">
        <f t="shared" ref="AVF399:AVF414" si="1192">BW399/P399</f>
        <v>740</v>
      </c>
      <c r="AVG399" s="699">
        <f t="shared" ref="AVG399:AVG414" si="1193">BX399/P399</f>
        <v>7266.8</v>
      </c>
      <c r="AVH399" s="699">
        <f t="shared" ref="AVH399:AVH414" si="1194">BY399/P399</f>
        <v>5080</v>
      </c>
      <c r="AVI399" s="699">
        <f t="shared" ref="AVI399:AVI414" si="1195">BZ399/P399</f>
        <v>540</v>
      </c>
      <c r="AVJ399" s="699">
        <f t="shared" ref="AVJ399:AVJ414" si="1196">CA399/P399</f>
        <v>770</v>
      </c>
      <c r="AVK399" s="699">
        <f t="shared" ref="AVK399:AVK414" si="1197">CB399/P399</f>
        <v>80</v>
      </c>
      <c r="AVL399" s="699">
        <f t="shared" ref="AVL399:AVL414" si="1198">CC399/P399</f>
        <v>300</v>
      </c>
      <c r="AVM399" s="699">
        <f t="shared" ref="AVM399:AVM414" si="1199">CD399/P399</f>
        <v>18305.3</v>
      </c>
      <c r="AVN399" s="699">
        <f t="shared" ref="AVN399:AVN414" si="1200">AVM399/1.302</f>
        <v>14059.37</v>
      </c>
      <c r="AVO399" s="699">
        <f t="shared" ref="AVO399:AVO414" si="1201">AVM399-AVN399</f>
        <v>4245.93</v>
      </c>
      <c r="AVP399" s="699">
        <f t="shared" ref="AVP399:AVP414" si="1202">CG399/P399</f>
        <v>3520</v>
      </c>
      <c r="AVQ399" s="699">
        <f t="shared" ref="AVQ399:AVQ414" si="1203">CH399/P399</f>
        <v>115687.3</v>
      </c>
    </row>
    <row r="400" spans="1:108 1244:1265" ht="30" customHeight="1" x14ac:dyDescent="0.25">
      <c r="A400" s="643">
        <v>1</v>
      </c>
      <c r="B400" s="643">
        <v>10</v>
      </c>
      <c r="C400" s="664" t="s">
        <v>251</v>
      </c>
      <c r="D400" s="2"/>
      <c r="E400" s="101" t="s">
        <v>344</v>
      </c>
      <c r="F400" s="643" t="s">
        <v>31</v>
      </c>
      <c r="G400" s="643">
        <v>1</v>
      </c>
      <c r="H400" s="658" t="s">
        <v>8</v>
      </c>
      <c r="I400" s="643">
        <v>3</v>
      </c>
      <c r="J400" s="101" t="s">
        <v>358</v>
      </c>
      <c r="K400" s="643">
        <v>1</v>
      </c>
      <c r="L400" s="683" t="s">
        <v>349</v>
      </c>
      <c r="M400" s="11" t="s">
        <v>288</v>
      </c>
      <c r="N400" s="101" t="s">
        <v>387</v>
      </c>
      <c r="O400" s="643">
        <v>1</v>
      </c>
      <c r="P400" s="632">
        <v>10</v>
      </c>
      <c r="Q400" s="632">
        <v>10</v>
      </c>
      <c r="R400" s="632">
        <v>10</v>
      </c>
      <c r="S400" s="675">
        <f>SUMIF('Территориальный кк'!$A:$A,'2020'!$B400,'Территориальный кк'!D:D)</f>
        <v>1.3620000000000001</v>
      </c>
      <c r="T400" s="676">
        <f>SUMIF('Территориальный кк'!$A:$A,'2020'!$B400,'Территориальный кк'!E:E)</f>
        <v>2.9540000000000002</v>
      </c>
      <c r="U400" s="618">
        <f>SUMIFS(Нормативы!G:G,Нормативы!$B:$B,$G400,Нормативы!$D:$D,'2020'!$I400,Нормативы!$F:$F,'2020'!$K400)*O400</f>
        <v>5402</v>
      </c>
      <c r="V400" s="618">
        <f t="shared" si="1097"/>
        <v>4149</v>
      </c>
      <c r="W400" s="618">
        <f t="shared" si="1098"/>
        <v>1253</v>
      </c>
      <c r="X400" s="618">
        <f>SUMIFS(Нормативы!J:J,Нормативы!$B:$B,$G400,Нормативы!$D:$D,'2020'!$I400,Нормативы!$F:$F,'2020'!$K400)</f>
        <v>22</v>
      </c>
      <c r="Y400" s="618">
        <f>SUMIFS(Нормативы!K:K,Нормативы!$B:$B,$G400,Нормативы!$D:$D,'2020'!$I400,Нормативы!$F:$F,'2020'!$K400)</f>
        <v>4</v>
      </c>
      <c r="Z400" s="618">
        <f>SUMIFS(Нормативы!L:L,Нормативы!$B:$B,$G400,Нормативы!$D:$D,'2020'!$I400,Нормативы!$F:$F,'2020'!$K400)</f>
        <v>232</v>
      </c>
      <c r="AA400" s="618">
        <f t="shared" si="1099"/>
        <v>371</v>
      </c>
      <c r="AB400" s="618">
        <f>SUMIFS(Нормативы!N:N,Нормативы!$B:$B,$G400,Нормативы!$D:$D,'2020'!$I400,Нормативы!$F:$F,'2020'!$K400)*O400</f>
        <v>52</v>
      </c>
      <c r="AC400" s="618">
        <f>SUMIFS(Нормативы!O:O,Нормативы!$B:$B,$G400,Нормативы!$D:$D,'2020'!$I400,Нормативы!$F:$F,'2020'!$K400)</f>
        <v>214</v>
      </c>
      <c r="AD400" s="618">
        <f>SUMIFS(Нормативы!P:P,Нормативы!$B:$B,$G400,Нормативы!$D:$D,'2020'!$I400,Нормативы!$F:$F,'2020'!$K400)*O400</f>
        <v>31</v>
      </c>
      <c r="AE400" s="618">
        <f>SUMIFS(Нормативы!Q:Q,Нормативы!$B:$B,$G400,Нормативы!$D:$D,'2020'!$I400,Нормативы!$F:$F,'2020'!$K400)</f>
        <v>74</v>
      </c>
      <c r="AF400" s="618">
        <f>SUMIFS(Нормативы!R:R,Нормативы!$B:$B,$G400,Нормативы!$D:$D,'2020'!$I400,Нормативы!$F:$F,'2020'!$K400)</f>
        <v>246</v>
      </c>
      <c r="AG400" s="618">
        <f>SUMIFS(Нормативы!S:S,Нормативы!$B:$B,$G400,Нормативы!$D:$D,'2020'!$I400,Нормативы!$F:$F,'2020'!$K400)</f>
        <v>508</v>
      </c>
      <c r="AH400" s="618">
        <f>SUMIFS(Нормативы!T:T,Нормативы!$B:$B,$G400,Нормативы!$D:$D,'2020'!$I400,Нормативы!$F:$F,'2020'!$K400)</f>
        <v>54</v>
      </c>
      <c r="AI400" s="618">
        <f>SUMIFS(Нормативы!U:U,Нормативы!$B:$B,$G400,Нормативы!$D:$D,'2020'!$I400,Нормативы!$F:$F,'2020'!$K400)</f>
        <v>77</v>
      </c>
      <c r="AJ400" s="618">
        <f>SUMIFS(Нормативы!V:V,Нормативы!$B:$B,$G400,Нормативы!$D:$D,'2020'!$I400,Нормативы!$F:$F,'2020'!$K400)</f>
        <v>8</v>
      </c>
      <c r="AK400" s="618">
        <f>SUMIFS(Нормативы!W:W,Нормативы!$B:$B,$G400,Нормативы!$D:$D,'2020'!$I400,Нормативы!$F:$F,'2020'!$K400)</f>
        <v>30</v>
      </c>
      <c r="AL400" s="618">
        <f>SUMIFS(Нормативы!X:X,Нормативы!$B:$B,$G400,Нормативы!$D:$D,'2020'!$I400,Нормативы!$F:$F,'2020'!$K400)*O400</f>
        <v>1344</v>
      </c>
      <c r="AM400" s="618">
        <f t="shared" si="1100"/>
        <v>1032.3</v>
      </c>
      <c r="AN400" s="618">
        <f t="shared" si="1101"/>
        <v>311.7</v>
      </c>
      <c r="AO400" s="618">
        <f>SUMIFS(Нормативы!AA:AA,Нормативы!$B:$B,$G400,Нормативы!$D:$D,'2020'!$I400,Нормативы!$F:$F,'2020'!$K400)</f>
        <v>0</v>
      </c>
      <c r="AP400" s="619">
        <f t="shared" si="1102"/>
        <v>8294</v>
      </c>
      <c r="AQ400" s="413">
        <f t="shared" si="1040"/>
        <v>54020</v>
      </c>
      <c r="AR400" s="618">
        <f t="shared" si="1103"/>
        <v>41490</v>
      </c>
      <c r="AS400" s="618">
        <f t="shared" si="1104"/>
        <v>12530</v>
      </c>
      <c r="AT400" s="616">
        <f t="shared" si="1041"/>
        <v>220</v>
      </c>
      <c r="AU400" s="616">
        <f t="shared" si="1042"/>
        <v>40</v>
      </c>
      <c r="AV400" s="616">
        <f t="shared" si="1043"/>
        <v>2320</v>
      </c>
      <c r="AW400" s="616">
        <f t="shared" si="1044"/>
        <v>3710</v>
      </c>
      <c r="AX400" s="616">
        <f t="shared" si="1045"/>
        <v>520</v>
      </c>
      <c r="AY400" s="616">
        <f t="shared" si="1046"/>
        <v>2140</v>
      </c>
      <c r="AZ400" s="616">
        <f t="shared" si="1047"/>
        <v>310</v>
      </c>
      <c r="BA400" s="616">
        <f t="shared" si="1048"/>
        <v>740</v>
      </c>
      <c r="BB400" s="616">
        <f t="shared" si="1049"/>
        <v>2460</v>
      </c>
      <c r="BC400" s="616">
        <f t="shared" si="1050"/>
        <v>5080</v>
      </c>
      <c r="BD400" s="616">
        <f t="shared" si="1051"/>
        <v>540</v>
      </c>
      <c r="BE400" s="616">
        <f t="shared" si="1052"/>
        <v>770</v>
      </c>
      <c r="BF400" s="616">
        <f t="shared" si="1053"/>
        <v>80</v>
      </c>
      <c r="BG400" s="616">
        <f t="shared" si="1054"/>
        <v>300</v>
      </c>
      <c r="BH400" s="616">
        <f t="shared" si="1055"/>
        <v>13440</v>
      </c>
      <c r="BI400" s="618">
        <f t="shared" si="1105"/>
        <v>10322.6</v>
      </c>
      <c r="BJ400" s="618">
        <f t="shared" si="1106"/>
        <v>3117.4</v>
      </c>
      <c r="BK400" s="616">
        <f t="shared" si="1056"/>
        <v>0</v>
      </c>
      <c r="BL400" s="620">
        <f t="shared" si="1057"/>
        <v>82940</v>
      </c>
      <c r="BM400" s="616">
        <f t="shared" si="1058"/>
        <v>73575</v>
      </c>
      <c r="BN400" s="618">
        <f t="shared" si="1059"/>
        <v>56509.2</v>
      </c>
      <c r="BO400" s="618">
        <f t="shared" si="1060"/>
        <v>17065.8</v>
      </c>
      <c r="BP400" s="616">
        <f t="shared" si="1107"/>
        <v>220</v>
      </c>
      <c r="BQ400" s="616">
        <f t="shared" si="1108"/>
        <v>40</v>
      </c>
      <c r="BR400" s="616">
        <f t="shared" si="1109"/>
        <v>2320</v>
      </c>
      <c r="BS400" s="616">
        <f t="shared" si="1061"/>
        <v>3710</v>
      </c>
      <c r="BT400" s="616">
        <f t="shared" si="1062"/>
        <v>520</v>
      </c>
      <c r="BU400" s="616">
        <f t="shared" si="1063"/>
        <v>2140</v>
      </c>
      <c r="BV400" s="616">
        <f t="shared" si="1064"/>
        <v>310</v>
      </c>
      <c r="BW400" s="616">
        <f t="shared" si="1065"/>
        <v>740</v>
      </c>
      <c r="BX400" s="616">
        <f t="shared" si="1066"/>
        <v>7267</v>
      </c>
      <c r="BY400" s="616">
        <f t="shared" si="1067"/>
        <v>5080</v>
      </c>
      <c r="BZ400" s="616">
        <f t="shared" si="1068"/>
        <v>540</v>
      </c>
      <c r="CA400" s="616">
        <f t="shared" si="1069"/>
        <v>770</v>
      </c>
      <c r="CB400" s="616">
        <f t="shared" si="1070"/>
        <v>80</v>
      </c>
      <c r="CC400" s="616">
        <f t="shared" si="1071"/>
        <v>300</v>
      </c>
      <c r="CD400" s="616">
        <f t="shared" si="1072"/>
        <v>18305</v>
      </c>
      <c r="CE400" s="618">
        <f t="shared" si="1110"/>
        <v>14059.1</v>
      </c>
      <c r="CF400" s="618">
        <f t="shared" si="1111"/>
        <v>4245.8999999999996</v>
      </c>
      <c r="CG400" s="616">
        <f t="shared" si="1073"/>
        <v>0</v>
      </c>
      <c r="CH400" s="621">
        <f t="shared" si="1074"/>
        <v>112167</v>
      </c>
      <c r="CI400" s="88">
        <f t="shared" si="1075"/>
        <v>7357.5</v>
      </c>
      <c r="CJ400" s="90">
        <f t="shared" si="1076"/>
        <v>5650.92</v>
      </c>
      <c r="CK400" s="90">
        <f t="shared" si="1077"/>
        <v>1706.58</v>
      </c>
      <c r="CL400" s="88">
        <f t="shared" si="1078"/>
        <v>22</v>
      </c>
      <c r="CM400" s="88">
        <f t="shared" si="1079"/>
        <v>4</v>
      </c>
      <c r="CN400" s="88">
        <f t="shared" si="1080"/>
        <v>232</v>
      </c>
      <c r="CO400" s="88">
        <f t="shared" si="1081"/>
        <v>371</v>
      </c>
      <c r="CP400" s="88">
        <f t="shared" si="1082"/>
        <v>52</v>
      </c>
      <c r="CQ400" s="88">
        <f t="shared" si="1083"/>
        <v>214</v>
      </c>
      <c r="CR400" s="88">
        <f t="shared" si="1084"/>
        <v>31</v>
      </c>
      <c r="CS400" s="88">
        <f t="shared" si="1085"/>
        <v>74</v>
      </c>
      <c r="CT400" s="88">
        <f t="shared" si="1086"/>
        <v>726.7</v>
      </c>
      <c r="CU400" s="88">
        <f t="shared" si="1087"/>
        <v>508</v>
      </c>
      <c r="CV400" s="88">
        <f t="shared" si="1088"/>
        <v>54</v>
      </c>
      <c r="CW400" s="88">
        <f t="shared" si="1089"/>
        <v>77</v>
      </c>
      <c r="CX400" s="88">
        <f t="shared" si="1090"/>
        <v>8</v>
      </c>
      <c r="CY400" s="88">
        <f t="shared" si="1091"/>
        <v>30</v>
      </c>
      <c r="CZ400" s="88">
        <f t="shared" si="1092"/>
        <v>1830.5</v>
      </c>
      <c r="DA400" s="90">
        <f t="shared" si="1093"/>
        <v>1405.91</v>
      </c>
      <c r="DB400" s="90">
        <f t="shared" si="1094"/>
        <v>424.59</v>
      </c>
      <c r="DC400" s="88">
        <f t="shared" si="1095"/>
        <v>0</v>
      </c>
      <c r="DD400" s="88">
        <f t="shared" si="1096"/>
        <v>11216.7</v>
      </c>
      <c r="AUV400" s="699">
        <f t="shared" si="1184"/>
        <v>7357.5</v>
      </c>
      <c r="AUW400" s="699">
        <f t="shared" si="1185"/>
        <v>5650.92</v>
      </c>
      <c r="AUX400" s="699">
        <f t="shared" si="1186"/>
        <v>1706.58</v>
      </c>
      <c r="AUY400" s="699">
        <f t="shared" si="1187"/>
        <v>22</v>
      </c>
      <c r="AUZ400" s="699">
        <f t="shared" si="910"/>
        <v>13.54</v>
      </c>
      <c r="AVA400" s="699">
        <f t="shared" si="910"/>
        <v>0.43</v>
      </c>
      <c r="AVB400" s="699">
        <f t="shared" si="1188"/>
        <v>371</v>
      </c>
      <c r="AVC400" s="699">
        <f t="shared" si="1189"/>
        <v>52</v>
      </c>
      <c r="AVD400" s="699">
        <f t="shared" si="1190"/>
        <v>214</v>
      </c>
      <c r="AVE400" s="699">
        <f t="shared" si="1191"/>
        <v>31</v>
      </c>
      <c r="AVF400" s="699">
        <f t="shared" si="1192"/>
        <v>74</v>
      </c>
      <c r="AVG400" s="699">
        <f t="shared" si="1193"/>
        <v>726.7</v>
      </c>
      <c r="AVH400" s="699">
        <f t="shared" si="1194"/>
        <v>508</v>
      </c>
      <c r="AVI400" s="699">
        <f t="shared" si="1195"/>
        <v>54</v>
      </c>
      <c r="AVJ400" s="699">
        <f t="shared" si="1196"/>
        <v>77</v>
      </c>
      <c r="AVK400" s="699">
        <f t="shared" si="1197"/>
        <v>8</v>
      </c>
      <c r="AVL400" s="699">
        <f t="shared" si="1198"/>
        <v>30</v>
      </c>
      <c r="AVM400" s="699">
        <f t="shared" si="1199"/>
        <v>1830.5</v>
      </c>
      <c r="AVN400" s="699">
        <f t="shared" si="1200"/>
        <v>1405.91</v>
      </c>
      <c r="AVO400" s="699">
        <f t="shared" si="1201"/>
        <v>424.59</v>
      </c>
      <c r="AVP400" s="699">
        <f t="shared" si="1202"/>
        <v>0</v>
      </c>
      <c r="AVQ400" s="699">
        <f t="shared" si="1203"/>
        <v>11216.7</v>
      </c>
    </row>
    <row r="401" spans="1:108 1244:1265" ht="30" customHeight="1" x14ac:dyDescent="0.25">
      <c r="A401" s="643">
        <v>1</v>
      </c>
      <c r="B401" s="643">
        <v>10</v>
      </c>
      <c r="C401" s="664" t="s">
        <v>251</v>
      </c>
      <c r="D401" s="2"/>
      <c r="E401" s="101" t="s">
        <v>344</v>
      </c>
      <c r="F401" s="643" t="s">
        <v>31</v>
      </c>
      <c r="G401" s="643">
        <v>1</v>
      </c>
      <c r="H401" s="658" t="s">
        <v>10</v>
      </c>
      <c r="I401" s="643">
        <v>0</v>
      </c>
      <c r="J401" s="101" t="s">
        <v>359</v>
      </c>
      <c r="K401" s="643">
        <v>1</v>
      </c>
      <c r="L401" s="683" t="s">
        <v>349</v>
      </c>
      <c r="M401" s="11" t="s">
        <v>263</v>
      </c>
      <c r="N401" s="101" t="s">
        <v>387</v>
      </c>
      <c r="O401" s="643">
        <v>1</v>
      </c>
      <c r="P401" s="632">
        <v>10</v>
      </c>
      <c r="Q401" s="632">
        <v>10</v>
      </c>
      <c r="R401" s="632">
        <v>10</v>
      </c>
      <c r="S401" s="675">
        <f>SUMIF('Территориальный кк'!$A:$A,'2020'!$B401,'Территориальный кк'!D:D)</f>
        <v>1.3620000000000001</v>
      </c>
      <c r="T401" s="676">
        <f>SUMIF('Территориальный кк'!$A:$A,'2020'!$B401,'Территориальный кк'!E:E)</f>
        <v>2.9540000000000002</v>
      </c>
      <c r="U401" s="618">
        <f>SUMIFS(Нормативы!G:G,Нормативы!$B:$B,$G401,Нормативы!$D:$D,'2020'!$I401,Нормативы!$F:$F,'2020'!$K401)*O401</f>
        <v>54020</v>
      </c>
      <c r="V401" s="618">
        <f t="shared" si="1097"/>
        <v>41490</v>
      </c>
      <c r="W401" s="618">
        <f t="shared" si="1098"/>
        <v>12530</v>
      </c>
      <c r="X401" s="618">
        <f>SUMIFS(Нормативы!J:J,Нормативы!$B:$B,$G401,Нормативы!$D:$D,'2020'!$I401,Нормативы!$F:$F,'2020'!$K401)</f>
        <v>220</v>
      </c>
      <c r="Y401" s="618">
        <f>SUMIFS(Нормативы!K:K,Нормативы!$B:$B,$G401,Нормативы!$D:$D,'2020'!$I401,Нормативы!$F:$F,'2020'!$K401)</f>
        <v>44</v>
      </c>
      <c r="Z401" s="618">
        <f>SUMIFS(Нормативы!L:L,Нормативы!$B:$B,$G401,Нормативы!$D:$D,'2020'!$I401,Нормативы!$F:$F,'2020'!$K401)</f>
        <v>2320</v>
      </c>
      <c r="AA401" s="618">
        <f t="shared" si="1099"/>
        <v>3710</v>
      </c>
      <c r="AB401" s="618">
        <f>SUMIFS(Нормативы!N:N,Нормативы!$B:$B,$G401,Нормативы!$D:$D,'2020'!$I401,Нормативы!$F:$F,'2020'!$K401)*O401</f>
        <v>520</v>
      </c>
      <c r="AC401" s="618">
        <f>SUMIFS(Нормативы!O:O,Нормативы!$B:$B,$G401,Нормативы!$D:$D,'2020'!$I401,Нормативы!$F:$F,'2020'!$K401)</f>
        <v>2140</v>
      </c>
      <c r="AD401" s="618">
        <f>SUMIFS(Нормативы!P:P,Нормативы!$B:$B,$G401,Нормативы!$D:$D,'2020'!$I401,Нормативы!$F:$F,'2020'!$K401)*O401</f>
        <v>310</v>
      </c>
      <c r="AE401" s="618">
        <f>SUMIFS(Нормативы!Q:Q,Нормативы!$B:$B,$G401,Нормативы!$D:$D,'2020'!$I401,Нормативы!$F:$F,'2020'!$K401)</f>
        <v>740</v>
      </c>
      <c r="AF401" s="618">
        <f>SUMIFS(Нормативы!R:R,Нормативы!$B:$B,$G401,Нормативы!$D:$D,'2020'!$I401,Нормативы!$F:$F,'2020'!$K401)</f>
        <v>2460</v>
      </c>
      <c r="AG401" s="618">
        <f>SUMIFS(Нормативы!S:S,Нормативы!$B:$B,$G401,Нормативы!$D:$D,'2020'!$I401,Нормативы!$F:$F,'2020'!$K401)</f>
        <v>5080</v>
      </c>
      <c r="AH401" s="618">
        <f>SUMIFS(Нормативы!T:T,Нормативы!$B:$B,$G401,Нормативы!$D:$D,'2020'!$I401,Нормативы!$F:$F,'2020'!$K401)</f>
        <v>540</v>
      </c>
      <c r="AI401" s="618">
        <f>SUMIFS(Нормативы!U:U,Нормативы!$B:$B,$G401,Нормативы!$D:$D,'2020'!$I401,Нормативы!$F:$F,'2020'!$K401)</f>
        <v>770</v>
      </c>
      <c r="AJ401" s="618">
        <f>SUMIFS(Нормативы!V:V,Нормативы!$B:$B,$G401,Нормативы!$D:$D,'2020'!$I401,Нормативы!$F:$F,'2020'!$K401)</f>
        <v>80</v>
      </c>
      <c r="AK401" s="618">
        <f>SUMIFS(Нормативы!W:W,Нормативы!$B:$B,$G401,Нормативы!$D:$D,'2020'!$I401,Нормативы!$F:$F,'2020'!$K401)</f>
        <v>300</v>
      </c>
      <c r="AL401" s="618">
        <f>SUMIFS(Нормативы!X:X,Нормативы!$B:$B,$G401,Нормативы!$D:$D,'2020'!$I401,Нормативы!$F:$F,'2020'!$K401)*O401</f>
        <v>13440</v>
      </c>
      <c r="AM401" s="618">
        <f t="shared" si="1100"/>
        <v>10322.6</v>
      </c>
      <c r="AN401" s="618">
        <f t="shared" si="1101"/>
        <v>3117.4</v>
      </c>
      <c r="AO401" s="618">
        <f>SUMIFS(Нормативы!AA:AA,Нормативы!$B:$B,$G401,Нормативы!$D:$D,'2020'!$I401,Нормативы!$F:$F,'2020'!$K401)</f>
        <v>3520</v>
      </c>
      <c r="AP401" s="619">
        <f t="shared" si="1102"/>
        <v>86460</v>
      </c>
      <c r="AQ401" s="413">
        <f t="shared" si="1040"/>
        <v>540200</v>
      </c>
      <c r="AR401" s="618">
        <f t="shared" si="1103"/>
        <v>414900.2</v>
      </c>
      <c r="AS401" s="618">
        <f t="shared" si="1104"/>
        <v>125299.8</v>
      </c>
      <c r="AT401" s="616">
        <f t="shared" si="1041"/>
        <v>2200</v>
      </c>
      <c r="AU401" s="616">
        <f t="shared" si="1042"/>
        <v>440</v>
      </c>
      <c r="AV401" s="616">
        <f t="shared" si="1043"/>
        <v>23200</v>
      </c>
      <c r="AW401" s="616">
        <f t="shared" si="1044"/>
        <v>37100</v>
      </c>
      <c r="AX401" s="616">
        <f t="shared" si="1045"/>
        <v>5200</v>
      </c>
      <c r="AY401" s="616">
        <f t="shared" si="1046"/>
        <v>21400</v>
      </c>
      <c r="AZ401" s="616">
        <f t="shared" si="1047"/>
        <v>3100</v>
      </c>
      <c r="BA401" s="616">
        <f t="shared" si="1048"/>
        <v>7400</v>
      </c>
      <c r="BB401" s="616">
        <f t="shared" si="1049"/>
        <v>24600</v>
      </c>
      <c r="BC401" s="616">
        <f t="shared" si="1050"/>
        <v>50800</v>
      </c>
      <c r="BD401" s="616">
        <f t="shared" si="1051"/>
        <v>5400</v>
      </c>
      <c r="BE401" s="616">
        <f t="shared" si="1052"/>
        <v>7700</v>
      </c>
      <c r="BF401" s="616">
        <f t="shared" si="1053"/>
        <v>800</v>
      </c>
      <c r="BG401" s="616">
        <f t="shared" si="1054"/>
        <v>3000</v>
      </c>
      <c r="BH401" s="616">
        <f t="shared" si="1055"/>
        <v>134400</v>
      </c>
      <c r="BI401" s="618">
        <f t="shared" si="1105"/>
        <v>103225.8</v>
      </c>
      <c r="BJ401" s="618">
        <f t="shared" si="1106"/>
        <v>31174.2</v>
      </c>
      <c r="BK401" s="616">
        <f t="shared" si="1056"/>
        <v>35200</v>
      </c>
      <c r="BL401" s="620">
        <f t="shared" si="1057"/>
        <v>864600</v>
      </c>
      <c r="BM401" s="616">
        <f t="shared" si="1058"/>
        <v>735752</v>
      </c>
      <c r="BN401" s="618">
        <f t="shared" si="1059"/>
        <v>565093.69999999995</v>
      </c>
      <c r="BO401" s="618">
        <f t="shared" si="1060"/>
        <v>170658.3</v>
      </c>
      <c r="BP401" s="616">
        <f t="shared" si="1107"/>
        <v>2200</v>
      </c>
      <c r="BQ401" s="616">
        <f t="shared" si="1108"/>
        <v>440</v>
      </c>
      <c r="BR401" s="616">
        <f t="shared" si="1109"/>
        <v>23200</v>
      </c>
      <c r="BS401" s="616">
        <f t="shared" si="1061"/>
        <v>37100</v>
      </c>
      <c r="BT401" s="616">
        <f t="shared" si="1062"/>
        <v>5200</v>
      </c>
      <c r="BU401" s="616">
        <f t="shared" si="1063"/>
        <v>21400</v>
      </c>
      <c r="BV401" s="616">
        <f t="shared" si="1064"/>
        <v>3100</v>
      </c>
      <c r="BW401" s="616">
        <f t="shared" si="1065"/>
        <v>7400</v>
      </c>
      <c r="BX401" s="616">
        <f t="shared" si="1066"/>
        <v>72668</v>
      </c>
      <c r="BY401" s="616">
        <f t="shared" si="1067"/>
        <v>50800</v>
      </c>
      <c r="BZ401" s="616">
        <f t="shared" si="1068"/>
        <v>5400</v>
      </c>
      <c r="CA401" s="616">
        <f t="shared" si="1069"/>
        <v>7700</v>
      </c>
      <c r="CB401" s="616">
        <f t="shared" si="1070"/>
        <v>800</v>
      </c>
      <c r="CC401" s="616">
        <f t="shared" si="1071"/>
        <v>3000</v>
      </c>
      <c r="CD401" s="616">
        <f t="shared" si="1072"/>
        <v>183053</v>
      </c>
      <c r="CE401" s="618">
        <f t="shared" si="1110"/>
        <v>140593.70000000001</v>
      </c>
      <c r="CF401" s="618">
        <f t="shared" si="1111"/>
        <v>42459.3</v>
      </c>
      <c r="CG401" s="616">
        <f t="shared" si="1073"/>
        <v>35200</v>
      </c>
      <c r="CH401" s="621">
        <f t="shared" si="1074"/>
        <v>1156873</v>
      </c>
      <c r="CI401" s="88">
        <f t="shared" si="1075"/>
        <v>73575.199999999997</v>
      </c>
      <c r="CJ401" s="90">
        <f t="shared" si="1076"/>
        <v>56509.37</v>
      </c>
      <c r="CK401" s="90">
        <f t="shared" si="1077"/>
        <v>17065.830000000002</v>
      </c>
      <c r="CL401" s="88">
        <f t="shared" si="1078"/>
        <v>220</v>
      </c>
      <c r="CM401" s="88">
        <f t="shared" si="1079"/>
        <v>44</v>
      </c>
      <c r="CN401" s="88">
        <f t="shared" si="1080"/>
        <v>2320</v>
      </c>
      <c r="CO401" s="88">
        <f t="shared" si="1081"/>
        <v>3710</v>
      </c>
      <c r="CP401" s="88">
        <f t="shared" si="1082"/>
        <v>520</v>
      </c>
      <c r="CQ401" s="88">
        <f t="shared" si="1083"/>
        <v>2140</v>
      </c>
      <c r="CR401" s="88">
        <f t="shared" si="1084"/>
        <v>310</v>
      </c>
      <c r="CS401" s="88">
        <f t="shared" si="1085"/>
        <v>740</v>
      </c>
      <c r="CT401" s="88">
        <f t="shared" si="1086"/>
        <v>7266.8</v>
      </c>
      <c r="CU401" s="88">
        <f t="shared" si="1087"/>
        <v>5080</v>
      </c>
      <c r="CV401" s="88">
        <f t="shared" si="1088"/>
        <v>540</v>
      </c>
      <c r="CW401" s="88">
        <f t="shared" si="1089"/>
        <v>770</v>
      </c>
      <c r="CX401" s="88">
        <f t="shared" si="1090"/>
        <v>80</v>
      </c>
      <c r="CY401" s="88">
        <f t="shared" si="1091"/>
        <v>300</v>
      </c>
      <c r="CZ401" s="88">
        <f t="shared" si="1092"/>
        <v>18305.3</v>
      </c>
      <c r="DA401" s="90">
        <f t="shared" si="1093"/>
        <v>14059.37</v>
      </c>
      <c r="DB401" s="90">
        <f t="shared" si="1094"/>
        <v>4245.93</v>
      </c>
      <c r="DC401" s="88">
        <f t="shared" si="1095"/>
        <v>3520</v>
      </c>
      <c r="DD401" s="88">
        <f t="shared" si="1096"/>
        <v>115687.3</v>
      </c>
      <c r="AUV401" s="699">
        <f t="shared" si="1184"/>
        <v>73575.199999999997</v>
      </c>
      <c r="AUW401" s="699">
        <f t="shared" si="1185"/>
        <v>56509.37</v>
      </c>
      <c r="AUX401" s="699">
        <f t="shared" si="1186"/>
        <v>17065.830000000002</v>
      </c>
      <c r="AUY401" s="699">
        <f t="shared" si="1187"/>
        <v>220</v>
      </c>
      <c r="AUZ401" s="699">
        <f t="shared" si="910"/>
        <v>148.94999999999999</v>
      </c>
      <c r="AVA401" s="699">
        <f t="shared" si="910"/>
        <v>0.43</v>
      </c>
      <c r="AVB401" s="699">
        <f t="shared" si="1188"/>
        <v>3710</v>
      </c>
      <c r="AVC401" s="699">
        <f t="shared" si="1189"/>
        <v>520</v>
      </c>
      <c r="AVD401" s="699">
        <f t="shared" si="1190"/>
        <v>2140</v>
      </c>
      <c r="AVE401" s="699">
        <f t="shared" si="1191"/>
        <v>310</v>
      </c>
      <c r="AVF401" s="699">
        <f t="shared" si="1192"/>
        <v>740</v>
      </c>
      <c r="AVG401" s="699">
        <f t="shared" si="1193"/>
        <v>7266.8</v>
      </c>
      <c r="AVH401" s="699">
        <f t="shared" si="1194"/>
        <v>5080</v>
      </c>
      <c r="AVI401" s="699">
        <f t="shared" si="1195"/>
        <v>540</v>
      </c>
      <c r="AVJ401" s="699">
        <f t="shared" si="1196"/>
        <v>770</v>
      </c>
      <c r="AVK401" s="699">
        <f t="shared" si="1197"/>
        <v>80</v>
      </c>
      <c r="AVL401" s="699">
        <f t="shared" si="1198"/>
        <v>300</v>
      </c>
      <c r="AVM401" s="699">
        <f t="shared" si="1199"/>
        <v>18305.3</v>
      </c>
      <c r="AVN401" s="699">
        <f t="shared" si="1200"/>
        <v>14059.37</v>
      </c>
      <c r="AVO401" s="699">
        <f t="shared" si="1201"/>
        <v>4245.93</v>
      </c>
      <c r="AVP401" s="699">
        <f t="shared" si="1202"/>
        <v>3520</v>
      </c>
      <c r="AVQ401" s="699">
        <f t="shared" si="1203"/>
        <v>115687.3</v>
      </c>
    </row>
    <row r="402" spans="1:108 1244:1265" ht="30" customHeight="1" x14ac:dyDescent="0.25">
      <c r="A402" s="643">
        <v>1</v>
      </c>
      <c r="B402" s="643">
        <v>10</v>
      </c>
      <c r="C402" s="664" t="s">
        <v>251</v>
      </c>
      <c r="D402" s="2"/>
      <c r="E402" s="101" t="s">
        <v>344</v>
      </c>
      <c r="F402" s="643" t="s">
        <v>31</v>
      </c>
      <c r="G402" s="643">
        <v>1</v>
      </c>
      <c r="H402" s="658" t="s">
        <v>10</v>
      </c>
      <c r="I402" s="643">
        <v>0</v>
      </c>
      <c r="J402" s="101" t="s">
        <v>360</v>
      </c>
      <c r="K402" s="643">
        <v>3</v>
      </c>
      <c r="L402" s="683" t="s">
        <v>349</v>
      </c>
      <c r="M402" s="11" t="s">
        <v>265</v>
      </c>
      <c r="N402" s="101" t="s">
        <v>387</v>
      </c>
      <c r="O402" s="643">
        <v>1</v>
      </c>
      <c r="P402" s="632">
        <v>339</v>
      </c>
      <c r="Q402" s="632">
        <v>339</v>
      </c>
      <c r="R402" s="632">
        <v>339</v>
      </c>
      <c r="S402" s="675">
        <f>SUMIF('Территориальный кк'!$A:$A,'2020'!$B402,'Территориальный кк'!D:D)</f>
        <v>1.3620000000000001</v>
      </c>
      <c r="T402" s="676">
        <f>SUMIF('Территориальный кк'!$A:$A,'2020'!$B402,'Территориальный кк'!E:E)</f>
        <v>2.9540000000000002</v>
      </c>
      <c r="U402" s="618">
        <f>SUMIFS(Нормативы!G:G,Нормативы!$B:$B,$G402,Нормативы!$D:$D,'2020'!$I402,Нормативы!$F:$F,'2020'!$K402)*O402</f>
        <v>64190</v>
      </c>
      <c r="V402" s="618">
        <f t="shared" si="1097"/>
        <v>49301.1</v>
      </c>
      <c r="W402" s="618">
        <f t="shared" si="1098"/>
        <v>14888.9</v>
      </c>
      <c r="X402" s="618">
        <f>SUMIFS(Нормативы!J:J,Нормативы!$B:$B,$G402,Нормативы!$D:$D,'2020'!$I402,Нормативы!$F:$F,'2020'!$K402)</f>
        <v>8830</v>
      </c>
      <c r="Y402" s="618">
        <f>SUMIFS(Нормативы!K:K,Нормативы!$B:$B,$G402,Нормативы!$D:$D,'2020'!$I402,Нормативы!$F:$F,'2020'!$K402)</f>
        <v>1766</v>
      </c>
      <c r="Z402" s="618">
        <f>SUMIFS(Нормативы!L:L,Нормативы!$B:$B,$G402,Нормативы!$D:$D,'2020'!$I402,Нормативы!$F:$F,'2020'!$K402)</f>
        <v>8110</v>
      </c>
      <c r="AA402" s="618">
        <f t="shared" si="1099"/>
        <v>19050</v>
      </c>
      <c r="AB402" s="618">
        <f>SUMIFS(Нормативы!N:N,Нормативы!$B:$B,$G402,Нормативы!$D:$D,'2020'!$I402,Нормативы!$F:$F,'2020'!$K402)*O402</f>
        <v>520</v>
      </c>
      <c r="AC402" s="618">
        <f>SUMIFS(Нормативы!O:O,Нормативы!$B:$B,$G402,Нормативы!$D:$D,'2020'!$I402,Нормативы!$F:$F,'2020'!$K402)</f>
        <v>17290</v>
      </c>
      <c r="AD402" s="618">
        <f>SUMIFS(Нормативы!P:P,Нормативы!$B:$B,$G402,Нормативы!$D:$D,'2020'!$I402,Нормативы!$F:$F,'2020'!$K402)*O402</f>
        <v>360</v>
      </c>
      <c r="AE402" s="618">
        <f>SUMIFS(Нормативы!Q:Q,Нормативы!$B:$B,$G402,Нормативы!$D:$D,'2020'!$I402,Нормативы!$F:$F,'2020'!$K402)</f>
        <v>880</v>
      </c>
      <c r="AF402" s="618">
        <f>SUMIFS(Нормативы!R:R,Нормативы!$B:$B,$G402,Нормативы!$D:$D,'2020'!$I402,Нормативы!$F:$F,'2020'!$K402)</f>
        <v>2680</v>
      </c>
      <c r="AG402" s="618">
        <f>SUMIFS(Нормативы!S:S,Нормативы!$B:$B,$G402,Нормативы!$D:$D,'2020'!$I402,Нормативы!$F:$F,'2020'!$K402)</f>
        <v>5800</v>
      </c>
      <c r="AH402" s="618">
        <f>SUMIFS(Нормативы!T:T,Нормативы!$B:$B,$G402,Нормативы!$D:$D,'2020'!$I402,Нормативы!$F:$F,'2020'!$K402)</f>
        <v>540</v>
      </c>
      <c r="AI402" s="618">
        <f>SUMIFS(Нормативы!U:U,Нормативы!$B:$B,$G402,Нормативы!$D:$D,'2020'!$I402,Нормативы!$F:$F,'2020'!$K402)</f>
        <v>770</v>
      </c>
      <c r="AJ402" s="618">
        <f>SUMIFS(Нормативы!V:V,Нормативы!$B:$B,$G402,Нормативы!$D:$D,'2020'!$I402,Нормативы!$F:$F,'2020'!$K402)</f>
        <v>80</v>
      </c>
      <c r="AK402" s="618">
        <f>SUMIFS(Нормативы!W:W,Нормативы!$B:$B,$G402,Нормативы!$D:$D,'2020'!$I402,Нормативы!$F:$F,'2020'!$K402)</f>
        <v>1050</v>
      </c>
      <c r="AL402" s="618">
        <f>SUMIFS(Нормативы!X:X,Нормативы!$B:$B,$G402,Нормативы!$D:$D,'2020'!$I402,Нормативы!$F:$F,'2020'!$K402)*O402</f>
        <v>16120</v>
      </c>
      <c r="AM402" s="618">
        <f t="shared" si="1100"/>
        <v>12381</v>
      </c>
      <c r="AN402" s="618">
        <f t="shared" si="1101"/>
        <v>3739</v>
      </c>
      <c r="AO402" s="618">
        <f>SUMIFS(Нормативы!AA:AA,Нормативы!$B:$B,$G402,Нормативы!$D:$D,'2020'!$I402,Нормативы!$F:$F,'2020'!$K402)</f>
        <v>3520</v>
      </c>
      <c r="AP402" s="619">
        <f t="shared" si="1102"/>
        <v>130740</v>
      </c>
      <c r="AQ402" s="413">
        <f t="shared" si="1040"/>
        <v>21760410</v>
      </c>
      <c r="AR402" s="618">
        <f t="shared" si="1103"/>
        <v>16713064.5</v>
      </c>
      <c r="AS402" s="618">
        <f t="shared" si="1104"/>
        <v>5047345.5</v>
      </c>
      <c r="AT402" s="616">
        <f t="shared" si="1041"/>
        <v>2993370</v>
      </c>
      <c r="AU402" s="616">
        <f t="shared" si="1042"/>
        <v>598674</v>
      </c>
      <c r="AV402" s="616">
        <f t="shared" si="1043"/>
        <v>2749290</v>
      </c>
      <c r="AW402" s="616">
        <f t="shared" si="1044"/>
        <v>6457950</v>
      </c>
      <c r="AX402" s="616">
        <f t="shared" si="1045"/>
        <v>176280</v>
      </c>
      <c r="AY402" s="616">
        <f t="shared" si="1046"/>
        <v>5861310</v>
      </c>
      <c r="AZ402" s="616">
        <f t="shared" si="1047"/>
        <v>122040</v>
      </c>
      <c r="BA402" s="616">
        <f t="shared" si="1048"/>
        <v>298320</v>
      </c>
      <c r="BB402" s="616">
        <f t="shared" si="1049"/>
        <v>908520</v>
      </c>
      <c r="BC402" s="616">
        <f t="shared" si="1050"/>
        <v>1966200</v>
      </c>
      <c r="BD402" s="616">
        <f t="shared" si="1051"/>
        <v>183060</v>
      </c>
      <c r="BE402" s="616">
        <f t="shared" si="1052"/>
        <v>261030</v>
      </c>
      <c r="BF402" s="616">
        <f t="shared" si="1053"/>
        <v>27120</v>
      </c>
      <c r="BG402" s="616">
        <f t="shared" si="1054"/>
        <v>355950</v>
      </c>
      <c r="BH402" s="616">
        <f t="shared" si="1055"/>
        <v>5464680</v>
      </c>
      <c r="BI402" s="618">
        <f t="shared" si="1105"/>
        <v>4197142.9000000004</v>
      </c>
      <c r="BJ402" s="618">
        <f t="shared" si="1106"/>
        <v>1267537.1000000001</v>
      </c>
      <c r="BK402" s="616">
        <f t="shared" si="1056"/>
        <v>1193280</v>
      </c>
      <c r="BL402" s="620">
        <f t="shared" si="1057"/>
        <v>44320860</v>
      </c>
      <c r="BM402" s="616">
        <f t="shared" si="1058"/>
        <v>29637678</v>
      </c>
      <c r="BN402" s="618">
        <f t="shared" si="1059"/>
        <v>22763193.5</v>
      </c>
      <c r="BO402" s="618">
        <f t="shared" si="1060"/>
        <v>6874484.5</v>
      </c>
      <c r="BP402" s="616">
        <f t="shared" si="1107"/>
        <v>2993370</v>
      </c>
      <c r="BQ402" s="616">
        <f t="shared" si="1108"/>
        <v>598674</v>
      </c>
      <c r="BR402" s="616">
        <f t="shared" si="1109"/>
        <v>2749290</v>
      </c>
      <c r="BS402" s="616">
        <f t="shared" si="1061"/>
        <v>6457950</v>
      </c>
      <c r="BT402" s="616">
        <f t="shared" si="1062"/>
        <v>176280</v>
      </c>
      <c r="BU402" s="616">
        <f t="shared" si="1063"/>
        <v>5861310</v>
      </c>
      <c r="BV402" s="616">
        <f t="shared" si="1064"/>
        <v>122040</v>
      </c>
      <c r="BW402" s="616">
        <f t="shared" si="1065"/>
        <v>298320</v>
      </c>
      <c r="BX402" s="616">
        <f t="shared" si="1066"/>
        <v>2683768</v>
      </c>
      <c r="BY402" s="616">
        <f t="shared" si="1067"/>
        <v>1966200</v>
      </c>
      <c r="BZ402" s="616">
        <f t="shared" si="1068"/>
        <v>183060</v>
      </c>
      <c r="CA402" s="616">
        <f t="shared" si="1069"/>
        <v>261030</v>
      </c>
      <c r="CB402" s="616">
        <f t="shared" si="1070"/>
        <v>27120</v>
      </c>
      <c r="CC402" s="616">
        <f t="shared" si="1071"/>
        <v>355950</v>
      </c>
      <c r="CD402" s="616">
        <f t="shared" si="1072"/>
        <v>7442894</v>
      </c>
      <c r="CE402" s="618">
        <f t="shared" si="1110"/>
        <v>5716508.4000000004</v>
      </c>
      <c r="CF402" s="618">
        <f t="shared" si="1111"/>
        <v>1726385.6</v>
      </c>
      <c r="CG402" s="616">
        <f t="shared" si="1073"/>
        <v>1193280</v>
      </c>
      <c r="CH402" s="621">
        <f t="shared" si="1074"/>
        <v>55951590</v>
      </c>
      <c r="CI402" s="88">
        <f t="shared" si="1075"/>
        <v>87426.7788</v>
      </c>
      <c r="CJ402" s="90">
        <f t="shared" si="1076"/>
        <v>67148.063399999999</v>
      </c>
      <c r="CK402" s="90">
        <f t="shared" si="1077"/>
        <v>20278.7153</v>
      </c>
      <c r="CL402" s="88">
        <f t="shared" si="1078"/>
        <v>8830</v>
      </c>
      <c r="CM402" s="88">
        <f t="shared" si="1079"/>
        <v>1766</v>
      </c>
      <c r="CN402" s="88">
        <f t="shared" si="1080"/>
        <v>8110</v>
      </c>
      <c r="CO402" s="88">
        <f t="shared" si="1081"/>
        <v>19050</v>
      </c>
      <c r="CP402" s="88">
        <f t="shared" si="1082"/>
        <v>520</v>
      </c>
      <c r="CQ402" s="88">
        <f t="shared" si="1083"/>
        <v>17290</v>
      </c>
      <c r="CR402" s="88">
        <f t="shared" si="1084"/>
        <v>360</v>
      </c>
      <c r="CS402" s="88">
        <f t="shared" si="1085"/>
        <v>880</v>
      </c>
      <c r="CT402" s="88">
        <f t="shared" si="1086"/>
        <v>7916.7197999999999</v>
      </c>
      <c r="CU402" s="88">
        <f t="shared" si="1087"/>
        <v>5800</v>
      </c>
      <c r="CV402" s="88">
        <f t="shared" si="1088"/>
        <v>540</v>
      </c>
      <c r="CW402" s="88">
        <f t="shared" si="1089"/>
        <v>770</v>
      </c>
      <c r="CX402" s="88">
        <f t="shared" si="1090"/>
        <v>80</v>
      </c>
      <c r="CY402" s="88">
        <f t="shared" si="1091"/>
        <v>1050</v>
      </c>
      <c r="CZ402" s="88">
        <f t="shared" si="1092"/>
        <v>21955.4395</v>
      </c>
      <c r="DA402" s="90">
        <f t="shared" si="1093"/>
        <v>16862.856599999999</v>
      </c>
      <c r="DB402" s="90">
        <f t="shared" si="1094"/>
        <v>5092.5829000000003</v>
      </c>
      <c r="DC402" s="88">
        <f t="shared" si="1095"/>
        <v>3520</v>
      </c>
      <c r="DD402" s="88">
        <f t="shared" si="1096"/>
        <v>165048.9381</v>
      </c>
      <c r="AUV402" s="699">
        <f t="shared" si="1184"/>
        <v>87426.78</v>
      </c>
      <c r="AUW402" s="699">
        <f t="shared" si="1185"/>
        <v>67148.06</v>
      </c>
      <c r="AUX402" s="699">
        <f t="shared" si="1186"/>
        <v>20278.72</v>
      </c>
      <c r="AUY402" s="699">
        <f t="shared" si="1187"/>
        <v>8830</v>
      </c>
      <c r="AUZ402" s="699">
        <f t="shared" si="910"/>
        <v>202665.54</v>
      </c>
      <c r="AVA402" s="699">
        <f t="shared" si="910"/>
        <v>42.83</v>
      </c>
      <c r="AVB402" s="699">
        <f t="shared" si="1188"/>
        <v>19050</v>
      </c>
      <c r="AVC402" s="699">
        <f t="shared" si="1189"/>
        <v>520</v>
      </c>
      <c r="AVD402" s="699">
        <f t="shared" si="1190"/>
        <v>17290</v>
      </c>
      <c r="AVE402" s="699">
        <f t="shared" si="1191"/>
        <v>360</v>
      </c>
      <c r="AVF402" s="699">
        <f t="shared" si="1192"/>
        <v>880</v>
      </c>
      <c r="AVG402" s="699">
        <f t="shared" si="1193"/>
        <v>7916.72</v>
      </c>
      <c r="AVH402" s="699">
        <f t="shared" si="1194"/>
        <v>5800</v>
      </c>
      <c r="AVI402" s="699">
        <f t="shared" si="1195"/>
        <v>540</v>
      </c>
      <c r="AVJ402" s="699">
        <f t="shared" si="1196"/>
        <v>770</v>
      </c>
      <c r="AVK402" s="699">
        <f t="shared" si="1197"/>
        <v>80</v>
      </c>
      <c r="AVL402" s="699">
        <f t="shared" si="1198"/>
        <v>1050</v>
      </c>
      <c r="AVM402" s="699">
        <f t="shared" si="1199"/>
        <v>21955.439999999999</v>
      </c>
      <c r="AVN402" s="699">
        <f t="shared" si="1200"/>
        <v>16862.86</v>
      </c>
      <c r="AVO402" s="699">
        <f t="shared" si="1201"/>
        <v>5092.58</v>
      </c>
      <c r="AVP402" s="699">
        <f t="shared" si="1202"/>
        <v>3520</v>
      </c>
      <c r="AVQ402" s="699">
        <f t="shared" si="1203"/>
        <v>165048.94</v>
      </c>
    </row>
    <row r="403" spans="1:108 1244:1265" ht="30" customHeight="1" x14ac:dyDescent="0.25">
      <c r="A403" s="643">
        <v>1</v>
      </c>
      <c r="B403" s="643">
        <v>10</v>
      </c>
      <c r="C403" s="664" t="s">
        <v>251</v>
      </c>
      <c r="D403" s="2"/>
      <c r="E403" s="101" t="s">
        <v>344</v>
      </c>
      <c r="F403" s="643" t="s">
        <v>31</v>
      </c>
      <c r="G403" s="643">
        <v>1</v>
      </c>
      <c r="H403" s="658" t="s">
        <v>8</v>
      </c>
      <c r="I403" s="643">
        <v>3</v>
      </c>
      <c r="J403" s="101" t="s">
        <v>360</v>
      </c>
      <c r="K403" s="643">
        <v>3</v>
      </c>
      <c r="L403" s="683" t="s">
        <v>349</v>
      </c>
      <c r="M403" s="11" t="s">
        <v>266</v>
      </c>
      <c r="N403" s="101" t="s">
        <v>387</v>
      </c>
      <c r="O403" s="643">
        <v>1</v>
      </c>
      <c r="P403" s="632">
        <v>98</v>
      </c>
      <c r="Q403" s="632">
        <v>98</v>
      </c>
      <c r="R403" s="632">
        <v>98</v>
      </c>
      <c r="S403" s="675">
        <f>SUMIF('Территориальный кк'!$A:$A,'2020'!$B403,'Территориальный кк'!D:D)</f>
        <v>1.3620000000000001</v>
      </c>
      <c r="T403" s="676">
        <f>SUMIF('Территориальный кк'!$A:$A,'2020'!$B403,'Территориальный кк'!E:E)</f>
        <v>2.9540000000000002</v>
      </c>
      <c r="U403" s="618">
        <f>SUMIFS(Нормативы!G:G,Нормативы!$B:$B,$G403,Нормативы!$D:$D,'2020'!$I403,Нормативы!$F:$F,'2020'!$K403)*O403</f>
        <v>6419</v>
      </c>
      <c r="V403" s="618">
        <f t="shared" si="1097"/>
        <v>4930.1000000000004</v>
      </c>
      <c r="W403" s="618">
        <f t="shared" si="1098"/>
        <v>1488.9</v>
      </c>
      <c r="X403" s="618">
        <f>SUMIFS(Нормативы!J:J,Нормативы!$B:$B,$G403,Нормативы!$D:$D,'2020'!$I403,Нормативы!$F:$F,'2020'!$K403)</f>
        <v>883</v>
      </c>
      <c r="Y403" s="618">
        <f>SUMIFS(Нормативы!K:K,Нормативы!$B:$B,$G403,Нормативы!$D:$D,'2020'!$I403,Нормативы!$F:$F,'2020'!$K403)</f>
        <v>177</v>
      </c>
      <c r="Z403" s="618">
        <f>SUMIFS(Нормативы!L:L,Нормативы!$B:$B,$G403,Нормативы!$D:$D,'2020'!$I403,Нормативы!$F:$F,'2020'!$K403)</f>
        <v>811</v>
      </c>
      <c r="AA403" s="618">
        <f t="shared" si="1099"/>
        <v>1905</v>
      </c>
      <c r="AB403" s="618">
        <f>SUMIFS(Нормативы!N:N,Нормативы!$B:$B,$G403,Нормативы!$D:$D,'2020'!$I403,Нормативы!$F:$F,'2020'!$K403)*O403</f>
        <v>52</v>
      </c>
      <c r="AC403" s="618">
        <f>SUMIFS(Нормативы!O:O,Нормативы!$B:$B,$G403,Нормативы!$D:$D,'2020'!$I403,Нормативы!$F:$F,'2020'!$K403)</f>
        <v>1729</v>
      </c>
      <c r="AD403" s="618">
        <f>SUMIFS(Нормативы!P:P,Нормативы!$B:$B,$G403,Нормативы!$D:$D,'2020'!$I403,Нормативы!$F:$F,'2020'!$K403)*O403</f>
        <v>36</v>
      </c>
      <c r="AE403" s="618">
        <f>SUMIFS(Нормативы!Q:Q,Нормативы!$B:$B,$G403,Нормативы!$D:$D,'2020'!$I403,Нормативы!$F:$F,'2020'!$K403)</f>
        <v>88</v>
      </c>
      <c r="AF403" s="618">
        <f>SUMIFS(Нормативы!R:R,Нормативы!$B:$B,$G403,Нормативы!$D:$D,'2020'!$I403,Нормативы!$F:$F,'2020'!$K403)</f>
        <v>268</v>
      </c>
      <c r="AG403" s="618">
        <f>SUMIFS(Нормативы!S:S,Нормативы!$B:$B,$G403,Нормативы!$D:$D,'2020'!$I403,Нормативы!$F:$F,'2020'!$K403)</f>
        <v>580</v>
      </c>
      <c r="AH403" s="618">
        <f>SUMIFS(Нормативы!T:T,Нормативы!$B:$B,$G403,Нормативы!$D:$D,'2020'!$I403,Нормативы!$F:$F,'2020'!$K403)</f>
        <v>54</v>
      </c>
      <c r="AI403" s="618">
        <f>SUMIFS(Нормативы!U:U,Нормативы!$B:$B,$G403,Нормативы!$D:$D,'2020'!$I403,Нормативы!$F:$F,'2020'!$K403)</f>
        <v>77</v>
      </c>
      <c r="AJ403" s="618">
        <f>SUMIFS(Нормативы!V:V,Нормативы!$B:$B,$G403,Нормативы!$D:$D,'2020'!$I403,Нормативы!$F:$F,'2020'!$K403)</f>
        <v>8</v>
      </c>
      <c r="AK403" s="618">
        <f>SUMIFS(Нормативы!W:W,Нормативы!$B:$B,$G403,Нормативы!$D:$D,'2020'!$I403,Нормативы!$F:$F,'2020'!$K403)</f>
        <v>105</v>
      </c>
      <c r="AL403" s="618">
        <f>SUMIFS(Нормативы!X:X,Нормативы!$B:$B,$G403,Нормативы!$D:$D,'2020'!$I403,Нормативы!$F:$F,'2020'!$K403)*O403</f>
        <v>1612</v>
      </c>
      <c r="AM403" s="618">
        <f t="shared" si="1100"/>
        <v>1238.0999999999999</v>
      </c>
      <c r="AN403" s="618">
        <f t="shared" si="1101"/>
        <v>373.9</v>
      </c>
      <c r="AO403" s="618">
        <f>SUMIFS(Нормативы!AA:AA,Нормативы!$B:$B,$G403,Нормативы!$D:$D,'2020'!$I403,Нормативы!$F:$F,'2020'!$K403)</f>
        <v>0</v>
      </c>
      <c r="AP403" s="619">
        <f t="shared" si="1102"/>
        <v>12722</v>
      </c>
      <c r="AQ403" s="413">
        <f t="shared" si="1040"/>
        <v>629062</v>
      </c>
      <c r="AR403" s="618">
        <f t="shared" si="1103"/>
        <v>483150.5</v>
      </c>
      <c r="AS403" s="618">
        <f t="shared" si="1104"/>
        <v>145911.5</v>
      </c>
      <c r="AT403" s="616">
        <f t="shared" si="1041"/>
        <v>86534</v>
      </c>
      <c r="AU403" s="616">
        <f t="shared" si="1042"/>
        <v>17346</v>
      </c>
      <c r="AV403" s="616">
        <f t="shared" si="1043"/>
        <v>79478</v>
      </c>
      <c r="AW403" s="616">
        <f t="shared" si="1044"/>
        <v>186690</v>
      </c>
      <c r="AX403" s="616">
        <f t="shared" si="1045"/>
        <v>5096</v>
      </c>
      <c r="AY403" s="616">
        <f t="shared" si="1046"/>
        <v>169442</v>
      </c>
      <c r="AZ403" s="616">
        <f t="shared" si="1047"/>
        <v>3528</v>
      </c>
      <c r="BA403" s="616">
        <f t="shared" si="1048"/>
        <v>8624</v>
      </c>
      <c r="BB403" s="616">
        <f t="shared" si="1049"/>
        <v>26264</v>
      </c>
      <c r="BC403" s="616">
        <f t="shared" si="1050"/>
        <v>56840</v>
      </c>
      <c r="BD403" s="616">
        <f t="shared" si="1051"/>
        <v>5292</v>
      </c>
      <c r="BE403" s="616">
        <f t="shared" si="1052"/>
        <v>7546</v>
      </c>
      <c r="BF403" s="616">
        <f t="shared" si="1053"/>
        <v>784</v>
      </c>
      <c r="BG403" s="616">
        <f t="shared" si="1054"/>
        <v>10290</v>
      </c>
      <c r="BH403" s="616">
        <f t="shared" si="1055"/>
        <v>157976</v>
      </c>
      <c r="BI403" s="618">
        <f t="shared" si="1105"/>
        <v>121333.3</v>
      </c>
      <c r="BJ403" s="618">
        <f t="shared" si="1106"/>
        <v>36642.699999999997</v>
      </c>
      <c r="BK403" s="616">
        <f t="shared" si="1056"/>
        <v>0</v>
      </c>
      <c r="BL403" s="620">
        <f t="shared" si="1057"/>
        <v>1246756</v>
      </c>
      <c r="BM403" s="616">
        <f t="shared" si="1058"/>
        <v>856782</v>
      </c>
      <c r="BN403" s="618">
        <f t="shared" si="1059"/>
        <v>658050.69999999995</v>
      </c>
      <c r="BO403" s="618">
        <f t="shared" si="1060"/>
        <v>198731.3</v>
      </c>
      <c r="BP403" s="616">
        <f t="shared" si="1107"/>
        <v>86534</v>
      </c>
      <c r="BQ403" s="616">
        <f t="shared" si="1108"/>
        <v>17346</v>
      </c>
      <c r="BR403" s="616">
        <f t="shared" si="1109"/>
        <v>79478</v>
      </c>
      <c r="BS403" s="616">
        <f t="shared" si="1061"/>
        <v>186690</v>
      </c>
      <c r="BT403" s="616">
        <f t="shared" si="1062"/>
        <v>5096</v>
      </c>
      <c r="BU403" s="616">
        <f t="shared" si="1063"/>
        <v>169442</v>
      </c>
      <c r="BV403" s="616">
        <f t="shared" si="1064"/>
        <v>3528</v>
      </c>
      <c r="BW403" s="616">
        <f t="shared" si="1065"/>
        <v>8624</v>
      </c>
      <c r="BX403" s="616">
        <f t="shared" si="1066"/>
        <v>77584</v>
      </c>
      <c r="BY403" s="616">
        <f t="shared" si="1067"/>
        <v>56840</v>
      </c>
      <c r="BZ403" s="616">
        <f t="shared" si="1068"/>
        <v>5292</v>
      </c>
      <c r="CA403" s="616">
        <f t="shared" si="1069"/>
        <v>7546</v>
      </c>
      <c r="CB403" s="616">
        <f t="shared" si="1070"/>
        <v>784</v>
      </c>
      <c r="CC403" s="616">
        <f t="shared" si="1071"/>
        <v>10290</v>
      </c>
      <c r="CD403" s="616">
        <f t="shared" si="1072"/>
        <v>215163</v>
      </c>
      <c r="CE403" s="618">
        <f t="shared" si="1110"/>
        <v>165255.79999999999</v>
      </c>
      <c r="CF403" s="618">
        <f t="shared" si="1111"/>
        <v>49907.199999999997</v>
      </c>
      <c r="CG403" s="616">
        <f t="shared" si="1073"/>
        <v>0</v>
      </c>
      <c r="CH403" s="621">
        <f t="shared" si="1074"/>
        <v>1582983</v>
      </c>
      <c r="CI403" s="88">
        <f t="shared" si="1075"/>
        <v>8742.6735000000008</v>
      </c>
      <c r="CJ403" s="90">
        <f t="shared" si="1076"/>
        <v>6714.8031000000001</v>
      </c>
      <c r="CK403" s="90">
        <f t="shared" si="1077"/>
        <v>2027.8704</v>
      </c>
      <c r="CL403" s="88">
        <f t="shared" si="1078"/>
        <v>883</v>
      </c>
      <c r="CM403" s="88">
        <f t="shared" si="1079"/>
        <v>177</v>
      </c>
      <c r="CN403" s="88">
        <f t="shared" si="1080"/>
        <v>811</v>
      </c>
      <c r="CO403" s="88">
        <f t="shared" si="1081"/>
        <v>1905</v>
      </c>
      <c r="CP403" s="88">
        <f t="shared" si="1082"/>
        <v>52</v>
      </c>
      <c r="CQ403" s="88">
        <f t="shared" si="1083"/>
        <v>1729</v>
      </c>
      <c r="CR403" s="88">
        <f t="shared" si="1084"/>
        <v>36</v>
      </c>
      <c r="CS403" s="88">
        <f t="shared" si="1085"/>
        <v>88</v>
      </c>
      <c r="CT403" s="88">
        <f t="shared" si="1086"/>
        <v>791.67349999999999</v>
      </c>
      <c r="CU403" s="88">
        <f t="shared" si="1087"/>
        <v>580</v>
      </c>
      <c r="CV403" s="88">
        <f t="shared" si="1088"/>
        <v>54</v>
      </c>
      <c r="CW403" s="88">
        <f t="shared" si="1089"/>
        <v>77</v>
      </c>
      <c r="CX403" s="88">
        <f t="shared" si="1090"/>
        <v>8</v>
      </c>
      <c r="CY403" s="88">
        <f t="shared" si="1091"/>
        <v>105</v>
      </c>
      <c r="CZ403" s="88">
        <f t="shared" si="1092"/>
        <v>2195.5408000000002</v>
      </c>
      <c r="DA403" s="90">
        <f t="shared" si="1093"/>
        <v>1686.2837</v>
      </c>
      <c r="DB403" s="90">
        <f t="shared" si="1094"/>
        <v>509.25709999999998</v>
      </c>
      <c r="DC403" s="88">
        <f t="shared" si="1095"/>
        <v>0</v>
      </c>
      <c r="DD403" s="88">
        <f t="shared" si="1096"/>
        <v>16152.8878</v>
      </c>
      <c r="AUV403" s="699">
        <f t="shared" si="1184"/>
        <v>8742.67</v>
      </c>
      <c r="AUW403" s="699">
        <f t="shared" si="1185"/>
        <v>6714.8</v>
      </c>
      <c r="AUX403" s="699">
        <f t="shared" si="1186"/>
        <v>2027.87</v>
      </c>
      <c r="AUY403" s="699">
        <f t="shared" si="1187"/>
        <v>883</v>
      </c>
      <c r="AUZ403" s="699">
        <f t="shared" si="910"/>
        <v>5872.04</v>
      </c>
      <c r="AVA403" s="699">
        <f t="shared" si="910"/>
        <v>12.38</v>
      </c>
      <c r="AVB403" s="699">
        <f t="shared" si="1188"/>
        <v>1905</v>
      </c>
      <c r="AVC403" s="699">
        <f t="shared" si="1189"/>
        <v>52</v>
      </c>
      <c r="AVD403" s="699">
        <f t="shared" si="1190"/>
        <v>1729</v>
      </c>
      <c r="AVE403" s="699">
        <f t="shared" si="1191"/>
        <v>36</v>
      </c>
      <c r="AVF403" s="699">
        <f t="shared" si="1192"/>
        <v>88</v>
      </c>
      <c r="AVG403" s="699">
        <f t="shared" si="1193"/>
        <v>791.67</v>
      </c>
      <c r="AVH403" s="699">
        <f t="shared" si="1194"/>
        <v>580</v>
      </c>
      <c r="AVI403" s="699">
        <f t="shared" si="1195"/>
        <v>54</v>
      </c>
      <c r="AVJ403" s="699">
        <f t="shared" si="1196"/>
        <v>77</v>
      </c>
      <c r="AVK403" s="699">
        <f t="shared" si="1197"/>
        <v>8</v>
      </c>
      <c r="AVL403" s="699">
        <f t="shared" si="1198"/>
        <v>105</v>
      </c>
      <c r="AVM403" s="699">
        <f t="shared" si="1199"/>
        <v>2195.54</v>
      </c>
      <c r="AVN403" s="699">
        <f t="shared" si="1200"/>
        <v>1686.28</v>
      </c>
      <c r="AVO403" s="699">
        <f t="shared" si="1201"/>
        <v>509.26</v>
      </c>
      <c r="AVP403" s="699">
        <f t="shared" si="1202"/>
        <v>0</v>
      </c>
      <c r="AVQ403" s="699">
        <f t="shared" si="1203"/>
        <v>16152.89</v>
      </c>
    </row>
    <row r="404" spans="1:108 1244:1265" ht="30" customHeight="1" x14ac:dyDescent="0.25">
      <c r="A404" s="643">
        <v>1</v>
      </c>
      <c r="B404" s="643">
        <v>10</v>
      </c>
      <c r="C404" s="664" t="s">
        <v>251</v>
      </c>
      <c r="D404" s="2"/>
      <c r="E404" s="101" t="s">
        <v>345</v>
      </c>
      <c r="F404" s="643" t="s">
        <v>38</v>
      </c>
      <c r="G404" s="643">
        <v>2</v>
      </c>
      <c r="H404" s="658" t="s">
        <v>10</v>
      </c>
      <c r="I404" s="643">
        <v>0</v>
      </c>
      <c r="J404" s="101" t="s">
        <v>361</v>
      </c>
      <c r="K404" s="643">
        <v>3</v>
      </c>
      <c r="L404" s="683" t="s">
        <v>350</v>
      </c>
      <c r="M404" s="11" t="s">
        <v>267</v>
      </c>
      <c r="N404" s="101" t="s">
        <v>387</v>
      </c>
      <c r="O404" s="643">
        <v>1</v>
      </c>
      <c r="P404" s="632">
        <v>52</v>
      </c>
      <c r="Q404" s="632">
        <v>52</v>
      </c>
      <c r="R404" s="632">
        <v>52</v>
      </c>
      <c r="S404" s="675">
        <f>SUMIF('Территориальный кк'!$A:$A,'2020'!$B404,'Территориальный кк'!D:D)</f>
        <v>1.3620000000000001</v>
      </c>
      <c r="T404" s="676">
        <f>SUMIF('Территориальный кк'!$A:$A,'2020'!$B404,'Территориальный кк'!E:E)</f>
        <v>2.9540000000000002</v>
      </c>
      <c r="U404" s="618">
        <f>SUMIFS(Нормативы!G:G,Нормативы!$B:$B,$G404,Нормативы!$D:$D,'2020'!$I404,Нормативы!$F:$F,'2020'!$K404)*O404</f>
        <v>70600</v>
      </c>
      <c r="V404" s="618">
        <f t="shared" si="1097"/>
        <v>54224.3</v>
      </c>
      <c r="W404" s="618">
        <f t="shared" si="1098"/>
        <v>16375.7</v>
      </c>
      <c r="X404" s="618">
        <f>SUMIFS(Нормативы!J:J,Нормативы!$B:$B,$G404,Нормативы!$D:$D,'2020'!$I404,Нормативы!$F:$F,'2020'!$K404)</f>
        <v>8860</v>
      </c>
      <c r="Y404" s="618">
        <f>SUMIFS(Нормативы!K:K,Нормативы!$B:$B,$G404,Нормативы!$D:$D,'2020'!$I404,Нормативы!$F:$F,'2020'!$K404)</f>
        <v>0</v>
      </c>
      <c r="Z404" s="618">
        <f>SUMIFS(Нормативы!L:L,Нормативы!$B:$B,$G404,Нормативы!$D:$D,'2020'!$I404,Нормативы!$F:$F,'2020'!$K404)</f>
        <v>8110</v>
      </c>
      <c r="AA404" s="618">
        <f t="shared" si="1099"/>
        <v>21610</v>
      </c>
      <c r="AB404" s="618">
        <f>SUMIFS(Нормативы!N:N,Нормативы!$B:$B,$G404,Нормативы!$D:$D,'2020'!$I404,Нормативы!$F:$F,'2020'!$K404)*O404</f>
        <v>520</v>
      </c>
      <c r="AC404" s="618">
        <f>SUMIFS(Нормативы!O:O,Нормативы!$B:$B,$G404,Нормативы!$D:$D,'2020'!$I404,Нормативы!$F:$F,'2020'!$K404)</f>
        <v>19720</v>
      </c>
      <c r="AD404" s="618">
        <f>SUMIFS(Нормативы!P:P,Нормативы!$B:$B,$G404,Нормативы!$D:$D,'2020'!$I404,Нормативы!$F:$F,'2020'!$K404)*O404</f>
        <v>400</v>
      </c>
      <c r="AE404" s="618">
        <f>SUMIFS(Нормативы!Q:Q,Нормативы!$B:$B,$G404,Нормативы!$D:$D,'2020'!$I404,Нормативы!$F:$F,'2020'!$K404)</f>
        <v>970</v>
      </c>
      <c r="AF404" s="618">
        <f>SUMIFS(Нормативы!R:R,Нормативы!$B:$B,$G404,Нормативы!$D:$D,'2020'!$I404,Нормативы!$F:$F,'2020'!$K404)</f>
        <v>2680</v>
      </c>
      <c r="AG404" s="618">
        <f>SUMIFS(Нормативы!S:S,Нормативы!$B:$B,$G404,Нормативы!$D:$D,'2020'!$I404,Нормативы!$F:$F,'2020'!$K404)</f>
        <v>5800</v>
      </c>
      <c r="AH404" s="618">
        <f>SUMIFS(Нормативы!T:T,Нормативы!$B:$B,$G404,Нормативы!$D:$D,'2020'!$I404,Нормативы!$F:$F,'2020'!$K404)</f>
        <v>540</v>
      </c>
      <c r="AI404" s="618">
        <f>SUMIFS(Нормативы!U:U,Нормативы!$B:$B,$G404,Нормативы!$D:$D,'2020'!$I404,Нормативы!$F:$F,'2020'!$K404)</f>
        <v>770</v>
      </c>
      <c r="AJ404" s="618">
        <f>SUMIFS(Нормативы!V:V,Нормативы!$B:$B,$G404,Нормативы!$D:$D,'2020'!$I404,Нормативы!$F:$F,'2020'!$K404)</f>
        <v>80</v>
      </c>
      <c r="AK404" s="618">
        <f>SUMIFS(Нормативы!W:W,Нормативы!$B:$B,$G404,Нормативы!$D:$D,'2020'!$I404,Нормативы!$F:$F,'2020'!$K404)</f>
        <v>330</v>
      </c>
      <c r="AL404" s="618">
        <f>SUMIFS(Нормативы!X:X,Нормативы!$B:$B,$G404,Нормативы!$D:$D,'2020'!$I404,Нормативы!$F:$F,'2020'!$K404)*O404</f>
        <v>16120</v>
      </c>
      <c r="AM404" s="618">
        <f t="shared" si="1100"/>
        <v>12381</v>
      </c>
      <c r="AN404" s="618">
        <f t="shared" si="1101"/>
        <v>3739</v>
      </c>
      <c r="AO404" s="618">
        <f>SUMIFS(Нормативы!AA:AA,Нормативы!$B:$B,$G404,Нормативы!$D:$D,'2020'!$I404,Нормативы!$F:$F,'2020'!$K404)</f>
        <v>3520</v>
      </c>
      <c r="AP404" s="619">
        <f t="shared" si="1102"/>
        <v>139020</v>
      </c>
      <c r="AQ404" s="413">
        <f t="shared" si="1040"/>
        <v>3671200</v>
      </c>
      <c r="AR404" s="618">
        <f t="shared" si="1103"/>
        <v>2819662.1</v>
      </c>
      <c r="AS404" s="618">
        <f t="shared" si="1104"/>
        <v>851537.9</v>
      </c>
      <c r="AT404" s="616">
        <f t="shared" si="1041"/>
        <v>460720</v>
      </c>
      <c r="AU404" s="616">
        <f t="shared" si="1042"/>
        <v>0</v>
      </c>
      <c r="AV404" s="616">
        <f t="shared" si="1043"/>
        <v>421720</v>
      </c>
      <c r="AW404" s="616">
        <f t="shared" si="1044"/>
        <v>1123720</v>
      </c>
      <c r="AX404" s="616">
        <f t="shared" si="1045"/>
        <v>27040</v>
      </c>
      <c r="AY404" s="616">
        <f t="shared" si="1046"/>
        <v>1025440</v>
      </c>
      <c r="AZ404" s="616">
        <f t="shared" si="1047"/>
        <v>20800</v>
      </c>
      <c r="BA404" s="616">
        <f t="shared" si="1048"/>
        <v>50440</v>
      </c>
      <c r="BB404" s="616">
        <f t="shared" si="1049"/>
        <v>139360</v>
      </c>
      <c r="BC404" s="616">
        <f t="shared" si="1050"/>
        <v>301600</v>
      </c>
      <c r="BD404" s="616">
        <f t="shared" si="1051"/>
        <v>28080</v>
      </c>
      <c r="BE404" s="616">
        <f t="shared" si="1052"/>
        <v>40040</v>
      </c>
      <c r="BF404" s="616">
        <f t="shared" si="1053"/>
        <v>4160</v>
      </c>
      <c r="BG404" s="616">
        <f t="shared" si="1054"/>
        <v>17160</v>
      </c>
      <c r="BH404" s="616">
        <f t="shared" si="1055"/>
        <v>838240</v>
      </c>
      <c r="BI404" s="618">
        <f t="shared" si="1105"/>
        <v>643809.5</v>
      </c>
      <c r="BJ404" s="618">
        <f t="shared" si="1106"/>
        <v>194430.5</v>
      </c>
      <c r="BK404" s="616">
        <f t="shared" si="1056"/>
        <v>183040</v>
      </c>
      <c r="BL404" s="620">
        <f t="shared" si="1057"/>
        <v>7229040</v>
      </c>
      <c r="BM404" s="616">
        <f t="shared" si="1058"/>
        <v>5000174</v>
      </c>
      <c r="BN404" s="618">
        <f t="shared" si="1059"/>
        <v>3840379.4</v>
      </c>
      <c r="BO404" s="618">
        <f t="shared" si="1060"/>
        <v>1159794.6000000001</v>
      </c>
      <c r="BP404" s="616">
        <f t="shared" si="1107"/>
        <v>460720</v>
      </c>
      <c r="BQ404" s="616">
        <f t="shared" si="1108"/>
        <v>0</v>
      </c>
      <c r="BR404" s="616">
        <f t="shared" si="1109"/>
        <v>421720</v>
      </c>
      <c r="BS404" s="616">
        <f t="shared" si="1061"/>
        <v>1123720</v>
      </c>
      <c r="BT404" s="616">
        <f t="shared" si="1062"/>
        <v>27040</v>
      </c>
      <c r="BU404" s="616">
        <f t="shared" si="1063"/>
        <v>1025440</v>
      </c>
      <c r="BV404" s="616">
        <f t="shared" si="1064"/>
        <v>20800</v>
      </c>
      <c r="BW404" s="616">
        <f t="shared" si="1065"/>
        <v>50440</v>
      </c>
      <c r="BX404" s="616">
        <f t="shared" si="1066"/>
        <v>411669</v>
      </c>
      <c r="BY404" s="616">
        <f t="shared" si="1067"/>
        <v>301600</v>
      </c>
      <c r="BZ404" s="616">
        <f t="shared" si="1068"/>
        <v>28080</v>
      </c>
      <c r="CA404" s="616">
        <f t="shared" si="1069"/>
        <v>40040</v>
      </c>
      <c r="CB404" s="616">
        <f t="shared" si="1070"/>
        <v>4160</v>
      </c>
      <c r="CC404" s="616">
        <f t="shared" si="1071"/>
        <v>17160</v>
      </c>
      <c r="CD404" s="616">
        <f t="shared" si="1072"/>
        <v>1141683</v>
      </c>
      <c r="CE404" s="618">
        <f t="shared" si="1110"/>
        <v>876868.7</v>
      </c>
      <c r="CF404" s="618">
        <f t="shared" si="1111"/>
        <v>264814.3</v>
      </c>
      <c r="CG404" s="616">
        <f t="shared" si="1073"/>
        <v>183040</v>
      </c>
      <c r="CH404" s="621">
        <f t="shared" si="1074"/>
        <v>9133766</v>
      </c>
      <c r="CI404" s="88">
        <f t="shared" si="1075"/>
        <v>96157.192299999995</v>
      </c>
      <c r="CJ404" s="90">
        <f t="shared" si="1076"/>
        <v>73853.45</v>
      </c>
      <c r="CK404" s="90">
        <f t="shared" si="1077"/>
        <v>22303.742300000002</v>
      </c>
      <c r="CL404" s="88">
        <f t="shared" si="1078"/>
        <v>8860</v>
      </c>
      <c r="CM404" s="88">
        <f t="shared" si="1079"/>
        <v>0</v>
      </c>
      <c r="CN404" s="88">
        <f t="shared" si="1080"/>
        <v>8110</v>
      </c>
      <c r="CO404" s="88">
        <f t="shared" si="1081"/>
        <v>21610</v>
      </c>
      <c r="CP404" s="88">
        <f t="shared" si="1082"/>
        <v>520</v>
      </c>
      <c r="CQ404" s="88">
        <f t="shared" si="1083"/>
        <v>19720</v>
      </c>
      <c r="CR404" s="88">
        <f t="shared" si="1084"/>
        <v>400</v>
      </c>
      <c r="CS404" s="88">
        <f t="shared" si="1085"/>
        <v>970</v>
      </c>
      <c r="CT404" s="88">
        <f t="shared" si="1086"/>
        <v>7916.7115000000003</v>
      </c>
      <c r="CU404" s="88">
        <f t="shared" si="1087"/>
        <v>5800</v>
      </c>
      <c r="CV404" s="88">
        <f t="shared" si="1088"/>
        <v>540</v>
      </c>
      <c r="CW404" s="88">
        <f t="shared" si="1089"/>
        <v>770</v>
      </c>
      <c r="CX404" s="88">
        <f t="shared" si="1090"/>
        <v>80</v>
      </c>
      <c r="CY404" s="88">
        <f t="shared" si="1091"/>
        <v>330</v>
      </c>
      <c r="CZ404" s="88">
        <f t="shared" si="1092"/>
        <v>21955.442299999999</v>
      </c>
      <c r="DA404" s="90">
        <f t="shared" si="1093"/>
        <v>16862.8596</v>
      </c>
      <c r="DB404" s="90">
        <f t="shared" si="1094"/>
        <v>5092.5826999999999</v>
      </c>
      <c r="DC404" s="88">
        <f t="shared" si="1095"/>
        <v>3520</v>
      </c>
      <c r="DD404" s="88">
        <f t="shared" si="1096"/>
        <v>175649.3462</v>
      </c>
      <c r="AUV404" s="699">
        <f t="shared" si="1184"/>
        <v>96157.19</v>
      </c>
      <c r="AUW404" s="699">
        <f t="shared" si="1185"/>
        <v>73853.45</v>
      </c>
      <c r="AUX404" s="699">
        <f t="shared" si="1186"/>
        <v>22303.74</v>
      </c>
      <c r="AUY404" s="699">
        <f t="shared" si="1187"/>
        <v>8860</v>
      </c>
      <c r="AUZ404" s="699">
        <f t="shared" si="910"/>
        <v>0</v>
      </c>
      <c r="AVA404" s="699">
        <f t="shared" si="910"/>
        <v>5.97</v>
      </c>
      <c r="AVB404" s="699">
        <f t="shared" si="1188"/>
        <v>21610</v>
      </c>
      <c r="AVC404" s="699">
        <f t="shared" si="1189"/>
        <v>520</v>
      </c>
      <c r="AVD404" s="699">
        <f t="shared" si="1190"/>
        <v>19720</v>
      </c>
      <c r="AVE404" s="699">
        <f t="shared" si="1191"/>
        <v>400</v>
      </c>
      <c r="AVF404" s="699">
        <f t="shared" si="1192"/>
        <v>970</v>
      </c>
      <c r="AVG404" s="699">
        <f t="shared" si="1193"/>
        <v>7916.71</v>
      </c>
      <c r="AVH404" s="699">
        <f t="shared" si="1194"/>
        <v>5800</v>
      </c>
      <c r="AVI404" s="699">
        <f t="shared" si="1195"/>
        <v>540</v>
      </c>
      <c r="AVJ404" s="699">
        <f t="shared" si="1196"/>
        <v>770</v>
      </c>
      <c r="AVK404" s="699">
        <f t="shared" si="1197"/>
        <v>80</v>
      </c>
      <c r="AVL404" s="699">
        <f t="shared" si="1198"/>
        <v>330</v>
      </c>
      <c r="AVM404" s="699">
        <f t="shared" si="1199"/>
        <v>21955.439999999999</v>
      </c>
      <c r="AVN404" s="699">
        <f t="shared" si="1200"/>
        <v>16862.86</v>
      </c>
      <c r="AVO404" s="699">
        <f t="shared" si="1201"/>
        <v>5092.58</v>
      </c>
      <c r="AVP404" s="699">
        <f t="shared" si="1202"/>
        <v>3520</v>
      </c>
      <c r="AVQ404" s="699">
        <f t="shared" si="1203"/>
        <v>175649.35</v>
      </c>
    </row>
    <row r="405" spans="1:108 1244:1265" ht="30" customHeight="1" x14ac:dyDescent="0.25">
      <c r="A405" s="643">
        <v>1</v>
      </c>
      <c r="B405" s="643">
        <v>10</v>
      </c>
      <c r="C405" s="664" t="s">
        <v>251</v>
      </c>
      <c r="D405" s="2"/>
      <c r="E405" s="101" t="s">
        <v>345</v>
      </c>
      <c r="F405" s="643" t="s">
        <v>38</v>
      </c>
      <c r="G405" s="643">
        <v>2</v>
      </c>
      <c r="H405" s="658" t="s">
        <v>8</v>
      </c>
      <c r="I405" s="643">
        <v>3</v>
      </c>
      <c r="J405" s="101" t="s">
        <v>361</v>
      </c>
      <c r="K405" s="643">
        <v>3</v>
      </c>
      <c r="L405" s="683" t="s">
        <v>350</v>
      </c>
      <c r="M405" s="11" t="s">
        <v>294</v>
      </c>
      <c r="N405" s="101" t="s">
        <v>387</v>
      </c>
      <c r="O405" s="643">
        <v>1</v>
      </c>
      <c r="P405" s="632">
        <v>14</v>
      </c>
      <c r="Q405" s="632">
        <v>14</v>
      </c>
      <c r="R405" s="632">
        <v>14</v>
      </c>
      <c r="S405" s="675">
        <f>SUMIF('Территориальный кк'!$A:$A,'2020'!$B405,'Территориальный кк'!D:D)</f>
        <v>1.3620000000000001</v>
      </c>
      <c r="T405" s="676">
        <f>SUMIF('Территориальный кк'!$A:$A,'2020'!$B405,'Территориальный кк'!E:E)</f>
        <v>2.9540000000000002</v>
      </c>
      <c r="U405" s="618">
        <f>SUMIFS(Нормативы!G:G,Нормативы!$B:$B,$G405,Нормативы!$D:$D,'2020'!$I405,Нормативы!$F:$F,'2020'!$K405)*O405</f>
        <v>12944</v>
      </c>
      <c r="V405" s="618">
        <f t="shared" si="1097"/>
        <v>9941.6</v>
      </c>
      <c r="W405" s="618">
        <f t="shared" si="1098"/>
        <v>3002.4</v>
      </c>
      <c r="X405" s="618">
        <f>SUMIFS(Нормативы!J:J,Нормативы!$B:$B,$G405,Нормативы!$D:$D,'2020'!$I405,Нормативы!$F:$F,'2020'!$K405)</f>
        <v>486</v>
      </c>
      <c r="Y405" s="618">
        <f>SUMIFS(Нормативы!K:K,Нормативы!$B:$B,$G405,Нормативы!$D:$D,'2020'!$I405,Нормативы!$F:$F,'2020'!$K405)</f>
        <v>97</v>
      </c>
      <c r="Z405" s="618">
        <f>SUMIFS(Нормативы!L:L,Нормативы!$B:$B,$G405,Нормативы!$D:$D,'2020'!$I405,Нормативы!$F:$F,'2020'!$K405)</f>
        <v>348</v>
      </c>
      <c r="AA405" s="618">
        <f t="shared" si="1099"/>
        <v>2031</v>
      </c>
      <c r="AB405" s="618">
        <f>SUMIFS(Нормативы!N:N,Нормативы!$B:$B,$G405,Нормативы!$D:$D,'2020'!$I405,Нормативы!$F:$F,'2020'!$K405)*O405</f>
        <v>52</v>
      </c>
      <c r="AC405" s="618">
        <f>SUMIFS(Нормативы!O:O,Нормативы!$B:$B,$G405,Нормативы!$D:$D,'2020'!$I405,Нормативы!$F:$F,'2020'!$K405)</f>
        <v>1728</v>
      </c>
      <c r="AD405" s="618">
        <f>SUMIFS(Нормативы!P:P,Нормативы!$B:$B,$G405,Нормативы!$D:$D,'2020'!$I405,Нормативы!$F:$F,'2020'!$K405)*O405</f>
        <v>73</v>
      </c>
      <c r="AE405" s="618">
        <f>SUMIFS(Нормативы!Q:Q,Нормативы!$B:$B,$G405,Нормативы!$D:$D,'2020'!$I405,Нормативы!$F:$F,'2020'!$K405)</f>
        <v>178</v>
      </c>
      <c r="AF405" s="618">
        <f>SUMIFS(Нормативы!R:R,Нормативы!$B:$B,$G405,Нормативы!$D:$D,'2020'!$I405,Нормативы!$F:$F,'2020'!$K405)</f>
        <v>275</v>
      </c>
      <c r="AG405" s="618">
        <f>SUMIFS(Нормативы!S:S,Нормативы!$B:$B,$G405,Нормативы!$D:$D,'2020'!$I405,Нормативы!$F:$F,'2020'!$K405)</f>
        <v>580</v>
      </c>
      <c r="AH405" s="618">
        <f>SUMIFS(Нормативы!T:T,Нормативы!$B:$B,$G405,Нормативы!$D:$D,'2020'!$I405,Нормативы!$F:$F,'2020'!$K405)</f>
        <v>54</v>
      </c>
      <c r="AI405" s="618">
        <f>SUMIFS(Нормативы!U:U,Нормативы!$B:$B,$G405,Нормативы!$D:$D,'2020'!$I405,Нормативы!$F:$F,'2020'!$K405)</f>
        <v>77</v>
      </c>
      <c r="AJ405" s="618">
        <f>SUMIFS(Нормативы!V:V,Нормативы!$B:$B,$G405,Нормативы!$D:$D,'2020'!$I405,Нормативы!$F:$F,'2020'!$K405)</f>
        <v>8</v>
      </c>
      <c r="AK405" s="618">
        <f>SUMIFS(Нормативы!W:W,Нормативы!$B:$B,$G405,Нормативы!$D:$D,'2020'!$I405,Нормативы!$F:$F,'2020'!$K405)</f>
        <v>39</v>
      </c>
      <c r="AL405" s="618">
        <f>SUMIFS(Нормативы!X:X,Нормативы!$B:$B,$G405,Нормативы!$D:$D,'2020'!$I405,Нормативы!$F:$F,'2020'!$K405)*O405</f>
        <v>1612</v>
      </c>
      <c r="AM405" s="618">
        <f t="shared" si="1100"/>
        <v>1238.0999999999999</v>
      </c>
      <c r="AN405" s="618">
        <f t="shared" si="1101"/>
        <v>373.9</v>
      </c>
      <c r="AO405" s="618">
        <f>SUMIFS(Нормативы!AA:AA,Нормативы!$B:$B,$G405,Нормативы!$D:$D,'2020'!$I405,Нормативы!$F:$F,'2020'!$K405)</f>
        <v>0</v>
      </c>
      <c r="AP405" s="619">
        <f t="shared" si="1102"/>
        <v>18454</v>
      </c>
      <c r="AQ405" s="413">
        <f t="shared" si="1040"/>
        <v>181216</v>
      </c>
      <c r="AR405" s="618">
        <f t="shared" si="1103"/>
        <v>139182.79999999999</v>
      </c>
      <c r="AS405" s="618">
        <f t="shared" si="1104"/>
        <v>42033.2</v>
      </c>
      <c r="AT405" s="616">
        <f t="shared" si="1041"/>
        <v>6804</v>
      </c>
      <c r="AU405" s="616">
        <f t="shared" si="1042"/>
        <v>1358</v>
      </c>
      <c r="AV405" s="616">
        <f t="shared" si="1043"/>
        <v>4872</v>
      </c>
      <c r="AW405" s="616">
        <f t="shared" si="1044"/>
        <v>28434</v>
      </c>
      <c r="AX405" s="616">
        <f t="shared" si="1045"/>
        <v>728</v>
      </c>
      <c r="AY405" s="616">
        <f t="shared" si="1046"/>
        <v>24192</v>
      </c>
      <c r="AZ405" s="616">
        <f t="shared" si="1047"/>
        <v>1022</v>
      </c>
      <c r="BA405" s="616">
        <f t="shared" si="1048"/>
        <v>2492</v>
      </c>
      <c r="BB405" s="616">
        <f t="shared" si="1049"/>
        <v>3850</v>
      </c>
      <c r="BC405" s="616">
        <f t="shared" si="1050"/>
        <v>8120</v>
      </c>
      <c r="BD405" s="616">
        <f t="shared" si="1051"/>
        <v>756</v>
      </c>
      <c r="BE405" s="616">
        <f t="shared" si="1052"/>
        <v>1078</v>
      </c>
      <c r="BF405" s="616">
        <f t="shared" si="1053"/>
        <v>112</v>
      </c>
      <c r="BG405" s="616">
        <f t="shared" si="1054"/>
        <v>546</v>
      </c>
      <c r="BH405" s="616">
        <f t="shared" si="1055"/>
        <v>22568</v>
      </c>
      <c r="BI405" s="618">
        <f t="shared" si="1105"/>
        <v>17333.3</v>
      </c>
      <c r="BJ405" s="618">
        <f t="shared" si="1106"/>
        <v>5234.7</v>
      </c>
      <c r="BK405" s="616">
        <f t="shared" si="1056"/>
        <v>0</v>
      </c>
      <c r="BL405" s="620">
        <f t="shared" si="1057"/>
        <v>258356</v>
      </c>
      <c r="BM405" s="616">
        <f t="shared" si="1058"/>
        <v>246816</v>
      </c>
      <c r="BN405" s="618">
        <f t="shared" si="1059"/>
        <v>189566.8</v>
      </c>
      <c r="BO405" s="618">
        <f t="shared" si="1060"/>
        <v>57249.2</v>
      </c>
      <c r="BP405" s="616">
        <f t="shared" si="1107"/>
        <v>6804</v>
      </c>
      <c r="BQ405" s="616">
        <f t="shared" si="1108"/>
        <v>1358</v>
      </c>
      <c r="BR405" s="616">
        <f t="shared" si="1109"/>
        <v>4872</v>
      </c>
      <c r="BS405" s="616">
        <f t="shared" si="1061"/>
        <v>28434</v>
      </c>
      <c r="BT405" s="616">
        <f t="shared" si="1062"/>
        <v>728</v>
      </c>
      <c r="BU405" s="616">
        <f t="shared" si="1063"/>
        <v>24192</v>
      </c>
      <c r="BV405" s="616">
        <f t="shared" si="1064"/>
        <v>1022</v>
      </c>
      <c r="BW405" s="616">
        <f t="shared" si="1065"/>
        <v>2492</v>
      </c>
      <c r="BX405" s="616">
        <f t="shared" si="1066"/>
        <v>11373</v>
      </c>
      <c r="BY405" s="616">
        <f t="shared" si="1067"/>
        <v>8120</v>
      </c>
      <c r="BZ405" s="616">
        <f t="shared" si="1068"/>
        <v>756</v>
      </c>
      <c r="CA405" s="616">
        <f t="shared" si="1069"/>
        <v>1078</v>
      </c>
      <c r="CB405" s="616">
        <f t="shared" si="1070"/>
        <v>112</v>
      </c>
      <c r="CC405" s="616">
        <f t="shared" si="1071"/>
        <v>546</v>
      </c>
      <c r="CD405" s="616">
        <f t="shared" si="1072"/>
        <v>30738</v>
      </c>
      <c r="CE405" s="618">
        <f t="shared" si="1110"/>
        <v>23608.3</v>
      </c>
      <c r="CF405" s="618">
        <f t="shared" si="1111"/>
        <v>7129.7</v>
      </c>
      <c r="CG405" s="616">
        <f t="shared" si="1073"/>
        <v>0</v>
      </c>
      <c r="CH405" s="621">
        <f t="shared" si="1074"/>
        <v>339649</v>
      </c>
      <c r="CI405" s="88">
        <f t="shared" si="1075"/>
        <v>17629.7143</v>
      </c>
      <c r="CJ405" s="90">
        <f t="shared" si="1076"/>
        <v>13540.485699999999</v>
      </c>
      <c r="CK405" s="90">
        <f t="shared" si="1077"/>
        <v>4089.2285999999999</v>
      </c>
      <c r="CL405" s="88">
        <f t="shared" si="1078"/>
        <v>486</v>
      </c>
      <c r="CM405" s="88">
        <f t="shared" si="1079"/>
        <v>97</v>
      </c>
      <c r="CN405" s="88">
        <f t="shared" si="1080"/>
        <v>348</v>
      </c>
      <c r="CO405" s="88">
        <f t="shared" si="1081"/>
        <v>2031</v>
      </c>
      <c r="CP405" s="88">
        <f t="shared" si="1082"/>
        <v>52</v>
      </c>
      <c r="CQ405" s="88">
        <f t="shared" si="1083"/>
        <v>1728</v>
      </c>
      <c r="CR405" s="88">
        <f t="shared" si="1084"/>
        <v>73</v>
      </c>
      <c r="CS405" s="88">
        <f t="shared" si="1085"/>
        <v>178</v>
      </c>
      <c r="CT405" s="88">
        <f t="shared" si="1086"/>
        <v>812.35709999999995</v>
      </c>
      <c r="CU405" s="88">
        <f t="shared" si="1087"/>
        <v>580</v>
      </c>
      <c r="CV405" s="88">
        <f t="shared" si="1088"/>
        <v>54</v>
      </c>
      <c r="CW405" s="88">
        <f t="shared" si="1089"/>
        <v>77</v>
      </c>
      <c r="CX405" s="88">
        <f t="shared" si="1090"/>
        <v>8</v>
      </c>
      <c r="CY405" s="88">
        <f t="shared" si="1091"/>
        <v>39</v>
      </c>
      <c r="CZ405" s="88">
        <f t="shared" si="1092"/>
        <v>2195.5713999999998</v>
      </c>
      <c r="DA405" s="90">
        <f t="shared" si="1093"/>
        <v>1686.3071</v>
      </c>
      <c r="DB405" s="90">
        <f t="shared" si="1094"/>
        <v>509.26429999999999</v>
      </c>
      <c r="DC405" s="88">
        <f t="shared" si="1095"/>
        <v>0</v>
      </c>
      <c r="DD405" s="88">
        <f t="shared" si="1096"/>
        <v>24260.642899999999</v>
      </c>
      <c r="AUV405" s="699">
        <f t="shared" si="1184"/>
        <v>17629.71</v>
      </c>
      <c r="AUW405" s="699">
        <f t="shared" si="1185"/>
        <v>13540.48</v>
      </c>
      <c r="AUX405" s="699">
        <f t="shared" si="1186"/>
        <v>4089.23</v>
      </c>
      <c r="AUY405" s="699">
        <f t="shared" si="1187"/>
        <v>486</v>
      </c>
      <c r="AUZ405" s="699">
        <f t="shared" si="910"/>
        <v>459.72</v>
      </c>
      <c r="AVA405" s="699">
        <f t="shared" si="910"/>
        <v>0.38</v>
      </c>
      <c r="AVB405" s="699">
        <f t="shared" si="1188"/>
        <v>2031</v>
      </c>
      <c r="AVC405" s="699">
        <f t="shared" si="1189"/>
        <v>52</v>
      </c>
      <c r="AVD405" s="699">
        <f t="shared" si="1190"/>
        <v>1728</v>
      </c>
      <c r="AVE405" s="699">
        <f t="shared" si="1191"/>
        <v>73</v>
      </c>
      <c r="AVF405" s="699">
        <f t="shared" si="1192"/>
        <v>178</v>
      </c>
      <c r="AVG405" s="699">
        <f t="shared" si="1193"/>
        <v>812.36</v>
      </c>
      <c r="AVH405" s="699">
        <f t="shared" si="1194"/>
        <v>580</v>
      </c>
      <c r="AVI405" s="699">
        <f t="shared" si="1195"/>
        <v>54</v>
      </c>
      <c r="AVJ405" s="699">
        <f t="shared" si="1196"/>
        <v>77</v>
      </c>
      <c r="AVK405" s="699">
        <f t="shared" si="1197"/>
        <v>8</v>
      </c>
      <c r="AVL405" s="699">
        <f t="shared" si="1198"/>
        <v>39</v>
      </c>
      <c r="AVM405" s="699">
        <f t="shared" si="1199"/>
        <v>2195.5700000000002</v>
      </c>
      <c r="AVN405" s="699">
        <f t="shared" si="1200"/>
        <v>1686.31</v>
      </c>
      <c r="AVO405" s="699">
        <f t="shared" si="1201"/>
        <v>509.26</v>
      </c>
      <c r="AVP405" s="699">
        <f t="shared" si="1202"/>
        <v>0</v>
      </c>
      <c r="AVQ405" s="699">
        <f t="shared" si="1203"/>
        <v>24260.639999999999</v>
      </c>
    </row>
    <row r="406" spans="1:108 1244:1265" ht="30" customHeight="1" x14ac:dyDescent="0.25">
      <c r="A406" s="643">
        <v>1</v>
      </c>
      <c r="B406" s="643">
        <v>10</v>
      </c>
      <c r="C406" s="664" t="s">
        <v>251</v>
      </c>
      <c r="D406" s="2"/>
      <c r="E406" s="101" t="s">
        <v>345</v>
      </c>
      <c r="F406" s="643" t="s">
        <v>38</v>
      </c>
      <c r="G406" s="643">
        <v>2</v>
      </c>
      <c r="H406" s="658" t="s">
        <v>10</v>
      </c>
      <c r="I406" s="643">
        <v>0</v>
      </c>
      <c r="J406" s="101" t="s">
        <v>362</v>
      </c>
      <c r="K406" s="643">
        <v>3</v>
      </c>
      <c r="L406" s="683" t="s">
        <v>350</v>
      </c>
      <c r="M406" s="11" t="s">
        <v>268</v>
      </c>
      <c r="N406" s="101" t="s">
        <v>387</v>
      </c>
      <c r="O406" s="643">
        <v>1</v>
      </c>
      <c r="P406" s="632">
        <v>7</v>
      </c>
      <c r="Q406" s="632">
        <v>7</v>
      </c>
      <c r="R406" s="632">
        <v>7</v>
      </c>
      <c r="S406" s="675">
        <f>SUMIF('Территориальный кк'!$A:$A,'2020'!$B406,'Территориальный кк'!D:D)</f>
        <v>1.3620000000000001</v>
      </c>
      <c r="T406" s="676">
        <f>SUMIF('Территориальный кк'!$A:$A,'2020'!$B406,'Территориальный кк'!E:E)</f>
        <v>2.9540000000000002</v>
      </c>
      <c r="U406" s="618">
        <f>SUMIFS(Нормативы!G:G,Нормативы!$B:$B,$G406,Нормативы!$D:$D,'2020'!$I406,Нормативы!$F:$F,'2020'!$K406)*O406</f>
        <v>70600</v>
      </c>
      <c r="V406" s="618">
        <f t="shared" si="1097"/>
        <v>54224.3</v>
      </c>
      <c r="W406" s="618">
        <f t="shared" si="1098"/>
        <v>16375.7</v>
      </c>
      <c r="X406" s="618">
        <f>SUMIFS(Нормативы!J:J,Нормативы!$B:$B,$G406,Нормативы!$D:$D,'2020'!$I406,Нормативы!$F:$F,'2020'!$K406)</f>
        <v>8860</v>
      </c>
      <c r="Y406" s="618">
        <f>SUMIFS(Нормативы!K:K,Нормативы!$B:$B,$G406,Нормативы!$D:$D,'2020'!$I406,Нормативы!$F:$F,'2020'!$K406)</f>
        <v>0</v>
      </c>
      <c r="Z406" s="618">
        <f>SUMIFS(Нормативы!L:L,Нормативы!$B:$B,$G406,Нормативы!$D:$D,'2020'!$I406,Нормативы!$F:$F,'2020'!$K406)</f>
        <v>8110</v>
      </c>
      <c r="AA406" s="618">
        <f t="shared" si="1099"/>
        <v>21610</v>
      </c>
      <c r="AB406" s="618">
        <f>SUMIFS(Нормативы!N:N,Нормативы!$B:$B,$G406,Нормативы!$D:$D,'2020'!$I406,Нормативы!$F:$F,'2020'!$K406)*O406</f>
        <v>520</v>
      </c>
      <c r="AC406" s="618">
        <f>SUMIFS(Нормативы!O:O,Нормативы!$B:$B,$G406,Нормативы!$D:$D,'2020'!$I406,Нормативы!$F:$F,'2020'!$K406)</f>
        <v>19720</v>
      </c>
      <c r="AD406" s="618">
        <f>SUMIFS(Нормативы!P:P,Нормативы!$B:$B,$G406,Нормативы!$D:$D,'2020'!$I406,Нормативы!$F:$F,'2020'!$K406)*O406</f>
        <v>400</v>
      </c>
      <c r="AE406" s="618">
        <f>SUMIFS(Нормативы!Q:Q,Нормативы!$B:$B,$G406,Нормативы!$D:$D,'2020'!$I406,Нормативы!$F:$F,'2020'!$K406)</f>
        <v>970</v>
      </c>
      <c r="AF406" s="618">
        <f>SUMIFS(Нормативы!R:R,Нормативы!$B:$B,$G406,Нормативы!$D:$D,'2020'!$I406,Нормативы!$F:$F,'2020'!$K406)</f>
        <v>2680</v>
      </c>
      <c r="AG406" s="618">
        <f>SUMIFS(Нормативы!S:S,Нормативы!$B:$B,$G406,Нормативы!$D:$D,'2020'!$I406,Нормативы!$F:$F,'2020'!$K406)</f>
        <v>5800</v>
      </c>
      <c r="AH406" s="618">
        <f>SUMIFS(Нормативы!T:T,Нормативы!$B:$B,$G406,Нормативы!$D:$D,'2020'!$I406,Нормативы!$F:$F,'2020'!$K406)</f>
        <v>540</v>
      </c>
      <c r="AI406" s="618">
        <f>SUMIFS(Нормативы!U:U,Нормативы!$B:$B,$G406,Нормативы!$D:$D,'2020'!$I406,Нормативы!$F:$F,'2020'!$K406)</f>
        <v>770</v>
      </c>
      <c r="AJ406" s="618">
        <f>SUMIFS(Нормативы!V:V,Нормативы!$B:$B,$G406,Нормативы!$D:$D,'2020'!$I406,Нормативы!$F:$F,'2020'!$K406)</f>
        <v>80</v>
      </c>
      <c r="AK406" s="618">
        <f>SUMIFS(Нормативы!W:W,Нормативы!$B:$B,$G406,Нормативы!$D:$D,'2020'!$I406,Нормативы!$F:$F,'2020'!$K406)</f>
        <v>330</v>
      </c>
      <c r="AL406" s="618">
        <f>SUMIFS(Нормативы!X:X,Нормативы!$B:$B,$G406,Нормативы!$D:$D,'2020'!$I406,Нормативы!$F:$F,'2020'!$K406)*O406</f>
        <v>16120</v>
      </c>
      <c r="AM406" s="618">
        <f t="shared" si="1100"/>
        <v>12381</v>
      </c>
      <c r="AN406" s="618">
        <f t="shared" si="1101"/>
        <v>3739</v>
      </c>
      <c r="AO406" s="618">
        <f>SUMIFS(Нормативы!AA:AA,Нормативы!$B:$B,$G406,Нормативы!$D:$D,'2020'!$I406,Нормативы!$F:$F,'2020'!$K406)</f>
        <v>3520</v>
      </c>
      <c r="AP406" s="619">
        <f t="shared" si="1102"/>
        <v>139020</v>
      </c>
      <c r="AQ406" s="413">
        <f t="shared" si="1040"/>
        <v>494200</v>
      </c>
      <c r="AR406" s="618">
        <f t="shared" si="1103"/>
        <v>379569.9</v>
      </c>
      <c r="AS406" s="618">
        <f t="shared" si="1104"/>
        <v>114630.1</v>
      </c>
      <c r="AT406" s="616">
        <f t="shared" si="1041"/>
        <v>62020</v>
      </c>
      <c r="AU406" s="616">
        <f t="shared" si="1042"/>
        <v>0</v>
      </c>
      <c r="AV406" s="616">
        <f t="shared" si="1043"/>
        <v>56770</v>
      </c>
      <c r="AW406" s="616">
        <f t="shared" si="1044"/>
        <v>151270</v>
      </c>
      <c r="AX406" s="616">
        <f t="shared" si="1045"/>
        <v>3640</v>
      </c>
      <c r="AY406" s="616">
        <f t="shared" si="1046"/>
        <v>138040</v>
      </c>
      <c r="AZ406" s="616">
        <f t="shared" si="1047"/>
        <v>2800</v>
      </c>
      <c r="BA406" s="616">
        <f t="shared" si="1048"/>
        <v>6790</v>
      </c>
      <c r="BB406" s="616">
        <f t="shared" si="1049"/>
        <v>18760</v>
      </c>
      <c r="BC406" s="616">
        <f t="shared" si="1050"/>
        <v>40600</v>
      </c>
      <c r="BD406" s="616">
        <f t="shared" si="1051"/>
        <v>3780</v>
      </c>
      <c r="BE406" s="616">
        <f t="shared" si="1052"/>
        <v>5390</v>
      </c>
      <c r="BF406" s="616">
        <f t="shared" si="1053"/>
        <v>560</v>
      </c>
      <c r="BG406" s="616">
        <f t="shared" si="1054"/>
        <v>2310</v>
      </c>
      <c r="BH406" s="616">
        <f t="shared" si="1055"/>
        <v>112840</v>
      </c>
      <c r="BI406" s="618">
        <f t="shared" si="1105"/>
        <v>86666.7</v>
      </c>
      <c r="BJ406" s="618">
        <f t="shared" si="1106"/>
        <v>26173.3</v>
      </c>
      <c r="BK406" s="616">
        <f t="shared" si="1056"/>
        <v>24640</v>
      </c>
      <c r="BL406" s="620">
        <f t="shared" si="1057"/>
        <v>973140</v>
      </c>
      <c r="BM406" s="616">
        <f t="shared" si="1058"/>
        <v>673100</v>
      </c>
      <c r="BN406" s="618">
        <f t="shared" si="1059"/>
        <v>516973.9</v>
      </c>
      <c r="BO406" s="618">
        <f t="shared" si="1060"/>
        <v>156126.1</v>
      </c>
      <c r="BP406" s="616">
        <f t="shared" si="1107"/>
        <v>62020</v>
      </c>
      <c r="BQ406" s="616">
        <f t="shared" si="1108"/>
        <v>0</v>
      </c>
      <c r="BR406" s="616">
        <f t="shared" si="1109"/>
        <v>56770</v>
      </c>
      <c r="BS406" s="616">
        <f t="shared" si="1061"/>
        <v>151270</v>
      </c>
      <c r="BT406" s="616">
        <f t="shared" si="1062"/>
        <v>3640</v>
      </c>
      <c r="BU406" s="616">
        <f t="shared" si="1063"/>
        <v>138040</v>
      </c>
      <c r="BV406" s="616">
        <f t="shared" si="1064"/>
        <v>2800</v>
      </c>
      <c r="BW406" s="616">
        <f t="shared" si="1065"/>
        <v>6790</v>
      </c>
      <c r="BX406" s="616">
        <f t="shared" si="1066"/>
        <v>55417</v>
      </c>
      <c r="BY406" s="616">
        <f t="shared" si="1067"/>
        <v>40600</v>
      </c>
      <c r="BZ406" s="616">
        <f t="shared" si="1068"/>
        <v>3780</v>
      </c>
      <c r="CA406" s="616">
        <f t="shared" si="1069"/>
        <v>5390</v>
      </c>
      <c r="CB406" s="616">
        <f t="shared" si="1070"/>
        <v>560</v>
      </c>
      <c r="CC406" s="616">
        <f t="shared" si="1071"/>
        <v>2310</v>
      </c>
      <c r="CD406" s="616">
        <f t="shared" si="1072"/>
        <v>153688</v>
      </c>
      <c r="CE406" s="618">
        <f t="shared" si="1110"/>
        <v>118039.9</v>
      </c>
      <c r="CF406" s="618">
        <f t="shared" si="1111"/>
        <v>35648.1</v>
      </c>
      <c r="CG406" s="616">
        <f t="shared" si="1073"/>
        <v>24640</v>
      </c>
      <c r="CH406" s="621">
        <f t="shared" si="1074"/>
        <v>1229545</v>
      </c>
      <c r="CI406" s="88">
        <f t="shared" si="1075"/>
        <v>96157.142900000006</v>
      </c>
      <c r="CJ406" s="90">
        <f t="shared" si="1076"/>
        <v>73853.414300000004</v>
      </c>
      <c r="CK406" s="90">
        <f t="shared" si="1077"/>
        <v>22303.728599999999</v>
      </c>
      <c r="CL406" s="88">
        <f t="shared" si="1078"/>
        <v>8860</v>
      </c>
      <c r="CM406" s="88">
        <f t="shared" si="1079"/>
        <v>0</v>
      </c>
      <c r="CN406" s="88">
        <f t="shared" si="1080"/>
        <v>8110</v>
      </c>
      <c r="CO406" s="88">
        <f t="shared" si="1081"/>
        <v>21610</v>
      </c>
      <c r="CP406" s="88">
        <f t="shared" si="1082"/>
        <v>520</v>
      </c>
      <c r="CQ406" s="88">
        <f t="shared" si="1083"/>
        <v>19720</v>
      </c>
      <c r="CR406" s="88">
        <f t="shared" si="1084"/>
        <v>400</v>
      </c>
      <c r="CS406" s="88">
        <f t="shared" si="1085"/>
        <v>970</v>
      </c>
      <c r="CT406" s="88">
        <f t="shared" si="1086"/>
        <v>7916.7142999999996</v>
      </c>
      <c r="CU406" s="88">
        <f t="shared" si="1087"/>
        <v>5800</v>
      </c>
      <c r="CV406" s="88">
        <f t="shared" si="1088"/>
        <v>540</v>
      </c>
      <c r="CW406" s="88">
        <f t="shared" si="1089"/>
        <v>770</v>
      </c>
      <c r="CX406" s="88">
        <f t="shared" si="1090"/>
        <v>80</v>
      </c>
      <c r="CY406" s="88">
        <f t="shared" si="1091"/>
        <v>330</v>
      </c>
      <c r="CZ406" s="88">
        <f t="shared" si="1092"/>
        <v>21955.428599999999</v>
      </c>
      <c r="DA406" s="90">
        <f t="shared" si="1093"/>
        <v>16862.8429</v>
      </c>
      <c r="DB406" s="90">
        <f t="shared" si="1094"/>
        <v>5092.5856999999996</v>
      </c>
      <c r="DC406" s="88">
        <f t="shared" si="1095"/>
        <v>3520</v>
      </c>
      <c r="DD406" s="88">
        <f t="shared" si="1096"/>
        <v>175649.28570000001</v>
      </c>
      <c r="AUV406" s="699">
        <f t="shared" si="1184"/>
        <v>96157.14</v>
      </c>
      <c r="AUW406" s="699">
        <f t="shared" si="1185"/>
        <v>73853.41</v>
      </c>
      <c r="AUX406" s="699">
        <f t="shared" si="1186"/>
        <v>22303.73</v>
      </c>
      <c r="AUY406" s="699">
        <f t="shared" si="1187"/>
        <v>8860</v>
      </c>
      <c r="AUZ406" s="699">
        <f t="shared" ref="AUY406:AVB455" si="1204">BQ406/T406</f>
        <v>0</v>
      </c>
      <c r="AVA406" s="699">
        <f t="shared" si="1204"/>
        <v>0.8</v>
      </c>
      <c r="AVB406" s="699">
        <f t="shared" si="1188"/>
        <v>21610</v>
      </c>
      <c r="AVC406" s="699">
        <f t="shared" si="1189"/>
        <v>520</v>
      </c>
      <c r="AVD406" s="699">
        <f t="shared" si="1190"/>
        <v>19720</v>
      </c>
      <c r="AVE406" s="699">
        <f t="shared" si="1191"/>
        <v>400</v>
      </c>
      <c r="AVF406" s="699">
        <f t="shared" si="1192"/>
        <v>970</v>
      </c>
      <c r="AVG406" s="699">
        <f t="shared" si="1193"/>
        <v>7916.71</v>
      </c>
      <c r="AVH406" s="699">
        <f t="shared" si="1194"/>
        <v>5800</v>
      </c>
      <c r="AVI406" s="699">
        <f t="shared" si="1195"/>
        <v>540</v>
      </c>
      <c r="AVJ406" s="699">
        <f t="shared" si="1196"/>
        <v>770</v>
      </c>
      <c r="AVK406" s="699">
        <f t="shared" si="1197"/>
        <v>80</v>
      </c>
      <c r="AVL406" s="699">
        <f t="shared" si="1198"/>
        <v>330</v>
      </c>
      <c r="AVM406" s="699">
        <f t="shared" si="1199"/>
        <v>21955.43</v>
      </c>
      <c r="AVN406" s="699">
        <f t="shared" si="1200"/>
        <v>16862.849999999999</v>
      </c>
      <c r="AVO406" s="699">
        <f t="shared" si="1201"/>
        <v>5092.58</v>
      </c>
      <c r="AVP406" s="699">
        <f t="shared" si="1202"/>
        <v>3520</v>
      </c>
      <c r="AVQ406" s="699">
        <f t="shared" si="1203"/>
        <v>175649.29</v>
      </c>
    </row>
    <row r="407" spans="1:108 1244:1265" ht="30" customHeight="1" x14ac:dyDescent="0.25">
      <c r="A407" s="643">
        <v>1</v>
      </c>
      <c r="B407" s="643">
        <v>10</v>
      </c>
      <c r="C407" s="664" t="s">
        <v>251</v>
      </c>
      <c r="D407" s="2"/>
      <c r="E407" s="101" t="s">
        <v>345</v>
      </c>
      <c r="F407" s="643" t="s">
        <v>38</v>
      </c>
      <c r="G407" s="643">
        <v>2</v>
      </c>
      <c r="H407" s="658" t="s">
        <v>8</v>
      </c>
      <c r="I407" s="643">
        <v>3</v>
      </c>
      <c r="J407" s="101" t="s">
        <v>362</v>
      </c>
      <c r="K407" s="643">
        <v>3</v>
      </c>
      <c r="L407" s="683" t="s">
        <v>350</v>
      </c>
      <c r="M407" s="11" t="s">
        <v>297</v>
      </c>
      <c r="N407" s="101" t="s">
        <v>387</v>
      </c>
      <c r="O407" s="643">
        <v>1</v>
      </c>
      <c r="P407" s="632">
        <v>10</v>
      </c>
      <c r="Q407" s="632">
        <v>10</v>
      </c>
      <c r="R407" s="632">
        <v>10</v>
      </c>
      <c r="S407" s="675">
        <f>SUMIF('Территориальный кк'!$A:$A,'2020'!$B407,'Территориальный кк'!D:D)</f>
        <v>1.3620000000000001</v>
      </c>
      <c r="T407" s="676">
        <f>SUMIF('Территориальный кк'!$A:$A,'2020'!$B407,'Территориальный кк'!E:E)</f>
        <v>2.9540000000000002</v>
      </c>
      <c r="U407" s="618">
        <f>SUMIFS(Нормативы!G:G,Нормативы!$B:$B,$G407,Нормативы!$D:$D,'2020'!$I407,Нормативы!$F:$F,'2020'!$K407)*O407</f>
        <v>12944</v>
      </c>
      <c r="V407" s="618">
        <f t="shared" si="1097"/>
        <v>9941.6</v>
      </c>
      <c r="W407" s="618">
        <f t="shared" si="1098"/>
        <v>3002.4</v>
      </c>
      <c r="X407" s="618">
        <f>SUMIFS(Нормативы!J:J,Нормативы!$B:$B,$G407,Нормативы!$D:$D,'2020'!$I407,Нормативы!$F:$F,'2020'!$K407)</f>
        <v>486</v>
      </c>
      <c r="Y407" s="618">
        <f>SUMIFS(Нормативы!K:K,Нормативы!$B:$B,$G407,Нормативы!$D:$D,'2020'!$I407,Нормативы!$F:$F,'2020'!$K407)</f>
        <v>97</v>
      </c>
      <c r="Z407" s="618">
        <f>SUMIFS(Нормативы!L:L,Нормативы!$B:$B,$G407,Нормативы!$D:$D,'2020'!$I407,Нормативы!$F:$F,'2020'!$K407)</f>
        <v>348</v>
      </c>
      <c r="AA407" s="618">
        <f t="shared" si="1099"/>
        <v>2031</v>
      </c>
      <c r="AB407" s="618">
        <f>SUMIFS(Нормативы!N:N,Нормативы!$B:$B,$G407,Нормативы!$D:$D,'2020'!$I407,Нормативы!$F:$F,'2020'!$K407)*O407</f>
        <v>52</v>
      </c>
      <c r="AC407" s="618">
        <f>SUMIFS(Нормативы!O:O,Нормативы!$B:$B,$G407,Нормативы!$D:$D,'2020'!$I407,Нормативы!$F:$F,'2020'!$K407)</f>
        <v>1728</v>
      </c>
      <c r="AD407" s="618">
        <f>SUMIFS(Нормативы!P:P,Нормативы!$B:$B,$G407,Нормативы!$D:$D,'2020'!$I407,Нормативы!$F:$F,'2020'!$K407)*O407</f>
        <v>73</v>
      </c>
      <c r="AE407" s="618">
        <f>SUMIFS(Нормативы!Q:Q,Нормативы!$B:$B,$G407,Нормативы!$D:$D,'2020'!$I407,Нормативы!$F:$F,'2020'!$K407)</f>
        <v>178</v>
      </c>
      <c r="AF407" s="618">
        <f>SUMIFS(Нормативы!R:R,Нормативы!$B:$B,$G407,Нормативы!$D:$D,'2020'!$I407,Нормативы!$F:$F,'2020'!$K407)</f>
        <v>275</v>
      </c>
      <c r="AG407" s="618">
        <f>SUMIFS(Нормативы!S:S,Нормативы!$B:$B,$G407,Нормативы!$D:$D,'2020'!$I407,Нормативы!$F:$F,'2020'!$K407)</f>
        <v>580</v>
      </c>
      <c r="AH407" s="618">
        <f>SUMIFS(Нормативы!T:T,Нормативы!$B:$B,$G407,Нормативы!$D:$D,'2020'!$I407,Нормативы!$F:$F,'2020'!$K407)</f>
        <v>54</v>
      </c>
      <c r="AI407" s="618">
        <f>SUMIFS(Нормативы!U:U,Нормативы!$B:$B,$G407,Нормативы!$D:$D,'2020'!$I407,Нормативы!$F:$F,'2020'!$K407)</f>
        <v>77</v>
      </c>
      <c r="AJ407" s="618">
        <f>SUMIFS(Нормативы!V:V,Нормативы!$B:$B,$G407,Нормативы!$D:$D,'2020'!$I407,Нормативы!$F:$F,'2020'!$K407)</f>
        <v>8</v>
      </c>
      <c r="AK407" s="618">
        <f>SUMIFS(Нормативы!W:W,Нормативы!$B:$B,$G407,Нормативы!$D:$D,'2020'!$I407,Нормативы!$F:$F,'2020'!$K407)</f>
        <v>39</v>
      </c>
      <c r="AL407" s="618">
        <f>SUMIFS(Нормативы!X:X,Нормативы!$B:$B,$G407,Нормативы!$D:$D,'2020'!$I407,Нормативы!$F:$F,'2020'!$K407)*O407</f>
        <v>1612</v>
      </c>
      <c r="AM407" s="618">
        <f t="shared" si="1100"/>
        <v>1238.0999999999999</v>
      </c>
      <c r="AN407" s="618">
        <f t="shared" si="1101"/>
        <v>373.9</v>
      </c>
      <c r="AO407" s="618">
        <f>SUMIFS(Нормативы!AA:AA,Нормативы!$B:$B,$G407,Нормативы!$D:$D,'2020'!$I407,Нормативы!$F:$F,'2020'!$K407)</f>
        <v>0</v>
      </c>
      <c r="AP407" s="619">
        <f t="shared" si="1102"/>
        <v>18454</v>
      </c>
      <c r="AQ407" s="413">
        <f t="shared" si="1040"/>
        <v>129440</v>
      </c>
      <c r="AR407" s="618">
        <f t="shared" si="1103"/>
        <v>99416.3</v>
      </c>
      <c r="AS407" s="618">
        <f t="shared" si="1104"/>
        <v>30023.7</v>
      </c>
      <c r="AT407" s="616">
        <f t="shared" si="1041"/>
        <v>4860</v>
      </c>
      <c r="AU407" s="616">
        <f t="shared" si="1042"/>
        <v>970</v>
      </c>
      <c r="AV407" s="616">
        <f t="shared" si="1043"/>
        <v>3480</v>
      </c>
      <c r="AW407" s="616">
        <f t="shared" si="1044"/>
        <v>20310</v>
      </c>
      <c r="AX407" s="616">
        <f t="shared" si="1045"/>
        <v>520</v>
      </c>
      <c r="AY407" s="616">
        <f t="shared" si="1046"/>
        <v>17280</v>
      </c>
      <c r="AZ407" s="616">
        <f t="shared" si="1047"/>
        <v>730</v>
      </c>
      <c r="BA407" s="616">
        <f t="shared" si="1048"/>
        <v>1780</v>
      </c>
      <c r="BB407" s="616">
        <f t="shared" si="1049"/>
        <v>2750</v>
      </c>
      <c r="BC407" s="616">
        <f t="shared" si="1050"/>
        <v>5800</v>
      </c>
      <c r="BD407" s="616">
        <f t="shared" si="1051"/>
        <v>540</v>
      </c>
      <c r="BE407" s="616">
        <f t="shared" si="1052"/>
        <v>770</v>
      </c>
      <c r="BF407" s="616">
        <f t="shared" si="1053"/>
        <v>80</v>
      </c>
      <c r="BG407" s="616">
        <f t="shared" si="1054"/>
        <v>390</v>
      </c>
      <c r="BH407" s="616">
        <f t="shared" si="1055"/>
        <v>16120</v>
      </c>
      <c r="BI407" s="618">
        <f t="shared" si="1105"/>
        <v>12381</v>
      </c>
      <c r="BJ407" s="618">
        <f t="shared" si="1106"/>
        <v>3739</v>
      </c>
      <c r="BK407" s="616">
        <f t="shared" si="1056"/>
        <v>0</v>
      </c>
      <c r="BL407" s="620">
        <f t="shared" si="1057"/>
        <v>184540</v>
      </c>
      <c r="BM407" s="616">
        <f t="shared" si="1058"/>
        <v>176297</v>
      </c>
      <c r="BN407" s="618">
        <f t="shared" si="1059"/>
        <v>135404.79999999999</v>
      </c>
      <c r="BO407" s="618">
        <f t="shared" si="1060"/>
        <v>40892.199999999997</v>
      </c>
      <c r="BP407" s="616">
        <f t="shared" si="1107"/>
        <v>4860</v>
      </c>
      <c r="BQ407" s="616">
        <f t="shared" si="1108"/>
        <v>970</v>
      </c>
      <c r="BR407" s="616">
        <f t="shared" si="1109"/>
        <v>3480</v>
      </c>
      <c r="BS407" s="616">
        <f t="shared" si="1061"/>
        <v>20310</v>
      </c>
      <c r="BT407" s="616">
        <f t="shared" si="1062"/>
        <v>520</v>
      </c>
      <c r="BU407" s="616">
        <f t="shared" si="1063"/>
        <v>17280</v>
      </c>
      <c r="BV407" s="616">
        <f t="shared" si="1064"/>
        <v>730</v>
      </c>
      <c r="BW407" s="616">
        <f t="shared" si="1065"/>
        <v>1780</v>
      </c>
      <c r="BX407" s="616">
        <f t="shared" si="1066"/>
        <v>8124</v>
      </c>
      <c r="BY407" s="616">
        <f t="shared" si="1067"/>
        <v>5800</v>
      </c>
      <c r="BZ407" s="616">
        <f t="shared" si="1068"/>
        <v>540</v>
      </c>
      <c r="CA407" s="616">
        <f t="shared" si="1069"/>
        <v>770</v>
      </c>
      <c r="CB407" s="616">
        <f t="shared" si="1070"/>
        <v>80</v>
      </c>
      <c r="CC407" s="616">
        <f t="shared" si="1071"/>
        <v>390</v>
      </c>
      <c r="CD407" s="616">
        <f t="shared" si="1072"/>
        <v>21955</v>
      </c>
      <c r="CE407" s="618">
        <f t="shared" si="1110"/>
        <v>16862.5</v>
      </c>
      <c r="CF407" s="618">
        <f t="shared" si="1111"/>
        <v>5092.5</v>
      </c>
      <c r="CG407" s="616">
        <f t="shared" si="1073"/>
        <v>0</v>
      </c>
      <c r="CH407" s="621">
        <f t="shared" si="1074"/>
        <v>242606</v>
      </c>
      <c r="CI407" s="88">
        <f t="shared" si="1075"/>
        <v>17629.7</v>
      </c>
      <c r="CJ407" s="90">
        <f t="shared" si="1076"/>
        <v>13540.48</v>
      </c>
      <c r="CK407" s="90">
        <f t="shared" si="1077"/>
        <v>4089.22</v>
      </c>
      <c r="CL407" s="88">
        <f t="shared" si="1078"/>
        <v>486</v>
      </c>
      <c r="CM407" s="88">
        <f t="shared" si="1079"/>
        <v>97</v>
      </c>
      <c r="CN407" s="88">
        <f t="shared" si="1080"/>
        <v>348</v>
      </c>
      <c r="CO407" s="88">
        <f t="shared" si="1081"/>
        <v>2031</v>
      </c>
      <c r="CP407" s="88">
        <f t="shared" si="1082"/>
        <v>52</v>
      </c>
      <c r="CQ407" s="88">
        <f t="shared" si="1083"/>
        <v>1728</v>
      </c>
      <c r="CR407" s="88">
        <f t="shared" si="1084"/>
        <v>73</v>
      </c>
      <c r="CS407" s="88">
        <f t="shared" si="1085"/>
        <v>178</v>
      </c>
      <c r="CT407" s="88">
        <f t="shared" si="1086"/>
        <v>812.4</v>
      </c>
      <c r="CU407" s="88">
        <f t="shared" si="1087"/>
        <v>580</v>
      </c>
      <c r="CV407" s="88">
        <f t="shared" si="1088"/>
        <v>54</v>
      </c>
      <c r="CW407" s="88">
        <f t="shared" si="1089"/>
        <v>77</v>
      </c>
      <c r="CX407" s="88">
        <f t="shared" si="1090"/>
        <v>8</v>
      </c>
      <c r="CY407" s="88">
        <f t="shared" si="1091"/>
        <v>39</v>
      </c>
      <c r="CZ407" s="88">
        <f t="shared" si="1092"/>
        <v>2195.5</v>
      </c>
      <c r="DA407" s="90">
        <f t="shared" si="1093"/>
        <v>1686.25</v>
      </c>
      <c r="DB407" s="90">
        <f t="shared" si="1094"/>
        <v>509.25</v>
      </c>
      <c r="DC407" s="88">
        <f t="shared" si="1095"/>
        <v>0</v>
      </c>
      <c r="DD407" s="88">
        <f t="shared" si="1096"/>
        <v>24260.6</v>
      </c>
      <c r="AUV407" s="699">
        <f t="shared" si="1184"/>
        <v>17629.7</v>
      </c>
      <c r="AUW407" s="699">
        <f t="shared" si="1185"/>
        <v>13540.48</v>
      </c>
      <c r="AUX407" s="699">
        <f t="shared" si="1186"/>
        <v>4089.22</v>
      </c>
      <c r="AUY407" s="699">
        <f t="shared" si="1187"/>
        <v>486</v>
      </c>
      <c r="AUZ407" s="699">
        <f t="shared" si="1204"/>
        <v>328.37</v>
      </c>
      <c r="AVA407" s="699">
        <f t="shared" si="1204"/>
        <v>0.27</v>
      </c>
      <c r="AVB407" s="699">
        <f t="shared" si="1188"/>
        <v>2031</v>
      </c>
      <c r="AVC407" s="699">
        <f t="shared" si="1189"/>
        <v>52</v>
      </c>
      <c r="AVD407" s="699">
        <f t="shared" si="1190"/>
        <v>1728</v>
      </c>
      <c r="AVE407" s="699">
        <f t="shared" si="1191"/>
        <v>73</v>
      </c>
      <c r="AVF407" s="699">
        <f t="shared" si="1192"/>
        <v>178</v>
      </c>
      <c r="AVG407" s="699">
        <f t="shared" si="1193"/>
        <v>812.4</v>
      </c>
      <c r="AVH407" s="699">
        <f t="shared" si="1194"/>
        <v>580</v>
      </c>
      <c r="AVI407" s="699">
        <f t="shared" si="1195"/>
        <v>54</v>
      </c>
      <c r="AVJ407" s="699">
        <f t="shared" si="1196"/>
        <v>77</v>
      </c>
      <c r="AVK407" s="699">
        <f t="shared" si="1197"/>
        <v>8</v>
      </c>
      <c r="AVL407" s="699">
        <f t="shared" si="1198"/>
        <v>39</v>
      </c>
      <c r="AVM407" s="699">
        <f t="shared" si="1199"/>
        <v>2195.5</v>
      </c>
      <c r="AVN407" s="699">
        <f t="shared" si="1200"/>
        <v>1686.25</v>
      </c>
      <c r="AVO407" s="699">
        <f t="shared" si="1201"/>
        <v>509.25</v>
      </c>
      <c r="AVP407" s="699">
        <f t="shared" si="1202"/>
        <v>0</v>
      </c>
      <c r="AVQ407" s="699">
        <f t="shared" si="1203"/>
        <v>24260.6</v>
      </c>
    </row>
    <row r="408" spans="1:108 1244:1265" ht="30" customHeight="1" x14ac:dyDescent="0.25">
      <c r="A408" s="643">
        <v>1</v>
      </c>
      <c r="B408" s="643">
        <v>10</v>
      </c>
      <c r="C408" s="664" t="s">
        <v>251</v>
      </c>
      <c r="D408" s="2"/>
      <c r="E408" s="101" t="s">
        <v>345</v>
      </c>
      <c r="F408" s="643" t="s">
        <v>38</v>
      </c>
      <c r="G408" s="643">
        <v>2</v>
      </c>
      <c r="H408" s="658" t="s">
        <v>10</v>
      </c>
      <c r="I408" s="643">
        <v>0</v>
      </c>
      <c r="J408" s="101" t="s">
        <v>363</v>
      </c>
      <c r="K408" s="643">
        <v>3</v>
      </c>
      <c r="L408" s="683" t="s">
        <v>350</v>
      </c>
      <c r="M408" s="11" t="s">
        <v>269</v>
      </c>
      <c r="N408" s="101" t="s">
        <v>387</v>
      </c>
      <c r="O408" s="643">
        <v>1</v>
      </c>
      <c r="P408" s="632">
        <v>48</v>
      </c>
      <c r="Q408" s="632">
        <v>48</v>
      </c>
      <c r="R408" s="632">
        <v>48</v>
      </c>
      <c r="S408" s="675">
        <f>SUMIF('Территориальный кк'!$A:$A,'2020'!$B408,'Территориальный кк'!D:D)</f>
        <v>1.3620000000000001</v>
      </c>
      <c r="T408" s="676">
        <f>SUMIF('Территориальный кк'!$A:$A,'2020'!$B408,'Территориальный кк'!E:E)</f>
        <v>2.9540000000000002</v>
      </c>
      <c r="U408" s="618">
        <f>SUMIFS(Нормативы!G:G,Нормативы!$B:$B,$G408,Нормативы!$D:$D,'2020'!$I408,Нормативы!$F:$F,'2020'!$K408)*O408</f>
        <v>70600</v>
      </c>
      <c r="V408" s="618">
        <f t="shared" si="1097"/>
        <v>54224.3</v>
      </c>
      <c r="W408" s="618">
        <f t="shared" si="1098"/>
        <v>16375.7</v>
      </c>
      <c r="X408" s="618">
        <f>SUMIFS(Нормативы!J:J,Нормативы!$B:$B,$G408,Нормативы!$D:$D,'2020'!$I408,Нормативы!$F:$F,'2020'!$K408)</f>
        <v>8860</v>
      </c>
      <c r="Y408" s="618">
        <f>SUMIFS(Нормативы!K:K,Нормативы!$B:$B,$G408,Нормативы!$D:$D,'2020'!$I408,Нормативы!$F:$F,'2020'!$K408)</f>
        <v>0</v>
      </c>
      <c r="Z408" s="618">
        <f>SUMIFS(Нормативы!L:L,Нормативы!$B:$B,$G408,Нормативы!$D:$D,'2020'!$I408,Нормативы!$F:$F,'2020'!$K408)</f>
        <v>8110</v>
      </c>
      <c r="AA408" s="618">
        <f t="shared" si="1099"/>
        <v>21610</v>
      </c>
      <c r="AB408" s="618">
        <f>SUMIFS(Нормативы!N:N,Нормативы!$B:$B,$G408,Нормативы!$D:$D,'2020'!$I408,Нормативы!$F:$F,'2020'!$K408)*O408</f>
        <v>520</v>
      </c>
      <c r="AC408" s="618">
        <f>SUMIFS(Нормативы!O:O,Нормативы!$B:$B,$G408,Нормативы!$D:$D,'2020'!$I408,Нормативы!$F:$F,'2020'!$K408)</f>
        <v>19720</v>
      </c>
      <c r="AD408" s="618">
        <f>SUMIFS(Нормативы!P:P,Нормативы!$B:$B,$G408,Нормативы!$D:$D,'2020'!$I408,Нормативы!$F:$F,'2020'!$K408)*O408</f>
        <v>400</v>
      </c>
      <c r="AE408" s="618">
        <f>SUMIFS(Нормативы!Q:Q,Нормативы!$B:$B,$G408,Нормативы!$D:$D,'2020'!$I408,Нормативы!$F:$F,'2020'!$K408)</f>
        <v>970</v>
      </c>
      <c r="AF408" s="618">
        <f>SUMIFS(Нормативы!R:R,Нормативы!$B:$B,$G408,Нормативы!$D:$D,'2020'!$I408,Нормативы!$F:$F,'2020'!$K408)</f>
        <v>2680</v>
      </c>
      <c r="AG408" s="618">
        <f>SUMIFS(Нормативы!S:S,Нормативы!$B:$B,$G408,Нормативы!$D:$D,'2020'!$I408,Нормативы!$F:$F,'2020'!$K408)</f>
        <v>5800</v>
      </c>
      <c r="AH408" s="618">
        <f>SUMIFS(Нормативы!T:T,Нормативы!$B:$B,$G408,Нормативы!$D:$D,'2020'!$I408,Нормативы!$F:$F,'2020'!$K408)</f>
        <v>540</v>
      </c>
      <c r="AI408" s="618">
        <f>SUMIFS(Нормативы!U:U,Нормативы!$B:$B,$G408,Нормативы!$D:$D,'2020'!$I408,Нормативы!$F:$F,'2020'!$K408)</f>
        <v>770</v>
      </c>
      <c r="AJ408" s="618">
        <f>SUMIFS(Нормативы!V:V,Нормативы!$B:$B,$G408,Нормативы!$D:$D,'2020'!$I408,Нормативы!$F:$F,'2020'!$K408)</f>
        <v>80</v>
      </c>
      <c r="AK408" s="618">
        <f>SUMIFS(Нормативы!W:W,Нормативы!$B:$B,$G408,Нормативы!$D:$D,'2020'!$I408,Нормативы!$F:$F,'2020'!$K408)</f>
        <v>330</v>
      </c>
      <c r="AL408" s="618">
        <f>SUMIFS(Нормативы!X:X,Нормативы!$B:$B,$G408,Нормативы!$D:$D,'2020'!$I408,Нормативы!$F:$F,'2020'!$K408)*O408</f>
        <v>16120</v>
      </c>
      <c r="AM408" s="618">
        <f t="shared" si="1100"/>
        <v>12381</v>
      </c>
      <c r="AN408" s="618">
        <f t="shared" si="1101"/>
        <v>3739</v>
      </c>
      <c r="AO408" s="618">
        <f>SUMIFS(Нормативы!AA:AA,Нормативы!$B:$B,$G408,Нормативы!$D:$D,'2020'!$I408,Нормативы!$F:$F,'2020'!$K408)</f>
        <v>3520</v>
      </c>
      <c r="AP408" s="619">
        <f t="shared" si="1102"/>
        <v>139020</v>
      </c>
      <c r="AQ408" s="413">
        <f t="shared" si="1040"/>
        <v>3388800</v>
      </c>
      <c r="AR408" s="618">
        <f t="shared" si="1103"/>
        <v>2602765</v>
      </c>
      <c r="AS408" s="618">
        <f t="shared" si="1104"/>
        <v>786035</v>
      </c>
      <c r="AT408" s="616">
        <f t="shared" si="1041"/>
        <v>425280</v>
      </c>
      <c r="AU408" s="616">
        <f t="shared" si="1042"/>
        <v>0</v>
      </c>
      <c r="AV408" s="616">
        <f t="shared" si="1043"/>
        <v>389280</v>
      </c>
      <c r="AW408" s="616">
        <f t="shared" si="1044"/>
        <v>1037280</v>
      </c>
      <c r="AX408" s="616">
        <f t="shared" si="1045"/>
        <v>24960</v>
      </c>
      <c r="AY408" s="616">
        <f t="shared" si="1046"/>
        <v>946560</v>
      </c>
      <c r="AZ408" s="616">
        <f t="shared" si="1047"/>
        <v>19200</v>
      </c>
      <c r="BA408" s="616">
        <f t="shared" si="1048"/>
        <v>46560</v>
      </c>
      <c r="BB408" s="616">
        <f t="shared" si="1049"/>
        <v>128640</v>
      </c>
      <c r="BC408" s="616">
        <f t="shared" si="1050"/>
        <v>278400</v>
      </c>
      <c r="BD408" s="616">
        <f t="shared" si="1051"/>
        <v>25920</v>
      </c>
      <c r="BE408" s="616">
        <f t="shared" si="1052"/>
        <v>36960</v>
      </c>
      <c r="BF408" s="616">
        <f t="shared" si="1053"/>
        <v>3840</v>
      </c>
      <c r="BG408" s="616">
        <f t="shared" si="1054"/>
        <v>15840</v>
      </c>
      <c r="BH408" s="616">
        <f t="shared" si="1055"/>
        <v>773760</v>
      </c>
      <c r="BI408" s="618">
        <f t="shared" si="1105"/>
        <v>594285.69999999995</v>
      </c>
      <c r="BJ408" s="618">
        <f t="shared" si="1106"/>
        <v>179474.3</v>
      </c>
      <c r="BK408" s="616">
        <f t="shared" si="1056"/>
        <v>168960</v>
      </c>
      <c r="BL408" s="620">
        <f t="shared" si="1057"/>
        <v>6672960</v>
      </c>
      <c r="BM408" s="616">
        <f t="shared" si="1058"/>
        <v>4615546</v>
      </c>
      <c r="BN408" s="618">
        <f t="shared" si="1059"/>
        <v>3544966.2</v>
      </c>
      <c r="BO408" s="618">
        <f t="shared" si="1060"/>
        <v>1070579.8</v>
      </c>
      <c r="BP408" s="616">
        <f t="shared" si="1107"/>
        <v>425280</v>
      </c>
      <c r="BQ408" s="616">
        <f t="shared" si="1108"/>
        <v>0</v>
      </c>
      <c r="BR408" s="616">
        <f t="shared" si="1109"/>
        <v>389280</v>
      </c>
      <c r="BS408" s="616">
        <f t="shared" si="1061"/>
        <v>1037280</v>
      </c>
      <c r="BT408" s="616">
        <f t="shared" si="1062"/>
        <v>24960</v>
      </c>
      <c r="BU408" s="616">
        <f t="shared" si="1063"/>
        <v>946560</v>
      </c>
      <c r="BV408" s="616">
        <f t="shared" si="1064"/>
        <v>19200</v>
      </c>
      <c r="BW408" s="616">
        <f t="shared" si="1065"/>
        <v>46560</v>
      </c>
      <c r="BX408" s="616">
        <f t="shared" si="1066"/>
        <v>380003</v>
      </c>
      <c r="BY408" s="616">
        <f t="shared" si="1067"/>
        <v>278400</v>
      </c>
      <c r="BZ408" s="616">
        <f t="shared" si="1068"/>
        <v>25920</v>
      </c>
      <c r="CA408" s="616">
        <f t="shared" si="1069"/>
        <v>36960</v>
      </c>
      <c r="CB408" s="616">
        <f t="shared" si="1070"/>
        <v>3840</v>
      </c>
      <c r="CC408" s="616">
        <f t="shared" si="1071"/>
        <v>15840</v>
      </c>
      <c r="CD408" s="616">
        <f t="shared" si="1072"/>
        <v>1053861</v>
      </c>
      <c r="CE408" s="618">
        <f t="shared" si="1110"/>
        <v>809417.1</v>
      </c>
      <c r="CF408" s="618">
        <f t="shared" si="1111"/>
        <v>244443.9</v>
      </c>
      <c r="CG408" s="616">
        <f t="shared" si="1073"/>
        <v>168960</v>
      </c>
      <c r="CH408" s="621">
        <f t="shared" si="1074"/>
        <v>8431170</v>
      </c>
      <c r="CI408" s="88">
        <f t="shared" si="1075"/>
        <v>96157.208299999998</v>
      </c>
      <c r="CJ408" s="90">
        <f t="shared" si="1076"/>
        <v>73853.462499999994</v>
      </c>
      <c r="CK408" s="90">
        <f t="shared" si="1077"/>
        <v>22303.745800000001</v>
      </c>
      <c r="CL408" s="88">
        <f t="shared" si="1078"/>
        <v>8860</v>
      </c>
      <c r="CM408" s="88">
        <f t="shared" si="1079"/>
        <v>0</v>
      </c>
      <c r="CN408" s="88">
        <f t="shared" si="1080"/>
        <v>8110</v>
      </c>
      <c r="CO408" s="88">
        <f t="shared" si="1081"/>
        <v>21610</v>
      </c>
      <c r="CP408" s="88">
        <f t="shared" si="1082"/>
        <v>520</v>
      </c>
      <c r="CQ408" s="88">
        <f t="shared" si="1083"/>
        <v>19720</v>
      </c>
      <c r="CR408" s="88">
        <f t="shared" si="1084"/>
        <v>400</v>
      </c>
      <c r="CS408" s="88">
        <f t="shared" si="1085"/>
        <v>970</v>
      </c>
      <c r="CT408" s="88">
        <f t="shared" si="1086"/>
        <v>7916.7291999999998</v>
      </c>
      <c r="CU408" s="88">
        <f t="shared" si="1087"/>
        <v>5800</v>
      </c>
      <c r="CV408" s="88">
        <f t="shared" si="1088"/>
        <v>540</v>
      </c>
      <c r="CW408" s="88">
        <f t="shared" si="1089"/>
        <v>770</v>
      </c>
      <c r="CX408" s="88">
        <f t="shared" si="1090"/>
        <v>80</v>
      </c>
      <c r="CY408" s="88">
        <f t="shared" si="1091"/>
        <v>330</v>
      </c>
      <c r="CZ408" s="88">
        <f t="shared" si="1092"/>
        <v>21955.4375</v>
      </c>
      <c r="DA408" s="90">
        <f t="shared" si="1093"/>
        <v>16862.856299999999</v>
      </c>
      <c r="DB408" s="90">
        <f t="shared" si="1094"/>
        <v>5092.5812999999998</v>
      </c>
      <c r="DC408" s="88">
        <f t="shared" si="1095"/>
        <v>3520</v>
      </c>
      <c r="DD408" s="88">
        <f t="shared" si="1096"/>
        <v>175649.375</v>
      </c>
      <c r="AUV408" s="699">
        <f t="shared" si="1184"/>
        <v>96157.21</v>
      </c>
      <c r="AUW408" s="699">
        <f t="shared" si="1185"/>
        <v>73853.460000000006</v>
      </c>
      <c r="AUX408" s="699">
        <f t="shared" si="1186"/>
        <v>22303.75</v>
      </c>
      <c r="AUY408" s="699">
        <f t="shared" si="1187"/>
        <v>8860</v>
      </c>
      <c r="AUZ408" s="699">
        <f t="shared" si="1204"/>
        <v>0</v>
      </c>
      <c r="AVA408" s="699">
        <f t="shared" si="1204"/>
        <v>5.51</v>
      </c>
      <c r="AVB408" s="699">
        <f t="shared" si="1188"/>
        <v>21610</v>
      </c>
      <c r="AVC408" s="699">
        <f t="shared" si="1189"/>
        <v>520</v>
      </c>
      <c r="AVD408" s="699">
        <f t="shared" si="1190"/>
        <v>19720</v>
      </c>
      <c r="AVE408" s="699">
        <f t="shared" si="1191"/>
        <v>400</v>
      </c>
      <c r="AVF408" s="699">
        <f t="shared" si="1192"/>
        <v>970</v>
      </c>
      <c r="AVG408" s="699">
        <f t="shared" si="1193"/>
        <v>7916.73</v>
      </c>
      <c r="AVH408" s="699">
        <f t="shared" si="1194"/>
        <v>5800</v>
      </c>
      <c r="AVI408" s="699">
        <f t="shared" si="1195"/>
        <v>540</v>
      </c>
      <c r="AVJ408" s="699">
        <f t="shared" si="1196"/>
        <v>770</v>
      </c>
      <c r="AVK408" s="699">
        <f t="shared" si="1197"/>
        <v>80</v>
      </c>
      <c r="AVL408" s="699">
        <f t="shared" si="1198"/>
        <v>330</v>
      </c>
      <c r="AVM408" s="699">
        <f t="shared" si="1199"/>
        <v>21955.439999999999</v>
      </c>
      <c r="AVN408" s="699">
        <f t="shared" si="1200"/>
        <v>16862.86</v>
      </c>
      <c r="AVO408" s="699">
        <f t="shared" si="1201"/>
        <v>5092.58</v>
      </c>
      <c r="AVP408" s="699">
        <f t="shared" si="1202"/>
        <v>3520</v>
      </c>
      <c r="AVQ408" s="699">
        <f t="shared" si="1203"/>
        <v>175649.38</v>
      </c>
    </row>
    <row r="409" spans="1:108 1244:1265" ht="30" customHeight="1" x14ac:dyDescent="0.25">
      <c r="A409" s="643">
        <v>1</v>
      </c>
      <c r="B409" s="643">
        <v>10</v>
      </c>
      <c r="C409" s="664" t="s">
        <v>251</v>
      </c>
      <c r="D409" s="2"/>
      <c r="E409" s="101" t="s">
        <v>345</v>
      </c>
      <c r="F409" s="643" t="s">
        <v>38</v>
      </c>
      <c r="G409" s="643">
        <v>2</v>
      </c>
      <c r="H409" s="658" t="s">
        <v>10</v>
      </c>
      <c r="I409" s="643">
        <v>0</v>
      </c>
      <c r="J409" s="101" t="s">
        <v>363</v>
      </c>
      <c r="K409" s="643">
        <v>3</v>
      </c>
      <c r="L409" s="683" t="s">
        <v>350</v>
      </c>
      <c r="M409" s="11" t="s">
        <v>299</v>
      </c>
      <c r="N409" s="101" t="s">
        <v>401</v>
      </c>
      <c r="O409" s="643">
        <v>2</v>
      </c>
      <c r="P409" s="632">
        <v>1</v>
      </c>
      <c r="Q409" s="632">
        <v>1</v>
      </c>
      <c r="R409" s="632">
        <v>1</v>
      </c>
      <c r="S409" s="675">
        <f>SUMIF('Территориальный кк'!$A:$A,'2020'!$B409,'Территориальный кк'!D:D)</f>
        <v>1.3620000000000001</v>
      </c>
      <c r="T409" s="676">
        <f>SUMIF('Территориальный кк'!$A:$A,'2020'!$B409,'Территориальный кк'!E:E)</f>
        <v>2.9540000000000002</v>
      </c>
      <c r="U409" s="618">
        <f>SUMIFS(Нормативы!G:G,Нормативы!$B:$B,$G409,Нормативы!$D:$D,'2020'!$I409,Нормативы!$F:$F,'2020'!$K409)*O409</f>
        <v>141200</v>
      </c>
      <c r="V409" s="618">
        <f t="shared" si="1097"/>
        <v>108448.5</v>
      </c>
      <c r="W409" s="618">
        <f t="shared" si="1098"/>
        <v>32751.5</v>
      </c>
      <c r="X409" s="618">
        <f>SUMIFS(Нормативы!J:J,Нормативы!$B:$B,$G409,Нормативы!$D:$D,'2020'!$I409,Нормативы!$F:$F,'2020'!$K409)</f>
        <v>8860</v>
      </c>
      <c r="Y409" s="618">
        <f>SUMIFS(Нормативы!K:K,Нормативы!$B:$B,$G409,Нормативы!$D:$D,'2020'!$I409,Нормативы!$F:$F,'2020'!$K409)</f>
        <v>0</v>
      </c>
      <c r="Z409" s="618">
        <f>SUMIFS(Нормативы!L:L,Нормативы!$B:$B,$G409,Нормативы!$D:$D,'2020'!$I409,Нормативы!$F:$F,'2020'!$K409)</f>
        <v>8110</v>
      </c>
      <c r="AA409" s="618">
        <f t="shared" si="1099"/>
        <v>22530</v>
      </c>
      <c r="AB409" s="618">
        <f>SUMIFS(Нормативы!N:N,Нормативы!$B:$B,$G409,Нормативы!$D:$D,'2020'!$I409,Нормативы!$F:$F,'2020'!$K409)*O409</f>
        <v>1040</v>
      </c>
      <c r="AC409" s="618">
        <f>SUMIFS(Нормативы!O:O,Нормативы!$B:$B,$G409,Нормативы!$D:$D,'2020'!$I409,Нормативы!$F:$F,'2020'!$K409)</f>
        <v>19720</v>
      </c>
      <c r="AD409" s="618">
        <f>SUMIFS(Нормативы!P:P,Нормативы!$B:$B,$G409,Нормативы!$D:$D,'2020'!$I409,Нормативы!$F:$F,'2020'!$K409)*O409</f>
        <v>800</v>
      </c>
      <c r="AE409" s="618">
        <f>SUMIFS(Нормативы!Q:Q,Нормативы!$B:$B,$G409,Нормативы!$D:$D,'2020'!$I409,Нормативы!$F:$F,'2020'!$K409)</f>
        <v>970</v>
      </c>
      <c r="AF409" s="618">
        <f>SUMIFS(Нормативы!R:R,Нормативы!$B:$B,$G409,Нормативы!$D:$D,'2020'!$I409,Нормативы!$F:$F,'2020'!$K409)</f>
        <v>2680</v>
      </c>
      <c r="AG409" s="618">
        <f>SUMIFS(Нормативы!S:S,Нормативы!$B:$B,$G409,Нормативы!$D:$D,'2020'!$I409,Нормативы!$F:$F,'2020'!$K409)</f>
        <v>5800</v>
      </c>
      <c r="AH409" s="618">
        <f>SUMIFS(Нормативы!T:T,Нормативы!$B:$B,$G409,Нормативы!$D:$D,'2020'!$I409,Нормативы!$F:$F,'2020'!$K409)</f>
        <v>540</v>
      </c>
      <c r="AI409" s="618">
        <f>SUMIFS(Нормативы!U:U,Нормативы!$B:$B,$G409,Нормативы!$D:$D,'2020'!$I409,Нормативы!$F:$F,'2020'!$K409)</f>
        <v>770</v>
      </c>
      <c r="AJ409" s="618">
        <f>SUMIFS(Нормативы!V:V,Нормативы!$B:$B,$G409,Нормативы!$D:$D,'2020'!$I409,Нормативы!$F:$F,'2020'!$K409)</f>
        <v>80</v>
      </c>
      <c r="AK409" s="618">
        <f>SUMIFS(Нормативы!W:W,Нормативы!$B:$B,$G409,Нормативы!$D:$D,'2020'!$I409,Нормативы!$F:$F,'2020'!$K409)</f>
        <v>330</v>
      </c>
      <c r="AL409" s="618">
        <f>SUMIFS(Нормативы!X:X,Нормативы!$B:$B,$G409,Нормативы!$D:$D,'2020'!$I409,Нормативы!$F:$F,'2020'!$K409)*O409</f>
        <v>32240</v>
      </c>
      <c r="AM409" s="618">
        <f t="shared" si="1100"/>
        <v>24761.9</v>
      </c>
      <c r="AN409" s="618">
        <f t="shared" si="1101"/>
        <v>7478.1</v>
      </c>
      <c r="AO409" s="618">
        <f>SUMIFS(Нормативы!AA:AA,Нормативы!$B:$B,$G409,Нормативы!$D:$D,'2020'!$I409,Нормативы!$F:$F,'2020'!$K409)</f>
        <v>3520</v>
      </c>
      <c r="AP409" s="619">
        <f t="shared" si="1102"/>
        <v>226660</v>
      </c>
      <c r="AQ409" s="413">
        <f t="shared" si="1040"/>
        <v>141200</v>
      </c>
      <c r="AR409" s="618">
        <f t="shared" si="1103"/>
        <v>108448.5</v>
      </c>
      <c r="AS409" s="618">
        <f t="shared" si="1104"/>
        <v>32751.5</v>
      </c>
      <c r="AT409" s="616">
        <f t="shared" si="1041"/>
        <v>8860</v>
      </c>
      <c r="AU409" s="616">
        <f t="shared" si="1042"/>
        <v>0</v>
      </c>
      <c r="AV409" s="616">
        <f t="shared" si="1043"/>
        <v>8110</v>
      </c>
      <c r="AW409" s="616">
        <f t="shared" si="1044"/>
        <v>22530</v>
      </c>
      <c r="AX409" s="616">
        <f t="shared" si="1045"/>
        <v>1040</v>
      </c>
      <c r="AY409" s="616">
        <f t="shared" si="1046"/>
        <v>19720</v>
      </c>
      <c r="AZ409" s="616">
        <f t="shared" si="1047"/>
        <v>800</v>
      </c>
      <c r="BA409" s="616">
        <f t="shared" si="1048"/>
        <v>970</v>
      </c>
      <c r="BB409" s="616">
        <f t="shared" si="1049"/>
        <v>2680</v>
      </c>
      <c r="BC409" s="616">
        <f t="shared" si="1050"/>
        <v>5800</v>
      </c>
      <c r="BD409" s="616">
        <f t="shared" si="1051"/>
        <v>540</v>
      </c>
      <c r="BE409" s="616">
        <f t="shared" si="1052"/>
        <v>770</v>
      </c>
      <c r="BF409" s="616">
        <f t="shared" si="1053"/>
        <v>80</v>
      </c>
      <c r="BG409" s="616">
        <f t="shared" si="1054"/>
        <v>330</v>
      </c>
      <c r="BH409" s="616">
        <f t="shared" si="1055"/>
        <v>32240</v>
      </c>
      <c r="BI409" s="618">
        <f t="shared" si="1105"/>
        <v>24761.9</v>
      </c>
      <c r="BJ409" s="618">
        <f t="shared" si="1106"/>
        <v>7478.1</v>
      </c>
      <c r="BK409" s="616">
        <f t="shared" si="1056"/>
        <v>3520</v>
      </c>
      <c r="BL409" s="620">
        <f t="shared" si="1057"/>
        <v>226660</v>
      </c>
      <c r="BM409" s="616">
        <f t="shared" si="1058"/>
        <v>192314</v>
      </c>
      <c r="BN409" s="618">
        <f t="shared" si="1059"/>
        <v>147706.6</v>
      </c>
      <c r="BO409" s="618">
        <f t="shared" si="1060"/>
        <v>44607.4</v>
      </c>
      <c r="BP409" s="616">
        <f t="shared" si="1107"/>
        <v>8860</v>
      </c>
      <c r="BQ409" s="616">
        <f t="shared" si="1108"/>
        <v>0</v>
      </c>
      <c r="BR409" s="616">
        <f t="shared" si="1109"/>
        <v>8110</v>
      </c>
      <c r="BS409" s="616">
        <f t="shared" si="1061"/>
        <v>22530</v>
      </c>
      <c r="BT409" s="616">
        <f t="shared" si="1062"/>
        <v>1040</v>
      </c>
      <c r="BU409" s="616">
        <f t="shared" si="1063"/>
        <v>19720</v>
      </c>
      <c r="BV409" s="616">
        <f t="shared" si="1064"/>
        <v>800</v>
      </c>
      <c r="BW409" s="616">
        <f t="shared" si="1065"/>
        <v>970</v>
      </c>
      <c r="BX409" s="616">
        <f t="shared" si="1066"/>
        <v>7917</v>
      </c>
      <c r="BY409" s="616">
        <f t="shared" si="1067"/>
        <v>5800</v>
      </c>
      <c r="BZ409" s="616">
        <f t="shared" si="1068"/>
        <v>540</v>
      </c>
      <c r="CA409" s="616">
        <f t="shared" si="1069"/>
        <v>770</v>
      </c>
      <c r="CB409" s="616">
        <f t="shared" si="1070"/>
        <v>80</v>
      </c>
      <c r="CC409" s="616">
        <f t="shared" si="1071"/>
        <v>330</v>
      </c>
      <c r="CD409" s="616">
        <f t="shared" si="1072"/>
        <v>43911</v>
      </c>
      <c r="CE409" s="618">
        <f t="shared" si="1110"/>
        <v>33725.800000000003</v>
      </c>
      <c r="CF409" s="618">
        <f t="shared" si="1111"/>
        <v>10185.200000000001</v>
      </c>
      <c r="CG409" s="616">
        <f t="shared" si="1073"/>
        <v>3520</v>
      </c>
      <c r="CH409" s="621">
        <f t="shared" si="1074"/>
        <v>294682</v>
      </c>
      <c r="CI409" s="88">
        <f t="shared" si="1075"/>
        <v>192314</v>
      </c>
      <c r="CJ409" s="90">
        <f t="shared" si="1076"/>
        <v>147706.6</v>
      </c>
      <c r="CK409" s="90">
        <f t="shared" si="1077"/>
        <v>44607.4</v>
      </c>
      <c r="CL409" s="88">
        <f t="shared" si="1078"/>
        <v>8860</v>
      </c>
      <c r="CM409" s="88">
        <f t="shared" si="1079"/>
        <v>0</v>
      </c>
      <c r="CN409" s="88">
        <f t="shared" si="1080"/>
        <v>8110</v>
      </c>
      <c r="CO409" s="88">
        <f t="shared" si="1081"/>
        <v>22530</v>
      </c>
      <c r="CP409" s="88">
        <f t="shared" si="1082"/>
        <v>1040</v>
      </c>
      <c r="CQ409" s="88">
        <f t="shared" si="1083"/>
        <v>19720</v>
      </c>
      <c r="CR409" s="88">
        <f t="shared" si="1084"/>
        <v>800</v>
      </c>
      <c r="CS409" s="88">
        <f t="shared" si="1085"/>
        <v>970</v>
      </c>
      <c r="CT409" s="88">
        <f t="shared" si="1086"/>
        <v>7917</v>
      </c>
      <c r="CU409" s="88">
        <f t="shared" si="1087"/>
        <v>5800</v>
      </c>
      <c r="CV409" s="88">
        <f t="shared" si="1088"/>
        <v>540</v>
      </c>
      <c r="CW409" s="88">
        <f t="shared" si="1089"/>
        <v>770</v>
      </c>
      <c r="CX409" s="88">
        <f t="shared" si="1090"/>
        <v>80</v>
      </c>
      <c r="CY409" s="88">
        <f t="shared" si="1091"/>
        <v>330</v>
      </c>
      <c r="CZ409" s="88">
        <f t="shared" si="1092"/>
        <v>43911</v>
      </c>
      <c r="DA409" s="90">
        <f t="shared" si="1093"/>
        <v>33725.800000000003</v>
      </c>
      <c r="DB409" s="90">
        <f t="shared" si="1094"/>
        <v>10185.200000000001</v>
      </c>
      <c r="DC409" s="88">
        <f t="shared" si="1095"/>
        <v>3520</v>
      </c>
      <c r="DD409" s="88">
        <f t="shared" si="1096"/>
        <v>294682</v>
      </c>
      <c r="AUV409" s="699">
        <f t="shared" si="1184"/>
        <v>192314</v>
      </c>
      <c r="AUW409" s="699">
        <f t="shared" si="1185"/>
        <v>147706.60999999999</v>
      </c>
      <c r="AUX409" s="699">
        <f t="shared" si="1186"/>
        <v>44607.39</v>
      </c>
      <c r="AUY409" s="699">
        <f t="shared" si="1187"/>
        <v>8860</v>
      </c>
      <c r="AUZ409" s="699">
        <f t="shared" si="1204"/>
        <v>0</v>
      </c>
      <c r="AVA409" s="699">
        <f t="shared" si="1204"/>
        <v>0.06</v>
      </c>
      <c r="AVB409" s="699">
        <f t="shared" si="1188"/>
        <v>22530</v>
      </c>
      <c r="AVC409" s="699">
        <f t="shared" si="1189"/>
        <v>1040</v>
      </c>
      <c r="AVD409" s="699">
        <f t="shared" si="1190"/>
        <v>19720</v>
      </c>
      <c r="AVE409" s="699">
        <f t="shared" si="1191"/>
        <v>800</v>
      </c>
      <c r="AVF409" s="699">
        <f t="shared" si="1192"/>
        <v>970</v>
      </c>
      <c r="AVG409" s="699">
        <f t="shared" si="1193"/>
        <v>7917</v>
      </c>
      <c r="AVH409" s="699">
        <f t="shared" si="1194"/>
        <v>5800</v>
      </c>
      <c r="AVI409" s="699">
        <f t="shared" si="1195"/>
        <v>540</v>
      </c>
      <c r="AVJ409" s="699">
        <f t="shared" si="1196"/>
        <v>770</v>
      </c>
      <c r="AVK409" s="699">
        <f t="shared" si="1197"/>
        <v>80</v>
      </c>
      <c r="AVL409" s="699">
        <f t="shared" si="1198"/>
        <v>330</v>
      </c>
      <c r="AVM409" s="699">
        <f t="shared" si="1199"/>
        <v>43911</v>
      </c>
      <c r="AVN409" s="699">
        <f t="shared" si="1200"/>
        <v>33725.81</v>
      </c>
      <c r="AVO409" s="699">
        <f t="shared" si="1201"/>
        <v>10185.19</v>
      </c>
      <c r="AVP409" s="699">
        <f t="shared" si="1202"/>
        <v>3520</v>
      </c>
      <c r="AVQ409" s="699">
        <f t="shared" si="1203"/>
        <v>294682</v>
      </c>
    </row>
    <row r="410" spans="1:108 1244:1265" ht="30" customHeight="1" x14ac:dyDescent="0.25">
      <c r="A410" s="643">
        <v>1</v>
      </c>
      <c r="B410" s="643">
        <v>10</v>
      </c>
      <c r="C410" s="664" t="s">
        <v>251</v>
      </c>
      <c r="D410" s="2"/>
      <c r="E410" s="101" t="s">
        <v>345</v>
      </c>
      <c r="F410" s="643" t="s">
        <v>38</v>
      </c>
      <c r="G410" s="643">
        <v>2</v>
      </c>
      <c r="H410" s="658" t="s">
        <v>8</v>
      </c>
      <c r="I410" s="643">
        <v>3</v>
      </c>
      <c r="J410" s="101" t="s">
        <v>363</v>
      </c>
      <c r="K410" s="643">
        <v>3</v>
      </c>
      <c r="L410" s="683" t="s">
        <v>350</v>
      </c>
      <c r="M410" s="11" t="s">
        <v>300</v>
      </c>
      <c r="N410" s="101" t="s">
        <v>387</v>
      </c>
      <c r="O410" s="643">
        <v>1</v>
      </c>
      <c r="P410" s="632">
        <v>10</v>
      </c>
      <c r="Q410" s="632">
        <v>10</v>
      </c>
      <c r="R410" s="632">
        <v>10</v>
      </c>
      <c r="S410" s="675">
        <f>SUMIF('Территориальный кк'!$A:$A,'2020'!$B410,'Территориальный кк'!D:D)</f>
        <v>1.3620000000000001</v>
      </c>
      <c r="T410" s="676">
        <f>SUMIF('Территориальный кк'!$A:$A,'2020'!$B410,'Территориальный кк'!E:E)</f>
        <v>2.9540000000000002</v>
      </c>
      <c r="U410" s="618">
        <f>SUMIFS(Нормативы!G:G,Нормативы!$B:$B,$G410,Нормативы!$D:$D,'2020'!$I410,Нормативы!$F:$F,'2020'!$K410)*O410</f>
        <v>12944</v>
      </c>
      <c r="V410" s="618">
        <f t="shared" si="1097"/>
        <v>9941.6</v>
      </c>
      <c r="W410" s="618">
        <f t="shared" si="1098"/>
        <v>3002.4</v>
      </c>
      <c r="X410" s="618">
        <f>SUMIFS(Нормативы!J:J,Нормативы!$B:$B,$G410,Нормативы!$D:$D,'2020'!$I410,Нормативы!$F:$F,'2020'!$K410)</f>
        <v>486</v>
      </c>
      <c r="Y410" s="618">
        <f>SUMIFS(Нормативы!K:K,Нормативы!$B:$B,$G410,Нормативы!$D:$D,'2020'!$I410,Нормативы!$F:$F,'2020'!$K410)</f>
        <v>97</v>
      </c>
      <c r="Z410" s="618">
        <f>SUMIFS(Нормативы!L:L,Нормативы!$B:$B,$G410,Нормативы!$D:$D,'2020'!$I410,Нормативы!$F:$F,'2020'!$K410)</f>
        <v>348</v>
      </c>
      <c r="AA410" s="618">
        <f t="shared" si="1099"/>
        <v>2031</v>
      </c>
      <c r="AB410" s="618">
        <f>SUMIFS(Нормативы!N:N,Нормативы!$B:$B,$G410,Нормативы!$D:$D,'2020'!$I410,Нормативы!$F:$F,'2020'!$K410)*O410</f>
        <v>52</v>
      </c>
      <c r="AC410" s="618">
        <f>SUMIFS(Нормативы!O:O,Нормативы!$B:$B,$G410,Нормативы!$D:$D,'2020'!$I410,Нормативы!$F:$F,'2020'!$K410)</f>
        <v>1728</v>
      </c>
      <c r="AD410" s="618">
        <f>SUMIFS(Нормативы!P:P,Нормативы!$B:$B,$G410,Нормативы!$D:$D,'2020'!$I410,Нормативы!$F:$F,'2020'!$K410)*O410</f>
        <v>73</v>
      </c>
      <c r="AE410" s="618">
        <f>SUMIFS(Нормативы!Q:Q,Нормативы!$B:$B,$G410,Нормативы!$D:$D,'2020'!$I410,Нормативы!$F:$F,'2020'!$K410)</f>
        <v>178</v>
      </c>
      <c r="AF410" s="618">
        <f>SUMIFS(Нормативы!R:R,Нормативы!$B:$B,$G410,Нормативы!$D:$D,'2020'!$I410,Нормативы!$F:$F,'2020'!$K410)</f>
        <v>275</v>
      </c>
      <c r="AG410" s="618">
        <f>SUMIFS(Нормативы!S:S,Нормативы!$B:$B,$G410,Нормативы!$D:$D,'2020'!$I410,Нормативы!$F:$F,'2020'!$K410)</f>
        <v>580</v>
      </c>
      <c r="AH410" s="618">
        <f>SUMIFS(Нормативы!T:T,Нормативы!$B:$B,$G410,Нормативы!$D:$D,'2020'!$I410,Нормативы!$F:$F,'2020'!$K410)</f>
        <v>54</v>
      </c>
      <c r="AI410" s="618">
        <f>SUMIFS(Нормативы!U:U,Нормативы!$B:$B,$G410,Нормативы!$D:$D,'2020'!$I410,Нормативы!$F:$F,'2020'!$K410)</f>
        <v>77</v>
      </c>
      <c r="AJ410" s="618">
        <f>SUMIFS(Нормативы!V:V,Нормативы!$B:$B,$G410,Нормативы!$D:$D,'2020'!$I410,Нормативы!$F:$F,'2020'!$K410)</f>
        <v>8</v>
      </c>
      <c r="AK410" s="618">
        <f>SUMIFS(Нормативы!W:W,Нормативы!$B:$B,$G410,Нормативы!$D:$D,'2020'!$I410,Нормативы!$F:$F,'2020'!$K410)</f>
        <v>39</v>
      </c>
      <c r="AL410" s="618">
        <f>SUMIFS(Нормативы!X:X,Нормативы!$B:$B,$G410,Нормативы!$D:$D,'2020'!$I410,Нормативы!$F:$F,'2020'!$K410)*O410</f>
        <v>1612</v>
      </c>
      <c r="AM410" s="618">
        <f t="shared" si="1100"/>
        <v>1238.0999999999999</v>
      </c>
      <c r="AN410" s="618">
        <f t="shared" si="1101"/>
        <v>373.9</v>
      </c>
      <c r="AO410" s="618">
        <f>SUMIFS(Нормативы!AA:AA,Нормативы!$B:$B,$G410,Нормативы!$D:$D,'2020'!$I410,Нормативы!$F:$F,'2020'!$K410)</f>
        <v>0</v>
      </c>
      <c r="AP410" s="619">
        <f t="shared" si="1102"/>
        <v>18454</v>
      </c>
      <c r="AQ410" s="413">
        <f t="shared" si="1040"/>
        <v>129440</v>
      </c>
      <c r="AR410" s="618">
        <f t="shared" si="1103"/>
        <v>99416.3</v>
      </c>
      <c r="AS410" s="618">
        <f t="shared" si="1104"/>
        <v>30023.7</v>
      </c>
      <c r="AT410" s="616">
        <f t="shared" si="1041"/>
        <v>4860</v>
      </c>
      <c r="AU410" s="616">
        <f t="shared" si="1042"/>
        <v>970</v>
      </c>
      <c r="AV410" s="616">
        <f t="shared" si="1043"/>
        <v>3480</v>
      </c>
      <c r="AW410" s="616">
        <f t="shared" si="1044"/>
        <v>20310</v>
      </c>
      <c r="AX410" s="616">
        <f t="shared" si="1045"/>
        <v>520</v>
      </c>
      <c r="AY410" s="616">
        <f t="shared" si="1046"/>
        <v>17280</v>
      </c>
      <c r="AZ410" s="616">
        <f t="shared" si="1047"/>
        <v>730</v>
      </c>
      <c r="BA410" s="616">
        <f t="shared" si="1048"/>
        <v>1780</v>
      </c>
      <c r="BB410" s="616">
        <f t="shared" si="1049"/>
        <v>2750</v>
      </c>
      <c r="BC410" s="616">
        <f t="shared" si="1050"/>
        <v>5800</v>
      </c>
      <c r="BD410" s="616">
        <f t="shared" si="1051"/>
        <v>540</v>
      </c>
      <c r="BE410" s="616">
        <f t="shared" si="1052"/>
        <v>770</v>
      </c>
      <c r="BF410" s="616">
        <f t="shared" si="1053"/>
        <v>80</v>
      </c>
      <c r="BG410" s="616">
        <f t="shared" si="1054"/>
        <v>390</v>
      </c>
      <c r="BH410" s="616">
        <f t="shared" si="1055"/>
        <v>16120</v>
      </c>
      <c r="BI410" s="618">
        <f t="shared" si="1105"/>
        <v>12381</v>
      </c>
      <c r="BJ410" s="618">
        <f t="shared" si="1106"/>
        <v>3739</v>
      </c>
      <c r="BK410" s="616">
        <f t="shared" si="1056"/>
        <v>0</v>
      </c>
      <c r="BL410" s="620">
        <f t="shared" si="1057"/>
        <v>184540</v>
      </c>
      <c r="BM410" s="616">
        <f t="shared" si="1058"/>
        <v>176297</v>
      </c>
      <c r="BN410" s="618">
        <f t="shared" si="1059"/>
        <v>135404.79999999999</v>
      </c>
      <c r="BO410" s="618">
        <f t="shared" si="1060"/>
        <v>40892.199999999997</v>
      </c>
      <c r="BP410" s="616">
        <f t="shared" si="1107"/>
        <v>4860</v>
      </c>
      <c r="BQ410" s="616">
        <f t="shared" si="1108"/>
        <v>970</v>
      </c>
      <c r="BR410" s="616">
        <f t="shared" si="1109"/>
        <v>3480</v>
      </c>
      <c r="BS410" s="616">
        <f t="shared" si="1061"/>
        <v>20310</v>
      </c>
      <c r="BT410" s="616">
        <f t="shared" si="1062"/>
        <v>520</v>
      </c>
      <c r="BU410" s="616">
        <f t="shared" si="1063"/>
        <v>17280</v>
      </c>
      <c r="BV410" s="616">
        <f t="shared" si="1064"/>
        <v>730</v>
      </c>
      <c r="BW410" s="616">
        <f t="shared" si="1065"/>
        <v>1780</v>
      </c>
      <c r="BX410" s="616">
        <f t="shared" si="1066"/>
        <v>8124</v>
      </c>
      <c r="BY410" s="616">
        <f t="shared" si="1067"/>
        <v>5800</v>
      </c>
      <c r="BZ410" s="616">
        <f t="shared" si="1068"/>
        <v>540</v>
      </c>
      <c r="CA410" s="616">
        <f t="shared" si="1069"/>
        <v>770</v>
      </c>
      <c r="CB410" s="616">
        <f t="shared" si="1070"/>
        <v>80</v>
      </c>
      <c r="CC410" s="616">
        <f t="shared" si="1071"/>
        <v>390</v>
      </c>
      <c r="CD410" s="616">
        <f t="shared" si="1072"/>
        <v>21955</v>
      </c>
      <c r="CE410" s="618">
        <f t="shared" si="1110"/>
        <v>16862.5</v>
      </c>
      <c r="CF410" s="618">
        <f t="shared" si="1111"/>
        <v>5092.5</v>
      </c>
      <c r="CG410" s="616">
        <f t="shared" si="1073"/>
        <v>0</v>
      </c>
      <c r="CH410" s="621">
        <f t="shared" si="1074"/>
        <v>242606</v>
      </c>
      <c r="CI410" s="88">
        <f t="shared" si="1075"/>
        <v>17629.7</v>
      </c>
      <c r="CJ410" s="90">
        <f t="shared" si="1076"/>
        <v>13540.48</v>
      </c>
      <c r="CK410" s="90">
        <f t="shared" si="1077"/>
        <v>4089.22</v>
      </c>
      <c r="CL410" s="88">
        <f t="shared" si="1078"/>
        <v>486</v>
      </c>
      <c r="CM410" s="88">
        <f t="shared" si="1079"/>
        <v>97</v>
      </c>
      <c r="CN410" s="88">
        <f t="shared" si="1080"/>
        <v>348</v>
      </c>
      <c r="CO410" s="88">
        <f t="shared" si="1081"/>
        <v>2031</v>
      </c>
      <c r="CP410" s="88">
        <f t="shared" si="1082"/>
        <v>52</v>
      </c>
      <c r="CQ410" s="88">
        <f t="shared" si="1083"/>
        <v>1728</v>
      </c>
      <c r="CR410" s="88">
        <f t="shared" si="1084"/>
        <v>73</v>
      </c>
      <c r="CS410" s="88">
        <f t="shared" si="1085"/>
        <v>178</v>
      </c>
      <c r="CT410" s="88">
        <f t="shared" si="1086"/>
        <v>812.4</v>
      </c>
      <c r="CU410" s="88">
        <f t="shared" si="1087"/>
        <v>580</v>
      </c>
      <c r="CV410" s="88">
        <f t="shared" si="1088"/>
        <v>54</v>
      </c>
      <c r="CW410" s="88">
        <f t="shared" si="1089"/>
        <v>77</v>
      </c>
      <c r="CX410" s="88">
        <f t="shared" si="1090"/>
        <v>8</v>
      </c>
      <c r="CY410" s="88">
        <f t="shared" si="1091"/>
        <v>39</v>
      </c>
      <c r="CZ410" s="88">
        <f t="shared" si="1092"/>
        <v>2195.5</v>
      </c>
      <c r="DA410" s="90">
        <f t="shared" si="1093"/>
        <v>1686.25</v>
      </c>
      <c r="DB410" s="90">
        <f t="shared" si="1094"/>
        <v>509.25</v>
      </c>
      <c r="DC410" s="88">
        <f t="shared" si="1095"/>
        <v>0</v>
      </c>
      <c r="DD410" s="88">
        <f t="shared" si="1096"/>
        <v>24260.6</v>
      </c>
      <c r="AUV410" s="699">
        <f t="shared" si="1184"/>
        <v>17629.7</v>
      </c>
      <c r="AUW410" s="699">
        <f t="shared" si="1185"/>
        <v>13540.48</v>
      </c>
      <c r="AUX410" s="699">
        <f t="shared" si="1186"/>
        <v>4089.22</v>
      </c>
      <c r="AUY410" s="699">
        <f t="shared" si="1187"/>
        <v>486</v>
      </c>
      <c r="AUZ410" s="699">
        <f t="shared" si="1204"/>
        <v>328.37</v>
      </c>
      <c r="AVA410" s="699">
        <f t="shared" si="1204"/>
        <v>0.27</v>
      </c>
      <c r="AVB410" s="699">
        <f t="shared" si="1188"/>
        <v>2031</v>
      </c>
      <c r="AVC410" s="699">
        <f t="shared" si="1189"/>
        <v>52</v>
      </c>
      <c r="AVD410" s="699">
        <f t="shared" si="1190"/>
        <v>1728</v>
      </c>
      <c r="AVE410" s="699">
        <f t="shared" si="1191"/>
        <v>73</v>
      </c>
      <c r="AVF410" s="699">
        <f t="shared" si="1192"/>
        <v>178</v>
      </c>
      <c r="AVG410" s="699">
        <f t="shared" si="1193"/>
        <v>812.4</v>
      </c>
      <c r="AVH410" s="699">
        <f t="shared" si="1194"/>
        <v>580</v>
      </c>
      <c r="AVI410" s="699">
        <f t="shared" si="1195"/>
        <v>54</v>
      </c>
      <c r="AVJ410" s="699">
        <f t="shared" si="1196"/>
        <v>77</v>
      </c>
      <c r="AVK410" s="699">
        <f t="shared" si="1197"/>
        <v>8</v>
      </c>
      <c r="AVL410" s="699">
        <f t="shared" si="1198"/>
        <v>39</v>
      </c>
      <c r="AVM410" s="699">
        <f t="shared" si="1199"/>
        <v>2195.5</v>
      </c>
      <c r="AVN410" s="699">
        <f t="shared" si="1200"/>
        <v>1686.25</v>
      </c>
      <c r="AVO410" s="699">
        <f t="shared" si="1201"/>
        <v>509.25</v>
      </c>
      <c r="AVP410" s="699">
        <f t="shared" si="1202"/>
        <v>0</v>
      </c>
      <c r="AVQ410" s="699">
        <f t="shared" si="1203"/>
        <v>24260.6</v>
      </c>
    </row>
    <row r="411" spans="1:108 1244:1265" ht="30" customHeight="1" x14ac:dyDescent="0.25">
      <c r="A411" s="643">
        <v>1</v>
      </c>
      <c r="B411" s="643">
        <v>10</v>
      </c>
      <c r="C411" s="664" t="s">
        <v>251</v>
      </c>
      <c r="D411" s="2"/>
      <c r="E411" s="101" t="s">
        <v>345</v>
      </c>
      <c r="F411" s="643" t="s">
        <v>38</v>
      </c>
      <c r="G411" s="643">
        <v>2</v>
      </c>
      <c r="H411" s="658" t="s">
        <v>8</v>
      </c>
      <c r="I411" s="643">
        <v>3</v>
      </c>
      <c r="J411" s="101" t="s">
        <v>396</v>
      </c>
      <c r="K411" s="643">
        <v>1</v>
      </c>
      <c r="L411" s="683" t="s">
        <v>350</v>
      </c>
      <c r="M411" s="11" t="s">
        <v>342</v>
      </c>
      <c r="N411" s="101" t="s">
        <v>387</v>
      </c>
      <c r="O411" s="643">
        <v>1</v>
      </c>
      <c r="P411" s="632">
        <v>6</v>
      </c>
      <c r="Q411" s="632">
        <v>6</v>
      </c>
      <c r="R411" s="632">
        <v>6</v>
      </c>
      <c r="S411" s="675">
        <f>SUMIF('Территориальный кк'!$A:$A,'2020'!$B411,'Территориальный кк'!D:D)</f>
        <v>1.3620000000000001</v>
      </c>
      <c r="T411" s="676">
        <f>SUMIF('Территориальный кк'!$A:$A,'2020'!$B411,'Территориальный кк'!E:E)</f>
        <v>2.9540000000000002</v>
      </c>
      <c r="U411" s="618">
        <f>SUMIFS(Нормативы!G:G,Нормативы!$B:$B,$G411,Нормативы!$D:$D,'2020'!$I411,Нормативы!$F:$F,'2020'!$K411)*O411</f>
        <v>5974</v>
      </c>
      <c r="V411" s="618">
        <f t="shared" si="1097"/>
        <v>4588.3</v>
      </c>
      <c r="W411" s="618">
        <f t="shared" si="1098"/>
        <v>1385.7</v>
      </c>
      <c r="X411" s="618">
        <f>SUMIFS(Нормативы!J:J,Нормативы!$B:$B,$G411,Нормативы!$D:$D,'2020'!$I411,Нормативы!$F:$F,'2020'!$K411)</f>
        <v>22</v>
      </c>
      <c r="Y411" s="618">
        <f>SUMIFS(Нормативы!K:K,Нормативы!$B:$B,$G411,Нормативы!$D:$D,'2020'!$I411,Нормативы!$F:$F,'2020'!$K411)</f>
        <v>4</v>
      </c>
      <c r="Z411" s="618">
        <f>SUMIFS(Нормативы!L:L,Нормативы!$B:$B,$G411,Нормативы!$D:$D,'2020'!$I411,Нормативы!$F:$F,'2020'!$K411)</f>
        <v>232</v>
      </c>
      <c r="AA411" s="618">
        <f t="shared" si="1099"/>
        <v>435</v>
      </c>
      <c r="AB411" s="618">
        <f>SUMIFS(Нормативы!N:N,Нормативы!$B:$B,$G411,Нормативы!$D:$D,'2020'!$I411,Нормативы!$F:$F,'2020'!$K411)*O411</f>
        <v>52</v>
      </c>
      <c r="AC411" s="618">
        <f>SUMIFS(Нормативы!O:O,Нормативы!$B:$B,$G411,Нормативы!$D:$D,'2020'!$I411,Нормативы!$F:$F,'2020'!$K411)</f>
        <v>267</v>
      </c>
      <c r="AD411" s="618">
        <f>SUMIFS(Нормативы!P:P,Нормативы!$B:$B,$G411,Нормативы!$D:$D,'2020'!$I411,Нормативы!$F:$F,'2020'!$K411)*O411</f>
        <v>34</v>
      </c>
      <c r="AE411" s="618">
        <f>SUMIFS(Нормативы!Q:Q,Нормативы!$B:$B,$G411,Нормативы!$D:$D,'2020'!$I411,Нормативы!$F:$F,'2020'!$K411)</f>
        <v>82</v>
      </c>
      <c r="AF411" s="618">
        <f>SUMIFS(Нормативы!R:R,Нормативы!$B:$B,$G411,Нормативы!$D:$D,'2020'!$I411,Нормативы!$F:$F,'2020'!$K411)</f>
        <v>246</v>
      </c>
      <c r="AG411" s="618">
        <f>SUMIFS(Нормативы!S:S,Нормативы!$B:$B,$G411,Нормативы!$D:$D,'2020'!$I411,Нормативы!$F:$F,'2020'!$K411)</f>
        <v>508</v>
      </c>
      <c r="AH411" s="618">
        <f>SUMIFS(Нормативы!T:T,Нормативы!$B:$B,$G411,Нормативы!$D:$D,'2020'!$I411,Нормативы!$F:$F,'2020'!$K411)</f>
        <v>54</v>
      </c>
      <c r="AI411" s="618">
        <f>SUMIFS(Нормативы!U:U,Нормативы!$B:$B,$G411,Нормативы!$D:$D,'2020'!$I411,Нормативы!$F:$F,'2020'!$K411)</f>
        <v>77</v>
      </c>
      <c r="AJ411" s="618">
        <f>SUMIFS(Нормативы!V:V,Нормативы!$B:$B,$G411,Нормативы!$D:$D,'2020'!$I411,Нормативы!$F:$F,'2020'!$K411)</f>
        <v>8</v>
      </c>
      <c r="AK411" s="618">
        <f>SUMIFS(Нормативы!W:W,Нормативы!$B:$B,$G411,Нормативы!$D:$D,'2020'!$I411,Нормативы!$F:$F,'2020'!$K411)</f>
        <v>12</v>
      </c>
      <c r="AL411" s="618">
        <f>SUMIFS(Нормативы!X:X,Нормативы!$B:$B,$G411,Нормативы!$D:$D,'2020'!$I411,Нормативы!$F:$F,'2020'!$K411)*O411</f>
        <v>1344</v>
      </c>
      <c r="AM411" s="618">
        <f t="shared" si="1100"/>
        <v>1032.3</v>
      </c>
      <c r="AN411" s="618">
        <f t="shared" si="1101"/>
        <v>311.7</v>
      </c>
      <c r="AO411" s="618">
        <f>SUMIFS(Нормативы!AA:AA,Нормативы!$B:$B,$G411,Нормативы!$D:$D,'2020'!$I411,Нормативы!$F:$F,'2020'!$K411)</f>
        <v>0</v>
      </c>
      <c r="AP411" s="619">
        <f t="shared" si="1102"/>
        <v>8912</v>
      </c>
      <c r="AQ411" s="413">
        <f t="shared" si="1040"/>
        <v>35844</v>
      </c>
      <c r="AR411" s="618">
        <f t="shared" si="1103"/>
        <v>27530</v>
      </c>
      <c r="AS411" s="618">
        <f t="shared" si="1104"/>
        <v>8314</v>
      </c>
      <c r="AT411" s="616">
        <f t="shared" si="1041"/>
        <v>132</v>
      </c>
      <c r="AU411" s="616">
        <f t="shared" si="1042"/>
        <v>24</v>
      </c>
      <c r="AV411" s="616">
        <f t="shared" si="1043"/>
        <v>1392</v>
      </c>
      <c r="AW411" s="616">
        <f t="shared" si="1044"/>
        <v>2610</v>
      </c>
      <c r="AX411" s="616">
        <f t="shared" si="1045"/>
        <v>312</v>
      </c>
      <c r="AY411" s="616">
        <f t="shared" si="1046"/>
        <v>1602</v>
      </c>
      <c r="AZ411" s="616">
        <f t="shared" si="1047"/>
        <v>204</v>
      </c>
      <c r="BA411" s="616">
        <f t="shared" si="1048"/>
        <v>492</v>
      </c>
      <c r="BB411" s="616">
        <f t="shared" si="1049"/>
        <v>1476</v>
      </c>
      <c r="BC411" s="616">
        <f t="shared" si="1050"/>
        <v>3048</v>
      </c>
      <c r="BD411" s="616">
        <f t="shared" si="1051"/>
        <v>324</v>
      </c>
      <c r="BE411" s="616">
        <f t="shared" si="1052"/>
        <v>462</v>
      </c>
      <c r="BF411" s="616">
        <f t="shared" si="1053"/>
        <v>48</v>
      </c>
      <c r="BG411" s="616">
        <f t="shared" si="1054"/>
        <v>72</v>
      </c>
      <c r="BH411" s="616">
        <f t="shared" si="1055"/>
        <v>8064</v>
      </c>
      <c r="BI411" s="618">
        <f t="shared" si="1105"/>
        <v>6193.5</v>
      </c>
      <c r="BJ411" s="618">
        <f>BH411-BI411</f>
        <v>1870.5</v>
      </c>
      <c r="BK411" s="616">
        <f t="shared" si="1056"/>
        <v>0</v>
      </c>
      <c r="BL411" s="620">
        <f t="shared" si="1057"/>
        <v>53472</v>
      </c>
      <c r="BM411" s="616">
        <f t="shared" si="1058"/>
        <v>48820</v>
      </c>
      <c r="BN411" s="618">
        <f t="shared" si="1059"/>
        <v>37496.199999999997</v>
      </c>
      <c r="BO411" s="618">
        <f t="shared" si="1060"/>
        <v>11323.8</v>
      </c>
      <c r="BP411" s="616">
        <f t="shared" si="1107"/>
        <v>132</v>
      </c>
      <c r="BQ411" s="616">
        <f t="shared" si="1108"/>
        <v>24</v>
      </c>
      <c r="BR411" s="616">
        <f t="shared" si="1109"/>
        <v>1392</v>
      </c>
      <c r="BS411" s="616">
        <f t="shared" si="1061"/>
        <v>2610</v>
      </c>
      <c r="BT411" s="616">
        <f t="shared" si="1062"/>
        <v>312</v>
      </c>
      <c r="BU411" s="616">
        <f t="shared" si="1063"/>
        <v>1602</v>
      </c>
      <c r="BV411" s="616">
        <f t="shared" si="1064"/>
        <v>204</v>
      </c>
      <c r="BW411" s="616">
        <f t="shared" si="1065"/>
        <v>492</v>
      </c>
      <c r="BX411" s="616">
        <f t="shared" si="1066"/>
        <v>4360</v>
      </c>
      <c r="BY411" s="616">
        <f t="shared" si="1067"/>
        <v>3048</v>
      </c>
      <c r="BZ411" s="616">
        <f t="shared" si="1068"/>
        <v>324</v>
      </c>
      <c r="CA411" s="616">
        <f t="shared" si="1069"/>
        <v>462</v>
      </c>
      <c r="CB411" s="616">
        <f t="shared" si="1070"/>
        <v>48</v>
      </c>
      <c r="CC411" s="616">
        <f t="shared" si="1071"/>
        <v>72</v>
      </c>
      <c r="CD411" s="616">
        <f t="shared" si="1072"/>
        <v>10983</v>
      </c>
      <c r="CE411" s="618">
        <f t="shared" si="1110"/>
        <v>8435.5</v>
      </c>
      <c r="CF411" s="618">
        <f t="shared" si="1111"/>
        <v>2547.5</v>
      </c>
      <c r="CG411" s="616">
        <f t="shared" si="1073"/>
        <v>0</v>
      </c>
      <c r="CH411" s="621">
        <f t="shared" si="1074"/>
        <v>72251</v>
      </c>
      <c r="CI411" s="88">
        <f t="shared" si="1075"/>
        <v>8136.6666999999998</v>
      </c>
      <c r="CJ411" s="90">
        <f t="shared" si="1076"/>
        <v>6249.3666999999996</v>
      </c>
      <c r="CK411" s="90">
        <f t="shared" si="1077"/>
        <v>1887.3</v>
      </c>
      <c r="CL411" s="88">
        <f t="shared" si="1078"/>
        <v>22</v>
      </c>
      <c r="CM411" s="88">
        <f t="shared" si="1079"/>
        <v>4</v>
      </c>
      <c r="CN411" s="88">
        <f t="shared" si="1080"/>
        <v>232</v>
      </c>
      <c r="CO411" s="88">
        <f t="shared" si="1081"/>
        <v>435</v>
      </c>
      <c r="CP411" s="88">
        <f t="shared" si="1082"/>
        <v>52</v>
      </c>
      <c r="CQ411" s="88">
        <f t="shared" si="1083"/>
        <v>267</v>
      </c>
      <c r="CR411" s="88">
        <f t="shared" si="1084"/>
        <v>34</v>
      </c>
      <c r="CS411" s="88">
        <f t="shared" si="1085"/>
        <v>82</v>
      </c>
      <c r="CT411" s="88">
        <f t="shared" si="1086"/>
        <v>726.66669999999999</v>
      </c>
      <c r="CU411" s="88">
        <f t="shared" si="1087"/>
        <v>508</v>
      </c>
      <c r="CV411" s="88">
        <f t="shared" si="1088"/>
        <v>54</v>
      </c>
      <c r="CW411" s="88">
        <f t="shared" si="1089"/>
        <v>77</v>
      </c>
      <c r="CX411" s="88">
        <f t="shared" si="1090"/>
        <v>8</v>
      </c>
      <c r="CY411" s="88">
        <f t="shared" si="1091"/>
        <v>12</v>
      </c>
      <c r="CZ411" s="88">
        <f t="shared" si="1092"/>
        <v>1830.5</v>
      </c>
      <c r="DA411" s="90">
        <f t="shared" si="1093"/>
        <v>1405.9167</v>
      </c>
      <c r="DB411" s="90">
        <f t="shared" si="1094"/>
        <v>424.58330000000001</v>
      </c>
      <c r="DC411" s="88">
        <f t="shared" si="1095"/>
        <v>0</v>
      </c>
      <c r="DD411" s="88">
        <f t="shared" si="1096"/>
        <v>12041.8333</v>
      </c>
      <c r="AUV411" s="699">
        <f t="shared" si="1184"/>
        <v>8136.67</v>
      </c>
      <c r="AUW411" s="699">
        <f t="shared" si="1185"/>
        <v>6249.36</v>
      </c>
      <c r="AUX411" s="699">
        <f t="shared" si="1186"/>
        <v>1887.31</v>
      </c>
      <c r="AUY411" s="699">
        <f t="shared" si="1187"/>
        <v>22</v>
      </c>
      <c r="AUZ411" s="699">
        <f t="shared" si="1204"/>
        <v>8.1199999999999992</v>
      </c>
      <c r="AVA411" s="699">
        <f t="shared" si="1204"/>
        <v>0.23</v>
      </c>
      <c r="AVB411" s="699">
        <f t="shared" si="1188"/>
        <v>435</v>
      </c>
      <c r="AVC411" s="699">
        <f t="shared" si="1189"/>
        <v>52</v>
      </c>
      <c r="AVD411" s="699">
        <f t="shared" si="1190"/>
        <v>267</v>
      </c>
      <c r="AVE411" s="699">
        <f t="shared" si="1191"/>
        <v>34</v>
      </c>
      <c r="AVF411" s="699">
        <f t="shared" si="1192"/>
        <v>82</v>
      </c>
      <c r="AVG411" s="699">
        <f t="shared" si="1193"/>
        <v>726.67</v>
      </c>
      <c r="AVH411" s="699">
        <f t="shared" si="1194"/>
        <v>508</v>
      </c>
      <c r="AVI411" s="699">
        <f t="shared" si="1195"/>
        <v>54</v>
      </c>
      <c r="AVJ411" s="699">
        <f t="shared" si="1196"/>
        <v>77</v>
      </c>
      <c r="AVK411" s="699">
        <f t="shared" si="1197"/>
        <v>8</v>
      </c>
      <c r="AVL411" s="699">
        <f t="shared" si="1198"/>
        <v>12</v>
      </c>
      <c r="AVM411" s="699">
        <f t="shared" si="1199"/>
        <v>1830.5</v>
      </c>
      <c r="AVN411" s="699">
        <f t="shared" si="1200"/>
        <v>1405.91</v>
      </c>
      <c r="AVO411" s="699">
        <f t="shared" si="1201"/>
        <v>424.59</v>
      </c>
      <c r="AVP411" s="699">
        <f t="shared" si="1202"/>
        <v>0</v>
      </c>
      <c r="AVQ411" s="699">
        <f t="shared" si="1203"/>
        <v>12041.83</v>
      </c>
    </row>
    <row r="412" spans="1:108 1244:1265" ht="30" customHeight="1" x14ac:dyDescent="0.25">
      <c r="A412" s="643">
        <v>1</v>
      </c>
      <c r="B412" s="643">
        <v>10</v>
      </c>
      <c r="C412" s="664" t="s">
        <v>251</v>
      </c>
      <c r="D412" s="2"/>
      <c r="E412" s="101" t="s">
        <v>345</v>
      </c>
      <c r="F412" s="643" t="s">
        <v>38</v>
      </c>
      <c r="G412" s="643">
        <v>2</v>
      </c>
      <c r="H412" s="658" t="s">
        <v>10</v>
      </c>
      <c r="I412" s="643">
        <v>0</v>
      </c>
      <c r="J412" s="101" t="s">
        <v>364</v>
      </c>
      <c r="K412" s="643">
        <v>3</v>
      </c>
      <c r="L412" s="683" t="s">
        <v>350</v>
      </c>
      <c r="M412" s="11" t="s">
        <v>270</v>
      </c>
      <c r="N412" s="101" t="s">
        <v>387</v>
      </c>
      <c r="O412" s="643">
        <v>1</v>
      </c>
      <c r="P412" s="632">
        <v>191</v>
      </c>
      <c r="Q412" s="632">
        <v>191</v>
      </c>
      <c r="R412" s="632">
        <v>191</v>
      </c>
      <c r="S412" s="675">
        <f>SUMIF('Территориальный кк'!$A:$A,'2020'!$B412,'Территориальный кк'!D:D)</f>
        <v>1.3620000000000001</v>
      </c>
      <c r="T412" s="676">
        <f>SUMIF('Территориальный кк'!$A:$A,'2020'!$B412,'Территориальный кк'!E:E)</f>
        <v>2.9540000000000002</v>
      </c>
      <c r="U412" s="618">
        <f>SUMIFS(Нормативы!G:G,Нормативы!$B:$B,$G412,Нормативы!$D:$D,'2020'!$I412,Нормативы!$F:$F,'2020'!$K412)*O412</f>
        <v>70600</v>
      </c>
      <c r="V412" s="618">
        <f t="shared" si="1097"/>
        <v>54224.3</v>
      </c>
      <c r="W412" s="618">
        <f t="shared" si="1098"/>
        <v>16375.7</v>
      </c>
      <c r="X412" s="618">
        <f>SUMIFS(Нормативы!J:J,Нормативы!$B:$B,$G412,Нормативы!$D:$D,'2020'!$I412,Нормативы!$F:$F,'2020'!$K412)</f>
        <v>8860</v>
      </c>
      <c r="Y412" s="618">
        <f>SUMIFS(Нормативы!K:K,Нормативы!$B:$B,$G412,Нормативы!$D:$D,'2020'!$I412,Нормативы!$F:$F,'2020'!$K412)</f>
        <v>0</v>
      </c>
      <c r="Z412" s="618">
        <f>SUMIFS(Нормативы!L:L,Нормативы!$B:$B,$G412,Нормативы!$D:$D,'2020'!$I412,Нормативы!$F:$F,'2020'!$K412)</f>
        <v>8110</v>
      </c>
      <c r="AA412" s="618">
        <f t="shared" si="1099"/>
        <v>21610</v>
      </c>
      <c r="AB412" s="618">
        <f>SUMIFS(Нормативы!N:N,Нормативы!$B:$B,$G412,Нормативы!$D:$D,'2020'!$I412,Нормативы!$F:$F,'2020'!$K412)*O412</f>
        <v>520</v>
      </c>
      <c r="AC412" s="618">
        <f>SUMIFS(Нормативы!O:O,Нормативы!$B:$B,$G412,Нормативы!$D:$D,'2020'!$I412,Нормативы!$F:$F,'2020'!$K412)</f>
        <v>19720</v>
      </c>
      <c r="AD412" s="618">
        <f>SUMIFS(Нормативы!P:P,Нормативы!$B:$B,$G412,Нормативы!$D:$D,'2020'!$I412,Нормативы!$F:$F,'2020'!$K412)*O412</f>
        <v>400</v>
      </c>
      <c r="AE412" s="618">
        <f>SUMIFS(Нормативы!Q:Q,Нормативы!$B:$B,$G412,Нормативы!$D:$D,'2020'!$I412,Нормативы!$F:$F,'2020'!$K412)</f>
        <v>970</v>
      </c>
      <c r="AF412" s="618">
        <f>SUMIFS(Нормативы!R:R,Нормативы!$B:$B,$G412,Нормативы!$D:$D,'2020'!$I412,Нормативы!$F:$F,'2020'!$K412)</f>
        <v>2680</v>
      </c>
      <c r="AG412" s="618">
        <f>SUMIFS(Нормативы!S:S,Нормативы!$B:$B,$G412,Нормативы!$D:$D,'2020'!$I412,Нормативы!$F:$F,'2020'!$K412)</f>
        <v>5800</v>
      </c>
      <c r="AH412" s="618">
        <f>SUMIFS(Нормативы!T:T,Нормативы!$B:$B,$G412,Нормативы!$D:$D,'2020'!$I412,Нормативы!$F:$F,'2020'!$K412)</f>
        <v>540</v>
      </c>
      <c r="AI412" s="618">
        <f>SUMIFS(Нормативы!U:U,Нормативы!$B:$B,$G412,Нормативы!$D:$D,'2020'!$I412,Нормативы!$F:$F,'2020'!$K412)</f>
        <v>770</v>
      </c>
      <c r="AJ412" s="618">
        <f>SUMIFS(Нормативы!V:V,Нормативы!$B:$B,$G412,Нормативы!$D:$D,'2020'!$I412,Нормативы!$F:$F,'2020'!$K412)</f>
        <v>80</v>
      </c>
      <c r="AK412" s="618">
        <f>SUMIFS(Нормативы!W:W,Нормативы!$B:$B,$G412,Нормативы!$D:$D,'2020'!$I412,Нормативы!$F:$F,'2020'!$K412)</f>
        <v>330</v>
      </c>
      <c r="AL412" s="618">
        <f>SUMIFS(Нормативы!X:X,Нормативы!$B:$B,$G412,Нормативы!$D:$D,'2020'!$I412,Нормативы!$F:$F,'2020'!$K412)*O412</f>
        <v>16120</v>
      </c>
      <c r="AM412" s="618">
        <f t="shared" si="1100"/>
        <v>12381</v>
      </c>
      <c r="AN412" s="618">
        <f t="shared" si="1101"/>
        <v>3739</v>
      </c>
      <c r="AO412" s="618">
        <f>SUMIFS(Нормативы!AA:AA,Нормативы!$B:$B,$G412,Нормативы!$D:$D,'2020'!$I412,Нормативы!$F:$F,'2020'!$K412)</f>
        <v>3520</v>
      </c>
      <c r="AP412" s="619">
        <f t="shared" si="1102"/>
        <v>139020</v>
      </c>
      <c r="AQ412" s="413">
        <f t="shared" si="1040"/>
        <v>13484600</v>
      </c>
      <c r="AR412" s="618">
        <f t="shared" si="1103"/>
        <v>10356835.6</v>
      </c>
      <c r="AS412" s="618">
        <f t="shared" si="1104"/>
        <v>3127764.4</v>
      </c>
      <c r="AT412" s="616">
        <f t="shared" si="1041"/>
        <v>1692260</v>
      </c>
      <c r="AU412" s="616">
        <f t="shared" si="1042"/>
        <v>0</v>
      </c>
      <c r="AV412" s="616">
        <f t="shared" si="1043"/>
        <v>1549010</v>
      </c>
      <c r="AW412" s="616">
        <f t="shared" si="1044"/>
        <v>4127510</v>
      </c>
      <c r="AX412" s="616">
        <f t="shared" si="1045"/>
        <v>99320</v>
      </c>
      <c r="AY412" s="616">
        <f t="shared" si="1046"/>
        <v>3766520</v>
      </c>
      <c r="AZ412" s="616">
        <f t="shared" si="1047"/>
        <v>76400</v>
      </c>
      <c r="BA412" s="616">
        <f t="shared" si="1048"/>
        <v>185270</v>
      </c>
      <c r="BB412" s="616">
        <f t="shared" si="1049"/>
        <v>511880</v>
      </c>
      <c r="BC412" s="616">
        <f t="shared" si="1050"/>
        <v>1107800</v>
      </c>
      <c r="BD412" s="616">
        <f t="shared" si="1051"/>
        <v>103140</v>
      </c>
      <c r="BE412" s="616">
        <f t="shared" si="1052"/>
        <v>147070</v>
      </c>
      <c r="BF412" s="616">
        <f t="shared" si="1053"/>
        <v>15280</v>
      </c>
      <c r="BG412" s="616">
        <f t="shared" si="1054"/>
        <v>63030</v>
      </c>
      <c r="BH412" s="616">
        <f t="shared" si="1055"/>
        <v>3078920</v>
      </c>
      <c r="BI412" s="618">
        <f t="shared" si="1105"/>
        <v>2364761.9</v>
      </c>
      <c r="BJ412" s="618">
        <f t="shared" si="1106"/>
        <v>714158.1</v>
      </c>
      <c r="BK412" s="616">
        <f t="shared" si="1056"/>
        <v>672320</v>
      </c>
      <c r="BL412" s="620">
        <f t="shared" si="1057"/>
        <v>26552820</v>
      </c>
      <c r="BM412" s="616">
        <f t="shared" si="1058"/>
        <v>18366025</v>
      </c>
      <c r="BN412" s="618">
        <f t="shared" si="1059"/>
        <v>14106010</v>
      </c>
      <c r="BO412" s="618">
        <f t="shared" si="1060"/>
        <v>4260015</v>
      </c>
      <c r="BP412" s="616">
        <f t="shared" si="1107"/>
        <v>1692260</v>
      </c>
      <c r="BQ412" s="616">
        <f t="shared" si="1108"/>
        <v>0</v>
      </c>
      <c r="BR412" s="616">
        <f t="shared" si="1109"/>
        <v>1549010</v>
      </c>
      <c r="BS412" s="616">
        <f t="shared" si="1061"/>
        <v>4127510</v>
      </c>
      <c r="BT412" s="616">
        <f t="shared" si="1062"/>
        <v>99320</v>
      </c>
      <c r="BU412" s="616">
        <f t="shared" si="1063"/>
        <v>3766520</v>
      </c>
      <c r="BV412" s="616">
        <f t="shared" si="1064"/>
        <v>76400</v>
      </c>
      <c r="BW412" s="616">
        <f t="shared" si="1065"/>
        <v>185270</v>
      </c>
      <c r="BX412" s="616">
        <f t="shared" si="1066"/>
        <v>1512094</v>
      </c>
      <c r="BY412" s="616">
        <f t="shared" si="1067"/>
        <v>1107800</v>
      </c>
      <c r="BZ412" s="616">
        <f t="shared" si="1068"/>
        <v>103140</v>
      </c>
      <c r="CA412" s="616">
        <f t="shared" si="1069"/>
        <v>147070</v>
      </c>
      <c r="CB412" s="616">
        <f t="shared" si="1070"/>
        <v>15280</v>
      </c>
      <c r="CC412" s="616">
        <f t="shared" si="1071"/>
        <v>63030</v>
      </c>
      <c r="CD412" s="616">
        <f t="shared" si="1072"/>
        <v>4193489</v>
      </c>
      <c r="CE412" s="618">
        <f t="shared" si="1110"/>
        <v>3220805.7</v>
      </c>
      <c r="CF412" s="618">
        <f t="shared" si="1111"/>
        <v>972683.3</v>
      </c>
      <c r="CG412" s="616">
        <f t="shared" si="1073"/>
        <v>672320</v>
      </c>
      <c r="CH412" s="621">
        <f t="shared" si="1074"/>
        <v>33549028</v>
      </c>
      <c r="CI412" s="88">
        <f t="shared" si="1075"/>
        <v>96157.198999999993</v>
      </c>
      <c r="CJ412" s="90">
        <f t="shared" si="1076"/>
        <v>73853.455499999996</v>
      </c>
      <c r="CK412" s="90">
        <f t="shared" si="1077"/>
        <v>22303.7435</v>
      </c>
      <c r="CL412" s="88">
        <f t="shared" si="1078"/>
        <v>8860</v>
      </c>
      <c r="CM412" s="88">
        <f t="shared" si="1079"/>
        <v>0</v>
      </c>
      <c r="CN412" s="88">
        <f t="shared" si="1080"/>
        <v>8110</v>
      </c>
      <c r="CO412" s="88">
        <f t="shared" si="1081"/>
        <v>21610</v>
      </c>
      <c r="CP412" s="88">
        <f t="shared" si="1082"/>
        <v>520</v>
      </c>
      <c r="CQ412" s="88">
        <f t="shared" si="1083"/>
        <v>19720</v>
      </c>
      <c r="CR412" s="88">
        <f t="shared" si="1084"/>
        <v>400</v>
      </c>
      <c r="CS412" s="88">
        <f t="shared" si="1085"/>
        <v>970</v>
      </c>
      <c r="CT412" s="88">
        <f t="shared" si="1086"/>
        <v>7916.7224999999999</v>
      </c>
      <c r="CU412" s="88">
        <f t="shared" si="1087"/>
        <v>5800</v>
      </c>
      <c r="CV412" s="88">
        <f t="shared" si="1088"/>
        <v>540</v>
      </c>
      <c r="CW412" s="88">
        <f t="shared" si="1089"/>
        <v>770</v>
      </c>
      <c r="CX412" s="88">
        <f t="shared" si="1090"/>
        <v>80</v>
      </c>
      <c r="CY412" s="88">
        <f t="shared" si="1091"/>
        <v>330</v>
      </c>
      <c r="CZ412" s="88">
        <f t="shared" si="1092"/>
        <v>21955.4398</v>
      </c>
      <c r="DA412" s="90">
        <f t="shared" si="1093"/>
        <v>16862.857100000001</v>
      </c>
      <c r="DB412" s="90">
        <f t="shared" si="1094"/>
        <v>5092.5826999999999</v>
      </c>
      <c r="DC412" s="88">
        <f t="shared" si="1095"/>
        <v>3520</v>
      </c>
      <c r="DD412" s="88">
        <f t="shared" si="1096"/>
        <v>175649.36129999999</v>
      </c>
      <c r="AUV412" s="699">
        <f t="shared" si="1184"/>
        <v>96157.2</v>
      </c>
      <c r="AUW412" s="699">
        <f t="shared" si="1185"/>
        <v>73853.460000000006</v>
      </c>
      <c r="AUX412" s="699">
        <f t="shared" si="1186"/>
        <v>22303.74</v>
      </c>
      <c r="AUY412" s="699">
        <f t="shared" si="1187"/>
        <v>8860</v>
      </c>
      <c r="AUZ412" s="699">
        <f t="shared" si="1204"/>
        <v>0</v>
      </c>
      <c r="AVA412" s="699">
        <f t="shared" si="1204"/>
        <v>21.94</v>
      </c>
      <c r="AVB412" s="699">
        <f t="shared" si="1188"/>
        <v>21610</v>
      </c>
      <c r="AVC412" s="699">
        <f t="shared" si="1189"/>
        <v>520</v>
      </c>
      <c r="AVD412" s="699">
        <f t="shared" si="1190"/>
        <v>19720</v>
      </c>
      <c r="AVE412" s="699">
        <f t="shared" si="1191"/>
        <v>400</v>
      </c>
      <c r="AVF412" s="699">
        <f t="shared" si="1192"/>
        <v>970</v>
      </c>
      <c r="AVG412" s="699">
        <f t="shared" si="1193"/>
        <v>7916.72</v>
      </c>
      <c r="AVH412" s="699">
        <f t="shared" si="1194"/>
        <v>5800</v>
      </c>
      <c r="AVI412" s="699">
        <f t="shared" si="1195"/>
        <v>540</v>
      </c>
      <c r="AVJ412" s="699">
        <f t="shared" si="1196"/>
        <v>770</v>
      </c>
      <c r="AVK412" s="699">
        <f t="shared" si="1197"/>
        <v>80</v>
      </c>
      <c r="AVL412" s="699">
        <f t="shared" si="1198"/>
        <v>330</v>
      </c>
      <c r="AVM412" s="699">
        <f t="shared" si="1199"/>
        <v>21955.439999999999</v>
      </c>
      <c r="AVN412" s="699">
        <f t="shared" si="1200"/>
        <v>16862.86</v>
      </c>
      <c r="AVO412" s="699">
        <f t="shared" si="1201"/>
        <v>5092.58</v>
      </c>
      <c r="AVP412" s="699">
        <f t="shared" si="1202"/>
        <v>3520</v>
      </c>
      <c r="AVQ412" s="699">
        <f t="shared" si="1203"/>
        <v>175649.36</v>
      </c>
    </row>
    <row r="413" spans="1:108 1244:1265" ht="30" customHeight="1" x14ac:dyDescent="0.25">
      <c r="A413" s="643">
        <v>1</v>
      </c>
      <c r="B413" s="643">
        <v>10</v>
      </c>
      <c r="C413" s="664" t="s">
        <v>251</v>
      </c>
      <c r="D413" s="2"/>
      <c r="E413" s="101" t="s">
        <v>345</v>
      </c>
      <c r="F413" s="643" t="s">
        <v>38</v>
      </c>
      <c r="G413" s="643">
        <v>2</v>
      </c>
      <c r="H413" s="658" t="s">
        <v>8</v>
      </c>
      <c r="I413" s="643">
        <v>3</v>
      </c>
      <c r="J413" s="101" t="s">
        <v>364</v>
      </c>
      <c r="K413" s="643">
        <v>3</v>
      </c>
      <c r="L413" s="683" t="s">
        <v>350</v>
      </c>
      <c r="M413" s="11" t="s">
        <v>307</v>
      </c>
      <c r="N413" s="101" t="s">
        <v>387</v>
      </c>
      <c r="O413" s="643">
        <v>1</v>
      </c>
      <c r="P413" s="632">
        <v>49</v>
      </c>
      <c r="Q413" s="632">
        <v>49</v>
      </c>
      <c r="R413" s="632">
        <v>49</v>
      </c>
      <c r="S413" s="675">
        <f>SUMIF('Территориальный кк'!$A:$A,'2020'!$B413,'Территориальный кк'!D:D)</f>
        <v>1.3620000000000001</v>
      </c>
      <c r="T413" s="676">
        <f>SUMIF('Территориальный кк'!$A:$A,'2020'!$B413,'Территориальный кк'!E:E)</f>
        <v>2.9540000000000002</v>
      </c>
      <c r="U413" s="618">
        <f>SUMIFS(Нормативы!G:G,Нормативы!$B:$B,$G413,Нормативы!$D:$D,'2020'!$I413,Нормативы!$F:$F,'2020'!$K413)*O413</f>
        <v>12944</v>
      </c>
      <c r="V413" s="618">
        <f t="shared" si="1097"/>
        <v>9941.6</v>
      </c>
      <c r="W413" s="618">
        <f t="shared" si="1098"/>
        <v>3002.4</v>
      </c>
      <c r="X413" s="618">
        <f>SUMIFS(Нормативы!J:J,Нормативы!$B:$B,$G413,Нормативы!$D:$D,'2020'!$I413,Нормативы!$F:$F,'2020'!$K413)</f>
        <v>486</v>
      </c>
      <c r="Y413" s="618">
        <f>SUMIFS(Нормативы!K:K,Нормативы!$B:$B,$G413,Нормативы!$D:$D,'2020'!$I413,Нормативы!$F:$F,'2020'!$K413)</f>
        <v>97</v>
      </c>
      <c r="Z413" s="618">
        <f>SUMIFS(Нормативы!L:L,Нормативы!$B:$B,$G413,Нормативы!$D:$D,'2020'!$I413,Нормативы!$F:$F,'2020'!$K413)</f>
        <v>348</v>
      </c>
      <c r="AA413" s="618">
        <f t="shared" si="1099"/>
        <v>2031</v>
      </c>
      <c r="AB413" s="618">
        <f>SUMIFS(Нормативы!N:N,Нормативы!$B:$B,$G413,Нормативы!$D:$D,'2020'!$I413,Нормативы!$F:$F,'2020'!$K413)*O413</f>
        <v>52</v>
      </c>
      <c r="AC413" s="618">
        <f>SUMIFS(Нормативы!O:O,Нормативы!$B:$B,$G413,Нормативы!$D:$D,'2020'!$I413,Нормативы!$F:$F,'2020'!$K413)</f>
        <v>1728</v>
      </c>
      <c r="AD413" s="618">
        <f>SUMIFS(Нормативы!P:P,Нормативы!$B:$B,$G413,Нормативы!$D:$D,'2020'!$I413,Нормативы!$F:$F,'2020'!$K413)*O413</f>
        <v>73</v>
      </c>
      <c r="AE413" s="618">
        <f>SUMIFS(Нормативы!Q:Q,Нормативы!$B:$B,$G413,Нормативы!$D:$D,'2020'!$I413,Нормативы!$F:$F,'2020'!$K413)</f>
        <v>178</v>
      </c>
      <c r="AF413" s="618">
        <f>SUMIFS(Нормативы!R:R,Нормативы!$B:$B,$G413,Нормативы!$D:$D,'2020'!$I413,Нормативы!$F:$F,'2020'!$K413)</f>
        <v>275</v>
      </c>
      <c r="AG413" s="618">
        <f>SUMIFS(Нормативы!S:S,Нормативы!$B:$B,$G413,Нормативы!$D:$D,'2020'!$I413,Нормативы!$F:$F,'2020'!$K413)</f>
        <v>580</v>
      </c>
      <c r="AH413" s="618">
        <f>SUMIFS(Нормативы!T:T,Нормативы!$B:$B,$G413,Нормативы!$D:$D,'2020'!$I413,Нормативы!$F:$F,'2020'!$K413)</f>
        <v>54</v>
      </c>
      <c r="AI413" s="618">
        <f>SUMIFS(Нормативы!U:U,Нормативы!$B:$B,$G413,Нормативы!$D:$D,'2020'!$I413,Нормативы!$F:$F,'2020'!$K413)</f>
        <v>77</v>
      </c>
      <c r="AJ413" s="618">
        <f>SUMIFS(Нормативы!V:V,Нормативы!$B:$B,$G413,Нормативы!$D:$D,'2020'!$I413,Нормативы!$F:$F,'2020'!$K413)</f>
        <v>8</v>
      </c>
      <c r="AK413" s="618">
        <f>SUMIFS(Нормативы!W:W,Нормативы!$B:$B,$G413,Нормативы!$D:$D,'2020'!$I413,Нормативы!$F:$F,'2020'!$K413)</f>
        <v>39</v>
      </c>
      <c r="AL413" s="618">
        <f>SUMIFS(Нормативы!X:X,Нормативы!$B:$B,$G413,Нормативы!$D:$D,'2020'!$I413,Нормативы!$F:$F,'2020'!$K413)*O413</f>
        <v>1612</v>
      </c>
      <c r="AM413" s="618">
        <f t="shared" si="1100"/>
        <v>1238.0999999999999</v>
      </c>
      <c r="AN413" s="618">
        <f t="shared" si="1101"/>
        <v>373.9</v>
      </c>
      <c r="AO413" s="618">
        <f>SUMIFS(Нормативы!AA:AA,Нормативы!$B:$B,$G413,Нормативы!$D:$D,'2020'!$I413,Нормативы!$F:$F,'2020'!$K413)</f>
        <v>0</v>
      </c>
      <c r="AP413" s="619">
        <f t="shared" si="1102"/>
        <v>18454</v>
      </c>
      <c r="AQ413" s="413">
        <f t="shared" si="1040"/>
        <v>634256</v>
      </c>
      <c r="AR413" s="618">
        <f t="shared" si="1103"/>
        <v>487139.8</v>
      </c>
      <c r="AS413" s="618">
        <f t="shared" si="1104"/>
        <v>147116.20000000001</v>
      </c>
      <c r="AT413" s="616">
        <f t="shared" si="1041"/>
        <v>23814</v>
      </c>
      <c r="AU413" s="616">
        <f t="shared" si="1042"/>
        <v>4753</v>
      </c>
      <c r="AV413" s="616">
        <f t="shared" si="1043"/>
        <v>17052</v>
      </c>
      <c r="AW413" s="616">
        <f t="shared" si="1044"/>
        <v>99519</v>
      </c>
      <c r="AX413" s="616">
        <f t="shared" si="1045"/>
        <v>2548</v>
      </c>
      <c r="AY413" s="616">
        <f t="shared" si="1046"/>
        <v>84672</v>
      </c>
      <c r="AZ413" s="616">
        <f t="shared" si="1047"/>
        <v>3577</v>
      </c>
      <c r="BA413" s="616">
        <f t="shared" si="1048"/>
        <v>8722</v>
      </c>
      <c r="BB413" s="616">
        <f t="shared" si="1049"/>
        <v>13475</v>
      </c>
      <c r="BC413" s="616">
        <f t="shared" si="1050"/>
        <v>28420</v>
      </c>
      <c r="BD413" s="616">
        <f t="shared" si="1051"/>
        <v>2646</v>
      </c>
      <c r="BE413" s="616">
        <f t="shared" si="1052"/>
        <v>3773</v>
      </c>
      <c r="BF413" s="616">
        <f t="shared" si="1053"/>
        <v>392</v>
      </c>
      <c r="BG413" s="616">
        <f t="shared" si="1054"/>
        <v>1911</v>
      </c>
      <c r="BH413" s="616">
        <f t="shared" si="1055"/>
        <v>78988</v>
      </c>
      <c r="BI413" s="618">
        <f t="shared" si="1105"/>
        <v>60666.7</v>
      </c>
      <c r="BJ413" s="618">
        <f t="shared" si="1106"/>
        <v>18321.3</v>
      </c>
      <c r="BK413" s="616">
        <f t="shared" si="1056"/>
        <v>0</v>
      </c>
      <c r="BL413" s="620">
        <f t="shared" si="1057"/>
        <v>904246</v>
      </c>
      <c r="BM413" s="616">
        <f t="shared" si="1058"/>
        <v>863857</v>
      </c>
      <c r="BN413" s="618">
        <f t="shared" si="1059"/>
        <v>663484.6</v>
      </c>
      <c r="BO413" s="618">
        <f t="shared" si="1060"/>
        <v>200372.4</v>
      </c>
      <c r="BP413" s="616">
        <f t="shared" si="1107"/>
        <v>23814</v>
      </c>
      <c r="BQ413" s="616">
        <f t="shared" si="1108"/>
        <v>4753</v>
      </c>
      <c r="BR413" s="616">
        <f t="shared" si="1109"/>
        <v>17052</v>
      </c>
      <c r="BS413" s="616">
        <f t="shared" si="1061"/>
        <v>99519</v>
      </c>
      <c r="BT413" s="616">
        <f t="shared" si="1062"/>
        <v>2548</v>
      </c>
      <c r="BU413" s="616">
        <f t="shared" si="1063"/>
        <v>84672</v>
      </c>
      <c r="BV413" s="616">
        <f t="shared" si="1064"/>
        <v>3577</v>
      </c>
      <c r="BW413" s="616">
        <f t="shared" si="1065"/>
        <v>8722</v>
      </c>
      <c r="BX413" s="616">
        <f t="shared" si="1066"/>
        <v>39805</v>
      </c>
      <c r="BY413" s="616">
        <f t="shared" si="1067"/>
        <v>28420</v>
      </c>
      <c r="BZ413" s="616">
        <f t="shared" si="1068"/>
        <v>2646</v>
      </c>
      <c r="CA413" s="616">
        <f t="shared" si="1069"/>
        <v>3773</v>
      </c>
      <c r="CB413" s="616">
        <f t="shared" si="1070"/>
        <v>392</v>
      </c>
      <c r="CC413" s="616">
        <f t="shared" si="1071"/>
        <v>1911</v>
      </c>
      <c r="CD413" s="616">
        <f t="shared" si="1072"/>
        <v>107582</v>
      </c>
      <c r="CE413" s="618">
        <f t="shared" si="1110"/>
        <v>82628.3</v>
      </c>
      <c r="CF413" s="618">
        <f t="shared" si="1111"/>
        <v>24953.7</v>
      </c>
      <c r="CG413" s="616">
        <f t="shared" si="1073"/>
        <v>0</v>
      </c>
      <c r="CH413" s="621">
        <f t="shared" si="1074"/>
        <v>1188771</v>
      </c>
      <c r="CI413" s="88">
        <f t="shared" si="1075"/>
        <v>17629.734700000001</v>
      </c>
      <c r="CJ413" s="90">
        <f t="shared" si="1076"/>
        <v>13540.502</v>
      </c>
      <c r="CK413" s="90">
        <f t="shared" si="1077"/>
        <v>4089.2327</v>
      </c>
      <c r="CL413" s="88">
        <f t="shared" si="1078"/>
        <v>486</v>
      </c>
      <c r="CM413" s="88">
        <f t="shared" si="1079"/>
        <v>97</v>
      </c>
      <c r="CN413" s="88">
        <f t="shared" si="1080"/>
        <v>348</v>
      </c>
      <c r="CO413" s="88">
        <f t="shared" si="1081"/>
        <v>2031</v>
      </c>
      <c r="CP413" s="88">
        <f t="shared" si="1082"/>
        <v>52</v>
      </c>
      <c r="CQ413" s="88">
        <f t="shared" si="1083"/>
        <v>1728</v>
      </c>
      <c r="CR413" s="88">
        <f t="shared" si="1084"/>
        <v>73</v>
      </c>
      <c r="CS413" s="88">
        <f t="shared" si="1085"/>
        <v>178</v>
      </c>
      <c r="CT413" s="88">
        <f t="shared" si="1086"/>
        <v>812.34690000000001</v>
      </c>
      <c r="CU413" s="88">
        <f t="shared" si="1087"/>
        <v>580</v>
      </c>
      <c r="CV413" s="88">
        <f t="shared" si="1088"/>
        <v>54</v>
      </c>
      <c r="CW413" s="88">
        <f t="shared" si="1089"/>
        <v>77</v>
      </c>
      <c r="CX413" s="88">
        <f t="shared" si="1090"/>
        <v>8</v>
      </c>
      <c r="CY413" s="88">
        <f t="shared" si="1091"/>
        <v>39</v>
      </c>
      <c r="CZ413" s="88">
        <f t="shared" si="1092"/>
        <v>2195.5509999999999</v>
      </c>
      <c r="DA413" s="90">
        <f t="shared" si="1093"/>
        <v>1686.2918</v>
      </c>
      <c r="DB413" s="90">
        <f t="shared" si="1094"/>
        <v>509.25920000000002</v>
      </c>
      <c r="DC413" s="88">
        <f t="shared" si="1095"/>
        <v>0</v>
      </c>
      <c r="DD413" s="88">
        <f t="shared" si="1096"/>
        <v>24260.632699999998</v>
      </c>
      <c r="AUV413" s="699">
        <f t="shared" si="1184"/>
        <v>17629.73</v>
      </c>
      <c r="AUW413" s="699">
        <f t="shared" si="1185"/>
        <v>13540.5</v>
      </c>
      <c r="AUX413" s="699">
        <f t="shared" si="1186"/>
        <v>4089.23</v>
      </c>
      <c r="AUY413" s="699">
        <f t="shared" si="1187"/>
        <v>486</v>
      </c>
      <c r="AUZ413" s="699">
        <f t="shared" si="1204"/>
        <v>1609</v>
      </c>
      <c r="AVA413" s="699">
        <f t="shared" si="1204"/>
        <v>1.32</v>
      </c>
      <c r="AVB413" s="699">
        <f t="shared" si="1188"/>
        <v>2031</v>
      </c>
      <c r="AVC413" s="699">
        <f t="shared" si="1189"/>
        <v>52</v>
      </c>
      <c r="AVD413" s="699">
        <f t="shared" si="1190"/>
        <v>1728</v>
      </c>
      <c r="AVE413" s="699">
        <f t="shared" si="1191"/>
        <v>73</v>
      </c>
      <c r="AVF413" s="699">
        <f t="shared" si="1192"/>
        <v>178</v>
      </c>
      <c r="AVG413" s="699">
        <f t="shared" si="1193"/>
        <v>812.35</v>
      </c>
      <c r="AVH413" s="699">
        <f t="shared" si="1194"/>
        <v>580</v>
      </c>
      <c r="AVI413" s="699">
        <f t="shared" si="1195"/>
        <v>54</v>
      </c>
      <c r="AVJ413" s="699">
        <f t="shared" si="1196"/>
        <v>77</v>
      </c>
      <c r="AVK413" s="699">
        <f t="shared" si="1197"/>
        <v>8</v>
      </c>
      <c r="AVL413" s="699">
        <f t="shared" si="1198"/>
        <v>39</v>
      </c>
      <c r="AVM413" s="699">
        <f t="shared" si="1199"/>
        <v>2195.5500000000002</v>
      </c>
      <c r="AVN413" s="699">
        <f t="shared" si="1200"/>
        <v>1686.29</v>
      </c>
      <c r="AVO413" s="699">
        <f t="shared" si="1201"/>
        <v>509.26</v>
      </c>
      <c r="AVP413" s="699">
        <f t="shared" si="1202"/>
        <v>0</v>
      </c>
      <c r="AVQ413" s="699">
        <f t="shared" si="1203"/>
        <v>24260.63</v>
      </c>
    </row>
    <row r="414" spans="1:108 1244:1265" ht="30" customHeight="1" x14ac:dyDescent="0.25">
      <c r="A414" s="643">
        <v>1</v>
      </c>
      <c r="B414" s="643">
        <v>10</v>
      </c>
      <c r="C414" s="664" t="s">
        <v>251</v>
      </c>
      <c r="D414" s="2"/>
      <c r="E414" s="101" t="s">
        <v>346</v>
      </c>
      <c r="F414" s="643" t="s">
        <v>39</v>
      </c>
      <c r="G414" s="643">
        <v>3</v>
      </c>
      <c r="H414" s="658" t="s">
        <v>10</v>
      </c>
      <c r="I414" s="643">
        <v>0</v>
      </c>
      <c r="J414" s="101" t="s">
        <v>365</v>
      </c>
      <c r="K414" s="643">
        <v>2</v>
      </c>
      <c r="L414" s="683" t="s">
        <v>351</v>
      </c>
      <c r="M414" s="11" t="s">
        <v>271</v>
      </c>
      <c r="N414" s="101" t="s">
        <v>387</v>
      </c>
      <c r="O414" s="643">
        <v>1</v>
      </c>
      <c r="P414" s="632">
        <v>1</v>
      </c>
      <c r="Q414" s="632">
        <v>1</v>
      </c>
      <c r="R414" s="632">
        <v>1</v>
      </c>
      <c r="S414" s="675">
        <f>SUMIF('Территориальный кк'!$A:$A,'2020'!$B414,'Территориальный кк'!D:D)</f>
        <v>1.3620000000000001</v>
      </c>
      <c r="T414" s="676">
        <f>SUMIF('Территориальный кк'!$A:$A,'2020'!$B414,'Территориальный кк'!E:E)</f>
        <v>2.9540000000000002</v>
      </c>
      <c r="U414" s="618">
        <f>SUMIFS(Нормативы!G:G,Нормативы!$B:$B,$G414,Нормативы!$D:$D,'2020'!$I414,Нормативы!$F:$F,'2020'!$K414)*O414</f>
        <v>78450</v>
      </c>
      <c r="V414" s="618">
        <f t="shared" si="1097"/>
        <v>60253.5</v>
      </c>
      <c r="W414" s="618">
        <f t="shared" si="1098"/>
        <v>18196.5</v>
      </c>
      <c r="X414" s="618">
        <f>SUMIFS(Нормативы!J:J,Нормативы!$B:$B,$G414,Нормативы!$D:$D,'2020'!$I414,Нормативы!$F:$F,'2020'!$K414)</f>
        <v>1610</v>
      </c>
      <c r="Y414" s="618">
        <f>SUMIFS(Нормативы!K:K,Нормативы!$B:$B,$G414,Нормативы!$D:$D,'2020'!$I414,Нормативы!$F:$F,'2020'!$K414)</f>
        <v>322</v>
      </c>
      <c r="Z414" s="618">
        <f>SUMIFS(Нормативы!L:L,Нормативы!$B:$B,$G414,Нормативы!$D:$D,'2020'!$I414,Нормативы!$F:$F,'2020'!$K414)</f>
        <v>3480</v>
      </c>
      <c r="AA414" s="618">
        <f t="shared" si="1099"/>
        <v>8580</v>
      </c>
      <c r="AB414" s="618">
        <f>SUMIFS(Нормативы!N:N,Нормативы!$B:$B,$G414,Нормативы!$D:$D,'2020'!$I414,Нормативы!$F:$F,'2020'!$K414)*O414</f>
        <v>880</v>
      </c>
      <c r="AC414" s="618">
        <f>SUMIFS(Нормативы!O:O,Нормативы!$B:$B,$G414,Нормативы!$D:$D,'2020'!$I414,Нормативы!$F:$F,'2020'!$K414)</f>
        <v>6180</v>
      </c>
      <c r="AD414" s="618">
        <f>SUMIFS(Нормативы!P:P,Нормативы!$B:$B,$G414,Нормативы!$D:$D,'2020'!$I414,Нормативы!$F:$F,'2020'!$K414)*O414</f>
        <v>440</v>
      </c>
      <c r="AE414" s="618">
        <f>SUMIFS(Нормативы!Q:Q,Нормативы!$B:$B,$G414,Нормативы!$D:$D,'2020'!$I414,Нормативы!$F:$F,'2020'!$K414)</f>
        <v>1080</v>
      </c>
      <c r="AF414" s="618">
        <f>SUMIFS(Нормативы!R:R,Нормативы!$B:$B,$G414,Нормативы!$D:$D,'2020'!$I414,Нормативы!$F:$F,'2020'!$K414)</f>
        <v>2490</v>
      </c>
      <c r="AG414" s="618">
        <f>SUMIFS(Нормативы!S:S,Нормативы!$B:$B,$G414,Нормативы!$D:$D,'2020'!$I414,Нормативы!$F:$F,'2020'!$K414)</f>
        <v>5800</v>
      </c>
      <c r="AH414" s="618">
        <f>SUMIFS(Нормативы!T:T,Нормативы!$B:$B,$G414,Нормативы!$D:$D,'2020'!$I414,Нормативы!$F:$F,'2020'!$K414)</f>
        <v>540</v>
      </c>
      <c r="AI414" s="618">
        <f>SUMIFS(Нормативы!U:U,Нормативы!$B:$B,$G414,Нормативы!$D:$D,'2020'!$I414,Нормативы!$F:$F,'2020'!$K414)</f>
        <v>770</v>
      </c>
      <c r="AJ414" s="618">
        <f>SUMIFS(Нормативы!V:V,Нормативы!$B:$B,$G414,Нормативы!$D:$D,'2020'!$I414,Нормативы!$F:$F,'2020'!$K414)</f>
        <v>170</v>
      </c>
      <c r="AK414" s="618">
        <f>SUMIFS(Нормативы!W:W,Нормативы!$B:$B,$G414,Нормативы!$D:$D,'2020'!$I414,Нормативы!$F:$F,'2020'!$K414)</f>
        <v>200</v>
      </c>
      <c r="AL414" s="618">
        <f>SUMIFS(Нормативы!X:X,Нормативы!$B:$B,$G414,Нормативы!$D:$D,'2020'!$I414,Нормативы!$F:$F,'2020'!$K414)*O414</f>
        <v>13440</v>
      </c>
      <c r="AM414" s="618">
        <f t="shared" si="1100"/>
        <v>10322.6</v>
      </c>
      <c r="AN414" s="618">
        <f t="shared" si="1101"/>
        <v>3117.4</v>
      </c>
      <c r="AO414" s="618">
        <f>SUMIFS(Нормативы!AA:AA,Нормативы!$B:$B,$G414,Нормативы!$D:$D,'2020'!$I414,Нормативы!$F:$F,'2020'!$K414)</f>
        <v>0</v>
      </c>
      <c r="AP414" s="619">
        <f t="shared" si="1102"/>
        <v>115530</v>
      </c>
      <c r="AQ414" s="413">
        <f t="shared" si="1040"/>
        <v>78450</v>
      </c>
      <c r="AR414" s="618">
        <f t="shared" si="1103"/>
        <v>60253.5</v>
      </c>
      <c r="AS414" s="618">
        <f t="shared" si="1104"/>
        <v>18196.5</v>
      </c>
      <c r="AT414" s="616">
        <f t="shared" si="1041"/>
        <v>1610</v>
      </c>
      <c r="AU414" s="616">
        <f t="shared" si="1042"/>
        <v>322</v>
      </c>
      <c r="AV414" s="616">
        <f t="shared" si="1043"/>
        <v>3480</v>
      </c>
      <c r="AW414" s="616">
        <f t="shared" si="1044"/>
        <v>8580</v>
      </c>
      <c r="AX414" s="616">
        <f t="shared" si="1045"/>
        <v>880</v>
      </c>
      <c r="AY414" s="616">
        <f t="shared" si="1046"/>
        <v>6180</v>
      </c>
      <c r="AZ414" s="616">
        <f t="shared" si="1047"/>
        <v>440</v>
      </c>
      <c r="BA414" s="616">
        <f t="shared" si="1048"/>
        <v>1080</v>
      </c>
      <c r="BB414" s="616">
        <f t="shared" si="1049"/>
        <v>2490</v>
      </c>
      <c r="BC414" s="616">
        <f t="shared" si="1050"/>
        <v>5800</v>
      </c>
      <c r="BD414" s="616">
        <f t="shared" si="1051"/>
        <v>540</v>
      </c>
      <c r="BE414" s="616">
        <f t="shared" si="1052"/>
        <v>770</v>
      </c>
      <c r="BF414" s="616">
        <f t="shared" si="1053"/>
        <v>170</v>
      </c>
      <c r="BG414" s="616">
        <f t="shared" si="1054"/>
        <v>200</v>
      </c>
      <c r="BH414" s="616">
        <f t="shared" si="1055"/>
        <v>13440</v>
      </c>
      <c r="BI414" s="618">
        <f t="shared" si="1105"/>
        <v>10322.6</v>
      </c>
      <c r="BJ414" s="618">
        <f t="shared" si="1106"/>
        <v>3117.4</v>
      </c>
      <c r="BK414" s="616">
        <f t="shared" si="1056"/>
        <v>0</v>
      </c>
      <c r="BL414" s="620">
        <f t="shared" si="1057"/>
        <v>115530</v>
      </c>
      <c r="BM414" s="616">
        <f t="shared" si="1058"/>
        <v>106849</v>
      </c>
      <c r="BN414" s="618">
        <f t="shared" si="1059"/>
        <v>82065.3</v>
      </c>
      <c r="BO414" s="618">
        <f t="shared" si="1060"/>
        <v>24783.7</v>
      </c>
      <c r="BP414" s="616">
        <f t="shared" si="1107"/>
        <v>1610</v>
      </c>
      <c r="BQ414" s="616">
        <f t="shared" si="1108"/>
        <v>322</v>
      </c>
      <c r="BR414" s="616">
        <f t="shared" si="1109"/>
        <v>3480</v>
      </c>
      <c r="BS414" s="616">
        <f t="shared" si="1061"/>
        <v>8580</v>
      </c>
      <c r="BT414" s="616">
        <f t="shared" si="1062"/>
        <v>880</v>
      </c>
      <c r="BU414" s="616">
        <f t="shared" si="1063"/>
        <v>6180</v>
      </c>
      <c r="BV414" s="616">
        <f t="shared" si="1064"/>
        <v>440</v>
      </c>
      <c r="BW414" s="616">
        <f t="shared" si="1065"/>
        <v>1080</v>
      </c>
      <c r="BX414" s="616">
        <f t="shared" si="1066"/>
        <v>7355</v>
      </c>
      <c r="BY414" s="616">
        <f t="shared" si="1067"/>
        <v>5800</v>
      </c>
      <c r="BZ414" s="616">
        <f t="shared" si="1068"/>
        <v>540</v>
      </c>
      <c r="CA414" s="616">
        <f t="shared" si="1069"/>
        <v>770</v>
      </c>
      <c r="CB414" s="616">
        <f t="shared" si="1070"/>
        <v>170</v>
      </c>
      <c r="CC414" s="616">
        <f t="shared" si="1071"/>
        <v>200</v>
      </c>
      <c r="CD414" s="616">
        <f t="shared" si="1072"/>
        <v>18305</v>
      </c>
      <c r="CE414" s="618">
        <f t="shared" si="1110"/>
        <v>14059.1</v>
      </c>
      <c r="CF414" s="618">
        <f t="shared" si="1111"/>
        <v>4245.8999999999996</v>
      </c>
      <c r="CG414" s="616">
        <f t="shared" si="1073"/>
        <v>0</v>
      </c>
      <c r="CH414" s="621">
        <f t="shared" si="1074"/>
        <v>153659</v>
      </c>
      <c r="CI414" s="88">
        <f t="shared" si="1075"/>
        <v>106849</v>
      </c>
      <c r="CJ414" s="90">
        <f t="shared" si="1076"/>
        <v>82065.3</v>
      </c>
      <c r="CK414" s="90">
        <f t="shared" si="1077"/>
        <v>24783.7</v>
      </c>
      <c r="CL414" s="88">
        <f t="shared" si="1078"/>
        <v>1610</v>
      </c>
      <c r="CM414" s="88">
        <f t="shared" si="1079"/>
        <v>322</v>
      </c>
      <c r="CN414" s="88">
        <f t="shared" si="1080"/>
        <v>3480</v>
      </c>
      <c r="CO414" s="88">
        <f t="shared" si="1081"/>
        <v>8580</v>
      </c>
      <c r="CP414" s="88">
        <f t="shared" si="1082"/>
        <v>880</v>
      </c>
      <c r="CQ414" s="88">
        <f t="shared" si="1083"/>
        <v>6180</v>
      </c>
      <c r="CR414" s="88">
        <f t="shared" si="1084"/>
        <v>440</v>
      </c>
      <c r="CS414" s="88">
        <f t="shared" si="1085"/>
        <v>1080</v>
      </c>
      <c r="CT414" s="88">
        <f t="shared" si="1086"/>
        <v>7355</v>
      </c>
      <c r="CU414" s="88">
        <f t="shared" si="1087"/>
        <v>5800</v>
      </c>
      <c r="CV414" s="88">
        <f t="shared" si="1088"/>
        <v>540</v>
      </c>
      <c r="CW414" s="88">
        <f t="shared" si="1089"/>
        <v>770</v>
      </c>
      <c r="CX414" s="88">
        <f t="shared" si="1090"/>
        <v>170</v>
      </c>
      <c r="CY414" s="88">
        <f t="shared" si="1091"/>
        <v>200</v>
      </c>
      <c r="CZ414" s="88">
        <f t="shared" si="1092"/>
        <v>18305</v>
      </c>
      <c r="DA414" s="90">
        <f t="shared" si="1093"/>
        <v>14059.1</v>
      </c>
      <c r="DB414" s="90">
        <f t="shared" si="1094"/>
        <v>4245.8999999999996</v>
      </c>
      <c r="DC414" s="88">
        <f t="shared" si="1095"/>
        <v>0</v>
      </c>
      <c r="DD414" s="88">
        <f t="shared" si="1096"/>
        <v>153659</v>
      </c>
      <c r="AUV414" s="699">
        <f t="shared" si="1184"/>
        <v>106849</v>
      </c>
      <c r="AUW414" s="699">
        <f t="shared" si="1185"/>
        <v>82065.279999999999</v>
      </c>
      <c r="AUX414" s="699">
        <f t="shared" si="1186"/>
        <v>24783.72</v>
      </c>
      <c r="AUY414" s="699">
        <f t="shared" si="1187"/>
        <v>1610</v>
      </c>
      <c r="AUZ414" s="699">
        <f t="shared" si="1204"/>
        <v>109</v>
      </c>
      <c r="AVA414" s="699">
        <f t="shared" si="1204"/>
        <v>0.04</v>
      </c>
      <c r="AVB414" s="699">
        <f t="shared" si="1188"/>
        <v>8580</v>
      </c>
      <c r="AVC414" s="699">
        <f t="shared" si="1189"/>
        <v>880</v>
      </c>
      <c r="AVD414" s="699">
        <f t="shared" si="1190"/>
        <v>6180</v>
      </c>
      <c r="AVE414" s="699">
        <f t="shared" si="1191"/>
        <v>440</v>
      </c>
      <c r="AVF414" s="699">
        <f t="shared" si="1192"/>
        <v>1080</v>
      </c>
      <c r="AVG414" s="699">
        <f t="shared" si="1193"/>
        <v>7355</v>
      </c>
      <c r="AVH414" s="699">
        <f t="shared" si="1194"/>
        <v>5800</v>
      </c>
      <c r="AVI414" s="699">
        <f t="shared" si="1195"/>
        <v>540</v>
      </c>
      <c r="AVJ414" s="699">
        <f t="shared" si="1196"/>
        <v>770</v>
      </c>
      <c r="AVK414" s="699">
        <f t="shared" si="1197"/>
        <v>170</v>
      </c>
      <c r="AVL414" s="699">
        <f t="shared" si="1198"/>
        <v>200</v>
      </c>
      <c r="AVM414" s="699">
        <f t="shared" si="1199"/>
        <v>18305</v>
      </c>
      <c r="AVN414" s="699">
        <f t="shared" si="1200"/>
        <v>14059.14</v>
      </c>
      <c r="AVO414" s="699">
        <f t="shared" si="1201"/>
        <v>4245.8599999999997</v>
      </c>
      <c r="AVP414" s="699">
        <f t="shared" si="1202"/>
        <v>0</v>
      </c>
      <c r="AVQ414" s="699">
        <f t="shared" si="1203"/>
        <v>153659</v>
      </c>
    </row>
    <row r="415" spans="1:108 1244:1265" ht="30" customHeight="1" x14ac:dyDescent="0.25">
      <c r="A415" s="643">
        <v>1</v>
      </c>
      <c r="B415" s="643">
        <v>10</v>
      </c>
      <c r="C415" s="664" t="s">
        <v>251</v>
      </c>
      <c r="D415" s="2"/>
      <c r="E415" s="101" t="s">
        <v>346</v>
      </c>
      <c r="F415" s="643" t="s">
        <v>39</v>
      </c>
      <c r="G415" s="643">
        <v>3</v>
      </c>
      <c r="H415" s="658" t="s">
        <v>10</v>
      </c>
      <c r="I415" s="643">
        <v>0</v>
      </c>
      <c r="J415" s="101" t="s">
        <v>366</v>
      </c>
      <c r="K415" s="643">
        <v>3</v>
      </c>
      <c r="L415" s="683" t="s">
        <v>351</v>
      </c>
      <c r="M415" s="11" t="s">
        <v>272</v>
      </c>
      <c r="N415" s="101" t="s">
        <v>387</v>
      </c>
      <c r="O415" s="643">
        <v>1</v>
      </c>
      <c r="P415" s="632"/>
      <c r="Q415" s="632"/>
      <c r="R415" s="632"/>
      <c r="S415" s="675">
        <f>SUMIF('Территориальный кк'!$A:$A,'2020'!$B415,'Территориальный кк'!D:D)</f>
        <v>1.3620000000000001</v>
      </c>
      <c r="T415" s="676">
        <f>SUMIF('Территориальный кк'!$A:$A,'2020'!$B415,'Территориальный кк'!E:E)</f>
        <v>2.9540000000000002</v>
      </c>
      <c r="U415" s="618">
        <f>SUMIFS(Нормативы!G:G,Нормативы!$B:$B,$G415,Нормативы!$D:$D,'2020'!$I415,Нормативы!$F:$F,'2020'!$K415)*O415</f>
        <v>78450</v>
      </c>
      <c r="V415" s="618">
        <f t="shared" si="1097"/>
        <v>60253.5</v>
      </c>
      <c r="W415" s="618">
        <f t="shared" si="1098"/>
        <v>18196.5</v>
      </c>
      <c r="X415" s="618">
        <f>SUMIFS(Нормативы!J:J,Нормативы!$B:$B,$G415,Нормативы!$D:$D,'2020'!$I415,Нормативы!$F:$F,'2020'!$K415)</f>
        <v>6840</v>
      </c>
      <c r="Y415" s="618">
        <f>SUMIFS(Нормативы!K:K,Нормативы!$B:$B,$G415,Нормативы!$D:$D,'2020'!$I415,Нормативы!$F:$F,'2020'!$K415)</f>
        <v>1368</v>
      </c>
      <c r="Z415" s="618">
        <f>SUMIFS(Нормативы!L:L,Нормативы!$B:$B,$G415,Нормативы!$D:$D,'2020'!$I415,Нормативы!$F:$F,'2020'!$K415)</f>
        <v>8110</v>
      </c>
      <c r="AA415" s="618">
        <f t="shared" si="1099"/>
        <v>23360</v>
      </c>
      <c r="AB415" s="618">
        <f>SUMIFS(Нормативы!N:N,Нормативы!$B:$B,$G415,Нормативы!$D:$D,'2020'!$I415,Нормативы!$F:$F,'2020'!$K415)*O415</f>
        <v>880</v>
      </c>
      <c r="AC415" s="618">
        <f>SUMIFS(Нормативы!O:O,Нормативы!$B:$B,$G415,Нормативы!$D:$D,'2020'!$I415,Нормативы!$F:$F,'2020'!$K415)</f>
        <v>20960</v>
      </c>
      <c r="AD415" s="618">
        <f>SUMIFS(Нормативы!P:P,Нормативы!$B:$B,$G415,Нормативы!$D:$D,'2020'!$I415,Нормативы!$F:$F,'2020'!$K415)*O415</f>
        <v>440</v>
      </c>
      <c r="AE415" s="618">
        <f>SUMIFS(Нормативы!Q:Q,Нормативы!$B:$B,$G415,Нормативы!$D:$D,'2020'!$I415,Нормативы!$F:$F,'2020'!$K415)</f>
        <v>1080</v>
      </c>
      <c r="AF415" s="618">
        <f>SUMIFS(Нормативы!R:R,Нормативы!$B:$B,$G415,Нормативы!$D:$D,'2020'!$I415,Нормативы!$F:$F,'2020'!$K415)</f>
        <v>2700</v>
      </c>
      <c r="AG415" s="618">
        <f>SUMIFS(Нормативы!S:S,Нормативы!$B:$B,$G415,Нормативы!$D:$D,'2020'!$I415,Нормативы!$F:$F,'2020'!$K415)</f>
        <v>5800</v>
      </c>
      <c r="AH415" s="618">
        <f>SUMIFS(Нормативы!T:T,Нормативы!$B:$B,$G415,Нормативы!$D:$D,'2020'!$I415,Нормативы!$F:$F,'2020'!$K415)</f>
        <v>540</v>
      </c>
      <c r="AI415" s="618">
        <f>SUMIFS(Нормативы!U:U,Нормативы!$B:$B,$G415,Нормативы!$D:$D,'2020'!$I415,Нормативы!$F:$F,'2020'!$K415)</f>
        <v>770</v>
      </c>
      <c r="AJ415" s="618">
        <f>SUMIFS(Нормативы!V:V,Нормативы!$B:$B,$G415,Нормативы!$D:$D,'2020'!$I415,Нормативы!$F:$F,'2020'!$K415)</f>
        <v>170</v>
      </c>
      <c r="AK415" s="618">
        <f>SUMIFS(Нормативы!W:W,Нормативы!$B:$B,$G415,Нормативы!$D:$D,'2020'!$I415,Нормативы!$F:$F,'2020'!$K415)</f>
        <v>200</v>
      </c>
      <c r="AL415" s="618">
        <f>SUMIFS(Нормативы!X:X,Нормативы!$B:$B,$G415,Нормативы!$D:$D,'2020'!$I415,Нормативы!$F:$F,'2020'!$K415)*O415</f>
        <v>13440</v>
      </c>
      <c r="AM415" s="618">
        <f t="shared" si="1100"/>
        <v>10322.6</v>
      </c>
      <c r="AN415" s="618">
        <f t="shared" si="1101"/>
        <v>3117.4</v>
      </c>
      <c r="AO415" s="618">
        <f>SUMIFS(Нормативы!AA:AA,Нормативы!$B:$B,$G415,Нормативы!$D:$D,'2020'!$I415,Нормативы!$F:$F,'2020'!$K415)</f>
        <v>0</v>
      </c>
      <c r="AP415" s="619">
        <f t="shared" si="1102"/>
        <v>140380</v>
      </c>
      <c r="AQ415" s="413">
        <f t="shared" si="1040"/>
        <v>0</v>
      </c>
      <c r="AR415" s="618">
        <f t="shared" si="1103"/>
        <v>0</v>
      </c>
      <c r="AS415" s="618">
        <f t="shared" si="1104"/>
        <v>0</v>
      </c>
      <c r="AT415" s="616">
        <f t="shared" si="1041"/>
        <v>0</v>
      </c>
      <c r="AU415" s="616">
        <f t="shared" si="1042"/>
        <v>0</v>
      </c>
      <c r="AV415" s="616">
        <f t="shared" si="1043"/>
        <v>0</v>
      </c>
      <c r="AW415" s="616">
        <f t="shared" si="1044"/>
        <v>0</v>
      </c>
      <c r="AX415" s="616">
        <f t="shared" si="1045"/>
        <v>0</v>
      </c>
      <c r="AY415" s="616">
        <f t="shared" si="1046"/>
        <v>0</v>
      </c>
      <c r="AZ415" s="616">
        <f t="shared" si="1047"/>
        <v>0</v>
      </c>
      <c r="BA415" s="616">
        <f t="shared" si="1048"/>
        <v>0</v>
      </c>
      <c r="BB415" s="616">
        <f t="shared" si="1049"/>
        <v>0</v>
      </c>
      <c r="BC415" s="616">
        <f t="shared" si="1050"/>
        <v>0</v>
      </c>
      <c r="BD415" s="616">
        <f t="shared" si="1051"/>
        <v>0</v>
      </c>
      <c r="BE415" s="616">
        <f t="shared" si="1052"/>
        <v>0</v>
      </c>
      <c r="BF415" s="616">
        <f t="shared" si="1053"/>
        <v>0</v>
      </c>
      <c r="BG415" s="616">
        <f t="shared" si="1054"/>
        <v>0</v>
      </c>
      <c r="BH415" s="616">
        <f t="shared" si="1055"/>
        <v>0</v>
      </c>
      <c r="BI415" s="618">
        <f t="shared" si="1105"/>
        <v>0</v>
      </c>
      <c r="BJ415" s="618">
        <f t="shared" si="1106"/>
        <v>0</v>
      </c>
      <c r="BK415" s="616">
        <f t="shared" si="1056"/>
        <v>0</v>
      </c>
      <c r="BL415" s="620">
        <f t="shared" si="1057"/>
        <v>0</v>
      </c>
      <c r="BM415" s="616">
        <f t="shared" si="1058"/>
        <v>0</v>
      </c>
      <c r="BN415" s="618">
        <f t="shared" si="1059"/>
        <v>0</v>
      </c>
      <c r="BO415" s="618">
        <f t="shared" si="1060"/>
        <v>0</v>
      </c>
      <c r="BP415" s="616">
        <f t="shared" si="1107"/>
        <v>0</v>
      </c>
      <c r="BQ415" s="616">
        <f t="shared" si="1108"/>
        <v>0</v>
      </c>
      <c r="BR415" s="616">
        <f t="shared" si="1109"/>
        <v>0</v>
      </c>
      <c r="BS415" s="616">
        <f t="shared" si="1061"/>
        <v>0</v>
      </c>
      <c r="BT415" s="616">
        <f t="shared" si="1062"/>
        <v>0</v>
      </c>
      <c r="BU415" s="616">
        <f t="shared" si="1063"/>
        <v>0</v>
      </c>
      <c r="BV415" s="616">
        <f t="shared" si="1064"/>
        <v>0</v>
      </c>
      <c r="BW415" s="616">
        <f t="shared" si="1065"/>
        <v>0</v>
      </c>
      <c r="BX415" s="616">
        <f t="shared" si="1066"/>
        <v>0</v>
      </c>
      <c r="BY415" s="616">
        <f t="shared" si="1067"/>
        <v>0</v>
      </c>
      <c r="BZ415" s="616">
        <f t="shared" si="1068"/>
        <v>0</v>
      </c>
      <c r="CA415" s="616">
        <f t="shared" si="1069"/>
        <v>0</v>
      </c>
      <c r="CB415" s="616">
        <f t="shared" si="1070"/>
        <v>0</v>
      </c>
      <c r="CC415" s="616">
        <f t="shared" si="1071"/>
        <v>0</v>
      </c>
      <c r="CD415" s="616">
        <f t="shared" si="1072"/>
        <v>0</v>
      </c>
      <c r="CE415" s="618">
        <f t="shared" si="1110"/>
        <v>0</v>
      </c>
      <c r="CF415" s="618">
        <f t="shared" si="1111"/>
        <v>0</v>
      </c>
      <c r="CG415" s="616">
        <f t="shared" si="1073"/>
        <v>0</v>
      </c>
      <c r="CH415" s="621">
        <f t="shared" si="1074"/>
        <v>0</v>
      </c>
      <c r="CI415" s="88" t="e">
        <f t="shared" si="1075"/>
        <v>#DIV/0!</v>
      </c>
      <c r="CJ415" s="90" t="e">
        <f t="shared" si="1076"/>
        <v>#DIV/0!</v>
      </c>
      <c r="CK415" s="90" t="e">
        <f t="shared" si="1077"/>
        <v>#DIV/0!</v>
      </c>
      <c r="CL415" s="88" t="e">
        <f t="shared" si="1078"/>
        <v>#DIV/0!</v>
      </c>
      <c r="CM415" s="88" t="e">
        <f t="shared" si="1079"/>
        <v>#DIV/0!</v>
      </c>
      <c r="CN415" s="88" t="e">
        <f t="shared" si="1080"/>
        <v>#DIV/0!</v>
      </c>
      <c r="CO415" s="88" t="e">
        <f t="shared" si="1081"/>
        <v>#DIV/0!</v>
      </c>
      <c r="CP415" s="88" t="e">
        <f t="shared" si="1082"/>
        <v>#DIV/0!</v>
      </c>
      <c r="CQ415" s="88" t="e">
        <f t="shared" si="1083"/>
        <v>#DIV/0!</v>
      </c>
      <c r="CR415" s="88" t="e">
        <f t="shared" si="1084"/>
        <v>#DIV/0!</v>
      </c>
      <c r="CS415" s="88" t="e">
        <f t="shared" si="1085"/>
        <v>#DIV/0!</v>
      </c>
      <c r="CT415" s="88" t="e">
        <f t="shared" si="1086"/>
        <v>#DIV/0!</v>
      </c>
      <c r="CU415" s="88" t="e">
        <f t="shared" si="1087"/>
        <v>#DIV/0!</v>
      </c>
      <c r="CV415" s="88" t="e">
        <f t="shared" si="1088"/>
        <v>#DIV/0!</v>
      </c>
      <c r="CW415" s="88" t="e">
        <f t="shared" si="1089"/>
        <v>#DIV/0!</v>
      </c>
      <c r="CX415" s="88" t="e">
        <f t="shared" si="1090"/>
        <v>#DIV/0!</v>
      </c>
      <c r="CY415" s="88" t="e">
        <f t="shared" si="1091"/>
        <v>#DIV/0!</v>
      </c>
      <c r="CZ415" s="88" t="e">
        <f t="shared" si="1092"/>
        <v>#DIV/0!</v>
      </c>
      <c r="DA415" s="90" t="e">
        <f t="shared" si="1093"/>
        <v>#DIV/0!</v>
      </c>
      <c r="DB415" s="90" t="e">
        <f t="shared" si="1094"/>
        <v>#DIV/0!</v>
      </c>
      <c r="DC415" s="88" t="e">
        <f t="shared" si="1095"/>
        <v>#DIV/0!</v>
      </c>
      <c r="DD415" s="88" t="e">
        <f t="shared" si="1096"/>
        <v>#DIV/0!</v>
      </c>
      <c r="AUV415" s="699">
        <v>0</v>
      </c>
      <c r="AUW415" s="699">
        <f t="shared" si="1185"/>
        <v>0</v>
      </c>
      <c r="AUX415" s="699">
        <f t="shared" si="1186"/>
        <v>0</v>
      </c>
      <c r="AUY415" s="699">
        <f t="shared" si="1204"/>
        <v>0</v>
      </c>
      <c r="AUZ415" s="699">
        <f t="shared" si="1204"/>
        <v>0</v>
      </c>
      <c r="AVA415" s="699">
        <f t="shared" si="1204"/>
        <v>0</v>
      </c>
      <c r="AVB415" s="699">
        <f t="shared" si="1204"/>
        <v>0</v>
      </c>
      <c r="AVC415" s="697"/>
      <c r="AVD415" s="697"/>
      <c r="AVE415" s="697"/>
      <c r="AVF415" s="697"/>
      <c r="AVG415" s="697"/>
      <c r="AVH415" s="697"/>
      <c r="AVI415" s="697"/>
      <c r="AVJ415" s="697"/>
      <c r="AVK415" s="697"/>
      <c r="AVL415" s="697"/>
      <c r="AVM415" s="697"/>
      <c r="AVN415" s="697"/>
      <c r="AVO415" s="697"/>
      <c r="AVP415" s="697"/>
      <c r="AVQ415" s="697"/>
    </row>
    <row r="416" spans="1:108 1244:1265" ht="30" customHeight="1" x14ac:dyDescent="0.25">
      <c r="A416" s="643">
        <v>1</v>
      </c>
      <c r="B416" s="643">
        <v>10</v>
      </c>
      <c r="C416" s="664" t="s">
        <v>251</v>
      </c>
      <c r="D416" s="2"/>
      <c r="E416" s="101" t="s">
        <v>346</v>
      </c>
      <c r="F416" s="643" t="s">
        <v>39</v>
      </c>
      <c r="G416" s="643">
        <v>3</v>
      </c>
      <c r="H416" s="658" t="s">
        <v>10</v>
      </c>
      <c r="I416" s="643">
        <v>0</v>
      </c>
      <c r="J416" s="101" t="s">
        <v>367</v>
      </c>
      <c r="K416" s="643">
        <v>3</v>
      </c>
      <c r="L416" s="683" t="s">
        <v>351</v>
      </c>
      <c r="M416" s="11" t="s">
        <v>273</v>
      </c>
      <c r="N416" s="101" t="s">
        <v>387</v>
      </c>
      <c r="O416" s="643">
        <v>1</v>
      </c>
      <c r="P416" s="632">
        <v>11</v>
      </c>
      <c r="Q416" s="632">
        <v>11</v>
      </c>
      <c r="R416" s="632">
        <v>11</v>
      </c>
      <c r="S416" s="675">
        <f>SUMIF('Территориальный кк'!$A:$A,'2020'!$B416,'Территориальный кк'!D:D)</f>
        <v>1.3620000000000001</v>
      </c>
      <c r="T416" s="676">
        <f>SUMIF('Территориальный кк'!$A:$A,'2020'!$B416,'Территориальный кк'!E:E)</f>
        <v>2.9540000000000002</v>
      </c>
      <c r="U416" s="618">
        <f>SUMIFS(Нормативы!G:G,Нормативы!$B:$B,$G416,Нормативы!$D:$D,'2020'!$I416,Нормативы!$F:$F,'2020'!$K416)*O416</f>
        <v>78450</v>
      </c>
      <c r="V416" s="618">
        <f t="shared" si="1097"/>
        <v>60253.5</v>
      </c>
      <c r="W416" s="618">
        <f t="shared" si="1098"/>
        <v>18196.5</v>
      </c>
      <c r="X416" s="618">
        <f>SUMIFS(Нормативы!J:J,Нормативы!$B:$B,$G416,Нормативы!$D:$D,'2020'!$I416,Нормативы!$F:$F,'2020'!$K416)</f>
        <v>6840</v>
      </c>
      <c r="Y416" s="618">
        <f>SUMIFS(Нормативы!K:K,Нормативы!$B:$B,$G416,Нормативы!$D:$D,'2020'!$I416,Нормативы!$F:$F,'2020'!$K416)</f>
        <v>1368</v>
      </c>
      <c r="Z416" s="618">
        <f>SUMIFS(Нормативы!L:L,Нормативы!$B:$B,$G416,Нормативы!$D:$D,'2020'!$I416,Нормативы!$F:$F,'2020'!$K416)</f>
        <v>8110</v>
      </c>
      <c r="AA416" s="618">
        <f t="shared" si="1099"/>
        <v>23360</v>
      </c>
      <c r="AB416" s="618">
        <f>SUMIFS(Нормативы!N:N,Нормативы!$B:$B,$G416,Нормативы!$D:$D,'2020'!$I416,Нормативы!$F:$F,'2020'!$K416)*O416</f>
        <v>880</v>
      </c>
      <c r="AC416" s="618">
        <f>SUMIFS(Нормативы!O:O,Нормативы!$B:$B,$G416,Нормативы!$D:$D,'2020'!$I416,Нормативы!$F:$F,'2020'!$K416)</f>
        <v>20960</v>
      </c>
      <c r="AD416" s="618">
        <f>SUMIFS(Нормативы!P:P,Нормативы!$B:$B,$G416,Нормативы!$D:$D,'2020'!$I416,Нормативы!$F:$F,'2020'!$K416)*O416</f>
        <v>440</v>
      </c>
      <c r="AE416" s="618">
        <f>SUMIFS(Нормативы!Q:Q,Нормативы!$B:$B,$G416,Нормативы!$D:$D,'2020'!$I416,Нормативы!$F:$F,'2020'!$K416)</f>
        <v>1080</v>
      </c>
      <c r="AF416" s="618">
        <f>SUMIFS(Нормативы!R:R,Нормативы!$B:$B,$G416,Нормативы!$D:$D,'2020'!$I416,Нормативы!$F:$F,'2020'!$K416)</f>
        <v>2700</v>
      </c>
      <c r="AG416" s="618">
        <f>SUMIFS(Нормативы!S:S,Нормативы!$B:$B,$G416,Нормативы!$D:$D,'2020'!$I416,Нормативы!$F:$F,'2020'!$K416)</f>
        <v>5800</v>
      </c>
      <c r="AH416" s="618">
        <f>SUMIFS(Нормативы!T:T,Нормативы!$B:$B,$G416,Нормативы!$D:$D,'2020'!$I416,Нормативы!$F:$F,'2020'!$K416)</f>
        <v>540</v>
      </c>
      <c r="AI416" s="618">
        <f>SUMIFS(Нормативы!U:U,Нормативы!$B:$B,$G416,Нормативы!$D:$D,'2020'!$I416,Нормативы!$F:$F,'2020'!$K416)</f>
        <v>770</v>
      </c>
      <c r="AJ416" s="618">
        <f>SUMIFS(Нормативы!V:V,Нормативы!$B:$B,$G416,Нормативы!$D:$D,'2020'!$I416,Нормативы!$F:$F,'2020'!$K416)</f>
        <v>170</v>
      </c>
      <c r="AK416" s="618">
        <f>SUMIFS(Нормативы!W:W,Нормативы!$B:$B,$G416,Нормативы!$D:$D,'2020'!$I416,Нормативы!$F:$F,'2020'!$K416)</f>
        <v>200</v>
      </c>
      <c r="AL416" s="618">
        <f>SUMIFS(Нормативы!X:X,Нормативы!$B:$B,$G416,Нормативы!$D:$D,'2020'!$I416,Нормативы!$F:$F,'2020'!$K416)*O416</f>
        <v>13440</v>
      </c>
      <c r="AM416" s="618">
        <f t="shared" si="1100"/>
        <v>10322.6</v>
      </c>
      <c r="AN416" s="618">
        <f t="shared" si="1101"/>
        <v>3117.4</v>
      </c>
      <c r="AO416" s="618">
        <f>SUMIFS(Нормативы!AA:AA,Нормативы!$B:$B,$G416,Нормативы!$D:$D,'2020'!$I416,Нормативы!$F:$F,'2020'!$K416)</f>
        <v>0</v>
      </c>
      <c r="AP416" s="619">
        <f t="shared" si="1102"/>
        <v>140380</v>
      </c>
      <c r="AQ416" s="413">
        <f t="shared" si="1040"/>
        <v>862950</v>
      </c>
      <c r="AR416" s="618">
        <f t="shared" si="1103"/>
        <v>662788</v>
      </c>
      <c r="AS416" s="618">
        <f t="shared" si="1104"/>
        <v>200162</v>
      </c>
      <c r="AT416" s="616">
        <f t="shared" si="1041"/>
        <v>75240</v>
      </c>
      <c r="AU416" s="616">
        <f t="shared" si="1042"/>
        <v>15048</v>
      </c>
      <c r="AV416" s="616">
        <f t="shared" si="1043"/>
        <v>89210</v>
      </c>
      <c r="AW416" s="616">
        <f t="shared" si="1044"/>
        <v>256960</v>
      </c>
      <c r="AX416" s="616">
        <f t="shared" si="1045"/>
        <v>9680</v>
      </c>
      <c r="AY416" s="616">
        <f t="shared" si="1046"/>
        <v>230560</v>
      </c>
      <c r="AZ416" s="616">
        <f t="shared" si="1047"/>
        <v>4840</v>
      </c>
      <c r="BA416" s="616">
        <f t="shared" si="1048"/>
        <v>11880</v>
      </c>
      <c r="BB416" s="616">
        <f t="shared" si="1049"/>
        <v>29700</v>
      </c>
      <c r="BC416" s="616">
        <f t="shared" si="1050"/>
        <v>63800</v>
      </c>
      <c r="BD416" s="616">
        <f t="shared" si="1051"/>
        <v>5940</v>
      </c>
      <c r="BE416" s="616">
        <f t="shared" si="1052"/>
        <v>8470</v>
      </c>
      <c r="BF416" s="616">
        <f t="shared" si="1053"/>
        <v>1870</v>
      </c>
      <c r="BG416" s="616">
        <f t="shared" si="1054"/>
        <v>2200</v>
      </c>
      <c r="BH416" s="616">
        <f t="shared" si="1055"/>
        <v>147840</v>
      </c>
      <c r="BI416" s="618">
        <f t="shared" si="1105"/>
        <v>113548.4</v>
      </c>
      <c r="BJ416" s="618">
        <f t="shared" si="1106"/>
        <v>34291.599999999999</v>
      </c>
      <c r="BK416" s="616">
        <f t="shared" si="1056"/>
        <v>0</v>
      </c>
      <c r="BL416" s="620">
        <f t="shared" si="1057"/>
        <v>1544180</v>
      </c>
      <c r="BM416" s="616">
        <f t="shared" si="1058"/>
        <v>1175338</v>
      </c>
      <c r="BN416" s="618">
        <f t="shared" si="1059"/>
        <v>902717.4</v>
      </c>
      <c r="BO416" s="618">
        <f t="shared" si="1060"/>
        <v>272620.59999999998</v>
      </c>
      <c r="BP416" s="616">
        <f t="shared" si="1107"/>
        <v>75240</v>
      </c>
      <c r="BQ416" s="616">
        <f t="shared" si="1108"/>
        <v>15048</v>
      </c>
      <c r="BR416" s="616">
        <f t="shared" si="1109"/>
        <v>89210</v>
      </c>
      <c r="BS416" s="616">
        <f t="shared" si="1061"/>
        <v>256960</v>
      </c>
      <c r="BT416" s="616">
        <f t="shared" si="1062"/>
        <v>9680</v>
      </c>
      <c r="BU416" s="616">
        <f t="shared" si="1063"/>
        <v>230560</v>
      </c>
      <c r="BV416" s="616">
        <f t="shared" si="1064"/>
        <v>4840</v>
      </c>
      <c r="BW416" s="616">
        <f t="shared" si="1065"/>
        <v>11880</v>
      </c>
      <c r="BX416" s="616">
        <f t="shared" si="1066"/>
        <v>87734</v>
      </c>
      <c r="BY416" s="616">
        <f t="shared" si="1067"/>
        <v>63800</v>
      </c>
      <c r="BZ416" s="616">
        <f t="shared" si="1068"/>
        <v>5940</v>
      </c>
      <c r="CA416" s="616">
        <f t="shared" si="1069"/>
        <v>8470</v>
      </c>
      <c r="CB416" s="616">
        <f t="shared" si="1070"/>
        <v>1870</v>
      </c>
      <c r="CC416" s="616">
        <f t="shared" si="1071"/>
        <v>2200</v>
      </c>
      <c r="CD416" s="616">
        <f t="shared" si="1072"/>
        <v>201358</v>
      </c>
      <c r="CE416" s="618">
        <f t="shared" si="1110"/>
        <v>154652.79999999999</v>
      </c>
      <c r="CF416" s="618">
        <f t="shared" si="1111"/>
        <v>46705.2</v>
      </c>
      <c r="CG416" s="616">
        <f t="shared" si="1073"/>
        <v>0</v>
      </c>
      <c r="CH416" s="621">
        <f t="shared" si="1074"/>
        <v>1968120</v>
      </c>
      <c r="CI416" s="88">
        <f t="shared" si="1075"/>
        <v>106848.9091</v>
      </c>
      <c r="CJ416" s="90">
        <f t="shared" si="1076"/>
        <v>82065.218200000003</v>
      </c>
      <c r="CK416" s="90">
        <f t="shared" si="1077"/>
        <v>24783.690900000001</v>
      </c>
      <c r="CL416" s="88">
        <f t="shared" si="1078"/>
        <v>6840</v>
      </c>
      <c r="CM416" s="88">
        <f t="shared" si="1079"/>
        <v>1368</v>
      </c>
      <c r="CN416" s="88">
        <f t="shared" si="1080"/>
        <v>8110</v>
      </c>
      <c r="CO416" s="88">
        <f t="shared" si="1081"/>
        <v>23360</v>
      </c>
      <c r="CP416" s="88">
        <f t="shared" si="1082"/>
        <v>880</v>
      </c>
      <c r="CQ416" s="88">
        <f t="shared" si="1083"/>
        <v>20960</v>
      </c>
      <c r="CR416" s="88">
        <f t="shared" si="1084"/>
        <v>440</v>
      </c>
      <c r="CS416" s="88">
        <f t="shared" si="1085"/>
        <v>1080</v>
      </c>
      <c r="CT416" s="88">
        <f t="shared" si="1086"/>
        <v>7975.8181999999997</v>
      </c>
      <c r="CU416" s="88">
        <f t="shared" si="1087"/>
        <v>5800</v>
      </c>
      <c r="CV416" s="88">
        <f t="shared" si="1088"/>
        <v>540</v>
      </c>
      <c r="CW416" s="88">
        <f t="shared" si="1089"/>
        <v>770</v>
      </c>
      <c r="CX416" s="88">
        <f t="shared" si="1090"/>
        <v>170</v>
      </c>
      <c r="CY416" s="88">
        <f t="shared" si="1091"/>
        <v>200</v>
      </c>
      <c r="CZ416" s="88">
        <f t="shared" si="1092"/>
        <v>18305.272700000001</v>
      </c>
      <c r="DA416" s="90">
        <f t="shared" si="1093"/>
        <v>14059.345499999999</v>
      </c>
      <c r="DB416" s="90">
        <f t="shared" si="1094"/>
        <v>4245.9273000000003</v>
      </c>
      <c r="DC416" s="88">
        <f t="shared" si="1095"/>
        <v>0</v>
      </c>
      <c r="DD416" s="88">
        <f t="shared" si="1096"/>
        <v>178920</v>
      </c>
      <c r="AUV416" s="699">
        <f t="shared" si="1184"/>
        <v>106848.91</v>
      </c>
      <c r="AUW416" s="699">
        <f t="shared" si="1185"/>
        <v>82065.22</v>
      </c>
      <c r="AUX416" s="699">
        <f t="shared" si="1186"/>
        <v>24783.69</v>
      </c>
      <c r="AUY416" s="699">
        <f t="shared" ref="AUY416:AUY420" si="1205">BP416/P416</f>
        <v>6840</v>
      </c>
      <c r="AUZ416" s="699">
        <f t="shared" si="1204"/>
        <v>5094.1099999999997</v>
      </c>
      <c r="AVA416" s="699">
        <f t="shared" si="1204"/>
        <v>1.1399999999999999</v>
      </c>
      <c r="AVB416" s="699">
        <f t="shared" ref="AVB416:AVB420" si="1206">AVC416+AVD416+AVE416+AVF416</f>
        <v>23360</v>
      </c>
      <c r="AVC416" s="699">
        <f t="shared" ref="AVC416:AVC420" si="1207">BT416/P416</f>
        <v>880</v>
      </c>
      <c r="AVD416" s="699">
        <f t="shared" ref="AVD416:AVD420" si="1208">BU416/P416</f>
        <v>20960</v>
      </c>
      <c r="AVE416" s="699">
        <f t="shared" ref="AVE416:AVE420" si="1209">BV416/P416</f>
        <v>440</v>
      </c>
      <c r="AVF416" s="699">
        <f t="shared" ref="AVF416:AVF420" si="1210">BW416/P416</f>
        <v>1080</v>
      </c>
      <c r="AVG416" s="699">
        <f t="shared" ref="AVG416:AVG420" si="1211">BX416/P416</f>
        <v>7975.82</v>
      </c>
      <c r="AVH416" s="699">
        <f t="shared" ref="AVH416:AVH420" si="1212">BY416/P416</f>
        <v>5800</v>
      </c>
      <c r="AVI416" s="699">
        <f t="shared" ref="AVI416:AVI420" si="1213">BZ416/P416</f>
        <v>540</v>
      </c>
      <c r="AVJ416" s="699">
        <f t="shared" ref="AVJ416:AVJ420" si="1214">CA416/P416</f>
        <v>770</v>
      </c>
      <c r="AVK416" s="699">
        <f t="shared" ref="AVK416:AVK420" si="1215">CB416/P416</f>
        <v>170</v>
      </c>
      <c r="AVL416" s="699">
        <f t="shared" ref="AVL416:AVL420" si="1216">CC416/P416</f>
        <v>200</v>
      </c>
      <c r="AVM416" s="699">
        <f t="shared" ref="AVM416:AVM420" si="1217">CD416/P416</f>
        <v>18305.27</v>
      </c>
      <c r="AVN416" s="699">
        <f t="shared" ref="AVN416:AVN420" si="1218">AVM416/1.302</f>
        <v>14059.35</v>
      </c>
      <c r="AVO416" s="699">
        <f t="shared" ref="AVO416:AVO420" si="1219">AVM416-AVN416</f>
        <v>4245.92</v>
      </c>
      <c r="AVP416" s="699">
        <f t="shared" ref="AVP416:AVP420" si="1220">CG416/P416</f>
        <v>0</v>
      </c>
      <c r="AVQ416" s="699">
        <f t="shared" ref="AVQ416:AVQ420" si="1221">CH416/P416</f>
        <v>178920</v>
      </c>
    </row>
    <row r="417" spans="1:108 1244:1265" ht="30" customHeight="1" x14ac:dyDescent="0.25">
      <c r="A417" s="643">
        <v>1</v>
      </c>
      <c r="B417" s="643">
        <v>10</v>
      </c>
      <c r="C417" s="664" t="s">
        <v>251</v>
      </c>
      <c r="D417" s="2"/>
      <c r="E417" s="101" t="s">
        <v>344</v>
      </c>
      <c r="F417" s="643" t="s">
        <v>31</v>
      </c>
      <c r="G417" s="643">
        <v>1</v>
      </c>
      <c r="H417" s="658" t="s">
        <v>10</v>
      </c>
      <c r="I417" s="643">
        <v>0</v>
      </c>
      <c r="J417" s="101" t="s">
        <v>371</v>
      </c>
      <c r="K417" s="643">
        <v>1</v>
      </c>
      <c r="L417" s="683" t="s">
        <v>349</v>
      </c>
      <c r="M417" s="11" t="s">
        <v>312</v>
      </c>
      <c r="N417" s="101" t="s">
        <v>387</v>
      </c>
      <c r="O417" s="643">
        <v>1</v>
      </c>
      <c r="P417" s="632">
        <v>25</v>
      </c>
      <c r="Q417" s="632">
        <v>25</v>
      </c>
      <c r="R417" s="632">
        <v>25</v>
      </c>
      <c r="S417" s="675">
        <f>SUMIF('Территориальный кк'!$A:$A,'2020'!$B417,'Территориальный кк'!D:D)</f>
        <v>1.3620000000000001</v>
      </c>
      <c r="T417" s="676">
        <f>SUMIF('Территориальный кк'!$A:$A,'2020'!$B417,'Территориальный кк'!E:E)</f>
        <v>2.9540000000000002</v>
      </c>
      <c r="U417" s="618">
        <f>SUMIFS(Нормативы!G:G,Нормативы!$B:$B,$G417,Нормативы!$D:$D,'2020'!$I417,Нормативы!$F:$F,'2020'!$K417)*O417</f>
        <v>54020</v>
      </c>
      <c r="V417" s="618">
        <f t="shared" si="1097"/>
        <v>41490</v>
      </c>
      <c r="W417" s="618">
        <f t="shared" si="1098"/>
        <v>12530</v>
      </c>
      <c r="X417" s="618">
        <f>SUMIFS(Нормативы!J:J,Нормативы!$B:$B,$G417,Нормативы!$D:$D,'2020'!$I417,Нормативы!$F:$F,'2020'!$K417)</f>
        <v>220</v>
      </c>
      <c r="Y417" s="618">
        <f>SUMIFS(Нормативы!K:K,Нормативы!$B:$B,$G417,Нормативы!$D:$D,'2020'!$I417,Нормативы!$F:$F,'2020'!$K417)</f>
        <v>44</v>
      </c>
      <c r="Z417" s="618">
        <f>SUMIFS(Нормативы!L:L,Нормативы!$B:$B,$G417,Нормативы!$D:$D,'2020'!$I417,Нормативы!$F:$F,'2020'!$K417)</f>
        <v>2320</v>
      </c>
      <c r="AA417" s="618">
        <f t="shared" si="1099"/>
        <v>3710</v>
      </c>
      <c r="AB417" s="618">
        <f>SUMIFS(Нормативы!N:N,Нормативы!$B:$B,$G417,Нормативы!$D:$D,'2020'!$I417,Нормативы!$F:$F,'2020'!$K417)*O417</f>
        <v>520</v>
      </c>
      <c r="AC417" s="618">
        <f>SUMIFS(Нормативы!O:O,Нормативы!$B:$B,$G417,Нормативы!$D:$D,'2020'!$I417,Нормативы!$F:$F,'2020'!$K417)</f>
        <v>2140</v>
      </c>
      <c r="AD417" s="618">
        <f>SUMIFS(Нормативы!P:P,Нормативы!$B:$B,$G417,Нормативы!$D:$D,'2020'!$I417,Нормативы!$F:$F,'2020'!$K417)*O417</f>
        <v>310</v>
      </c>
      <c r="AE417" s="618">
        <f>SUMIFS(Нормативы!Q:Q,Нормативы!$B:$B,$G417,Нормативы!$D:$D,'2020'!$I417,Нормативы!$F:$F,'2020'!$K417)</f>
        <v>740</v>
      </c>
      <c r="AF417" s="618">
        <f>SUMIFS(Нормативы!R:R,Нормативы!$B:$B,$G417,Нормативы!$D:$D,'2020'!$I417,Нормативы!$F:$F,'2020'!$K417)</f>
        <v>2460</v>
      </c>
      <c r="AG417" s="618">
        <f>SUMIFS(Нормативы!S:S,Нормативы!$B:$B,$G417,Нормативы!$D:$D,'2020'!$I417,Нормативы!$F:$F,'2020'!$K417)</f>
        <v>5080</v>
      </c>
      <c r="AH417" s="618">
        <f>SUMIFS(Нормативы!T:T,Нормативы!$B:$B,$G417,Нормативы!$D:$D,'2020'!$I417,Нормативы!$F:$F,'2020'!$K417)</f>
        <v>540</v>
      </c>
      <c r="AI417" s="618">
        <f>SUMIFS(Нормативы!U:U,Нормативы!$B:$B,$G417,Нормативы!$D:$D,'2020'!$I417,Нормативы!$F:$F,'2020'!$K417)</f>
        <v>770</v>
      </c>
      <c r="AJ417" s="618">
        <f>SUMIFS(Нормативы!V:V,Нормативы!$B:$B,$G417,Нормативы!$D:$D,'2020'!$I417,Нормативы!$F:$F,'2020'!$K417)</f>
        <v>80</v>
      </c>
      <c r="AK417" s="618">
        <f>SUMIFS(Нормативы!W:W,Нормативы!$B:$B,$G417,Нормативы!$D:$D,'2020'!$I417,Нормативы!$F:$F,'2020'!$K417)</f>
        <v>300</v>
      </c>
      <c r="AL417" s="618">
        <f>SUMIFS(Нормативы!X:X,Нормативы!$B:$B,$G417,Нормативы!$D:$D,'2020'!$I417,Нормативы!$F:$F,'2020'!$K417)*O417</f>
        <v>13440</v>
      </c>
      <c r="AM417" s="618">
        <f t="shared" si="1100"/>
        <v>10322.6</v>
      </c>
      <c r="AN417" s="618">
        <f t="shared" si="1101"/>
        <v>3117.4</v>
      </c>
      <c r="AO417" s="618">
        <f>SUMIFS(Нормативы!AA:AA,Нормативы!$B:$B,$G417,Нормативы!$D:$D,'2020'!$I417,Нормативы!$F:$F,'2020'!$K417)</f>
        <v>3520</v>
      </c>
      <c r="AP417" s="619">
        <f t="shared" si="1102"/>
        <v>86460</v>
      </c>
      <c r="AQ417" s="413">
        <f t="shared" si="1040"/>
        <v>1350500</v>
      </c>
      <c r="AR417" s="618">
        <f t="shared" si="1103"/>
        <v>1037250.4</v>
      </c>
      <c r="AS417" s="618">
        <f t="shared" si="1104"/>
        <v>313249.59999999998</v>
      </c>
      <c r="AT417" s="616">
        <f t="shared" si="1041"/>
        <v>5500</v>
      </c>
      <c r="AU417" s="616">
        <f t="shared" si="1042"/>
        <v>1100</v>
      </c>
      <c r="AV417" s="616">
        <f t="shared" si="1043"/>
        <v>58000</v>
      </c>
      <c r="AW417" s="616">
        <f t="shared" si="1044"/>
        <v>92750</v>
      </c>
      <c r="AX417" s="616">
        <f t="shared" si="1045"/>
        <v>13000</v>
      </c>
      <c r="AY417" s="616">
        <f t="shared" si="1046"/>
        <v>53500</v>
      </c>
      <c r="AZ417" s="616">
        <f t="shared" si="1047"/>
        <v>7750</v>
      </c>
      <c r="BA417" s="616">
        <f t="shared" si="1048"/>
        <v>18500</v>
      </c>
      <c r="BB417" s="616">
        <f t="shared" si="1049"/>
        <v>61500</v>
      </c>
      <c r="BC417" s="616">
        <f t="shared" si="1050"/>
        <v>127000</v>
      </c>
      <c r="BD417" s="616">
        <f t="shared" si="1051"/>
        <v>13500</v>
      </c>
      <c r="BE417" s="616">
        <f t="shared" si="1052"/>
        <v>19250</v>
      </c>
      <c r="BF417" s="616">
        <f t="shared" si="1053"/>
        <v>2000</v>
      </c>
      <c r="BG417" s="616">
        <f t="shared" si="1054"/>
        <v>7500</v>
      </c>
      <c r="BH417" s="616">
        <f t="shared" si="1055"/>
        <v>336000</v>
      </c>
      <c r="BI417" s="618">
        <f t="shared" si="1105"/>
        <v>258064.5</v>
      </c>
      <c r="BJ417" s="618">
        <f t="shared" si="1106"/>
        <v>77935.5</v>
      </c>
      <c r="BK417" s="616">
        <f t="shared" si="1056"/>
        <v>88000</v>
      </c>
      <c r="BL417" s="620">
        <f t="shared" si="1057"/>
        <v>2161500</v>
      </c>
      <c r="BM417" s="616">
        <f t="shared" si="1058"/>
        <v>1839381</v>
      </c>
      <c r="BN417" s="618">
        <f t="shared" si="1059"/>
        <v>1412735</v>
      </c>
      <c r="BO417" s="618">
        <f t="shared" si="1060"/>
        <v>426646</v>
      </c>
      <c r="BP417" s="616">
        <f t="shared" si="1107"/>
        <v>5500</v>
      </c>
      <c r="BQ417" s="616">
        <f t="shared" si="1108"/>
        <v>1100</v>
      </c>
      <c r="BR417" s="616">
        <f t="shared" si="1109"/>
        <v>58000</v>
      </c>
      <c r="BS417" s="616">
        <f t="shared" si="1061"/>
        <v>92750</v>
      </c>
      <c r="BT417" s="616">
        <f t="shared" si="1062"/>
        <v>13000</v>
      </c>
      <c r="BU417" s="616">
        <f t="shared" si="1063"/>
        <v>53500</v>
      </c>
      <c r="BV417" s="616">
        <f t="shared" si="1064"/>
        <v>7750</v>
      </c>
      <c r="BW417" s="616">
        <f t="shared" si="1065"/>
        <v>18500</v>
      </c>
      <c r="BX417" s="616">
        <f t="shared" si="1066"/>
        <v>181671</v>
      </c>
      <c r="BY417" s="616">
        <f t="shared" si="1067"/>
        <v>127000</v>
      </c>
      <c r="BZ417" s="616">
        <f t="shared" si="1068"/>
        <v>13500</v>
      </c>
      <c r="CA417" s="616">
        <f t="shared" si="1069"/>
        <v>19250</v>
      </c>
      <c r="CB417" s="616">
        <f t="shared" si="1070"/>
        <v>2000</v>
      </c>
      <c r="CC417" s="616">
        <f t="shared" si="1071"/>
        <v>7500</v>
      </c>
      <c r="CD417" s="616">
        <f t="shared" si="1072"/>
        <v>457632</v>
      </c>
      <c r="CE417" s="618">
        <f t="shared" si="1110"/>
        <v>351483.9</v>
      </c>
      <c r="CF417" s="618">
        <f t="shared" si="1111"/>
        <v>106148.1</v>
      </c>
      <c r="CG417" s="616">
        <f t="shared" si="1073"/>
        <v>88000</v>
      </c>
      <c r="CH417" s="621">
        <f t="shared" si="1074"/>
        <v>2892184</v>
      </c>
      <c r="CI417" s="88">
        <f t="shared" si="1075"/>
        <v>73575.240000000005</v>
      </c>
      <c r="CJ417" s="90">
        <f t="shared" si="1076"/>
        <v>56509.4</v>
      </c>
      <c r="CK417" s="90">
        <f t="shared" si="1077"/>
        <v>17065.84</v>
      </c>
      <c r="CL417" s="88">
        <f t="shared" si="1078"/>
        <v>220</v>
      </c>
      <c r="CM417" s="88">
        <f t="shared" si="1079"/>
        <v>44</v>
      </c>
      <c r="CN417" s="88">
        <f t="shared" si="1080"/>
        <v>2320</v>
      </c>
      <c r="CO417" s="88">
        <f t="shared" si="1081"/>
        <v>3710</v>
      </c>
      <c r="CP417" s="88">
        <f t="shared" si="1082"/>
        <v>520</v>
      </c>
      <c r="CQ417" s="88">
        <f t="shared" si="1083"/>
        <v>2140</v>
      </c>
      <c r="CR417" s="88">
        <f t="shared" si="1084"/>
        <v>310</v>
      </c>
      <c r="CS417" s="88">
        <f t="shared" si="1085"/>
        <v>740</v>
      </c>
      <c r="CT417" s="88">
        <f t="shared" si="1086"/>
        <v>7266.84</v>
      </c>
      <c r="CU417" s="88">
        <f t="shared" si="1087"/>
        <v>5080</v>
      </c>
      <c r="CV417" s="88">
        <f t="shared" si="1088"/>
        <v>540</v>
      </c>
      <c r="CW417" s="88">
        <f t="shared" si="1089"/>
        <v>770</v>
      </c>
      <c r="CX417" s="88">
        <f t="shared" si="1090"/>
        <v>80</v>
      </c>
      <c r="CY417" s="88">
        <f t="shared" si="1091"/>
        <v>300</v>
      </c>
      <c r="CZ417" s="88">
        <f t="shared" si="1092"/>
        <v>18305.28</v>
      </c>
      <c r="DA417" s="90">
        <f t="shared" si="1093"/>
        <v>14059.356</v>
      </c>
      <c r="DB417" s="90">
        <f t="shared" si="1094"/>
        <v>4245.924</v>
      </c>
      <c r="DC417" s="88">
        <f t="shared" si="1095"/>
        <v>3520</v>
      </c>
      <c r="DD417" s="88">
        <f t="shared" si="1096"/>
        <v>115687.36</v>
      </c>
      <c r="AUV417" s="699">
        <f t="shared" si="1184"/>
        <v>73575.240000000005</v>
      </c>
      <c r="AUW417" s="699">
        <f t="shared" si="1185"/>
        <v>56509.4</v>
      </c>
      <c r="AUX417" s="699">
        <f t="shared" si="1186"/>
        <v>17065.84</v>
      </c>
      <c r="AUY417" s="699">
        <f t="shared" si="1205"/>
        <v>220</v>
      </c>
      <c r="AUZ417" s="699">
        <f t="shared" si="1204"/>
        <v>372.38</v>
      </c>
      <c r="AVA417" s="699">
        <f t="shared" si="1204"/>
        <v>1.07</v>
      </c>
      <c r="AVB417" s="699">
        <f t="shared" si="1206"/>
        <v>3710</v>
      </c>
      <c r="AVC417" s="699">
        <f t="shared" si="1207"/>
        <v>520</v>
      </c>
      <c r="AVD417" s="699">
        <f t="shared" si="1208"/>
        <v>2140</v>
      </c>
      <c r="AVE417" s="699">
        <f t="shared" si="1209"/>
        <v>310</v>
      </c>
      <c r="AVF417" s="699">
        <f t="shared" si="1210"/>
        <v>740</v>
      </c>
      <c r="AVG417" s="699">
        <f t="shared" si="1211"/>
        <v>7266.84</v>
      </c>
      <c r="AVH417" s="699">
        <f t="shared" si="1212"/>
        <v>5080</v>
      </c>
      <c r="AVI417" s="699">
        <f t="shared" si="1213"/>
        <v>540</v>
      </c>
      <c r="AVJ417" s="699">
        <f t="shared" si="1214"/>
        <v>770</v>
      </c>
      <c r="AVK417" s="699">
        <f t="shared" si="1215"/>
        <v>80</v>
      </c>
      <c r="AVL417" s="699">
        <f t="shared" si="1216"/>
        <v>300</v>
      </c>
      <c r="AVM417" s="699">
        <f t="shared" si="1217"/>
        <v>18305.28</v>
      </c>
      <c r="AVN417" s="699">
        <f t="shared" si="1218"/>
        <v>14059.35</v>
      </c>
      <c r="AVO417" s="699">
        <f t="shared" si="1219"/>
        <v>4245.93</v>
      </c>
      <c r="AVP417" s="699">
        <f t="shared" si="1220"/>
        <v>3520</v>
      </c>
      <c r="AVQ417" s="699">
        <f t="shared" si="1221"/>
        <v>115687.36</v>
      </c>
    </row>
    <row r="418" spans="1:108 1244:1265" ht="30" customHeight="1" x14ac:dyDescent="0.25">
      <c r="A418" s="643">
        <v>1</v>
      </c>
      <c r="B418" s="643">
        <v>10</v>
      </c>
      <c r="C418" s="664" t="s">
        <v>251</v>
      </c>
      <c r="D418" s="2"/>
      <c r="E418" s="101" t="s">
        <v>344</v>
      </c>
      <c r="F418" s="643" t="s">
        <v>31</v>
      </c>
      <c r="G418" s="643">
        <v>1</v>
      </c>
      <c r="H418" s="658" t="s">
        <v>8</v>
      </c>
      <c r="I418" s="643">
        <v>3</v>
      </c>
      <c r="J418" s="101" t="s">
        <v>394</v>
      </c>
      <c r="K418" s="643">
        <v>1</v>
      </c>
      <c r="L418" s="683" t="s">
        <v>349</v>
      </c>
      <c r="M418" s="11" t="s">
        <v>343</v>
      </c>
      <c r="N418" s="101" t="s">
        <v>387</v>
      </c>
      <c r="O418" s="643">
        <v>1</v>
      </c>
      <c r="P418" s="632">
        <v>9</v>
      </c>
      <c r="Q418" s="632">
        <v>9</v>
      </c>
      <c r="R418" s="632">
        <v>9</v>
      </c>
      <c r="S418" s="675">
        <f>SUMIF('Территориальный кк'!$A:$A,'2020'!$B418,'Территориальный кк'!D:D)</f>
        <v>1.3620000000000001</v>
      </c>
      <c r="T418" s="676">
        <f>SUMIF('Территориальный кк'!$A:$A,'2020'!$B418,'Территориальный кк'!E:E)</f>
        <v>2.9540000000000002</v>
      </c>
      <c r="U418" s="618">
        <f>SUMIFS(Нормативы!G:G,Нормативы!$B:$B,$G418,Нормативы!$D:$D,'2020'!$I418,Нормативы!$F:$F,'2020'!$K418)*O418</f>
        <v>5402</v>
      </c>
      <c r="V418" s="618">
        <f t="shared" si="1097"/>
        <v>4149</v>
      </c>
      <c r="W418" s="618">
        <f t="shared" si="1098"/>
        <v>1253</v>
      </c>
      <c r="X418" s="618">
        <f>SUMIFS(Нормативы!J:J,Нормативы!$B:$B,$G418,Нормативы!$D:$D,'2020'!$I418,Нормативы!$F:$F,'2020'!$K418)</f>
        <v>22</v>
      </c>
      <c r="Y418" s="618">
        <f>SUMIFS(Нормативы!K:K,Нормативы!$B:$B,$G418,Нормативы!$D:$D,'2020'!$I418,Нормативы!$F:$F,'2020'!$K418)</f>
        <v>4</v>
      </c>
      <c r="Z418" s="618">
        <f>SUMIFS(Нормативы!L:L,Нормативы!$B:$B,$G418,Нормативы!$D:$D,'2020'!$I418,Нормативы!$F:$F,'2020'!$K418)</f>
        <v>232</v>
      </c>
      <c r="AA418" s="618">
        <f t="shared" si="1099"/>
        <v>371</v>
      </c>
      <c r="AB418" s="618">
        <f>SUMIFS(Нормативы!N:N,Нормативы!$B:$B,$G418,Нормативы!$D:$D,'2020'!$I418,Нормативы!$F:$F,'2020'!$K418)*O418</f>
        <v>52</v>
      </c>
      <c r="AC418" s="618">
        <f>SUMIFS(Нормативы!O:O,Нормативы!$B:$B,$G418,Нормативы!$D:$D,'2020'!$I418,Нормативы!$F:$F,'2020'!$K418)</f>
        <v>214</v>
      </c>
      <c r="AD418" s="618">
        <f>SUMIFS(Нормативы!P:P,Нормативы!$B:$B,$G418,Нормативы!$D:$D,'2020'!$I418,Нормативы!$F:$F,'2020'!$K418)*O418</f>
        <v>31</v>
      </c>
      <c r="AE418" s="618">
        <f>SUMIFS(Нормативы!Q:Q,Нормативы!$B:$B,$G418,Нормативы!$D:$D,'2020'!$I418,Нормативы!$F:$F,'2020'!$K418)</f>
        <v>74</v>
      </c>
      <c r="AF418" s="618">
        <f>SUMIFS(Нормативы!R:R,Нормативы!$B:$B,$G418,Нормативы!$D:$D,'2020'!$I418,Нормативы!$F:$F,'2020'!$K418)</f>
        <v>246</v>
      </c>
      <c r="AG418" s="618">
        <f>SUMIFS(Нормативы!S:S,Нормативы!$B:$B,$G418,Нормативы!$D:$D,'2020'!$I418,Нормативы!$F:$F,'2020'!$K418)</f>
        <v>508</v>
      </c>
      <c r="AH418" s="618">
        <f>SUMIFS(Нормативы!T:T,Нормативы!$B:$B,$G418,Нормативы!$D:$D,'2020'!$I418,Нормативы!$F:$F,'2020'!$K418)</f>
        <v>54</v>
      </c>
      <c r="AI418" s="618">
        <f>SUMIFS(Нормативы!U:U,Нормативы!$B:$B,$G418,Нормативы!$D:$D,'2020'!$I418,Нормативы!$F:$F,'2020'!$K418)</f>
        <v>77</v>
      </c>
      <c r="AJ418" s="618">
        <f>SUMIFS(Нормативы!V:V,Нормативы!$B:$B,$G418,Нормативы!$D:$D,'2020'!$I418,Нормативы!$F:$F,'2020'!$K418)</f>
        <v>8</v>
      </c>
      <c r="AK418" s="618">
        <f>SUMIFS(Нормативы!W:W,Нормативы!$B:$B,$G418,Нормативы!$D:$D,'2020'!$I418,Нормативы!$F:$F,'2020'!$K418)</f>
        <v>30</v>
      </c>
      <c r="AL418" s="618">
        <f>SUMIFS(Нормативы!X:X,Нормативы!$B:$B,$G418,Нормативы!$D:$D,'2020'!$I418,Нормативы!$F:$F,'2020'!$K418)*O418</f>
        <v>1344</v>
      </c>
      <c r="AM418" s="618">
        <f t="shared" si="1100"/>
        <v>1032.3</v>
      </c>
      <c r="AN418" s="618">
        <f t="shared" si="1101"/>
        <v>311.7</v>
      </c>
      <c r="AO418" s="618">
        <f>SUMIFS(Нормативы!AA:AA,Нормативы!$B:$B,$G418,Нормативы!$D:$D,'2020'!$I418,Нормативы!$F:$F,'2020'!$K418)</f>
        <v>0</v>
      </c>
      <c r="AP418" s="619">
        <f t="shared" si="1102"/>
        <v>8294</v>
      </c>
      <c r="AQ418" s="413">
        <f t="shared" si="1040"/>
        <v>48618</v>
      </c>
      <c r="AR418" s="618">
        <f t="shared" si="1103"/>
        <v>37341</v>
      </c>
      <c r="AS418" s="618">
        <f t="shared" si="1104"/>
        <v>11277</v>
      </c>
      <c r="AT418" s="616">
        <f t="shared" si="1041"/>
        <v>198</v>
      </c>
      <c r="AU418" s="616">
        <f t="shared" si="1042"/>
        <v>36</v>
      </c>
      <c r="AV418" s="616">
        <f t="shared" si="1043"/>
        <v>2088</v>
      </c>
      <c r="AW418" s="616">
        <f t="shared" si="1044"/>
        <v>3339</v>
      </c>
      <c r="AX418" s="616">
        <f t="shared" si="1045"/>
        <v>468</v>
      </c>
      <c r="AY418" s="616">
        <f t="shared" si="1046"/>
        <v>1926</v>
      </c>
      <c r="AZ418" s="616">
        <f t="shared" si="1047"/>
        <v>279</v>
      </c>
      <c r="BA418" s="616">
        <f t="shared" si="1048"/>
        <v>666</v>
      </c>
      <c r="BB418" s="616">
        <f t="shared" si="1049"/>
        <v>2214</v>
      </c>
      <c r="BC418" s="616">
        <f t="shared" si="1050"/>
        <v>4572</v>
      </c>
      <c r="BD418" s="616">
        <f t="shared" si="1051"/>
        <v>486</v>
      </c>
      <c r="BE418" s="616">
        <f t="shared" si="1052"/>
        <v>693</v>
      </c>
      <c r="BF418" s="616">
        <f t="shared" si="1053"/>
        <v>72</v>
      </c>
      <c r="BG418" s="616">
        <f t="shared" si="1054"/>
        <v>270</v>
      </c>
      <c r="BH418" s="616">
        <f t="shared" si="1055"/>
        <v>12096</v>
      </c>
      <c r="BI418" s="618">
        <f t="shared" si="1105"/>
        <v>9290.2999999999993</v>
      </c>
      <c r="BJ418" s="618">
        <f t="shared" si="1106"/>
        <v>2805.7</v>
      </c>
      <c r="BK418" s="616">
        <f t="shared" si="1056"/>
        <v>0</v>
      </c>
      <c r="BL418" s="620">
        <f t="shared" si="1057"/>
        <v>74646</v>
      </c>
      <c r="BM418" s="616">
        <f t="shared" si="1058"/>
        <v>66218</v>
      </c>
      <c r="BN418" s="618">
        <f t="shared" si="1059"/>
        <v>50858.7</v>
      </c>
      <c r="BO418" s="618">
        <f t="shared" si="1060"/>
        <v>15359.3</v>
      </c>
      <c r="BP418" s="616">
        <f t="shared" si="1107"/>
        <v>198</v>
      </c>
      <c r="BQ418" s="616">
        <f t="shared" si="1108"/>
        <v>36</v>
      </c>
      <c r="BR418" s="616">
        <f t="shared" si="1109"/>
        <v>2088</v>
      </c>
      <c r="BS418" s="616">
        <f t="shared" si="1061"/>
        <v>3339</v>
      </c>
      <c r="BT418" s="616">
        <f t="shared" si="1062"/>
        <v>468</v>
      </c>
      <c r="BU418" s="616">
        <f t="shared" si="1063"/>
        <v>1926</v>
      </c>
      <c r="BV418" s="616">
        <f t="shared" si="1064"/>
        <v>279</v>
      </c>
      <c r="BW418" s="616">
        <f t="shared" si="1065"/>
        <v>666</v>
      </c>
      <c r="BX418" s="616">
        <f t="shared" si="1066"/>
        <v>6540</v>
      </c>
      <c r="BY418" s="616">
        <f t="shared" si="1067"/>
        <v>4572</v>
      </c>
      <c r="BZ418" s="616">
        <f t="shared" si="1068"/>
        <v>486</v>
      </c>
      <c r="CA418" s="616">
        <f t="shared" si="1069"/>
        <v>693</v>
      </c>
      <c r="CB418" s="616">
        <f t="shared" si="1070"/>
        <v>72</v>
      </c>
      <c r="CC418" s="616">
        <f t="shared" si="1071"/>
        <v>270</v>
      </c>
      <c r="CD418" s="616">
        <f t="shared" si="1072"/>
        <v>16475</v>
      </c>
      <c r="CE418" s="618">
        <f t="shared" si="1110"/>
        <v>12653.6</v>
      </c>
      <c r="CF418" s="618">
        <f t="shared" si="1111"/>
        <v>3821.4</v>
      </c>
      <c r="CG418" s="616">
        <f t="shared" si="1073"/>
        <v>0</v>
      </c>
      <c r="CH418" s="621">
        <f t="shared" si="1074"/>
        <v>100951</v>
      </c>
      <c r="CI418" s="88">
        <f t="shared" si="1075"/>
        <v>7357.5555999999997</v>
      </c>
      <c r="CJ418" s="90">
        <f t="shared" si="1076"/>
        <v>5650.9666999999999</v>
      </c>
      <c r="CK418" s="90">
        <f t="shared" si="1077"/>
        <v>1706.5889</v>
      </c>
      <c r="CL418" s="88">
        <f t="shared" si="1078"/>
        <v>22</v>
      </c>
      <c r="CM418" s="88">
        <f t="shared" si="1079"/>
        <v>4</v>
      </c>
      <c r="CN418" s="88">
        <f t="shared" si="1080"/>
        <v>232</v>
      </c>
      <c r="CO418" s="88">
        <f t="shared" si="1081"/>
        <v>371</v>
      </c>
      <c r="CP418" s="88">
        <f t="shared" si="1082"/>
        <v>52</v>
      </c>
      <c r="CQ418" s="88">
        <f t="shared" si="1083"/>
        <v>214</v>
      </c>
      <c r="CR418" s="88">
        <f t="shared" si="1084"/>
        <v>31</v>
      </c>
      <c r="CS418" s="88">
        <f t="shared" si="1085"/>
        <v>74</v>
      </c>
      <c r="CT418" s="88">
        <f t="shared" si="1086"/>
        <v>726.66669999999999</v>
      </c>
      <c r="CU418" s="88">
        <f t="shared" si="1087"/>
        <v>508</v>
      </c>
      <c r="CV418" s="88">
        <f t="shared" si="1088"/>
        <v>54</v>
      </c>
      <c r="CW418" s="88">
        <f t="shared" si="1089"/>
        <v>77</v>
      </c>
      <c r="CX418" s="88">
        <f t="shared" si="1090"/>
        <v>8</v>
      </c>
      <c r="CY418" s="88">
        <f t="shared" si="1091"/>
        <v>30</v>
      </c>
      <c r="CZ418" s="88">
        <f t="shared" si="1092"/>
        <v>1830.5555999999999</v>
      </c>
      <c r="DA418" s="90">
        <f t="shared" si="1093"/>
        <v>1405.9556</v>
      </c>
      <c r="DB418" s="90">
        <f t="shared" si="1094"/>
        <v>424.6</v>
      </c>
      <c r="DC418" s="88">
        <f t="shared" si="1095"/>
        <v>0</v>
      </c>
      <c r="DD418" s="88">
        <f t="shared" si="1096"/>
        <v>11216.7778</v>
      </c>
      <c r="AUV418" s="699">
        <f t="shared" si="1184"/>
        <v>7357.56</v>
      </c>
      <c r="AUW418" s="699">
        <f t="shared" si="1185"/>
        <v>5650.97</v>
      </c>
      <c r="AUX418" s="699">
        <f t="shared" si="1186"/>
        <v>1706.59</v>
      </c>
      <c r="AUY418" s="699">
        <f t="shared" si="1205"/>
        <v>22</v>
      </c>
      <c r="AUZ418" s="699">
        <f t="shared" si="1204"/>
        <v>12.19</v>
      </c>
      <c r="AVA418" s="699">
        <f t="shared" si="1204"/>
        <v>0.39</v>
      </c>
      <c r="AVB418" s="699">
        <f t="shared" si="1206"/>
        <v>371</v>
      </c>
      <c r="AVC418" s="699">
        <f t="shared" si="1207"/>
        <v>52</v>
      </c>
      <c r="AVD418" s="699">
        <f t="shared" si="1208"/>
        <v>214</v>
      </c>
      <c r="AVE418" s="699">
        <f t="shared" si="1209"/>
        <v>31</v>
      </c>
      <c r="AVF418" s="699">
        <f t="shared" si="1210"/>
        <v>74</v>
      </c>
      <c r="AVG418" s="699">
        <f t="shared" si="1211"/>
        <v>726.67</v>
      </c>
      <c r="AVH418" s="699">
        <f t="shared" si="1212"/>
        <v>508</v>
      </c>
      <c r="AVI418" s="699">
        <f t="shared" si="1213"/>
        <v>54</v>
      </c>
      <c r="AVJ418" s="699">
        <f t="shared" si="1214"/>
        <v>77</v>
      </c>
      <c r="AVK418" s="699">
        <f t="shared" si="1215"/>
        <v>8</v>
      </c>
      <c r="AVL418" s="699">
        <f t="shared" si="1216"/>
        <v>30</v>
      </c>
      <c r="AVM418" s="699">
        <f t="shared" si="1217"/>
        <v>1830.56</v>
      </c>
      <c r="AVN418" s="699">
        <f t="shared" si="1218"/>
        <v>1405.96</v>
      </c>
      <c r="AVO418" s="699">
        <f t="shared" si="1219"/>
        <v>424.6</v>
      </c>
      <c r="AVP418" s="699">
        <f t="shared" si="1220"/>
        <v>0</v>
      </c>
      <c r="AVQ418" s="699">
        <f t="shared" si="1221"/>
        <v>11216.78</v>
      </c>
    </row>
    <row r="419" spans="1:108 1244:1265" ht="30" customHeight="1" x14ac:dyDescent="0.25">
      <c r="A419" s="643">
        <v>1</v>
      </c>
      <c r="B419" s="643">
        <v>10</v>
      </c>
      <c r="C419" s="664" t="s">
        <v>251</v>
      </c>
      <c r="D419" s="2"/>
      <c r="E419" s="101" t="s">
        <v>345</v>
      </c>
      <c r="F419" s="643" t="s">
        <v>38</v>
      </c>
      <c r="G419" s="643">
        <v>2</v>
      </c>
      <c r="H419" s="658" t="s">
        <v>10</v>
      </c>
      <c r="I419" s="643">
        <v>0</v>
      </c>
      <c r="J419" s="101" t="s">
        <v>362</v>
      </c>
      <c r="K419" s="643">
        <v>3</v>
      </c>
      <c r="L419" s="683" t="s">
        <v>350</v>
      </c>
      <c r="M419" s="11" t="s">
        <v>296</v>
      </c>
      <c r="N419" s="101" t="s">
        <v>401</v>
      </c>
      <c r="O419" s="643">
        <v>2</v>
      </c>
      <c r="P419" s="632">
        <v>1</v>
      </c>
      <c r="Q419" s="632">
        <v>1</v>
      </c>
      <c r="R419" s="632">
        <v>1</v>
      </c>
      <c r="S419" s="675">
        <f>SUMIF('Территориальный кк'!$A:$A,'2020'!$B419,'Территориальный кк'!D:D)</f>
        <v>1.3620000000000001</v>
      </c>
      <c r="T419" s="676">
        <f>SUMIF('Территориальный кк'!$A:$A,'2020'!$B419,'Территориальный кк'!E:E)</f>
        <v>2.9540000000000002</v>
      </c>
      <c r="U419" s="618">
        <f>SUMIFS(Нормативы!G:G,Нормативы!$B:$B,$G419,Нормативы!$D:$D,'2020'!$I419,Нормативы!$F:$F,'2020'!$K419)*O419</f>
        <v>141200</v>
      </c>
      <c r="V419" s="618">
        <f t="shared" si="1097"/>
        <v>108448.5</v>
      </c>
      <c r="W419" s="618">
        <f t="shared" si="1098"/>
        <v>32751.5</v>
      </c>
      <c r="X419" s="618">
        <f>SUMIFS(Нормативы!J:J,Нормативы!$B:$B,$G419,Нормативы!$D:$D,'2020'!$I419,Нормативы!$F:$F,'2020'!$K419)</f>
        <v>8860</v>
      </c>
      <c r="Y419" s="618">
        <f>SUMIFS(Нормативы!K:K,Нормативы!$B:$B,$G419,Нормативы!$D:$D,'2020'!$I419,Нормативы!$F:$F,'2020'!$K419)</f>
        <v>0</v>
      </c>
      <c r="Z419" s="618">
        <f>SUMIFS(Нормативы!L:L,Нормативы!$B:$B,$G419,Нормативы!$D:$D,'2020'!$I419,Нормативы!$F:$F,'2020'!$K419)</f>
        <v>8110</v>
      </c>
      <c r="AA419" s="618">
        <f t="shared" si="1099"/>
        <v>22530</v>
      </c>
      <c r="AB419" s="618">
        <f>SUMIFS(Нормативы!N:N,Нормативы!$B:$B,$G419,Нормативы!$D:$D,'2020'!$I419,Нормативы!$F:$F,'2020'!$K419)*O419</f>
        <v>1040</v>
      </c>
      <c r="AC419" s="618">
        <f>SUMIFS(Нормативы!O:O,Нормативы!$B:$B,$G419,Нормативы!$D:$D,'2020'!$I419,Нормативы!$F:$F,'2020'!$K419)</f>
        <v>19720</v>
      </c>
      <c r="AD419" s="618">
        <f>SUMIFS(Нормативы!P:P,Нормативы!$B:$B,$G419,Нормативы!$D:$D,'2020'!$I419,Нормативы!$F:$F,'2020'!$K419)*O419</f>
        <v>800</v>
      </c>
      <c r="AE419" s="618">
        <f>SUMIFS(Нормативы!Q:Q,Нормативы!$B:$B,$G419,Нормативы!$D:$D,'2020'!$I419,Нормативы!$F:$F,'2020'!$K419)</f>
        <v>970</v>
      </c>
      <c r="AF419" s="618">
        <f>SUMIFS(Нормативы!R:R,Нормативы!$B:$B,$G419,Нормативы!$D:$D,'2020'!$I419,Нормативы!$F:$F,'2020'!$K419)</f>
        <v>2680</v>
      </c>
      <c r="AG419" s="618">
        <f>SUMIFS(Нормативы!S:S,Нормативы!$B:$B,$G419,Нормативы!$D:$D,'2020'!$I419,Нормативы!$F:$F,'2020'!$K419)</f>
        <v>5800</v>
      </c>
      <c r="AH419" s="618">
        <f>SUMIFS(Нормативы!T:T,Нормативы!$B:$B,$G419,Нормативы!$D:$D,'2020'!$I419,Нормативы!$F:$F,'2020'!$K419)</f>
        <v>540</v>
      </c>
      <c r="AI419" s="618">
        <f>SUMIFS(Нормативы!U:U,Нормативы!$B:$B,$G419,Нормативы!$D:$D,'2020'!$I419,Нормативы!$F:$F,'2020'!$K419)</f>
        <v>770</v>
      </c>
      <c r="AJ419" s="618">
        <f>SUMIFS(Нормативы!V:V,Нормативы!$B:$B,$G419,Нормативы!$D:$D,'2020'!$I419,Нормативы!$F:$F,'2020'!$K419)</f>
        <v>80</v>
      </c>
      <c r="AK419" s="618">
        <f>SUMIFS(Нормативы!W:W,Нормативы!$B:$B,$G419,Нормативы!$D:$D,'2020'!$I419,Нормативы!$F:$F,'2020'!$K419)</f>
        <v>330</v>
      </c>
      <c r="AL419" s="618">
        <f>SUMIFS(Нормативы!X:X,Нормативы!$B:$B,$G419,Нормативы!$D:$D,'2020'!$I419,Нормативы!$F:$F,'2020'!$K419)*O419</f>
        <v>32240</v>
      </c>
      <c r="AM419" s="618">
        <f t="shared" si="1100"/>
        <v>24761.9</v>
      </c>
      <c r="AN419" s="618">
        <f t="shared" si="1101"/>
        <v>7478.1</v>
      </c>
      <c r="AO419" s="618">
        <f>SUMIFS(Нормативы!AA:AA,Нормативы!$B:$B,$G419,Нормативы!$D:$D,'2020'!$I419,Нормативы!$F:$F,'2020'!$K419)</f>
        <v>3520</v>
      </c>
      <c r="AP419" s="619">
        <f t="shared" si="1102"/>
        <v>226660</v>
      </c>
      <c r="AQ419" s="413">
        <f t="shared" si="1040"/>
        <v>141200</v>
      </c>
      <c r="AR419" s="618">
        <f t="shared" ref="AR419" si="1222">ROUND(AQ419/1.302,1)</f>
        <v>108448.5</v>
      </c>
      <c r="AS419" s="618">
        <f t="shared" ref="AS419" si="1223">AQ419-AR419</f>
        <v>32751.5</v>
      </c>
      <c r="AT419" s="616">
        <f t="shared" si="1041"/>
        <v>8860</v>
      </c>
      <c r="AU419" s="616">
        <f t="shared" si="1042"/>
        <v>0</v>
      </c>
      <c r="AV419" s="616">
        <f t="shared" si="1043"/>
        <v>8110</v>
      </c>
      <c r="AW419" s="616">
        <f t="shared" si="1044"/>
        <v>22530</v>
      </c>
      <c r="AX419" s="616">
        <f t="shared" si="1045"/>
        <v>1040</v>
      </c>
      <c r="AY419" s="616">
        <f t="shared" si="1046"/>
        <v>19720</v>
      </c>
      <c r="AZ419" s="616">
        <f t="shared" si="1047"/>
        <v>800</v>
      </c>
      <c r="BA419" s="616">
        <f t="shared" si="1048"/>
        <v>970</v>
      </c>
      <c r="BB419" s="616">
        <f t="shared" si="1049"/>
        <v>2680</v>
      </c>
      <c r="BC419" s="616">
        <f t="shared" si="1050"/>
        <v>5800</v>
      </c>
      <c r="BD419" s="616">
        <f t="shared" si="1051"/>
        <v>540</v>
      </c>
      <c r="BE419" s="616">
        <f t="shared" si="1052"/>
        <v>770</v>
      </c>
      <c r="BF419" s="616">
        <f t="shared" si="1053"/>
        <v>80</v>
      </c>
      <c r="BG419" s="616">
        <f t="shared" si="1054"/>
        <v>330</v>
      </c>
      <c r="BH419" s="616">
        <f t="shared" si="1055"/>
        <v>32240</v>
      </c>
      <c r="BI419" s="618">
        <f t="shared" ref="BI419" si="1224">ROUND(BH419/1.302,1)</f>
        <v>24761.9</v>
      </c>
      <c r="BJ419" s="618">
        <f t="shared" ref="BJ419" si="1225">BH419-BI419</f>
        <v>7478.1</v>
      </c>
      <c r="BK419" s="616">
        <f t="shared" ref="BK419" si="1226">ROUND($P419*AO419,0)</f>
        <v>3520</v>
      </c>
      <c r="BL419" s="620">
        <f t="shared" ref="BL419" si="1227">AQ419+AT419+AV419+AW419++BB419+BC419+BD419+BE419+BF419+BG419+BH419+BK419</f>
        <v>226660</v>
      </c>
      <c r="BM419" s="616">
        <f t="shared" si="1058"/>
        <v>192314</v>
      </c>
      <c r="BN419" s="618">
        <f t="shared" ref="BN419" si="1228">ROUND(BM419/1.302,1)</f>
        <v>147706.6</v>
      </c>
      <c r="BO419" s="618">
        <f t="shared" ref="BO419" si="1229">BM419-BN419</f>
        <v>44607.4</v>
      </c>
      <c r="BP419" s="616">
        <f t="shared" ref="BP419" si="1230">AT419</f>
        <v>8860</v>
      </c>
      <c r="BQ419" s="616">
        <f t="shared" ref="BQ419" si="1231">AU419</f>
        <v>0</v>
      </c>
      <c r="BR419" s="616">
        <f t="shared" ref="BR419" si="1232">AV419</f>
        <v>8110</v>
      </c>
      <c r="BS419" s="616">
        <f t="shared" ref="BS419" si="1233">AW419</f>
        <v>22530</v>
      </c>
      <c r="BT419" s="616">
        <f t="shared" ref="BT419" si="1234">AX419</f>
        <v>1040</v>
      </c>
      <c r="BU419" s="616">
        <f t="shared" ref="BU419" si="1235">AY419</f>
        <v>19720</v>
      </c>
      <c r="BV419" s="616">
        <f t="shared" ref="BV419" si="1236">AZ419</f>
        <v>800</v>
      </c>
      <c r="BW419" s="616">
        <f t="shared" ref="BW419" si="1237">BA419</f>
        <v>970</v>
      </c>
      <c r="BX419" s="616">
        <f t="shared" si="1066"/>
        <v>7917</v>
      </c>
      <c r="BY419" s="616">
        <f t="shared" ref="BY419" si="1238">BC419</f>
        <v>5800</v>
      </c>
      <c r="BZ419" s="616">
        <f t="shared" ref="BZ419" si="1239">BD419</f>
        <v>540</v>
      </c>
      <c r="CA419" s="616">
        <f t="shared" ref="CA419" si="1240">BE419</f>
        <v>770</v>
      </c>
      <c r="CB419" s="616">
        <f t="shared" ref="CB419" si="1241">BF419</f>
        <v>80</v>
      </c>
      <c r="CC419" s="616">
        <f t="shared" ref="CC419" si="1242">BG419</f>
        <v>330</v>
      </c>
      <c r="CD419" s="616">
        <f t="shared" si="1072"/>
        <v>43911</v>
      </c>
      <c r="CE419" s="618">
        <f t="shared" ref="CE419" si="1243">ROUND(CD419/1.302,1)</f>
        <v>33725.800000000003</v>
      </c>
      <c r="CF419" s="618">
        <f t="shared" ref="CF419" si="1244">CD419-CE419</f>
        <v>10185.200000000001</v>
      </c>
      <c r="CG419" s="616">
        <f t="shared" ref="CG419" si="1245">BK419</f>
        <v>3520</v>
      </c>
      <c r="CH419" s="621">
        <f t="shared" ref="CH419" si="1246">BM419+BP419+BR419+BS419++BX419+BY419+BZ419+CA419+CB419+CC419+CD419+CG419</f>
        <v>294682</v>
      </c>
      <c r="CI419" s="88">
        <f t="shared" si="1075"/>
        <v>192314</v>
      </c>
      <c r="CJ419" s="90">
        <f t="shared" si="1076"/>
        <v>147706.6</v>
      </c>
      <c r="CK419" s="90">
        <f t="shared" si="1077"/>
        <v>44607.4</v>
      </c>
      <c r="CL419" s="88">
        <f t="shared" si="1078"/>
        <v>8860</v>
      </c>
      <c r="CM419" s="88">
        <f t="shared" si="1079"/>
        <v>0</v>
      </c>
      <c r="CN419" s="88">
        <f t="shared" si="1080"/>
        <v>8110</v>
      </c>
      <c r="CO419" s="88">
        <f t="shared" si="1081"/>
        <v>22530</v>
      </c>
      <c r="CP419" s="88">
        <f t="shared" si="1082"/>
        <v>1040</v>
      </c>
      <c r="CQ419" s="88">
        <f t="shared" si="1083"/>
        <v>19720</v>
      </c>
      <c r="CR419" s="88">
        <f t="shared" si="1084"/>
        <v>800</v>
      </c>
      <c r="CS419" s="88">
        <f t="shared" si="1085"/>
        <v>970</v>
      </c>
      <c r="CT419" s="88">
        <f t="shared" si="1086"/>
        <v>7917</v>
      </c>
      <c r="CU419" s="88">
        <f t="shared" si="1087"/>
        <v>5800</v>
      </c>
      <c r="CV419" s="88">
        <f t="shared" si="1088"/>
        <v>540</v>
      </c>
      <c r="CW419" s="88">
        <f t="shared" si="1089"/>
        <v>770</v>
      </c>
      <c r="CX419" s="88">
        <f t="shared" si="1090"/>
        <v>80</v>
      </c>
      <c r="CY419" s="88">
        <f t="shared" si="1091"/>
        <v>330</v>
      </c>
      <c r="CZ419" s="88">
        <f t="shared" si="1092"/>
        <v>43911</v>
      </c>
      <c r="DA419" s="90">
        <f t="shared" si="1093"/>
        <v>33725.800000000003</v>
      </c>
      <c r="DB419" s="90">
        <f t="shared" si="1094"/>
        <v>10185.200000000001</v>
      </c>
      <c r="DC419" s="88">
        <f t="shared" si="1095"/>
        <v>3520</v>
      </c>
      <c r="DD419" s="88">
        <f t="shared" si="1096"/>
        <v>294682</v>
      </c>
      <c r="AUV419" s="699">
        <f t="shared" si="1184"/>
        <v>192314</v>
      </c>
      <c r="AUW419" s="699">
        <f t="shared" si="1185"/>
        <v>147706.60999999999</v>
      </c>
      <c r="AUX419" s="699">
        <f t="shared" si="1186"/>
        <v>44607.39</v>
      </c>
      <c r="AUY419" s="699">
        <f t="shared" si="1205"/>
        <v>8860</v>
      </c>
      <c r="AUZ419" s="699">
        <f t="shared" si="1204"/>
        <v>0</v>
      </c>
      <c r="AVA419" s="699">
        <f t="shared" si="1204"/>
        <v>0.06</v>
      </c>
      <c r="AVB419" s="699">
        <f t="shared" si="1206"/>
        <v>22530</v>
      </c>
      <c r="AVC419" s="699">
        <f t="shared" si="1207"/>
        <v>1040</v>
      </c>
      <c r="AVD419" s="699">
        <f t="shared" si="1208"/>
        <v>19720</v>
      </c>
      <c r="AVE419" s="699">
        <f t="shared" si="1209"/>
        <v>800</v>
      </c>
      <c r="AVF419" s="699">
        <f t="shared" si="1210"/>
        <v>970</v>
      </c>
      <c r="AVG419" s="699">
        <f t="shared" si="1211"/>
        <v>7917</v>
      </c>
      <c r="AVH419" s="699">
        <f t="shared" si="1212"/>
        <v>5800</v>
      </c>
      <c r="AVI419" s="699">
        <f t="shared" si="1213"/>
        <v>540</v>
      </c>
      <c r="AVJ419" s="699">
        <f t="shared" si="1214"/>
        <v>770</v>
      </c>
      <c r="AVK419" s="699">
        <f t="shared" si="1215"/>
        <v>80</v>
      </c>
      <c r="AVL419" s="699">
        <f t="shared" si="1216"/>
        <v>330</v>
      </c>
      <c r="AVM419" s="699">
        <f t="shared" si="1217"/>
        <v>43911</v>
      </c>
      <c r="AVN419" s="699">
        <f t="shared" si="1218"/>
        <v>33725.81</v>
      </c>
      <c r="AVO419" s="699">
        <f t="shared" si="1219"/>
        <v>10185.19</v>
      </c>
      <c r="AVP419" s="699">
        <f t="shared" si="1220"/>
        <v>3520</v>
      </c>
      <c r="AVQ419" s="699">
        <f t="shared" si="1221"/>
        <v>294682</v>
      </c>
    </row>
    <row r="420" spans="1:108 1244:1265" s="436" customFormat="1" ht="30" customHeight="1" x14ac:dyDescent="0.25">
      <c r="A420" s="641"/>
      <c r="B420" s="652">
        <v>0</v>
      </c>
      <c r="C420" s="662" t="s">
        <v>252</v>
      </c>
      <c r="D420" s="2"/>
      <c r="E420" s="431" t="s">
        <v>346</v>
      </c>
      <c r="F420" s="641" t="s">
        <v>39</v>
      </c>
      <c r="G420" s="641">
        <v>3</v>
      </c>
      <c r="H420" s="655" t="s">
        <v>10</v>
      </c>
      <c r="I420" s="641">
        <v>0</v>
      </c>
      <c r="J420" s="431" t="s">
        <v>366</v>
      </c>
      <c r="K420" s="641">
        <v>3</v>
      </c>
      <c r="L420" s="680" t="s">
        <v>351</v>
      </c>
      <c r="M420" s="432" t="s">
        <v>272</v>
      </c>
      <c r="N420" s="431" t="s">
        <v>387</v>
      </c>
      <c r="O420" s="641">
        <v>1</v>
      </c>
      <c r="P420" s="695">
        <v>8</v>
      </c>
      <c r="Q420" s="632">
        <v>8</v>
      </c>
      <c r="R420" s="632">
        <v>8</v>
      </c>
      <c r="S420" s="669">
        <f>SUMIF('Территориальный кк'!$A:$A,'2020'!$B420,'Территориальный кк'!D:D)</f>
        <v>2.4510000000000001</v>
      </c>
      <c r="T420" s="670">
        <f>SUMIF('Территориальный кк'!$A:$A,'2020'!$B420,'Территориальный кк'!E:E)</f>
        <v>2.6</v>
      </c>
      <c r="U420" s="625">
        <f>SUMIFS(Нормативы!G:G,Нормативы!$B:$B,$G420,Нормативы!$D:$D,'2020'!$I420,Нормативы!$F:$F,'2020'!$K420)*O420</f>
        <v>78450</v>
      </c>
      <c r="V420" s="625">
        <f t="shared" si="1097"/>
        <v>60253.5</v>
      </c>
      <c r="W420" s="625">
        <f t="shared" si="1098"/>
        <v>18196.5</v>
      </c>
      <c r="X420" s="625">
        <f>SUMIFS(Нормативы!J:J,Нормативы!$B:$B,$G420,Нормативы!$D:$D,'2020'!$I420,Нормативы!$F:$F,'2020'!$K420)</f>
        <v>6840</v>
      </c>
      <c r="Y420" s="625">
        <f>SUMIFS(Нормативы!K:K,Нормативы!$B:$B,$G420,Нормативы!$D:$D,'2020'!$I420,Нормативы!$F:$F,'2020'!$K420)</f>
        <v>1368</v>
      </c>
      <c r="Z420" s="625">
        <f>SUMIFS(Нормативы!L:L,Нормативы!$B:$B,$G420,Нормативы!$D:$D,'2020'!$I420,Нормативы!$F:$F,'2020'!$K420)</f>
        <v>8110</v>
      </c>
      <c r="AA420" s="625">
        <f t="shared" si="1099"/>
        <v>23360</v>
      </c>
      <c r="AB420" s="625">
        <f>SUMIFS(Нормативы!N:N,Нормативы!$B:$B,$G420,Нормативы!$D:$D,'2020'!$I420,Нормативы!$F:$F,'2020'!$K420)*O420</f>
        <v>880</v>
      </c>
      <c r="AC420" s="625">
        <f>SUMIFS(Нормативы!O:O,Нормативы!$B:$B,$G420,Нормативы!$D:$D,'2020'!$I420,Нормативы!$F:$F,'2020'!$K420)</f>
        <v>20960</v>
      </c>
      <c r="AD420" s="625">
        <f>SUMIFS(Нормативы!P:P,Нормативы!$B:$B,$G420,Нормативы!$D:$D,'2020'!$I420,Нормативы!$F:$F,'2020'!$K420)*O420</f>
        <v>440</v>
      </c>
      <c r="AE420" s="625">
        <f>SUMIFS(Нормативы!Q:Q,Нормативы!$B:$B,$G420,Нормативы!$D:$D,'2020'!$I420,Нормативы!$F:$F,'2020'!$K420)</f>
        <v>1080</v>
      </c>
      <c r="AF420" s="625">
        <f>SUMIFS(Нормативы!R:R,Нормативы!$B:$B,$G420,Нормативы!$D:$D,'2020'!$I420,Нормативы!$F:$F,'2020'!$K420)</f>
        <v>2700</v>
      </c>
      <c r="AG420" s="625">
        <f>SUMIFS(Нормативы!S:S,Нормативы!$B:$B,$G420,Нормативы!$D:$D,'2020'!$I420,Нормативы!$F:$F,'2020'!$K420)</f>
        <v>5800</v>
      </c>
      <c r="AH420" s="625">
        <f>SUMIFS(Нормативы!T:T,Нормативы!$B:$B,$G420,Нормативы!$D:$D,'2020'!$I420,Нормативы!$F:$F,'2020'!$K420)</f>
        <v>540</v>
      </c>
      <c r="AI420" s="625">
        <f>SUMIFS(Нормативы!U:U,Нормативы!$B:$B,$G420,Нормативы!$D:$D,'2020'!$I420,Нормативы!$F:$F,'2020'!$K420)</f>
        <v>770</v>
      </c>
      <c r="AJ420" s="625">
        <f>SUMIFS(Нормативы!V:V,Нормативы!$B:$B,$G420,Нормативы!$D:$D,'2020'!$I420,Нормативы!$F:$F,'2020'!$K420)</f>
        <v>170</v>
      </c>
      <c r="AK420" s="625">
        <f>SUMIFS(Нормативы!W:W,Нормативы!$B:$B,$G420,Нормативы!$D:$D,'2020'!$I420,Нормативы!$F:$F,'2020'!$K420)</f>
        <v>200</v>
      </c>
      <c r="AL420" s="625">
        <f>SUMIFS(Нормативы!X:X,Нормативы!$B:$B,$G420,Нормативы!$D:$D,'2020'!$I420,Нормативы!$F:$F,'2020'!$K420)*O420</f>
        <v>13440</v>
      </c>
      <c r="AM420" s="625">
        <f t="shared" si="1100"/>
        <v>10322.6</v>
      </c>
      <c r="AN420" s="625">
        <f t="shared" si="1101"/>
        <v>3117.4</v>
      </c>
      <c r="AO420" s="625">
        <f>SUMIFS(Нормативы!AA:AA,Нормативы!$B:$B,$G420,Нормативы!$D:$D,'2020'!$I420,Нормативы!$F:$F,'2020'!$K420)</f>
        <v>0</v>
      </c>
      <c r="AP420" s="626">
        <f t="shared" si="1102"/>
        <v>140380</v>
      </c>
      <c r="AQ420" s="609">
        <f t="shared" si="1040"/>
        <v>627600</v>
      </c>
      <c r="AR420" s="625">
        <f t="shared" ref="AR420:AR443" si="1247">ROUND(AQ420/1.302,1)</f>
        <v>482027.6</v>
      </c>
      <c r="AS420" s="625">
        <f t="shared" ref="AS420:AS443" si="1248">AQ420-AR420</f>
        <v>145572.4</v>
      </c>
      <c r="AT420" s="613">
        <f t="shared" si="1041"/>
        <v>54720</v>
      </c>
      <c r="AU420" s="613">
        <f t="shared" si="1042"/>
        <v>10944</v>
      </c>
      <c r="AV420" s="613">
        <f t="shared" si="1043"/>
        <v>64880</v>
      </c>
      <c r="AW420" s="613">
        <f t="shared" si="1044"/>
        <v>186880</v>
      </c>
      <c r="AX420" s="613">
        <f t="shared" si="1045"/>
        <v>7040</v>
      </c>
      <c r="AY420" s="613">
        <f t="shared" si="1046"/>
        <v>167680</v>
      </c>
      <c r="AZ420" s="613">
        <f t="shared" si="1047"/>
        <v>3520</v>
      </c>
      <c r="BA420" s="613">
        <f t="shared" si="1048"/>
        <v>8640</v>
      </c>
      <c r="BB420" s="613">
        <f t="shared" si="1049"/>
        <v>21600</v>
      </c>
      <c r="BC420" s="613">
        <f t="shared" si="1050"/>
        <v>46400</v>
      </c>
      <c r="BD420" s="613">
        <f t="shared" si="1051"/>
        <v>4320</v>
      </c>
      <c r="BE420" s="613">
        <f t="shared" si="1052"/>
        <v>6160</v>
      </c>
      <c r="BF420" s="613">
        <f t="shared" si="1053"/>
        <v>1360</v>
      </c>
      <c r="BG420" s="613">
        <f t="shared" si="1054"/>
        <v>1600</v>
      </c>
      <c r="BH420" s="613">
        <f t="shared" si="1055"/>
        <v>107520</v>
      </c>
      <c r="BI420" s="625">
        <f t="shared" ref="BI420:BI443" si="1249">ROUND(BH420/1.302,1)</f>
        <v>82580.600000000006</v>
      </c>
      <c r="BJ420" s="625">
        <f t="shared" ref="BJ420:BJ443" si="1250">BH420-BI420</f>
        <v>24939.4</v>
      </c>
      <c r="BK420" s="613">
        <f t="shared" ref="BK420:BK443" si="1251">ROUND($P420*AO420,0)</f>
        <v>0</v>
      </c>
      <c r="BL420" s="626">
        <f t="shared" si="1057"/>
        <v>1123040</v>
      </c>
      <c r="BM420" s="613">
        <f t="shared" si="1058"/>
        <v>1538248</v>
      </c>
      <c r="BN420" s="625">
        <f t="shared" ref="BN420:BN443" si="1252">ROUND(BM420/1.302,1)</f>
        <v>1181450.1000000001</v>
      </c>
      <c r="BO420" s="625">
        <f t="shared" ref="BO420:BO443" si="1253">BM420-BN420</f>
        <v>356797.9</v>
      </c>
      <c r="BP420" s="613">
        <f t="shared" ref="BP420:BP443" si="1254">AT420</f>
        <v>54720</v>
      </c>
      <c r="BQ420" s="613">
        <f t="shared" si="1108"/>
        <v>10944</v>
      </c>
      <c r="BR420" s="613">
        <f t="shared" ref="BR420:BR443" si="1255">AV420</f>
        <v>64880</v>
      </c>
      <c r="BS420" s="613">
        <f t="shared" ref="BS420:BS443" si="1256">AW420</f>
        <v>186880</v>
      </c>
      <c r="BT420" s="616">
        <f t="shared" ref="BT420:BT424" si="1257">AX420</f>
        <v>7040</v>
      </c>
      <c r="BU420" s="616">
        <f t="shared" ref="BU420:BU424" si="1258">AY420</f>
        <v>167680</v>
      </c>
      <c r="BV420" s="616">
        <f t="shared" ref="BV420:BV424" si="1259">AZ420</f>
        <v>3520</v>
      </c>
      <c r="BW420" s="616">
        <f t="shared" ref="BW420:BW424" si="1260">BA420</f>
        <v>8640</v>
      </c>
      <c r="BX420" s="613">
        <f t="shared" si="1066"/>
        <v>56160</v>
      </c>
      <c r="BY420" s="613">
        <f t="shared" ref="BY420:BY443" si="1261">BC420</f>
        <v>46400</v>
      </c>
      <c r="BZ420" s="613">
        <f t="shared" ref="BZ420:BZ443" si="1262">BD420</f>
        <v>4320</v>
      </c>
      <c r="CA420" s="613">
        <f t="shared" ref="CA420:CA443" si="1263">BE420</f>
        <v>6160</v>
      </c>
      <c r="CB420" s="613">
        <f t="shared" ref="CB420:CB443" si="1264">BF420</f>
        <v>1360</v>
      </c>
      <c r="CC420" s="613">
        <f t="shared" ref="CC420:CC443" si="1265">BG420</f>
        <v>1600</v>
      </c>
      <c r="CD420" s="613">
        <f t="shared" si="1072"/>
        <v>263532</v>
      </c>
      <c r="CE420" s="625">
        <f t="shared" ref="CE420:CE443" si="1266">ROUND(CD420/1.302,1)</f>
        <v>202405.5</v>
      </c>
      <c r="CF420" s="625">
        <f t="shared" ref="CF420:CF443" si="1267">CD420-CE420</f>
        <v>61126.5</v>
      </c>
      <c r="CG420" s="613">
        <f t="shared" ref="CG420:CG443" si="1268">BK420</f>
        <v>0</v>
      </c>
      <c r="CH420" s="626">
        <f t="shared" si="1074"/>
        <v>2224260</v>
      </c>
      <c r="CI420" s="88">
        <f t="shared" si="1075"/>
        <v>192281</v>
      </c>
      <c r="CJ420" s="90">
        <f t="shared" si="1076"/>
        <v>147681.26250000001</v>
      </c>
      <c r="CK420" s="90">
        <f t="shared" si="1077"/>
        <v>44599.737500000003</v>
      </c>
      <c r="CL420" s="88">
        <f t="shared" si="1078"/>
        <v>6840</v>
      </c>
      <c r="CM420" s="88">
        <f t="shared" si="1079"/>
        <v>1368</v>
      </c>
      <c r="CN420" s="88">
        <f t="shared" si="1080"/>
        <v>8110</v>
      </c>
      <c r="CO420" s="88">
        <f t="shared" si="1081"/>
        <v>23360</v>
      </c>
      <c r="CP420" s="88">
        <f t="shared" si="1082"/>
        <v>880</v>
      </c>
      <c r="CQ420" s="88">
        <f t="shared" si="1083"/>
        <v>20960</v>
      </c>
      <c r="CR420" s="88">
        <f t="shared" si="1084"/>
        <v>440</v>
      </c>
      <c r="CS420" s="88">
        <f t="shared" si="1085"/>
        <v>1080</v>
      </c>
      <c r="CT420" s="88">
        <f t="shared" si="1086"/>
        <v>7020</v>
      </c>
      <c r="CU420" s="88">
        <f t="shared" si="1087"/>
        <v>5800</v>
      </c>
      <c r="CV420" s="88">
        <f t="shared" si="1088"/>
        <v>540</v>
      </c>
      <c r="CW420" s="88">
        <f t="shared" si="1089"/>
        <v>770</v>
      </c>
      <c r="CX420" s="88">
        <f t="shared" si="1090"/>
        <v>170</v>
      </c>
      <c r="CY420" s="88">
        <f t="shared" si="1091"/>
        <v>200</v>
      </c>
      <c r="CZ420" s="88">
        <f t="shared" si="1092"/>
        <v>32941.5</v>
      </c>
      <c r="DA420" s="90">
        <f t="shared" si="1093"/>
        <v>25300.6875</v>
      </c>
      <c r="DB420" s="90">
        <f t="shared" si="1094"/>
        <v>7640.8125</v>
      </c>
      <c r="DC420" s="88">
        <f t="shared" si="1095"/>
        <v>0</v>
      </c>
      <c r="DD420" s="88">
        <f t="shared" si="1096"/>
        <v>278032.5</v>
      </c>
      <c r="AUV420" s="699">
        <f t="shared" si="1184"/>
        <v>192281</v>
      </c>
      <c r="AUW420" s="699">
        <f t="shared" si="1185"/>
        <v>147681.26</v>
      </c>
      <c r="AUX420" s="699">
        <f t="shared" si="1186"/>
        <v>44599.74</v>
      </c>
      <c r="AUY420" s="699">
        <f t="shared" si="1205"/>
        <v>6840</v>
      </c>
      <c r="AUZ420" s="699">
        <f t="shared" si="1204"/>
        <v>4209.2299999999996</v>
      </c>
      <c r="AVA420" s="699">
        <f t="shared" si="1204"/>
        <v>0.83</v>
      </c>
      <c r="AVB420" s="699">
        <f t="shared" si="1206"/>
        <v>23360</v>
      </c>
      <c r="AVC420" s="699">
        <f t="shared" si="1207"/>
        <v>880</v>
      </c>
      <c r="AVD420" s="699">
        <f t="shared" si="1208"/>
        <v>20960</v>
      </c>
      <c r="AVE420" s="699">
        <f t="shared" si="1209"/>
        <v>440</v>
      </c>
      <c r="AVF420" s="699">
        <f t="shared" si="1210"/>
        <v>1080</v>
      </c>
      <c r="AVG420" s="699">
        <f t="shared" si="1211"/>
        <v>7020</v>
      </c>
      <c r="AVH420" s="699">
        <f t="shared" si="1212"/>
        <v>5800</v>
      </c>
      <c r="AVI420" s="699">
        <f t="shared" si="1213"/>
        <v>540</v>
      </c>
      <c r="AVJ420" s="699">
        <f t="shared" si="1214"/>
        <v>770</v>
      </c>
      <c r="AVK420" s="699">
        <f t="shared" si="1215"/>
        <v>170</v>
      </c>
      <c r="AVL420" s="699">
        <f t="shared" si="1216"/>
        <v>200</v>
      </c>
      <c r="AVM420" s="699">
        <f t="shared" si="1217"/>
        <v>32941.5</v>
      </c>
      <c r="AVN420" s="699">
        <f t="shared" si="1218"/>
        <v>25300.69</v>
      </c>
      <c r="AVO420" s="699">
        <f t="shared" si="1219"/>
        <v>7640.81</v>
      </c>
      <c r="AVP420" s="699">
        <f t="shared" si="1220"/>
        <v>0</v>
      </c>
      <c r="AVQ420" s="699">
        <f t="shared" si="1221"/>
        <v>278032.5</v>
      </c>
    </row>
    <row r="421" spans="1:108 1244:1265" s="436" customFormat="1" ht="30" customHeight="1" x14ac:dyDescent="0.25">
      <c r="A421" s="641"/>
      <c r="B421" s="653">
        <v>0</v>
      </c>
      <c r="C421" s="662" t="s">
        <v>252</v>
      </c>
      <c r="D421" s="2"/>
      <c r="E421" s="431" t="s">
        <v>346</v>
      </c>
      <c r="F421" s="641" t="s">
        <v>39</v>
      </c>
      <c r="G421" s="641">
        <v>3</v>
      </c>
      <c r="H421" s="655" t="s">
        <v>10</v>
      </c>
      <c r="I421" s="641">
        <v>0</v>
      </c>
      <c r="J421" s="431" t="s">
        <v>443</v>
      </c>
      <c r="K421" s="641">
        <v>3</v>
      </c>
      <c r="L421" s="680" t="s">
        <v>351</v>
      </c>
      <c r="M421" s="432"/>
      <c r="N421" s="431" t="s">
        <v>387</v>
      </c>
      <c r="O421" s="641">
        <v>1</v>
      </c>
      <c r="P421" s="632">
        <v>1</v>
      </c>
      <c r="Q421" s="632">
        <v>1</v>
      </c>
      <c r="R421" s="632">
        <v>1</v>
      </c>
      <c r="S421" s="669">
        <f>SUMIF('Территориальный кк'!$A:$A,'2020'!$B421,'Территориальный кк'!D:D)</f>
        <v>2.4510000000000001</v>
      </c>
      <c r="T421" s="670">
        <f>SUMIF('Территориальный кк'!$A:$A,'2020'!$B421,'Территориальный кк'!E:E)</f>
        <v>2.6</v>
      </c>
      <c r="U421" s="625">
        <f>SUMIFS(Нормативы!G:G,Нормативы!$B:$B,$G421,Нормативы!$D:$D,'2020'!$I421,Нормативы!$F:$F,'2020'!$K421)*O421</f>
        <v>78450</v>
      </c>
      <c r="V421" s="625">
        <f t="shared" si="1097"/>
        <v>60253.5</v>
      </c>
      <c r="W421" s="625">
        <f t="shared" si="1098"/>
        <v>18196.5</v>
      </c>
      <c r="X421" s="625">
        <f>SUMIFS(Нормативы!J:J,Нормативы!$B:$B,$G421,Нормативы!$D:$D,'2020'!$I421,Нормативы!$F:$F,'2020'!$K421)</f>
        <v>6840</v>
      </c>
      <c r="Y421" s="625">
        <f>SUMIFS(Нормативы!K:K,Нормативы!$B:$B,$G421,Нормативы!$D:$D,'2020'!$I421,Нормативы!$F:$F,'2020'!$K421)</f>
        <v>1368</v>
      </c>
      <c r="Z421" s="625">
        <f>SUMIFS(Нормативы!L:L,Нормативы!$B:$B,$G421,Нормативы!$D:$D,'2020'!$I421,Нормативы!$F:$F,'2020'!$K421)</f>
        <v>8110</v>
      </c>
      <c r="AA421" s="625">
        <f t="shared" si="1099"/>
        <v>23360</v>
      </c>
      <c r="AB421" s="625">
        <f>SUMIFS(Нормативы!N:N,Нормативы!$B:$B,$G421,Нормативы!$D:$D,'2020'!$I421,Нормативы!$F:$F,'2020'!$K421)*O421</f>
        <v>880</v>
      </c>
      <c r="AC421" s="625">
        <f>SUMIFS(Нормативы!O:O,Нормативы!$B:$B,$G421,Нормативы!$D:$D,'2020'!$I421,Нормативы!$F:$F,'2020'!$K421)</f>
        <v>20960</v>
      </c>
      <c r="AD421" s="625">
        <f>SUMIFS(Нормативы!P:P,Нормативы!$B:$B,$G421,Нормативы!$D:$D,'2020'!$I421,Нормативы!$F:$F,'2020'!$K421)*O421</f>
        <v>440</v>
      </c>
      <c r="AE421" s="625">
        <f>SUMIFS(Нормативы!Q:Q,Нормативы!$B:$B,$G421,Нормативы!$D:$D,'2020'!$I421,Нормативы!$F:$F,'2020'!$K421)</f>
        <v>1080</v>
      </c>
      <c r="AF421" s="625">
        <f>SUMIFS(Нормативы!R:R,Нормативы!$B:$B,$G421,Нормативы!$D:$D,'2020'!$I421,Нормативы!$F:$F,'2020'!$K421)</f>
        <v>2700</v>
      </c>
      <c r="AG421" s="625">
        <f>SUMIFS(Нормативы!S:S,Нормативы!$B:$B,$G421,Нормативы!$D:$D,'2020'!$I421,Нормативы!$F:$F,'2020'!$K421)</f>
        <v>5800</v>
      </c>
      <c r="AH421" s="625">
        <f>SUMIFS(Нормативы!T:T,Нормативы!$B:$B,$G421,Нормативы!$D:$D,'2020'!$I421,Нормативы!$F:$F,'2020'!$K421)</f>
        <v>540</v>
      </c>
      <c r="AI421" s="625">
        <f>SUMIFS(Нормативы!U:U,Нормативы!$B:$B,$G421,Нормативы!$D:$D,'2020'!$I421,Нормативы!$F:$F,'2020'!$K421)</f>
        <v>770</v>
      </c>
      <c r="AJ421" s="625">
        <f>SUMIFS(Нормативы!V:V,Нормативы!$B:$B,$G421,Нормативы!$D:$D,'2020'!$I421,Нормативы!$F:$F,'2020'!$K421)</f>
        <v>170</v>
      </c>
      <c r="AK421" s="625">
        <f>SUMIFS(Нормативы!W:W,Нормативы!$B:$B,$G421,Нормативы!$D:$D,'2020'!$I421,Нормативы!$F:$F,'2020'!$K421)</f>
        <v>200</v>
      </c>
      <c r="AL421" s="625">
        <f>SUMIFS(Нормативы!X:X,Нормативы!$B:$B,$G421,Нормативы!$D:$D,'2020'!$I421,Нормативы!$F:$F,'2020'!$K421)*O421</f>
        <v>13440</v>
      </c>
      <c r="AM421" s="625">
        <f t="shared" si="1100"/>
        <v>10322.6</v>
      </c>
      <c r="AN421" s="625">
        <f t="shared" si="1101"/>
        <v>3117.4</v>
      </c>
      <c r="AO421" s="625">
        <f>SUMIFS(Нормативы!AA:AA,Нормативы!$B:$B,$G421,Нормативы!$D:$D,'2020'!$I421,Нормативы!$F:$F,'2020'!$K421)</f>
        <v>0</v>
      </c>
      <c r="AP421" s="626">
        <f t="shared" si="1102"/>
        <v>140380</v>
      </c>
      <c r="AQ421" s="609">
        <f t="shared" si="1040"/>
        <v>78450</v>
      </c>
      <c r="AR421" s="625">
        <f t="shared" si="1247"/>
        <v>60253.5</v>
      </c>
      <c r="AS421" s="625">
        <f t="shared" si="1248"/>
        <v>18196.5</v>
      </c>
      <c r="AT421" s="613">
        <f t="shared" si="1041"/>
        <v>6840</v>
      </c>
      <c r="AU421" s="613">
        <f t="shared" si="1042"/>
        <v>1368</v>
      </c>
      <c r="AV421" s="613">
        <f t="shared" si="1043"/>
        <v>8110</v>
      </c>
      <c r="AW421" s="613">
        <f t="shared" si="1044"/>
        <v>23360</v>
      </c>
      <c r="AX421" s="613">
        <f t="shared" si="1045"/>
        <v>880</v>
      </c>
      <c r="AY421" s="613">
        <f t="shared" si="1046"/>
        <v>20960</v>
      </c>
      <c r="AZ421" s="613">
        <f t="shared" si="1047"/>
        <v>440</v>
      </c>
      <c r="BA421" s="613">
        <f t="shared" si="1048"/>
        <v>1080</v>
      </c>
      <c r="BB421" s="613">
        <f t="shared" si="1049"/>
        <v>2700</v>
      </c>
      <c r="BC421" s="613">
        <f t="shared" si="1050"/>
        <v>5800</v>
      </c>
      <c r="BD421" s="613">
        <f t="shared" si="1051"/>
        <v>540</v>
      </c>
      <c r="BE421" s="613">
        <f t="shared" si="1052"/>
        <v>770</v>
      </c>
      <c r="BF421" s="613">
        <f t="shared" si="1053"/>
        <v>170</v>
      </c>
      <c r="BG421" s="613">
        <f t="shared" si="1054"/>
        <v>200</v>
      </c>
      <c r="BH421" s="613">
        <f t="shared" si="1055"/>
        <v>13440</v>
      </c>
      <c r="BI421" s="625">
        <f t="shared" si="1249"/>
        <v>10322.6</v>
      </c>
      <c r="BJ421" s="625">
        <f t="shared" si="1250"/>
        <v>3117.4</v>
      </c>
      <c r="BK421" s="613">
        <f t="shared" si="1251"/>
        <v>0</v>
      </c>
      <c r="BL421" s="626">
        <f t="shared" si="1057"/>
        <v>140380</v>
      </c>
      <c r="BM421" s="613">
        <f t="shared" si="1058"/>
        <v>192281</v>
      </c>
      <c r="BN421" s="625">
        <f t="shared" si="1252"/>
        <v>147681.29999999999</v>
      </c>
      <c r="BO421" s="625">
        <f t="shared" si="1253"/>
        <v>44599.7</v>
      </c>
      <c r="BP421" s="613">
        <f t="shared" si="1254"/>
        <v>6840</v>
      </c>
      <c r="BQ421" s="613">
        <f t="shared" si="1108"/>
        <v>1368</v>
      </c>
      <c r="BR421" s="613">
        <f t="shared" si="1255"/>
        <v>8110</v>
      </c>
      <c r="BS421" s="613">
        <f t="shared" si="1256"/>
        <v>23360</v>
      </c>
      <c r="BT421" s="616">
        <f t="shared" si="1257"/>
        <v>880</v>
      </c>
      <c r="BU421" s="616">
        <f t="shared" si="1258"/>
        <v>20960</v>
      </c>
      <c r="BV421" s="616">
        <f t="shared" si="1259"/>
        <v>440</v>
      </c>
      <c r="BW421" s="616">
        <f t="shared" si="1260"/>
        <v>1080</v>
      </c>
      <c r="BX421" s="613">
        <f t="shared" si="1066"/>
        <v>7020</v>
      </c>
      <c r="BY421" s="613">
        <f t="shared" si="1261"/>
        <v>5800</v>
      </c>
      <c r="BZ421" s="613">
        <f t="shared" si="1262"/>
        <v>540</v>
      </c>
      <c r="CA421" s="613">
        <f t="shared" si="1263"/>
        <v>770</v>
      </c>
      <c r="CB421" s="613">
        <f t="shared" si="1264"/>
        <v>170</v>
      </c>
      <c r="CC421" s="613">
        <f t="shared" si="1265"/>
        <v>200</v>
      </c>
      <c r="CD421" s="613">
        <f t="shared" si="1072"/>
        <v>32941</v>
      </c>
      <c r="CE421" s="625">
        <f t="shared" si="1266"/>
        <v>25300.3</v>
      </c>
      <c r="CF421" s="625">
        <f t="shared" si="1267"/>
        <v>7640.7</v>
      </c>
      <c r="CG421" s="613">
        <f t="shared" si="1268"/>
        <v>0</v>
      </c>
      <c r="CH421" s="626">
        <f t="shared" si="1074"/>
        <v>278032</v>
      </c>
      <c r="CI421" s="88">
        <f t="shared" si="1075"/>
        <v>192281</v>
      </c>
      <c r="CJ421" s="90">
        <f t="shared" si="1076"/>
        <v>147681.29999999999</v>
      </c>
      <c r="CK421" s="90">
        <f t="shared" si="1077"/>
        <v>44599.7</v>
      </c>
      <c r="CL421" s="88">
        <f t="shared" si="1078"/>
        <v>6840</v>
      </c>
      <c r="CM421" s="88">
        <f t="shared" si="1079"/>
        <v>1368</v>
      </c>
      <c r="CN421" s="88">
        <f t="shared" si="1080"/>
        <v>8110</v>
      </c>
      <c r="CO421" s="88">
        <f t="shared" si="1081"/>
        <v>23360</v>
      </c>
      <c r="CP421" s="88">
        <f t="shared" si="1082"/>
        <v>880</v>
      </c>
      <c r="CQ421" s="88">
        <f t="shared" si="1083"/>
        <v>20960</v>
      </c>
      <c r="CR421" s="88">
        <f t="shared" si="1084"/>
        <v>440</v>
      </c>
      <c r="CS421" s="88">
        <f t="shared" si="1085"/>
        <v>1080</v>
      </c>
      <c r="CT421" s="88">
        <f t="shared" si="1086"/>
        <v>7020</v>
      </c>
      <c r="CU421" s="88">
        <f t="shared" si="1087"/>
        <v>5800</v>
      </c>
      <c r="CV421" s="88">
        <f t="shared" si="1088"/>
        <v>540</v>
      </c>
      <c r="CW421" s="88">
        <f t="shared" si="1089"/>
        <v>770</v>
      </c>
      <c r="CX421" s="88">
        <f t="shared" si="1090"/>
        <v>170</v>
      </c>
      <c r="CY421" s="88">
        <f t="shared" si="1091"/>
        <v>200</v>
      </c>
      <c r="CZ421" s="88">
        <f t="shared" si="1092"/>
        <v>32941</v>
      </c>
      <c r="DA421" s="90">
        <f t="shared" si="1093"/>
        <v>25300.3</v>
      </c>
      <c r="DB421" s="90">
        <f t="shared" si="1094"/>
        <v>7640.7</v>
      </c>
      <c r="DC421" s="88">
        <f t="shared" si="1095"/>
        <v>0</v>
      </c>
      <c r="DD421" s="88">
        <f t="shared" si="1096"/>
        <v>278032</v>
      </c>
      <c r="AUV421" s="699">
        <f t="shared" si="1184"/>
        <v>192281</v>
      </c>
      <c r="AUW421" s="699">
        <f t="shared" si="1185"/>
        <v>147681.26</v>
      </c>
      <c r="AUX421" s="699">
        <f t="shared" si="1186"/>
        <v>44599.74</v>
      </c>
      <c r="AUY421" s="699">
        <f t="shared" si="1204"/>
        <v>2790.7</v>
      </c>
      <c r="AUZ421" s="699">
        <f t="shared" si="1204"/>
        <v>526.15</v>
      </c>
      <c r="AVA421" s="699">
        <f t="shared" si="1204"/>
        <v>0.1</v>
      </c>
      <c r="AVB421" s="699">
        <f t="shared" si="1204"/>
        <v>0.39</v>
      </c>
      <c r="AVC421" s="699">
        <f t="shared" ref="AVC421" si="1269">BT421/P421</f>
        <v>880</v>
      </c>
      <c r="AVD421" s="699">
        <f t="shared" ref="AVD421" si="1270">BU421/P421</f>
        <v>20960</v>
      </c>
      <c r="AVE421" s="699">
        <f t="shared" ref="AVE421" si="1271">BV421/P421</f>
        <v>440</v>
      </c>
      <c r="AVF421" s="699">
        <f t="shared" ref="AVF421" si="1272">BW421/P421</f>
        <v>1080</v>
      </c>
      <c r="AVG421" s="699">
        <f t="shared" ref="AVG421" si="1273">BX421/P421</f>
        <v>7020</v>
      </c>
      <c r="AVH421" s="699">
        <f t="shared" ref="AVH421" si="1274">BY421/P421</f>
        <v>5800</v>
      </c>
      <c r="AVI421" s="699">
        <f t="shared" ref="AVI421" si="1275">BZ421/P421</f>
        <v>540</v>
      </c>
      <c r="AVJ421" s="699">
        <f t="shared" ref="AVJ421" si="1276">CA421/P421</f>
        <v>770</v>
      </c>
      <c r="AVK421" s="699">
        <f t="shared" ref="AVK421" si="1277">CB421/P421</f>
        <v>170</v>
      </c>
      <c r="AVL421" s="699">
        <f t="shared" ref="AVL421" si="1278">CC421/P421</f>
        <v>200</v>
      </c>
      <c r="AVM421" s="699">
        <f t="shared" ref="AVM421" si="1279">CD421/P421</f>
        <v>32941</v>
      </c>
      <c r="AVN421" s="699">
        <f t="shared" ref="AVN421" si="1280">AVM421/1.302</f>
        <v>25300.31</v>
      </c>
      <c r="AVO421" s="699">
        <f t="shared" ref="AVO421" si="1281">AVM421-AVN421</f>
        <v>7640.69</v>
      </c>
      <c r="AVP421" s="699">
        <f t="shared" ref="AVP421" si="1282">CG421/P421</f>
        <v>0</v>
      </c>
      <c r="AVQ421" s="699">
        <f t="shared" ref="AVQ421" si="1283">CH421/P421</f>
        <v>278032</v>
      </c>
    </row>
    <row r="422" spans="1:108 1244:1265" s="436" customFormat="1" ht="30" customHeight="1" x14ac:dyDescent="0.25">
      <c r="A422" s="641"/>
      <c r="B422" s="652">
        <v>100</v>
      </c>
      <c r="C422" s="662" t="s">
        <v>28</v>
      </c>
      <c r="D422" s="2"/>
      <c r="E422" s="431" t="s">
        <v>346</v>
      </c>
      <c r="F422" s="641" t="s">
        <v>39</v>
      </c>
      <c r="G422" s="641">
        <v>3</v>
      </c>
      <c r="H422" s="655" t="s">
        <v>10</v>
      </c>
      <c r="I422" s="641">
        <v>0</v>
      </c>
      <c r="J422" s="431" t="s">
        <v>365</v>
      </c>
      <c r="K422" s="641">
        <v>2</v>
      </c>
      <c r="L422" s="680" t="s">
        <v>351</v>
      </c>
      <c r="M422" s="432" t="s">
        <v>271</v>
      </c>
      <c r="N422" s="431" t="s">
        <v>387</v>
      </c>
      <c r="O422" s="641">
        <v>1</v>
      </c>
      <c r="P422" s="632"/>
      <c r="Q422" s="632"/>
      <c r="R422" s="632"/>
      <c r="S422" s="669">
        <f>SUMIF('Территориальный кк'!$A:$A,'2020'!$B422,'Территориальный кк'!D:D)</f>
        <v>3.3740000000000001</v>
      </c>
      <c r="T422" s="670">
        <f>SUMIF('Территориальный кк'!$A:$A,'2020'!$B422,'Территориальный кк'!E:E)</f>
        <v>2.8919999999999999</v>
      </c>
      <c r="U422" s="625">
        <f>SUMIFS(Нормативы!G:G,Нормативы!$B:$B,$G422,Нормативы!$D:$D,'2020'!$I422,Нормативы!$F:$F,'2020'!$K422)*O422</f>
        <v>78450</v>
      </c>
      <c r="V422" s="625">
        <f t="shared" si="1097"/>
        <v>60253.5</v>
      </c>
      <c r="W422" s="625">
        <f t="shared" si="1098"/>
        <v>18196.5</v>
      </c>
      <c r="X422" s="625">
        <f>SUMIFS(Нормативы!J:J,Нормативы!$B:$B,$G422,Нормативы!$D:$D,'2020'!$I422,Нормативы!$F:$F,'2020'!$K422)</f>
        <v>1610</v>
      </c>
      <c r="Y422" s="625">
        <f>SUMIFS(Нормативы!K:K,Нормативы!$B:$B,$G422,Нормативы!$D:$D,'2020'!$I422,Нормативы!$F:$F,'2020'!$K422)</f>
        <v>322</v>
      </c>
      <c r="Z422" s="625">
        <f>SUMIFS(Нормативы!L:L,Нормативы!$B:$B,$G422,Нормативы!$D:$D,'2020'!$I422,Нормативы!$F:$F,'2020'!$K422)</f>
        <v>3480</v>
      </c>
      <c r="AA422" s="625">
        <f t="shared" si="1099"/>
        <v>8580</v>
      </c>
      <c r="AB422" s="625">
        <f>SUMIFS(Нормативы!N:N,Нормативы!$B:$B,$G422,Нормативы!$D:$D,'2020'!$I422,Нормативы!$F:$F,'2020'!$K422)*O422</f>
        <v>880</v>
      </c>
      <c r="AC422" s="625">
        <f>SUMIFS(Нормативы!O:O,Нормативы!$B:$B,$G422,Нормативы!$D:$D,'2020'!$I422,Нормативы!$F:$F,'2020'!$K422)</f>
        <v>6180</v>
      </c>
      <c r="AD422" s="625">
        <f>SUMIFS(Нормативы!P:P,Нормативы!$B:$B,$G422,Нормативы!$D:$D,'2020'!$I422,Нормативы!$F:$F,'2020'!$K422)*O422</f>
        <v>440</v>
      </c>
      <c r="AE422" s="625">
        <f>SUMIFS(Нормативы!Q:Q,Нормативы!$B:$B,$G422,Нормативы!$D:$D,'2020'!$I422,Нормативы!$F:$F,'2020'!$K422)</f>
        <v>1080</v>
      </c>
      <c r="AF422" s="625">
        <f>SUMIFS(Нормативы!R:R,Нормативы!$B:$B,$G422,Нормативы!$D:$D,'2020'!$I422,Нормативы!$F:$F,'2020'!$K422)</f>
        <v>2490</v>
      </c>
      <c r="AG422" s="625">
        <f>SUMIFS(Нормативы!S:S,Нормативы!$B:$B,$G422,Нормативы!$D:$D,'2020'!$I422,Нормативы!$F:$F,'2020'!$K422)</f>
        <v>5800</v>
      </c>
      <c r="AH422" s="625">
        <f>SUMIFS(Нормативы!T:T,Нормативы!$B:$B,$G422,Нормативы!$D:$D,'2020'!$I422,Нормативы!$F:$F,'2020'!$K422)</f>
        <v>540</v>
      </c>
      <c r="AI422" s="625">
        <f>SUMIFS(Нормативы!U:U,Нормативы!$B:$B,$G422,Нормативы!$D:$D,'2020'!$I422,Нормативы!$F:$F,'2020'!$K422)</f>
        <v>770</v>
      </c>
      <c r="AJ422" s="625">
        <f>SUMIFS(Нормативы!V:V,Нормативы!$B:$B,$G422,Нормативы!$D:$D,'2020'!$I422,Нормативы!$F:$F,'2020'!$K422)</f>
        <v>170</v>
      </c>
      <c r="AK422" s="625">
        <f>SUMIFS(Нормативы!W:W,Нормативы!$B:$B,$G422,Нормативы!$D:$D,'2020'!$I422,Нормативы!$F:$F,'2020'!$K422)</f>
        <v>200</v>
      </c>
      <c r="AL422" s="625">
        <f>SUMIFS(Нормативы!X:X,Нормативы!$B:$B,$G422,Нормативы!$D:$D,'2020'!$I422,Нормативы!$F:$F,'2020'!$K422)*O422</f>
        <v>13440</v>
      </c>
      <c r="AM422" s="625">
        <f t="shared" si="1100"/>
        <v>10322.6</v>
      </c>
      <c r="AN422" s="625">
        <f t="shared" si="1101"/>
        <v>3117.4</v>
      </c>
      <c r="AO422" s="625">
        <f>SUMIFS(Нормативы!AA:AA,Нормативы!$B:$B,$G422,Нормативы!$D:$D,'2020'!$I422,Нормативы!$F:$F,'2020'!$K422)</f>
        <v>0</v>
      </c>
      <c r="AP422" s="626">
        <f t="shared" si="1102"/>
        <v>115530</v>
      </c>
      <c r="AQ422" s="609">
        <f t="shared" si="1040"/>
        <v>0</v>
      </c>
      <c r="AR422" s="625">
        <f t="shared" si="1247"/>
        <v>0</v>
      </c>
      <c r="AS422" s="625">
        <f t="shared" si="1248"/>
        <v>0</v>
      </c>
      <c r="AT422" s="613">
        <f t="shared" si="1041"/>
        <v>0</v>
      </c>
      <c r="AU422" s="613">
        <f t="shared" si="1042"/>
        <v>0</v>
      </c>
      <c r="AV422" s="613">
        <f t="shared" si="1043"/>
        <v>0</v>
      </c>
      <c r="AW422" s="613">
        <f t="shared" si="1044"/>
        <v>0</v>
      </c>
      <c r="AX422" s="613">
        <f t="shared" si="1045"/>
        <v>0</v>
      </c>
      <c r="AY422" s="613">
        <f t="shared" si="1046"/>
        <v>0</v>
      </c>
      <c r="AZ422" s="613">
        <f t="shared" si="1047"/>
        <v>0</v>
      </c>
      <c r="BA422" s="613">
        <f t="shared" si="1048"/>
        <v>0</v>
      </c>
      <c r="BB422" s="613">
        <f t="shared" si="1049"/>
        <v>0</v>
      </c>
      <c r="BC422" s="613">
        <f t="shared" si="1050"/>
        <v>0</v>
      </c>
      <c r="BD422" s="613">
        <f t="shared" si="1051"/>
        <v>0</v>
      </c>
      <c r="BE422" s="613">
        <f t="shared" si="1052"/>
        <v>0</v>
      </c>
      <c r="BF422" s="613">
        <f t="shared" si="1053"/>
        <v>0</v>
      </c>
      <c r="BG422" s="613">
        <f t="shared" si="1054"/>
        <v>0</v>
      </c>
      <c r="BH422" s="613">
        <f t="shared" si="1055"/>
        <v>0</v>
      </c>
      <c r="BI422" s="625">
        <f t="shared" si="1249"/>
        <v>0</v>
      </c>
      <c r="BJ422" s="625">
        <f t="shared" si="1250"/>
        <v>0</v>
      </c>
      <c r="BK422" s="613">
        <f t="shared" si="1251"/>
        <v>0</v>
      </c>
      <c r="BL422" s="626">
        <f t="shared" si="1057"/>
        <v>0</v>
      </c>
      <c r="BM422" s="613">
        <f t="shared" si="1058"/>
        <v>0</v>
      </c>
      <c r="BN422" s="625">
        <f t="shared" si="1252"/>
        <v>0</v>
      </c>
      <c r="BO422" s="625">
        <f t="shared" si="1253"/>
        <v>0</v>
      </c>
      <c r="BP422" s="613">
        <f t="shared" si="1254"/>
        <v>0</v>
      </c>
      <c r="BQ422" s="613">
        <f t="shared" si="1108"/>
        <v>0</v>
      </c>
      <c r="BR422" s="613">
        <f t="shared" si="1255"/>
        <v>0</v>
      </c>
      <c r="BS422" s="613">
        <f t="shared" si="1256"/>
        <v>0</v>
      </c>
      <c r="BT422" s="616">
        <f t="shared" si="1257"/>
        <v>0</v>
      </c>
      <c r="BU422" s="616">
        <f t="shared" si="1258"/>
        <v>0</v>
      </c>
      <c r="BV422" s="616">
        <f t="shared" si="1259"/>
        <v>0</v>
      </c>
      <c r="BW422" s="616">
        <f t="shared" si="1260"/>
        <v>0</v>
      </c>
      <c r="BX422" s="613">
        <f t="shared" si="1066"/>
        <v>0</v>
      </c>
      <c r="BY422" s="613">
        <f t="shared" si="1261"/>
        <v>0</v>
      </c>
      <c r="BZ422" s="613">
        <f t="shared" si="1262"/>
        <v>0</v>
      </c>
      <c r="CA422" s="613">
        <f t="shared" si="1263"/>
        <v>0</v>
      </c>
      <c r="CB422" s="613">
        <f t="shared" si="1264"/>
        <v>0</v>
      </c>
      <c r="CC422" s="613">
        <f t="shared" si="1265"/>
        <v>0</v>
      </c>
      <c r="CD422" s="613">
        <f t="shared" si="1072"/>
        <v>0</v>
      </c>
      <c r="CE422" s="625">
        <f t="shared" si="1266"/>
        <v>0</v>
      </c>
      <c r="CF422" s="625">
        <f t="shared" si="1267"/>
        <v>0</v>
      </c>
      <c r="CG422" s="613">
        <f t="shared" si="1268"/>
        <v>0</v>
      </c>
      <c r="CH422" s="626">
        <f t="shared" si="1074"/>
        <v>0</v>
      </c>
      <c r="CI422" s="88" t="e">
        <f t="shared" si="1075"/>
        <v>#DIV/0!</v>
      </c>
      <c r="CJ422" s="90" t="e">
        <f t="shared" si="1076"/>
        <v>#DIV/0!</v>
      </c>
      <c r="CK422" s="90" t="e">
        <f t="shared" si="1077"/>
        <v>#DIV/0!</v>
      </c>
      <c r="CL422" s="88" t="e">
        <f t="shared" si="1078"/>
        <v>#DIV/0!</v>
      </c>
      <c r="CM422" s="88" t="e">
        <f t="shared" si="1079"/>
        <v>#DIV/0!</v>
      </c>
      <c r="CN422" s="88" t="e">
        <f t="shared" si="1080"/>
        <v>#DIV/0!</v>
      </c>
      <c r="CO422" s="88" t="e">
        <f t="shared" si="1081"/>
        <v>#DIV/0!</v>
      </c>
      <c r="CP422" s="88" t="e">
        <f t="shared" si="1082"/>
        <v>#DIV/0!</v>
      </c>
      <c r="CQ422" s="88" t="e">
        <f t="shared" si="1083"/>
        <v>#DIV/0!</v>
      </c>
      <c r="CR422" s="88" t="e">
        <f t="shared" si="1084"/>
        <v>#DIV/0!</v>
      </c>
      <c r="CS422" s="88" t="e">
        <f t="shared" si="1085"/>
        <v>#DIV/0!</v>
      </c>
      <c r="CT422" s="88" t="e">
        <f t="shared" si="1086"/>
        <v>#DIV/0!</v>
      </c>
      <c r="CU422" s="88" t="e">
        <f t="shared" si="1087"/>
        <v>#DIV/0!</v>
      </c>
      <c r="CV422" s="88" t="e">
        <f t="shared" si="1088"/>
        <v>#DIV/0!</v>
      </c>
      <c r="CW422" s="88" t="e">
        <f t="shared" si="1089"/>
        <v>#DIV/0!</v>
      </c>
      <c r="CX422" s="88" t="e">
        <f t="shared" si="1090"/>
        <v>#DIV/0!</v>
      </c>
      <c r="CY422" s="88" t="e">
        <f t="shared" si="1091"/>
        <v>#DIV/0!</v>
      </c>
      <c r="CZ422" s="88" t="e">
        <f t="shared" si="1092"/>
        <v>#DIV/0!</v>
      </c>
      <c r="DA422" s="90" t="e">
        <f t="shared" si="1093"/>
        <v>#DIV/0!</v>
      </c>
      <c r="DB422" s="90" t="e">
        <f t="shared" si="1094"/>
        <v>#DIV/0!</v>
      </c>
      <c r="DC422" s="88" t="e">
        <f t="shared" si="1095"/>
        <v>#DIV/0!</v>
      </c>
      <c r="DD422" s="88" t="e">
        <f t="shared" si="1096"/>
        <v>#DIV/0!</v>
      </c>
      <c r="AUV422" s="699"/>
      <c r="AUW422" s="699">
        <f t="shared" si="1185"/>
        <v>0</v>
      </c>
      <c r="AUX422" s="699">
        <f t="shared" si="1186"/>
        <v>0</v>
      </c>
      <c r="AUY422" s="699">
        <f t="shared" si="1204"/>
        <v>0</v>
      </c>
      <c r="AUZ422" s="699">
        <f t="shared" si="1204"/>
        <v>0</v>
      </c>
      <c r="AVA422" s="699">
        <f t="shared" si="1204"/>
        <v>0</v>
      </c>
      <c r="AVB422" s="699">
        <f t="shared" si="1204"/>
        <v>0</v>
      </c>
      <c r="AVC422" s="699"/>
      <c r="AVD422" s="699"/>
      <c r="AVE422" s="699"/>
      <c r="AVF422" s="699"/>
      <c r="AVG422" s="699"/>
      <c r="AVH422" s="699"/>
      <c r="AVI422" s="699"/>
      <c r="AVJ422" s="699"/>
      <c r="AVK422" s="699"/>
      <c r="AVL422" s="699"/>
      <c r="AVM422" s="699"/>
      <c r="AVN422" s="699"/>
      <c r="AVO422" s="699"/>
      <c r="AVP422" s="699"/>
      <c r="AVQ422" s="699"/>
    </row>
    <row r="423" spans="1:108 1244:1265" s="436" customFormat="1" ht="30" customHeight="1" x14ac:dyDescent="0.25">
      <c r="A423" s="641"/>
      <c r="B423" s="652">
        <v>100</v>
      </c>
      <c r="C423" s="662" t="s">
        <v>28</v>
      </c>
      <c r="D423" s="2"/>
      <c r="E423" s="431" t="s">
        <v>346</v>
      </c>
      <c r="F423" s="641" t="s">
        <v>39</v>
      </c>
      <c r="G423" s="641">
        <v>3</v>
      </c>
      <c r="H423" s="655" t="s">
        <v>10</v>
      </c>
      <c r="I423" s="641">
        <v>0</v>
      </c>
      <c r="J423" s="431" t="s">
        <v>368</v>
      </c>
      <c r="K423" s="641">
        <v>2</v>
      </c>
      <c r="L423" s="680" t="s">
        <v>351</v>
      </c>
      <c r="M423" s="432" t="s">
        <v>274</v>
      </c>
      <c r="N423" s="431" t="s">
        <v>387</v>
      </c>
      <c r="O423" s="641">
        <v>1</v>
      </c>
      <c r="P423" s="632">
        <v>4</v>
      </c>
      <c r="Q423" s="632">
        <v>4</v>
      </c>
      <c r="R423" s="632">
        <v>4</v>
      </c>
      <c r="S423" s="669">
        <f>SUMIF('Территориальный кк'!$A:$A,'2020'!$B423,'Территориальный кк'!D:D)</f>
        <v>3.3740000000000001</v>
      </c>
      <c r="T423" s="670">
        <f>SUMIF('Территориальный кк'!$A:$A,'2020'!$B423,'Территориальный кк'!E:E)</f>
        <v>2.8919999999999999</v>
      </c>
      <c r="U423" s="625">
        <f>SUMIFS(Нормативы!G:G,Нормативы!$B:$B,$G423,Нормативы!$D:$D,'2020'!$I423,Нормативы!$F:$F,'2020'!$K423)*O423</f>
        <v>78450</v>
      </c>
      <c r="V423" s="625">
        <f t="shared" si="1097"/>
        <v>60253.5</v>
      </c>
      <c r="W423" s="625">
        <f t="shared" si="1098"/>
        <v>18196.5</v>
      </c>
      <c r="X423" s="625">
        <f>SUMIFS(Нормативы!J:J,Нормативы!$B:$B,$G423,Нормативы!$D:$D,'2020'!$I423,Нормативы!$F:$F,'2020'!$K423)</f>
        <v>1610</v>
      </c>
      <c r="Y423" s="625">
        <f>SUMIFS(Нормативы!K:K,Нормативы!$B:$B,$G423,Нормативы!$D:$D,'2020'!$I423,Нормативы!$F:$F,'2020'!$K423)</f>
        <v>322</v>
      </c>
      <c r="Z423" s="625">
        <f>SUMIFS(Нормативы!L:L,Нормативы!$B:$B,$G423,Нормативы!$D:$D,'2020'!$I423,Нормативы!$F:$F,'2020'!$K423)</f>
        <v>3480</v>
      </c>
      <c r="AA423" s="625">
        <f t="shared" si="1099"/>
        <v>8580</v>
      </c>
      <c r="AB423" s="625">
        <f>SUMIFS(Нормативы!N:N,Нормативы!$B:$B,$G423,Нормативы!$D:$D,'2020'!$I423,Нормативы!$F:$F,'2020'!$K423)*O423</f>
        <v>880</v>
      </c>
      <c r="AC423" s="625">
        <f>SUMIFS(Нормативы!O:O,Нормативы!$B:$B,$G423,Нормативы!$D:$D,'2020'!$I423,Нормативы!$F:$F,'2020'!$K423)</f>
        <v>6180</v>
      </c>
      <c r="AD423" s="625">
        <f>SUMIFS(Нормативы!P:P,Нормативы!$B:$B,$G423,Нормативы!$D:$D,'2020'!$I423,Нормативы!$F:$F,'2020'!$K423)*O423</f>
        <v>440</v>
      </c>
      <c r="AE423" s="625">
        <f>SUMIFS(Нормативы!Q:Q,Нормативы!$B:$B,$G423,Нормативы!$D:$D,'2020'!$I423,Нормативы!$F:$F,'2020'!$K423)</f>
        <v>1080</v>
      </c>
      <c r="AF423" s="625">
        <f>SUMIFS(Нормативы!R:R,Нормативы!$B:$B,$G423,Нормативы!$D:$D,'2020'!$I423,Нормативы!$F:$F,'2020'!$K423)</f>
        <v>2490</v>
      </c>
      <c r="AG423" s="625">
        <f>SUMIFS(Нормативы!S:S,Нормативы!$B:$B,$G423,Нормативы!$D:$D,'2020'!$I423,Нормативы!$F:$F,'2020'!$K423)</f>
        <v>5800</v>
      </c>
      <c r="AH423" s="625">
        <f>SUMIFS(Нормативы!T:T,Нормативы!$B:$B,$G423,Нормативы!$D:$D,'2020'!$I423,Нормативы!$F:$F,'2020'!$K423)</f>
        <v>540</v>
      </c>
      <c r="AI423" s="625">
        <f>SUMIFS(Нормативы!U:U,Нормативы!$B:$B,$G423,Нормативы!$D:$D,'2020'!$I423,Нормативы!$F:$F,'2020'!$K423)</f>
        <v>770</v>
      </c>
      <c r="AJ423" s="625">
        <f>SUMIFS(Нормативы!V:V,Нормативы!$B:$B,$G423,Нормативы!$D:$D,'2020'!$I423,Нормативы!$F:$F,'2020'!$K423)</f>
        <v>170</v>
      </c>
      <c r="AK423" s="625">
        <f>SUMIFS(Нормативы!W:W,Нормативы!$B:$B,$G423,Нормативы!$D:$D,'2020'!$I423,Нормативы!$F:$F,'2020'!$K423)</f>
        <v>200</v>
      </c>
      <c r="AL423" s="625">
        <f>SUMIFS(Нормативы!X:X,Нормативы!$B:$B,$G423,Нормативы!$D:$D,'2020'!$I423,Нормативы!$F:$F,'2020'!$K423)*O423</f>
        <v>13440</v>
      </c>
      <c r="AM423" s="625">
        <f t="shared" si="1100"/>
        <v>10322.6</v>
      </c>
      <c r="AN423" s="625">
        <f t="shared" si="1101"/>
        <v>3117.4</v>
      </c>
      <c r="AO423" s="625">
        <f>SUMIFS(Нормативы!AA:AA,Нормативы!$B:$B,$G423,Нормативы!$D:$D,'2020'!$I423,Нормативы!$F:$F,'2020'!$K423)</f>
        <v>0</v>
      </c>
      <c r="AP423" s="626">
        <f t="shared" si="1102"/>
        <v>115530</v>
      </c>
      <c r="AQ423" s="609">
        <f t="shared" si="1040"/>
        <v>313800</v>
      </c>
      <c r="AR423" s="625">
        <f t="shared" si="1247"/>
        <v>241013.8</v>
      </c>
      <c r="AS423" s="625">
        <f t="shared" si="1248"/>
        <v>72786.2</v>
      </c>
      <c r="AT423" s="613">
        <f t="shared" si="1041"/>
        <v>6440</v>
      </c>
      <c r="AU423" s="613">
        <f t="shared" si="1042"/>
        <v>1288</v>
      </c>
      <c r="AV423" s="613">
        <f t="shared" si="1043"/>
        <v>13920</v>
      </c>
      <c r="AW423" s="613">
        <f t="shared" si="1044"/>
        <v>34320</v>
      </c>
      <c r="AX423" s="613">
        <f t="shared" si="1045"/>
        <v>3520</v>
      </c>
      <c r="AY423" s="613">
        <f t="shared" si="1046"/>
        <v>24720</v>
      </c>
      <c r="AZ423" s="613">
        <f t="shared" si="1047"/>
        <v>1760</v>
      </c>
      <c r="BA423" s="613">
        <f t="shared" si="1048"/>
        <v>4320</v>
      </c>
      <c r="BB423" s="613">
        <f t="shared" si="1049"/>
        <v>9960</v>
      </c>
      <c r="BC423" s="613">
        <f t="shared" si="1050"/>
        <v>23200</v>
      </c>
      <c r="BD423" s="613">
        <f t="shared" si="1051"/>
        <v>2160</v>
      </c>
      <c r="BE423" s="613">
        <f t="shared" si="1052"/>
        <v>3080</v>
      </c>
      <c r="BF423" s="613">
        <f t="shared" si="1053"/>
        <v>680</v>
      </c>
      <c r="BG423" s="613">
        <f t="shared" si="1054"/>
        <v>800</v>
      </c>
      <c r="BH423" s="613">
        <f t="shared" si="1055"/>
        <v>53760</v>
      </c>
      <c r="BI423" s="625">
        <f t="shared" si="1249"/>
        <v>41290.300000000003</v>
      </c>
      <c r="BJ423" s="625">
        <f t="shared" si="1250"/>
        <v>12469.7</v>
      </c>
      <c r="BK423" s="613">
        <f t="shared" si="1251"/>
        <v>0</v>
      </c>
      <c r="BL423" s="626">
        <f t="shared" si="1057"/>
        <v>462120</v>
      </c>
      <c r="BM423" s="613">
        <f t="shared" si="1058"/>
        <v>1058761</v>
      </c>
      <c r="BN423" s="625">
        <f t="shared" si="1252"/>
        <v>813180.5</v>
      </c>
      <c r="BO423" s="625">
        <f t="shared" si="1253"/>
        <v>245580.5</v>
      </c>
      <c r="BP423" s="613">
        <f t="shared" si="1254"/>
        <v>6440</v>
      </c>
      <c r="BQ423" s="613">
        <f t="shared" si="1108"/>
        <v>1288</v>
      </c>
      <c r="BR423" s="613">
        <f t="shared" si="1255"/>
        <v>13920</v>
      </c>
      <c r="BS423" s="613">
        <f t="shared" si="1256"/>
        <v>34320</v>
      </c>
      <c r="BT423" s="616">
        <f t="shared" si="1257"/>
        <v>3520</v>
      </c>
      <c r="BU423" s="616">
        <f t="shared" si="1258"/>
        <v>24720</v>
      </c>
      <c r="BV423" s="616">
        <f t="shared" si="1259"/>
        <v>1760</v>
      </c>
      <c r="BW423" s="616">
        <f t="shared" si="1260"/>
        <v>4320</v>
      </c>
      <c r="BX423" s="613">
        <f t="shared" si="1066"/>
        <v>28804</v>
      </c>
      <c r="BY423" s="613">
        <f t="shared" si="1261"/>
        <v>23200</v>
      </c>
      <c r="BZ423" s="613">
        <f t="shared" si="1262"/>
        <v>2160</v>
      </c>
      <c r="CA423" s="613">
        <f t="shared" si="1263"/>
        <v>3080</v>
      </c>
      <c r="CB423" s="613">
        <f t="shared" si="1264"/>
        <v>680</v>
      </c>
      <c r="CC423" s="613">
        <f t="shared" si="1265"/>
        <v>800</v>
      </c>
      <c r="CD423" s="613">
        <f t="shared" si="1072"/>
        <v>181386</v>
      </c>
      <c r="CE423" s="625">
        <f t="shared" si="1266"/>
        <v>139313.4</v>
      </c>
      <c r="CF423" s="625">
        <f t="shared" si="1267"/>
        <v>42072.6</v>
      </c>
      <c r="CG423" s="613">
        <f t="shared" si="1268"/>
        <v>0</v>
      </c>
      <c r="CH423" s="626">
        <f t="shared" si="1074"/>
        <v>1353551</v>
      </c>
      <c r="CI423" s="88">
        <f t="shared" si="1075"/>
        <v>264690.25</v>
      </c>
      <c r="CJ423" s="90">
        <f t="shared" si="1076"/>
        <v>203295.125</v>
      </c>
      <c r="CK423" s="90">
        <f t="shared" si="1077"/>
        <v>61395.125</v>
      </c>
      <c r="CL423" s="88">
        <f t="shared" si="1078"/>
        <v>1610</v>
      </c>
      <c r="CM423" s="88">
        <f t="shared" si="1079"/>
        <v>322</v>
      </c>
      <c r="CN423" s="88">
        <f t="shared" si="1080"/>
        <v>3480</v>
      </c>
      <c r="CO423" s="88">
        <f t="shared" si="1081"/>
        <v>8580</v>
      </c>
      <c r="CP423" s="88">
        <f t="shared" si="1082"/>
        <v>880</v>
      </c>
      <c r="CQ423" s="88">
        <f t="shared" si="1083"/>
        <v>6180</v>
      </c>
      <c r="CR423" s="88">
        <f t="shared" si="1084"/>
        <v>440</v>
      </c>
      <c r="CS423" s="88">
        <f t="shared" si="1085"/>
        <v>1080</v>
      </c>
      <c r="CT423" s="88">
        <f t="shared" si="1086"/>
        <v>7201</v>
      </c>
      <c r="CU423" s="88">
        <f t="shared" si="1087"/>
        <v>5800</v>
      </c>
      <c r="CV423" s="88">
        <f t="shared" si="1088"/>
        <v>540</v>
      </c>
      <c r="CW423" s="88">
        <f t="shared" si="1089"/>
        <v>770</v>
      </c>
      <c r="CX423" s="88">
        <f t="shared" si="1090"/>
        <v>170</v>
      </c>
      <c r="CY423" s="88">
        <f t="shared" si="1091"/>
        <v>200</v>
      </c>
      <c r="CZ423" s="88">
        <f t="shared" si="1092"/>
        <v>45346.5</v>
      </c>
      <c r="DA423" s="90">
        <f t="shared" si="1093"/>
        <v>34828.35</v>
      </c>
      <c r="DB423" s="90">
        <f t="shared" si="1094"/>
        <v>10518.15</v>
      </c>
      <c r="DC423" s="88">
        <f t="shared" si="1095"/>
        <v>0</v>
      </c>
      <c r="DD423" s="88">
        <f t="shared" si="1096"/>
        <v>338387.75</v>
      </c>
      <c r="AUV423" s="699">
        <f t="shared" si="1184"/>
        <v>264690.25</v>
      </c>
      <c r="AUW423" s="699">
        <f t="shared" si="1185"/>
        <v>203295.12</v>
      </c>
      <c r="AUX423" s="699">
        <f t="shared" si="1186"/>
        <v>61395.13</v>
      </c>
      <c r="AUY423" s="699">
        <f t="shared" ref="AUY423:AUY431" si="1284">BP423/P423</f>
        <v>1610</v>
      </c>
      <c r="AUZ423" s="699">
        <f t="shared" si="1204"/>
        <v>445.37</v>
      </c>
      <c r="AVA423" s="699">
        <f t="shared" si="1204"/>
        <v>0.18</v>
      </c>
      <c r="AVB423" s="699">
        <f t="shared" ref="AVB423:AVB431" si="1285">AVC423+AVD423+AVE423+AVF423</f>
        <v>8580</v>
      </c>
      <c r="AVC423" s="699">
        <f t="shared" ref="AVC423:AVC431" si="1286">BT423/P423</f>
        <v>880</v>
      </c>
      <c r="AVD423" s="699">
        <f t="shared" ref="AVD423:AVD431" si="1287">BU423/P423</f>
        <v>6180</v>
      </c>
      <c r="AVE423" s="699">
        <f t="shared" ref="AVE423:AVE431" si="1288">BV423/P423</f>
        <v>440</v>
      </c>
      <c r="AVF423" s="699">
        <f t="shared" ref="AVF423:AVF431" si="1289">BW423/P423</f>
        <v>1080</v>
      </c>
      <c r="AVG423" s="699">
        <f t="shared" ref="AVG423:AVG431" si="1290">BX423/P423</f>
        <v>7201</v>
      </c>
      <c r="AVH423" s="699">
        <f t="shared" ref="AVH423:AVH431" si="1291">BY423/P423</f>
        <v>5800</v>
      </c>
      <c r="AVI423" s="699">
        <f t="shared" ref="AVI423:AVI431" si="1292">BZ423/P423</f>
        <v>540</v>
      </c>
      <c r="AVJ423" s="699">
        <f t="shared" ref="AVJ423:AVJ431" si="1293">CA423/P423</f>
        <v>770</v>
      </c>
      <c r="AVK423" s="699">
        <f t="shared" ref="AVK423:AVK431" si="1294">CB423/P423</f>
        <v>170</v>
      </c>
      <c r="AVL423" s="699">
        <f t="shared" ref="AVL423:AVL431" si="1295">CC423/P423</f>
        <v>200</v>
      </c>
      <c r="AVM423" s="699">
        <f t="shared" ref="AVM423:AVM431" si="1296">CD423/P423</f>
        <v>45346.5</v>
      </c>
      <c r="AVN423" s="699">
        <f t="shared" ref="AVN423:AVN431" si="1297">AVM423/1.302</f>
        <v>34828.339999999997</v>
      </c>
      <c r="AVO423" s="699">
        <f t="shared" ref="AVO423:AVO431" si="1298">AVM423-AVN423</f>
        <v>10518.16</v>
      </c>
      <c r="AVP423" s="699">
        <f t="shared" ref="AVP423:AVP431" si="1299">CG423/P423</f>
        <v>0</v>
      </c>
      <c r="AVQ423" s="699">
        <f t="shared" ref="AVQ423:AVQ431" si="1300">CH423/P423</f>
        <v>338387.75</v>
      </c>
    </row>
    <row r="424" spans="1:108 1244:1265" s="436" customFormat="1" ht="30" customHeight="1" x14ac:dyDescent="0.25">
      <c r="A424" s="641"/>
      <c r="B424" s="652">
        <v>100</v>
      </c>
      <c r="C424" s="662" t="s">
        <v>28</v>
      </c>
      <c r="D424" s="2"/>
      <c r="E424" s="431" t="s">
        <v>346</v>
      </c>
      <c r="F424" s="641" t="s">
        <v>39</v>
      </c>
      <c r="G424" s="641">
        <v>3</v>
      </c>
      <c r="H424" s="655" t="s">
        <v>10</v>
      </c>
      <c r="I424" s="641">
        <v>0</v>
      </c>
      <c r="J424" s="431" t="s">
        <v>367</v>
      </c>
      <c r="K424" s="641">
        <v>3</v>
      </c>
      <c r="L424" s="680" t="s">
        <v>351</v>
      </c>
      <c r="M424" s="432" t="s">
        <v>273</v>
      </c>
      <c r="N424" s="431" t="s">
        <v>387</v>
      </c>
      <c r="O424" s="641">
        <v>1</v>
      </c>
      <c r="P424" s="632">
        <v>15</v>
      </c>
      <c r="Q424" s="632">
        <v>15</v>
      </c>
      <c r="R424" s="632">
        <v>15</v>
      </c>
      <c r="S424" s="669">
        <f>SUMIF('Территориальный кк'!$A:$A,'2020'!$B424,'Территориальный кк'!D:D)</f>
        <v>3.3740000000000001</v>
      </c>
      <c r="T424" s="670">
        <f>SUMIF('Территориальный кк'!$A:$A,'2020'!$B424,'Территориальный кк'!E:E)</f>
        <v>2.8919999999999999</v>
      </c>
      <c r="U424" s="625">
        <f>SUMIFS(Нормативы!G:G,Нормативы!$B:$B,$G424,Нормативы!$D:$D,'2020'!$I424,Нормативы!$F:$F,'2020'!$K424)*O424</f>
        <v>78450</v>
      </c>
      <c r="V424" s="625">
        <f t="shared" si="1097"/>
        <v>60253.5</v>
      </c>
      <c r="W424" s="625">
        <f t="shared" si="1098"/>
        <v>18196.5</v>
      </c>
      <c r="X424" s="625">
        <f>SUMIFS(Нормативы!J:J,Нормативы!$B:$B,$G424,Нормативы!$D:$D,'2020'!$I424,Нормативы!$F:$F,'2020'!$K424)</f>
        <v>6840</v>
      </c>
      <c r="Y424" s="625">
        <f>SUMIFS(Нормативы!K:K,Нормативы!$B:$B,$G424,Нормативы!$D:$D,'2020'!$I424,Нормативы!$F:$F,'2020'!$K424)</f>
        <v>1368</v>
      </c>
      <c r="Z424" s="625">
        <f>SUMIFS(Нормативы!L:L,Нормативы!$B:$B,$G424,Нормативы!$D:$D,'2020'!$I424,Нормативы!$F:$F,'2020'!$K424)</f>
        <v>8110</v>
      </c>
      <c r="AA424" s="625">
        <f t="shared" si="1099"/>
        <v>23360</v>
      </c>
      <c r="AB424" s="625">
        <f>SUMIFS(Нормативы!N:N,Нормативы!$B:$B,$G424,Нормативы!$D:$D,'2020'!$I424,Нормативы!$F:$F,'2020'!$K424)*O424</f>
        <v>880</v>
      </c>
      <c r="AC424" s="625">
        <f>SUMIFS(Нормативы!O:O,Нормативы!$B:$B,$G424,Нормативы!$D:$D,'2020'!$I424,Нормативы!$F:$F,'2020'!$K424)</f>
        <v>20960</v>
      </c>
      <c r="AD424" s="625">
        <f>SUMIFS(Нормативы!P:P,Нормативы!$B:$B,$G424,Нормативы!$D:$D,'2020'!$I424,Нормативы!$F:$F,'2020'!$K424)*O424</f>
        <v>440</v>
      </c>
      <c r="AE424" s="625">
        <f>SUMIFS(Нормативы!Q:Q,Нормативы!$B:$B,$G424,Нормативы!$D:$D,'2020'!$I424,Нормативы!$F:$F,'2020'!$K424)</f>
        <v>1080</v>
      </c>
      <c r="AF424" s="625">
        <f>SUMIFS(Нормативы!R:R,Нормативы!$B:$B,$G424,Нормативы!$D:$D,'2020'!$I424,Нормативы!$F:$F,'2020'!$K424)</f>
        <v>2700</v>
      </c>
      <c r="AG424" s="625">
        <f>SUMIFS(Нормативы!S:S,Нормативы!$B:$B,$G424,Нормативы!$D:$D,'2020'!$I424,Нормативы!$F:$F,'2020'!$K424)</f>
        <v>5800</v>
      </c>
      <c r="AH424" s="625">
        <f>SUMIFS(Нормативы!T:T,Нормативы!$B:$B,$G424,Нормативы!$D:$D,'2020'!$I424,Нормативы!$F:$F,'2020'!$K424)</f>
        <v>540</v>
      </c>
      <c r="AI424" s="625">
        <f>SUMIFS(Нормативы!U:U,Нормативы!$B:$B,$G424,Нормативы!$D:$D,'2020'!$I424,Нормативы!$F:$F,'2020'!$K424)</f>
        <v>770</v>
      </c>
      <c r="AJ424" s="625">
        <f>SUMIFS(Нормативы!V:V,Нормативы!$B:$B,$G424,Нормативы!$D:$D,'2020'!$I424,Нормативы!$F:$F,'2020'!$K424)</f>
        <v>170</v>
      </c>
      <c r="AK424" s="625">
        <f>SUMIFS(Нормативы!W:W,Нормативы!$B:$B,$G424,Нормативы!$D:$D,'2020'!$I424,Нормативы!$F:$F,'2020'!$K424)</f>
        <v>200</v>
      </c>
      <c r="AL424" s="625">
        <f>SUMIFS(Нормативы!X:X,Нормативы!$B:$B,$G424,Нормативы!$D:$D,'2020'!$I424,Нормативы!$F:$F,'2020'!$K424)*O424</f>
        <v>13440</v>
      </c>
      <c r="AM424" s="625">
        <f t="shared" si="1100"/>
        <v>10322.6</v>
      </c>
      <c r="AN424" s="625">
        <f t="shared" si="1101"/>
        <v>3117.4</v>
      </c>
      <c r="AO424" s="625">
        <f>SUMIFS(Нормативы!AA:AA,Нормативы!$B:$B,$G424,Нормативы!$D:$D,'2020'!$I424,Нормативы!$F:$F,'2020'!$K424)</f>
        <v>0</v>
      </c>
      <c r="AP424" s="626">
        <f t="shared" si="1102"/>
        <v>140380</v>
      </c>
      <c r="AQ424" s="609">
        <f t="shared" si="1040"/>
        <v>1176750</v>
      </c>
      <c r="AR424" s="625">
        <f t="shared" si="1247"/>
        <v>903801.8</v>
      </c>
      <c r="AS424" s="625">
        <f t="shared" si="1248"/>
        <v>272948.2</v>
      </c>
      <c r="AT424" s="613">
        <f t="shared" si="1041"/>
        <v>102600</v>
      </c>
      <c r="AU424" s="613">
        <f t="shared" si="1042"/>
        <v>20520</v>
      </c>
      <c r="AV424" s="613">
        <f t="shared" si="1043"/>
        <v>121650</v>
      </c>
      <c r="AW424" s="613">
        <f t="shared" si="1044"/>
        <v>350400</v>
      </c>
      <c r="AX424" s="613">
        <f t="shared" si="1045"/>
        <v>13200</v>
      </c>
      <c r="AY424" s="613">
        <f t="shared" si="1046"/>
        <v>314400</v>
      </c>
      <c r="AZ424" s="613">
        <f t="shared" si="1047"/>
        <v>6600</v>
      </c>
      <c r="BA424" s="613">
        <f t="shared" si="1048"/>
        <v>16200</v>
      </c>
      <c r="BB424" s="613">
        <f t="shared" si="1049"/>
        <v>40500</v>
      </c>
      <c r="BC424" s="613">
        <f t="shared" si="1050"/>
        <v>87000</v>
      </c>
      <c r="BD424" s="613">
        <f t="shared" si="1051"/>
        <v>8100</v>
      </c>
      <c r="BE424" s="613">
        <f t="shared" si="1052"/>
        <v>11550</v>
      </c>
      <c r="BF424" s="613">
        <f t="shared" si="1053"/>
        <v>2550</v>
      </c>
      <c r="BG424" s="613">
        <f t="shared" si="1054"/>
        <v>3000</v>
      </c>
      <c r="BH424" s="613">
        <f t="shared" si="1055"/>
        <v>201600</v>
      </c>
      <c r="BI424" s="625">
        <f t="shared" si="1249"/>
        <v>154838.70000000001</v>
      </c>
      <c r="BJ424" s="625">
        <f t="shared" si="1250"/>
        <v>46761.3</v>
      </c>
      <c r="BK424" s="613">
        <f t="shared" si="1251"/>
        <v>0</v>
      </c>
      <c r="BL424" s="626">
        <f t="shared" si="1057"/>
        <v>2105700</v>
      </c>
      <c r="BM424" s="613">
        <f t="shared" si="1058"/>
        <v>3970355</v>
      </c>
      <c r="BN424" s="625">
        <f t="shared" si="1252"/>
        <v>3049427.8</v>
      </c>
      <c r="BO424" s="625">
        <f t="shared" si="1253"/>
        <v>920927.2</v>
      </c>
      <c r="BP424" s="613">
        <f t="shared" si="1254"/>
        <v>102600</v>
      </c>
      <c r="BQ424" s="613">
        <f t="shared" si="1108"/>
        <v>20520</v>
      </c>
      <c r="BR424" s="613">
        <f t="shared" si="1255"/>
        <v>121650</v>
      </c>
      <c r="BS424" s="613">
        <f t="shared" si="1256"/>
        <v>350400</v>
      </c>
      <c r="BT424" s="616">
        <f t="shared" si="1257"/>
        <v>13200</v>
      </c>
      <c r="BU424" s="616">
        <f t="shared" si="1258"/>
        <v>314400</v>
      </c>
      <c r="BV424" s="616">
        <f t="shared" si="1259"/>
        <v>6600</v>
      </c>
      <c r="BW424" s="616">
        <f t="shared" si="1260"/>
        <v>16200</v>
      </c>
      <c r="BX424" s="613">
        <f t="shared" si="1066"/>
        <v>117126</v>
      </c>
      <c r="BY424" s="613">
        <f t="shared" si="1261"/>
        <v>87000</v>
      </c>
      <c r="BZ424" s="613">
        <f t="shared" si="1262"/>
        <v>8100</v>
      </c>
      <c r="CA424" s="613">
        <f t="shared" si="1263"/>
        <v>11550</v>
      </c>
      <c r="CB424" s="613">
        <f t="shared" si="1264"/>
        <v>2550</v>
      </c>
      <c r="CC424" s="613">
        <f t="shared" si="1265"/>
        <v>3000</v>
      </c>
      <c r="CD424" s="613">
        <f t="shared" si="1072"/>
        <v>680198</v>
      </c>
      <c r="CE424" s="625">
        <f t="shared" si="1266"/>
        <v>522425.5</v>
      </c>
      <c r="CF424" s="625">
        <f t="shared" si="1267"/>
        <v>157772.5</v>
      </c>
      <c r="CG424" s="613">
        <f t="shared" si="1268"/>
        <v>0</v>
      </c>
      <c r="CH424" s="626">
        <f t="shared" si="1074"/>
        <v>5454529</v>
      </c>
      <c r="CI424" s="88">
        <f t="shared" si="1075"/>
        <v>264690.3333</v>
      </c>
      <c r="CJ424" s="90">
        <f t="shared" si="1076"/>
        <v>203295.18669999999</v>
      </c>
      <c r="CK424" s="90">
        <f t="shared" si="1077"/>
        <v>61395.146699999998</v>
      </c>
      <c r="CL424" s="88">
        <f t="shared" si="1078"/>
        <v>6840</v>
      </c>
      <c r="CM424" s="88">
        <f t="shared" si="1079"/>
        <v>1368</v>
      </c>
      <c r="CN424" s="88">
        <f t="shared" si="1080"/>
        <v>8110</v>
      </c>
      <c r="CO424" s="88">
        <f t="shared" si="1081"/>
        <v>23360</v>
      </c>
      <c r="CP424" s="88">
        <f t="shared" si="1082"/>
        <v>880</v>
      </c>
      <c r="CQ424" s="88">
        <f t="shared" si="1083"/>
        <v>20960</v>
      </c>
      <c r="CR424" s="88">
        <f t="shared" si="1084"/>
        <v>440</v>
      </c>
      <c r="CS424" s="88">
        <f t="shared" si="1085"/>
        <v>1080</v>
      </c>
      <c r="CT424" s="88">
        <f t="shared" si="1086"/>
        <v>7808.4</v>
      </c>
      <c r="CU424" s="88">
        <f t="shared" si="1087"/>
        <v>5800</v>
      </c>
      <c r="CV424" s="88">
        <f t="shared" si="1088"/>
        <v>540</v>
      </c>
      <c r="CW424" s="88">
        <f t="shared" si="1089"/>
        <v>770</v>
      </c>
      <c r="CX424" s="88">
        <f t="shared" si="1090"/>
        <v>170</v>
      </c>
      <c r="CY424" s="88">
        <f t="shared" si="1091"/>
        <v>200</v>
      </c>
      <c r="CZ424" s="88">
        <f t="shared" si="1092"/>
        <v>45346.533300000003</v>
      </c>
      <c r="DA424" s="90">
        <f t="shared" si="1093"/>
        <v>34828.366699999999</v>
      </c>
      <c r="DB424" s="90">
        <f t="shared" si="1094"/>
        <v>10518.1667</v>
      </c>
      <c r="DC424" s="88">
        <f t="shared" si="1095"/>
        <v>0</v>
      </c>
      <c r="DD424" s="88">
        <f t="shared" si="1096"/>
        <v>363635.26669999998</v>
      </c>
      <c r="AUV424" s="699">
        <f t="shared" si="1184"/>
        <v>264690.33</v>
      </c>
      <c r="AUW424" s="699">
        <f t="shared" si="1185"/>
        <v>203295.18</v>
      </c>
      <c r="AUX424" s="699">
        <f t="shared" si="1186"/>
        <v>61395.15</v>
      </c>
      <c r="AUY424" s="699">
        <f t="shared" si="1284"/>
        <v>6840</v>
      </c>
      <c r="AUZ424" s="699">
        <f t="shared" si="1204"/>
        <v>7095.44</v>
      </c>
      <c r="AVA424" s="699">
        <f t="shared" si="1204"/>
        <v>1.55</v>
      </c>
      <c r="AVB424" s="699">
        <f t="shared" si="1285"/>
        <v>23360</v>
      </c>
      <c r="AVC424" s="699">
        <f t="shared" si="1286"/>
        <v>880</v>
      </c>
      <c r="AVD424" s="699">
        <f t="shared" si="1287"/>
        <v>20960</v>
      </c>
      <c r="AVE424" s="699">
        <f t="shared" si="1288"/>
        <v>440</v>
      </c>
      <c r="AVF424" s="699">
        <f t="shared" si="1289"/>
        <v>1080</v>
      </c>
      <c r="AVG424" s="699">
        <f t="shared" si="1290"/>
        <v>7808.4</v>
      </c>
      <c r="AVH424" s="699">
        <f t="shared" si="1291"/>
        <v>5800</v>
      </c>
      <c r="AVI424" s="699">
        <f t="shared" si="1292"/>
        <v>540</v>
      </c>
      <c r="AVJ424" s="699">
        <f t="shared" si="1293"/>
        <v>770</v>
      </c>
      <c r="AVK424" s="699">
        <f t="shared" si="1294"/>
        <v>170</v>
      </c>
      <c r="AVL424" s="699">
        <f t="shared" si="1295"/>
        <v>200</v>
      </c>
      <c r="AVM424" s="699">
        <f t="shared" si="1296"/>
        <v>45346.53</v>
      </c>
      <c r="AVN424" s="699">
        <f t="shared" si="1297"/>
        <v>34828.36</v>
      </c>
      <c r="AVO424" s="699">
        <f t="shared" si="1298"/>
        <v>10518.17</v>
      </c>
      <c r="AVP424" s="699">
        <f t="shared" si="1299"/>
        <v>0</v>
      </c>
      <c r="AVQ424" s="699">
        <f t="shared" si="1300"/>
        <v>363635.27</v>
      </c>
    </row>
    <row r="425" spans="1:108 1244:1265" ht="30" customHeight="1" x14ac:dyDescent="0.25">
      <c r="A425" s="643">
        <v>2</v>
      </c>
      <c r="B425" s="643">
        <v>30</v>
      </c>
      <c r="C425" s="643" t="s">
        <v>181</v>
      </c>
      <c r="D425" s="2"/>
      <c r="E425" s="2"/>
      <c r="F425" s="643" t="s">
        <v>40</v>
      </c>
      <c r="G425" s="643">
        <v>4</v>
      </c>
      <c r="H425" s="413" t="s">
        <v>10</v>
      </c>
      <c r="I425" s="643">
        <v>0</v>
      </c>
      <c r="J425" s="2" t="s">
        <v>410</v>
      </c>
      <c r="K425" s="643">
        <v>3</v>
      </c>
      <c r="L425" s="684"/>
      <c r="M425" s="3" t="s">
        <v>317</v>
      </c>
      <c r="N425" s="2" t="s">
        <v>411</v>
      </c>
      <c r="O425" s="643">
        <v>1</v>
      </c>
      <c r="P425" s="635">
        <v>187</v>
      </c>
      <c r="Q425" s="635">
        <v>187</v>
      </c>
      <c r="R425" s="635">
        <v>187</v>
      </c>
      <c r="S425" s="675">
        <f>SUMIF('Территориальный кк'!$A:$A,'2020'!$B425,'Территориальный кк'!F:F)</f>
        <v>2.1749999999999998</v>
      </c>
      <c r="T425" s="675">
        <f>SUMIF('Территориальный кк'!$A:$A,'2020'!$B425,'Территориальный кк'!G:G)</f>
        <v>2.9319999999999999</v>
      </c>
      <c r="U425" s="618">
        <f>SUMIFS(Нормативы!G:G,Нормативы!$B:$B,$G425,Нормативы!$D:$D,'2020'!$I425,Нормативы!$F:$F,'2020'!$K425)*O425</f>
        <v>22310</v>
      </c>
      <c r="V425" s="618">
        <f t="shared" si="1097"/>
        <v>17135.2</v>
      </c>
      <c r="W425" s="618">
        <f t="shared" si="1098"/>
        <v>5174.8</v>
      </c>
      <c r="X425" s="618">
        <f>SUMIFS(Нормативы!J:J,Нормативы!$B:$B,$G425,Нормативы!$D:$D,'2020'!$I425,Нормативы!$F:$F,'2020'!$K425)</f>
        <v>1910</v>
      </c>
      <c r="Y425" s="618">
        <f>SUMIFS(Нормативы!K:K,Нормативы!$B:$B,$G425,Нормативы!$D:$D,'2020'!$I425,Нормативы!$F:$F,'2020'!$K425)</f>
        <v>382</v>
      </c>
      <c r="Z425" s="618">
        <f>SUMIFS(Нормативы!L:L,Нормативы!$B:$B,$G425,Нормативы!$D:$D,'2020'!$I425,Нормативы!$F:$F,'2020'!$K425)</f>
        <v>3970</v>
      </c>
      <c r="AA425" s="618">
        <f t="shared" si="1099"/>
        <v>13670</v>
      </c>
      <c r="AB425" s="618">
        <f>SUMIFS(Нормативы!N:N,Нормативы!$B:$B,$G425,Нормативы!$D:$D,'2020'!$I425,Нормативы!$F:$F,'2020'!$K425)*O425</f>
        <v>460</v>
      </c>
      <c r="AC425" s="618">
        <f>SUMIFS(Нормативы!O:O,Нормативы!$B:$B,$G425,Нормативы!$D:$D,'2020'!$I425,Нормативы!$F:$F,'2020'!$K425)</f>
        <v>9200</v>
      </c>
      <c r="AD425" s="618">
        <f>SUMIFS(Нормативы!P:P,Нормативы!$B:$B,$G425,Нормативы!$D:$D,'2020'!$I425,Нормативы!$F:$F,'2020'!$K425)*O425</f>
        <v>3270</v>
      </c>
      <c r="AE425" s="618">
        <f>SUMIFS(Нормативы!Q:Q,Нормативы!$B:$B,$G425,Нормативы!$D:$D,'2020'!$I425,Нормативы!$F:$F,'2020'!$K425)</f>
        <v>740</v>
      </c>
      <c r="AF425" s="618">
        <f>SUMIFS(Нормативы!R:R,Нормативы!$B:$B,$G425,Нормативы!$D:$D,'2020'!$I425,Нормативы!$F:$F,'2020'!$K425)</f>
        <v>2120</v>
      </c>
      <c r="AG425" s="618">
        <f>SUMIFS(Нормативы!S:S,Нормативы!$B:$B,$G425,Нормативы!$D:$D,'2020'!$I425,Нормативы!$F:$F,'2020'!$K425)</f>
        <v>8620</v>
      </c>
      <c r="AH425" s="618">
        <f>SUMIFS(Нормативы!T:T,Нормативы!$B:$B,$G425,Нормативы!$D:$D,'2020'!$I425,Нормативы!$F:$F,'2020'!$K425)</f>
        <v>310</v>
      </c>
      <c r="AI425" s="618">
        <f>SUMIFS(Нормативы!U:U,Нормативы!$B:$B,$G425,Нормативы!$D:$D,'2020'!$I425,Нормативы!$F:$F,'2020'!$K425)</f>
        <v>1240</v>
      </c>
      <c r="AJ425" s="618">
        <f>SUMIFS(Нормативы!V:V,Нормативы!$B:$B,$G425,Нормативы!$D:$D,'2020'!$I425,Нормативы!$F:$F,'2020'!$K425)</f>
        <v>50</v>
      </c>
      <c r="AK425" s="618">
        <f>SUMIFS(Нормативы!W:W,Нормативы!$B:$B,$G425,Нормативы!$D:$D,'2020'!$I425,Нормативы!$F:$F,'2020'!$K425)</f>
        <v>2570</v>
      </c>
      <c r="AL425" s="618">
        <f>SUMIFS(Нормативы!X:X,Нормативы!$B:$B,$G425,Нормативы!$D:$D,'2020'!$I425,Нормативы!$F:$F,'2020'!$K425)*O425</f>
        <v>17850</v>
      </c>
      <c r="AM425" s="618">
        <f t="shared" si="1100"/>
        <v>13709.7</v>
      </c>
      <c r="AN425" s="618">
        <f t="shared" si="1101"/>
        <v>4140.3</v>
      </c>
      <c r="AO425" s="618">
        <f>SUMIFS(Нормативы!AA:AA,Нормативы!$B:$B,$G425,Нормативы!$D:$D,'2020'!$I425,Нормативы!$F:$F,'2020'!$K425)</f>
        <v>650</v>
      </c>
      <c r="AP425" s="619">
        <f t="shared" si="1102"/>
        <v>75270</v>
      </c>
      <c r="AQ425" s="413">
        <f t="shared" si="1040"/>
        <v>4171970</v>
      </c>
      <c r="AR425" s="618">
        <f t="shared" si="1247"/>
        <v>3204278</v>
      </c>
      <c r="AS425" s="618">
        <f t="shared" si="1248"/>
        <v>967692</v>
      </c>
      <c r="AT425" s="616">
        <f t="shared" si="1041"/>
        <v>357170</v>
      </c>
      <c r="AU425" s="616">
        <f t="shared" si="1042"/>
        <v>71434</v>
      </c>
      <c r="AV425" s="616">
        <f t="shared" si="1043"/>
        <v>742390</v>
      </c>
      <c r="AW425" s="616">
        <f t="shared" si="1044"/>
        <v>2556290</v>
      </c>
      <c r="AX425" s="616">
        <f t="shared" si="1045"/>
        <v>86020</v>
      </c>
      <c r="AY425" s="616">
        <f t="shared" si="1046"/>
        <v>1720400</v>
      </c>
      <c r="AZ425" s="616">
        <f t="shared" si="1047"/>
        <v>611490</v>
      </c>
      <c r="BA425" s="616">
        <f t="shared" si="1048"/>
        <v>138380</v>
      </c>
      <c r="BB425" s="616">
        <f t="shared" si="1049"/>
        <v>396440</v>
      </c>
      <c r="BC425" s="616">
        <f t="shared" si="1050"/>
        <v>1611940</v>
      </c>
      <c r="BD425" s="616">
        <f t="shared" si="1051"/>
        <v>57970</v>
      </c>
      <c r="BE425" s="616">
        <f t="shared" si="1052"/>
        <v>231880</v>
      </c>
      <c r="BF425" s="616">
        <f t="shared" si="1053"/>
        <v>9350</v>
      </c>
      <c r="BG425" s="616">
        <f t="shared" si="1054"/>
        <v>480590</v>
      </c>
      <c r="BH425" s="616">
        <f t="shared" si="1055"/>
        <v>3337950</v>
      </c>
      <c r="BI425" s="618">
        <f t="shared" si="1249"/>
        <v>2563709.7000000002</v>
      </c>
      <c r="BJ425" s="618">
        <f t="shared" si="1250"/>
        <v>774240.3</v>
      </c>
      <c r="BK425" s="616">
        <f t="shared" si="1251"/>
        <v>121550</v>
      </c>
      <c r="BL425" s="619">
        <f t="shared" si="1057"/>
        <v>14075490</v>
      </c>
      <c r="BM425" s="616">
        <f t="shared" si="1058"/>
        <v>9074035</v>
      </c>
      <c r="BN425" s="618">
        <f t="shared" si="1252"/>
        <v>6969304.9000000004</v>
      </c>
      <c r="BO425" s="618">
        <f t="shared" si="1253"/>
        <v>2104730.1</v>
      </c>
      <c r="BP425" s="616">
        <f t="shared" si="1254"/>
        <v>357170</v>
      </c>
      <c r="BQ425" s="616">
        <f t="shared" si="1108"/>
        <v>71434</v>
      </c>
      <c r="BR425" s="616">
        <f t="shared" si="1255"/>
        <v>742390</v>
      </c>
      <c r="BS425" s="616">
        <f t="shared" si="1256"/>
        <v>2556290</v>
      </c>
      <c r="BT425" s="413"/>
      <c r="BU425" s="413"/>
      <c r="BV425" s="413"/>
      <c r="BW425" s="413"/>
      <c r="BX425" s="616">
        <f t="shared" si="1066"/>
        <v>1162362</v>
      </c>
      <c r="BY425" s="616">
        <f t="shared" si="1261"/>
        <v>1611940</v>
      </c>
      <c r="BZ425" s="616">
        <f t="shared" si="1262"/>
        <v>57970</v>
      </c>
      <c r="CA425" s="616">
        <f t="shared" si="1263"/>
        <v>231880</v>
      </c>
      <c r="CB425" s="616">
        <f t="shared" si="1264"/>
        <v>9350</v>
      </c>
      <c r="CC425" s="616">
        <f t="shared" si="1265"/>
        <v>480590</v>
      </c>
      <c r="CD425" s="616">
        <f t="shared" si="1072"/>
        <v>7260041</v>
      </c>
      <c r="CE425" s="618">
        <f t="shared" si="1266"/>
        <v>5576068.4000000004</v>
      </c>
      <c r="CF425" s="618">
        <f t="shared" si="1267"/>
        <v>1683972.6</v>
      </c>
      <c r="CG425" s="616">
        <f t="shared" si="1268"/>
        <v>121550</v>
      </c>
      <c r="CH425" s="619">
        <f t="shared" si="1074"/>
        <v>23665568</v>
      </c>
      <c r="CM425" s="88"/>
      <c r="AUV425" s="699">
        <f t="shared" si="1184"/>
        <v>48524.25</v>
      </c>
      <c r="AUW425" s="699">
        <f t="shared" si="1185"/>
        <v>37269.01</v>
      </c>
      <c r="AUX425" s="699">
        <f t="shared" si="1186"/>
        <v>11255.24</v>
      </c>
      <c r="AUY425" s="699">
        <f t="shared" si="1284"/>
        <v>1910</v>
      </c>
      <c r="AUZ425" s="699">
        <f t="shared" si="1204"/>
        <v>24363.57</v>
      </c>
      <c r="AVA425" s="699">
        <f t="shared" si="1204"/>
        <v>33.28</v>
      </c>
      <c r="AVB425" s="699">
        <f t="shared" si="1285"/>
        <v>0</v>
      </c>
      <c r="AVC425" s="699">
        <f t="shared" si="1286"/>
        <v>0</v>
      </c>
      <c r="AVD425" s="699">
        <f t="shared" si="1287"/>
        <v>0</v>
      </c>
      <c r="AVE425" s="699">
        <f t="shared" si="1288"/>
        <v>0</v>
      </c>
      <c r="AVF425" s="699">
        <f t="shared" si="1289"/>
        <v>0</v>
      </c>
      <c r="AVG425" s="699">
        <f t="shared" si="1290"/>
        <v>6215.84</v>
      </c>
      <c r="AVH425" s="699">
        <f t="shared" si="1291"/>
        <v>8620</v>
      </c>
      <c r="AVI425" s="699">
        <f t="shared" si="1292"/>
        <v>310</v>
      </c>
      <c r="AVJ425" s="699">
        <f t="shared" si="1293"/>
        <v>1240</v>
      </c>
      <c r="AVK425" s="699">
        <f t="shared" si="1294"/>
        <v>50</v>
      </c>
      <c r="AVL425" s="699">
        <f t="shared" si="1295"/>
        <v>2570</v>
      </c>
      <c r="AVM425" s="699">
        <f t="shared" si="1296"/>
        <v>38823.75</v>
      </c>
      <c r="AVN425" s="699">
        <f t="shared" si="1297"/>
        <v>29818.55</v>
      </c>
      <c r="AVO425" s="699">
        <f t="shared" si="1298"/>
        <v>9005.2000000000007</v>
      </c>
      <c r="AVP425" s="699">
        <f t="shared" si="1299"/>
        <v>650</v>
      </c>
      <c r="AVQ425" s="699">
        <f t="shared" si="1300"/>
        <v>126553.84</v>
      </c>
    </row>
    <row r="426" spans="1:108 1244:1265" ht="30" customHeight="1" x14ac:dyDescent="0.25">
      <c r="A426" s="643">
        <v>2</v>
      </c>
      <c r="B426" s="643">
        <v>21</v>
      </c>
      <c r="C426" s="643" t="s">
        <v>412</v>
      </c>
      <c r="D426" s="2"/>
      <c r="E426" s="2"/>
      <c r="F426" s="643" t="s">
        <v>40</v>
      </c>
      <c r="G426" s="643">
        <v>4</v>
      </c>
      <c r="H426" s="413" t="s">
        <v>10</v>
      </c>
      <c r="I426" s="643">
        <v>0</v>
      </c>
      <c r="J426" s="2" t="s">
        <v>410</v>
      </c>
      <c r="K426" s="643">
        <v>3</v>
      </c>
      <c r="L426" s="684"/>
      <c r="M426" s="3" t="s">
        <v>317</v>
      </c>
      <c r="N426" s="2" t="s">
        <v>411</v>
      </c>
      <c r="O426" s="643">
        <v>1</v>
      </c>
      <c r="P426" s="635">
        <v>378</v>
      </c>
      <c r="Q426" s="635">
        <v>378</v>
      </c>
      <c r="R426" s="635">
        <v>378</v>
      </c>
      <c r="S426" s="675">
        <f>SUMIF('Территориальный кк'!$A:$A,'2020'!$B426,'Территориальный кк'!F:F)</f>
        <v>1.153</v>
      </c>
      <c r="T426" s="675">
        <f>SUMIF('Территориальный кк'!$A:$A,'2020'!$B426,'Территориальный кк'!G:G)</f>
        <v>2.4820000000000002</v>
      </c>
      <c r="U426" s="618">
        <f>SUMIFS(Нормативы!G:G,Нормативы!$B:$B,$G426,Нормативы!$D:$D,'2020'!$I426,Нормативы!$F:$F,'2020'!$K426)*O426</f>
        <v>22310</v>
      </c>
      <c r="V426" s="618">
        <f t="shared" si="1097"/>
        <v>17135.2</v>
      </c>
      <c r="W426" s="618">
        <f t="shared" si="1098"/>
        <v>5174.8</v>
      </c>
      <c r="X426" s="618">
        <f>SUMIFS(Нормативы!J:J,Нормативы!$B:$B,$G426,Нормативы!$D:$D,'2020'!$I426,Нормативы!$F:$F,'2020'!$K426)</f>
        <v>1910</v>
      </c>
      <c r="Y426" s="618">
        <f>SUMIFS(Нормативы!K:K,Нормативы!$B:$B,$G426,Нормативы!$D:$D,'2020'!$I426,Нормативы!$F:$F,'2020'!$K426)</f>
        <v>382</v>
      </c>
      <c r="Z426" s="618">
        <f>SUMIFS(Нормативы!L:L,Нормативы!$B:$B,$G426,Нормативы!$D:$D,'2020'!$I426,Нормативы!$F:$F,'2020'!$K426)</f>
        <v>3970</v>
      </c>
      <c r="AA426" s="618">
        <f t="shared" si="1099"/>
        <v>13670</v>
      </c>
      <c r="AB426" s="618">
        <f>SUMIFS(Нормативы!N:N,Нормативы!$B:$B,$G426,Нормативы!$D:$D,'2020'!$I426,Нормативы!$F:$F,'2020'!$K426)*O426</f>
        <v>460</v>
      </c>
      <c r="AC426" s="618">
        <f>SUMIFS(Нормативы!O:O,Нормативы!$B:$B,$G426,Нормативы!$D:$D,'2020'!$I426,Нормативы!$F:$F,'2020'!$K426)</f>
        <v>9200</v>
      </c>
      <c r="AD426" s="618">
        <f>SUMIFS(Нормативы!P:P,Нормативы!$B:$B,$G426,Нормативы!$D:$D,'2020'!$I426,Нормативы!$F:$F,'2020'!$K426)*O426</f>
        <v>3270</v>
      </c>
      <c r="AE426" s="618">
        <f>SUMIFS(Нормативы!Q:Q,Нормативы!$B:$B,$G426,Нормативы!$D:$D,'2020'!$I426,Нормативы!$F:$F,'2020'!$K426)</f>
        <v>740</v>
      </c>
      <c r="AF426" s="618">
        <f>SUMIFS(Нормативы!R:R,Нормативы!$B:$B,$G426,Нормативы!$D:$D,'2020'!$I426,Нормативы!$F:$F,'2020'!$K426)</f>
        <v>2120</v>
      </c>
      <c r="AG426" s="618">
        <f>SUMIFS(Нормативы!S:S,Нормативы!$B:$B,$G426,Нормативы!$D:$D,'2020'!$I426,Нормативы!$F:$F,'2020'!$K426)</f>
        <v>8620</v>
      </c>
      <c r="AH426" s="618">
        <f>SUMIFS(Нормативы!T:T,Нормативы!$B:$B,$G426,Нормативы!$D:$D,'2020'!$I426,Нормативы!$F:$F,'2020'!$K426)</f>
        <v>310</v>
      </c>
      <c r="AI426" s="618">
        <f>SUMIFS(Нормативы!U:U,Нормативы!$B:$B,$G426,Нормативы!$D:$D,'2020'!$I426,Нормативы!$F:$F,'2020'!$K426)</f>
        <v>1240</v>
      </c>
      <c r="AJ426" s="618">
        <f>SUMIFS(Нормативы!V:V,Нормативы!$B:$B,$G426,Нормативы!$D:$D,'2020'!$I426,Нормативы!$F:$F,'2020'!$K426)</f>
        <v>50</v>
      </c>
      <c r="AK426" s="618">
        <f>SUMIFS(Нормативы!W:W,Нормативы!$B:$B,$G426,Нормативы!$D:$D,'2020'!$I426,Нормативы!$F:$F,'2020'!$K426)</f>
        <v>2570</v>
      </c>
      <c r="AL426" s="618">
        <f>SUMIFS(Нормативы!X:X,Нормативы!$B:$B,$G426,Нормативы!$D:$D,'2020'!$I426,Нормативы!$F:$F,'2020'!$K426)*O426</f>
        <v>17850</v>
      </c>
      <c r="AM426" s="618">
        <f t="shared" si="1100"/>
        <v>13709.7</v>
      </c>
      <c r="AN426" s="618">
        <f t="shared" si="1101"/>
        <v>4140.3</v>
      </c>
      <c r="AO426" s="618">
        <f>SUMIFS(Нормативы!AA:AA,Нормативы!$B:$B,$G426,Нормативы!$D:$D,'2020'!$I426,Нормативы!$F:$F,'2020'!$K426)</f>
        <v>650</v>
      </c>
      <c r="AP426" s="619">
        <f t="shared" si="1102"/>
        <v>75270</v>
      </c>
      <c r="AQ426" s="413">
        <f t="shared" si="1040"/>
        <v>8433180</v>
      </c>
      <c r="AR426" s="618">
        <f t="shared" si="1247"/>
        <v>6477096.7999999998</v>
      </c>
      <c r="AS426" s="618">
        <f t="shared" si="1248"/>
        <v>1956083.2</v>
      </c>
      <c r="AT426" s="616">
        <f t="shared" si="1041"/>
        <v>721980</v>
      </c>
      <c r="AU426" s="616">
        <f t="shared" si="1042"/>
        <v>144396</v>
      </c>
      <c r="AV426" s="616">
        <f t="shared" si="1043"/>
        <v>1500660</v>
      </c>
      <c r="AW426" s="616">
        <f t="shared" si="1044"/>
        <v>5167260</v>
      </c>
      <c r="AX426" s="616">
        <f t="shared" si="1045"/>
        <v>173880</v>
      </c>
      <c r="AY426" s="616">
        <f t="shared" si="1046"/>
        <v>3477600</v>
      </c>
      <c r="AZ426" s="616">
        <f t="shared" si="1047"/>
        <v>1236060</v>
      </c>
      <c r="BA426" s="616">
        <f t="shared" si="1048"/>
        <v>279720</v>
      </c>
      <c r="BB426" s="616">
        <f t="shared" si="1049"/>
        <v>801360</v>
      </c>
      <c r="BC426" s="616">
        <f t="shared" si="1050"/>
        <v>3258360</v>
      </c>
      <c r="BD426" s="616">
        <f t="shared" si="1051"/>
        <v>117180</v>
      </c>
      <c r="BE426" s="616">
        <f t="shared" si="1052"/>
        <v>468720</v>
      </c>
      <c r="BF426" s="616">
        <f t="shared" si="1053"/>
        <v>18900</v>
      </c>
      <c r="BG426" s="616">
        <f t="shared" si="1054"/>
        <v>971460</v>
      </c>
      <c r="BH426" s="616">
        <f t="shared" si="1055"/>
        <v>6747300</v>
      </c>
      <c r="BI426" s="618">
        <f t="shared" si="1249"/>
        <v>5182258.0999999996</v>
      </c>
      <c r="BJ426" s="618">
        <f t="shared" si="1250"/>
        <v>1565041.9</v>
      </c>
      <c r="BK426" s="616">
        <f t="shared" si="1251"/>
        <v>245700</v>
      </c>
      <c r="BL426" s="619">
        <f t="shared" si="1057"/>
        <v>28452060</v>
      </c>
      <c r="BM426" s="616">
        <f t="shared" si="1058"/>
        <v>9723457</v>
      </c>
      <c r="BN426" s="618">
        <f t="shared" si="1252"/>
        <v>7468092.9000000004</v>
      </c>
      <c r="BO426" s="618">
        <f t="shared" si="1253"/>
        <v>2255364.1</v>
      </c>
      <c r="BP426" s="616">
        <f t="shared" si="1254"/>
        <v>721980</v>
      </c>
      <c r="BQ426" s="616">
        <f t="shared" si="1108"/>
        <v>144396</v>
      </c>
      <c r="BR426" s="616">
        <f t="shared" si="1255"/>
        <v>1500660</v>
      </c>
      <c r="BS426" s="616">
        <f t="shared" si="1256"/>
        <v>5167260</v>
      </c>
      <c r="BT426" s="413"/>
      <c r="BU426" s="413"/>
      <c r="BV426" s="413"/>
      <c r="BW426" s="413"/>
      <c r="BX426" s="616">
        <f t="shared" si="1066"/>
        <v>1988976</v>
      </c>
      <c r="BY426" s="616">
        <f t="shared" si="1261"/>
        <v>3258360</v>
      </c>
      <c r="BZ426" s="616">
        <f t="shared" si="1262"/>
        <v>117180</v>
      </c>
      <c r="CA426" s="616">
        <f t="shared" si="1263"/>
        <v>468720</v>
      </c>
      <c r="CB426" s="616">
        <f t="shared" si="1264"/>
        <v>18900</v>
      </c>
      <c r="CC426" s="616">
        <f t="shared" si="1265"/>
        <v>971460</v>
      </c>
      <c r="CD426" s="616">
        <f t="shared" si="1072"/>
        <v>7779637</v>
      </c>
      <c r="CE426" s="618">
        <f t="shared" si="1266"/>
        <v>5975143.5999999996</v>
      </c>
      <c r="CF426" s="618">
        <f t="shared" si="1267"/>
        <v>1804493.4</v>
      </c>
      <c r="CG426" s="616">
        <f t="shared" si="1268"/>
        <v>245700</v>
      </c>
      <c r="CH426" s="619">
        <f t="shared" si="1074"/>
        <v>31962290</v>
      </c>
      <c r="AUV426" s="699">
        <f t="shared" si="1184"/>
        <v>25723.43</v>
      </c>
      <c r="AUW426" s="699">
        <f t="shared" si="1185"/>
        <v>19756.86</v>
      </c>
      <c r="AUX426" s="699">
        <f t="shared" si="1186"/>
        <v>5966.57</v>
      </c>
      <c r="AUY426" s="699">
        <f t="shared" si="1284"/>
        <v>1910</v>
      </c>
      <c r="AUZ426" s="699">
        <f t="shared" si="1204"/>
        <v>58177.279999999999</v>
      </c>
      <c r="AVA426" s="699">
        <f t="shared" si="1204"/>
        <v>67.260000000000005</v>
      </c>
      <c r="AVB426" s="699">
        <f t="shared" si="1285"/>
        <v>0</v>
      </c>
      <c r="AVC426" s="699">
        <f t="shared" si="1286"/>
        <v>0</v>
      </c>
      <c r="AVD426" s="699">
        <f t="shared" si="1287"/>
        <v>0</v>
      </c>
      <c r="AVE426" s="699">
        <f t="shared" si="1288"/>
        <v>0</v>
      </c>
      <c r="AVF426" s="699">
        <f t="shared" si="1289"/>
        <v>0</v>
      </c>
      <c r="AVG426" s="699">
        <f t="shared" si="1290"/>
        <v>5261.84</v>
      </c>
      <c r="AVH426" s="699">
        <f t="shared" si="1291"/>
        <v>8620</v>
      </c>
      <c r="AVI426" s="699">
        <f t="shared" si="1292"/>
        <v>310</v>
      </c>
      <c r="AVJ426" s="699">
        <f t="shared" si="1293"/>
        <v>1240</v>
      </c>
      <c r="AVK426" s="699">
        <f t="shared" si="1294"/>
        <v>50</v>
      </c>
      <c r="AVL426" s="699">
        <f t="shared" si="1295"/>
        <v>2570</v>
      </c>
      <c r="AVM426" s="699">
        <f t="shared" si="1296"/>
        <v>20581.05</v>
      </c>
      <c r="AVN426" s="699">
        <f t="shared" si="1297"/>
        <v>15807.26</v>
      </c>
      <c r="AVO426" s="699">
        <f t="shared" si="1298"/>
        <v>4773.79</v>
      </c>
      <c r="AVP426" s="699">
        <f t="shared" si="1299"/>
        <v>650</v>
      </c>
      <c r="AVQ426" s="699">
        <f t="shared" si="1300"/>
        <v>84556.32</v>
      </c>
    </row>
    <row r="427" spans="1:108 1244:1265" ht="30" customHeight="1" x14ac:dyDescent="0.25">
      <c r="A427" s="643">
        <v>2</v>
      </c>
      <c r="B427" s="643">
        <v>21</v>
      </c>
      <c r="C427" s="643" t="s">
        <v>412</v>
      </c>
      <c r="D427" s="2"/>
      <c r="E427" s="2"/>
      <c r="F427" s="643" t="s">
        <v>40</v>
      </c>
      <c r="G427" s="643">
        <v>4</v>
      </c>
      <c r="H427" s="413" t="s">
        <v>10</v>
      </c>
      <c r="I427" s="643">
        <v>0</v>
      </c>
      <c r="J427" s="2" t="s">
        <v>410</v>
      </c>
      <c r="K427" s="643">
        <v>3</v>
      </c>
      <c r="L427" s="684"/>
      <c r="M427" s="3" t="s">
        <v>318</v>
      </c>
      <c r="N427" s="2" t="s">
        <v>414</v>
      </c>
      <c r="O427" s="643">
        <v>2</v>
      </c>
      <c r="P427" s="635">
        <v>3</v>
      </c>
      <c r="Q427" s="635">
        <v>3</v>
      </c>
      <c r="R427" s="635">
        <v>3</v>
      </c>
      <c r="S427" s="675">
        <f>SUMIF('Территориальный кк'!$A:$A,'2020'!$B427,'Территориальный кк'!F:F)</f>
        <v>1.153</v>
      </c>
      <c r="T427" s="675">
        <f>SUMIF('Территориальный кк'!$A:$A,'2020'!$B427,'Территориальный кк'!G:G)</f>
        <v>2.4820000000000002</v>
      </c>
      <c r="U427" s="618">
        <f>SUMIFS(Нормативы!G:G,Нормативы!$B:$B,$G427,Нормативы!$D:$D,'2020'!$I427,Нормативы!$F:$F,'2020'!$K427)*O427</f>
        <v>44620</v>
      </c>
      <c r="V427" s="618">
        <f t="shared" si="1097"/>
        <v>34270.400000000001</v>
      </c>
      <c r="W427" s="618">
        <f t="shared" si="1098"/>
        <v>10349.6</v>
      </c>
      <c r="X427" s="618">
        <f>SUMIFS(Нормативы!J:J,Нормативы!$B:$B,$G427,Нормативы!$D:$D,'2020'!$I427,Нормативы!$F:$F,'2020'!$K427)</f>
        <v>1910</v>
      </c>
      <c r="Y427" s="618">
        <f>SUMIFS(Нормативы!K:K,Нормативы!$B:$B,$G427,Нормативы!$D:$D,'2020'!$I427,Нормативы!$F:$F,'2020'!$K427)</f>
        <v>382</v>
      </c>
      <c r="Z427" s="618">
        <f>SUMIFS(Нормативы!L:L,Нормативы!$B:$B,$G427,Нормативы!$D:$D,'2020'!$I427,Нормативы!$F:$F,'2020'!$K427)</f>
        <v>3970</v>
      </c>
      <c r="AA427" s="618">
        <f t="shared" si="1099"/>
        <v>17400</v>
      </c>
      <c r="AB427" s="618">
        <f>SUMIFS(Нормативы!N:N,Нормативы!$B:$B,$G427,Нормативы!$D:$D,'2020'!$I427,Нормативы!$F:$F,'2020'!$K427)*O427</f>
        <v>920</v>
      </c>
      <c r="AC427" s="618">
        <f>SUMIFS(Нормативы!O:O,Нормативы!$B:$B,$G427,Нормативы!$D:$D,'2020'!$I427,Нормативы!$F:$F,'2020'!$K427)</f>
        <v>9200</v>
      </c>
      <c r="AD427" s="618">
        <f>SUMIFS(Нормативы!P:P,Нормативы!$B:$B,$G427,Нормативы!$D:$D,'2020'!$I427,Нормативы!$F:$F,'2020'!$K427)*O427</f>
        <v>6540</v>
      </c>
      <c r="AE427" s="618">
        <f>SUMIFS(Нормативы!Q:Q,Нормативы!$B:$B,$G427,Нормативы!$D:$D,'2020'!$I427,Нормативы!$F:$F,'2020'!$K427)</f>
        <v>740</v>
      </c>
      <c r="AF427" s="618">
        <f>SUMIFS(Нормативы!R:R,Нормативы!$B:$B,$G427,Нормативы!$D:$D,'2020'!$I427,Нормативы!$F:$F,'2020'!$K427)</f>
        <v>2120</v>
      </c>
      <c r="AG427" s="618">
        <f>SUMIFS(Нормативы!S:S,Нормативы!$B:$B,$G427,Нормативы!$D:$D,'2020'!$I427,Нормативы!$F:$F,'2020'!$K427)</f>
        <v>8620</v>
      </c>
      <c r="AH427" s="618">
        <f>SUMIFS(Нормативы!T:T,Нормативы!$B:$B,$G427,Нормативы!$D:$D,'2020'!$I427,Нормативы!$F:$F,'2020'!$K427)</f>
        <v>310</v>
      </c>
      <c r="AI427" s="618">
        <f>SUMIFS(Нормативы!U:U,Нормативы!$B:$B,$G427,Нормативы!$D:$D,'2020'!$I427,Нормативы!$F:$F,'2020'!$K427)</f>
        <v>1240</v>
      </c>
      <c r="AJ427" s="618">
        <f>SUMIFS(Нормативы!V:V,Нормативы!$B:$B,$G427,Нормативы!$D:$D,'2020'!$I427,Нормативы!$F:$F,'2020'!$K427)</f>
        <v>50</v>
      </c>
      <c r="AK427" s="618">
        <f>SUMIFS(Нормативы!W:W,Нормативы!$B:$B,$G427,Нормативы!$D:$D,'2020'!$I427,Нормативы!$F:$F,'2020'!$K427)</f>
        <v>2570</v>
      </c>
      <c r="AL427" s="618">
        <f>SUMIFS(Нормативы!X:X,Нормативы!$B:$B,$G427,Нормативы!$D:$D,'2020'!$I427,Нормативы!$F:$F,'2020'!$K427)*O427</f>
        <v>35700</v>
      </c>
      <c r="AM427" s="618">
        <f t="shared" si="1100"/>
        <v>27419.4</v>
      </c>
      <c r="AN427" s="618">
        <f t="shared" si="1101"/>
        <v>8280.6</v>
      </c>
      <c r="AO427" s="618">
        <f>SUMIFS(Нормативы!AA:AA,Нормативы!$B:$B,$G427,Нормативы!$D:$D,'2020'!$I427,Нормативы!$F:$F,'2020'!$K427)</f>
        <v>650</v>
      </c>
      <c r="AP427" s="619">
        <f t="shared" si="1102"/>
        <v>119160</v>
      </c>
      <c r="AQ427" s="413">
        <f t="shared" si="1040"/>
        <v>133860</v>
      </c>
      <c r="AR427" s="618">
        <f t="shared" si="1247"/>
        <v>102811.1</v>
      </c>
      <c r="AS427" s="618">
        <f t="shared" si="1248"/>
        <v>31048.9</v>
      </c>
      <c r="AT427" s="616">
        <f t="shared" si="1041"/>
        <v>5730</v>
      </c>
      <c r="AU427" s="616">
        <f t="shared" si="1042"/>
        <v>1146</v>
      </c>
      <c r="AV427" s="616">
        <f t="shared" si="1043"/>
        <v>11910</v>
      </c>
      <c r="AW427" s="616">
        <f t="shared" si="1044"/>
        <v>52200</v>
      </c>
      <c r="AX427" s="616">
        <f t="shared" si="1045"/>
        <v>2760</v>
      </c>
      <c r="AY427" s="616">
        <f t="shared" si="1046"/>
        <v>27600</v>
      </c>
      <c r="AZ427" s="616">
        <f t="shared" si="1047"/>
        <v>19620</v>
      </c>
      <c r="BA427" s="616">
        <f t="shared" si="1048"/>
        <v>2220</v>
      </c>
      <c r="BB427" s="616">
        <f t="shared" si="1049"/>
        <v>6360</v>
      </c>
      <c r="BC427" s="616">
        <f t="shared" si="1050"/>
        <v>25860</v>
      </c>
      <c r="BD427" s="616">
        <f t="shared" si="1051"/>
        <v>930</v>
      </c>
      <c r="BE427" s="616">
        <f t="shared" si="1052"/>
        <v>3720</v>
      </c>
      <c r="BF427" s="616">
        <f t="shared" si="1053"/>
        <v>150</v>
      </c>
      <c r="BG427" s="616">
        <f t="shared" si="1054"/>
        <v>7710</v>
      </c>
      <c r="BH427" s="616">
        <f t="shared" si="1055"/>
        <v>107100</v>
      </c>
      <c r="BI427" s="618">
        <f t="shared" si="1249"/>
        <v>82258.100000000006</v>
      </c>
      <c r="BJ427" s="618">
        <f t="shared" si="1250"/>
        <v>24841.9</v>
      </c>
      <c r="BK427" s="616">
        <f t="shared" si="1251"/>
        <v>1950</v>
      </c>
      <c r="BL427" s="619">
        <f t="shared" si="1057"/>
        <v>357480</v>
      </c>
      <c r="BM427" s="616">
        <f t="shared" si="1058"/>
        <v>154341</v>
      </c>
      <c r="BN427" s="618">
        <f t="shared" si="1252"/>
        <v>118541.5</v>
      </c>
      <c r="BO427" s="618">
        <f t="shared" si="1253"/>
        <v>35799.5</v>
      </c>
      <c r="BP427" s="616">
        <f t="shared" si="1254"/>
        <v>5730</v>
      </c>
      <c r="BQ427" s="616">
        <f t="shared" si="1108"/>
        <v>1146</v>
      </c>
      <c r="BR427" s="616">
        <f t="shared" si="1255"/>
        <v>11910</v>
      </c>
      <c r="BS427" s="616">
        <f t="shared" si="1256"/>
        <v>52200</v>
      </c>
      <c r="BT427" s="413"/>
      <c r="BU427" s="413"/>
      <c r="BV427" s="413"/>
      <c r="BW427" s="413"/>
      <c r="BX427" s="616">
        <f t="shared" si="1066"/>
        <v>15786</v>
      </c>
      <c r="BY427" s="616">
        <f t="shared" si="1261"/>
        <v>25860</v>
      </c>
      <c r="BZ427" s="616">
        <f t="shared" si="1262"/>
        <v>930</v>
      </c>
      <c r="CA427" s="616">
        <f t="shared" si="1263"/>
        <v>3720</v>
      </c>
      <c r="CB427" s="616">
        <f t="shared" si="1264"/>
        <v>150</v>
      </c>
      <c r="CC427" s="616">
        <f t="shared" si="1265"/>
        <v>7710</v>
      </c>
      <c r="CD427" s="616">
        <f t="shared" si="1072"/>
        <v>123486</v>
      </c>
      <c r="CE427" s="618">
        <f t="shared" si="1266"/>
        <v>94843.3</v>
      </c>
      <c r="CF427" s="618">
        <f t="shared" si="1267"/>
        <v>28642.7</v>
      </c>
      <c r="CG427" s="616">
        <f t="shared" si="1268"/>
        <v>1950</v>
      </c>
      <c r="CH427" s="619">
        <f t="shared" si="1074"/>
        <v>403773</v>
      </c>
      <c r="AUV427" s="699">
        <f t="shared" si="1184"/>
        <v>51447</v>
      </c>
      <c r="AUW427" s="699">
        <f t="shared" si="1185"/>
        <v>39513.82</v>
      </c>
      <c r="AUX427" s="699">
        <f t="shared" si="1186"/>
        <v>11933.18</v>
      </c>
      <c r="AUY427" s="699">
        <f t="shared" si="1284"/>
        <v>1910</v>
      </c>
      <c r="AUZ427" s="699">
        <f t="shared" si="1204"/>
        <v>461.72</v>
      </c>
      <c r="AVA427" s="699">
        <f t="shared" si="1204"/>
        <v>0.27</v>
      </c>
      <c r="AVB427" s="699">
        <f t="shared" si="1285"/>
        <v>0</v>
      </c>
      <c r="AVC427" s="699">
        <f t="shared" si="1286"/>
        <v>0</v>
      </c>
      <c r="AVD427" s="699">
        <f t="shared" si="1287"/>
        <v>0</v>
      </c>
      <c r="AVE427" s="699">
        <f t="shared" si="1288"/>
        <v>0</v>
      </c>
      <c r="AVF427" s="699">
        <f t="shared" si="1289"/>
        <v>0</v>
      </c>
      <c r="AVG427" s="699">
        <f t="shared" si="1290"/>
        <v>5262</v>
      </c>
      <c r="AVH427" s="699">
        <f t="shared" si="1291"/>
        <v>8620</v>
      </c>
      <c r="AVI427" s="699">
        <f t="shared" si="1292"/>
        <v>310</v>
      </c>
      <c r="AVJ427" s="699">
        <f t="shared" si="1293"/>
        <v>1240</v>
      </c>
      <c r="AVK427" s="699">
        <f t="shared" si="1294"/>
        <v>50</v>
      </c>
      <c r="AVL427" s="699">
        <f t="shared" si="1295"/>
        <v>2570</v>
      </c>
      <c r="AVM427" s="699">
        <f t="shared" si="1296"/>
        <v>41162</v>
      </c>
      <c r="AVN427" s="699">
        <f t="shared" si="1297"/>
        <v>31614.44</v>
      </c>
      <c r="AVO427" s="699">
        <f t="shared" si="1298"/>
        <v>9547.56</v>
      </c>
      <c r="AVP427" s="699">
        <f t="shared" si="1299"/>
        <v>650</v>
      </c>
      <c r="AVQ427" s="699">
        <f t="shared" si="1300"/>
        <v>134591</v>
      </c>
    </row>
    <row r="428" spans="1:108 1244:1265" ht="30" customHeight="1" x14ac:dyDescent="0.25">
      <c r="A428" s="643">
        <v>2</v>
      </c>
      <c r="B428" s="643">
        <v>21</v>
      </c>
      <c r="C428" s="643" t="s">
        <v>412</v>
      </c>
      <c r="D428" s="2"/>
      <c r="E428" s="2"/>
      <c r="F428" s="643" t="s">
        <v>40</v>
      </c>
      <c r="G428" s="643">
        <v>4</v>
      </c>
      <c r="H428" s="413" t="s">
        <v>10</v>
      </c>
      <c r="I428" s="643">
        <v>0</v>
      </c>
      <c r="J428" s="2" t="s">
        <v>413</v>
      </c>
      <c r="K428" s="643">
        <v>3</v>
      </c>
      <c r="L428" s="684"/>
      <c r="M428" s="3" t="s">
        <v>319</v>
      </c>
      <c r="N428" s="2" t="s">
        <v>411</v>
      </c>
      <c r="O428" s="643">
        <v>1</v>
      </c>
      <c r="P428" s="635">
        <v>51</v>
      </c>
      <c r="Q428" s="635">
        <v>51</v>
      </c>
      <c r="R428" s="635">
        <v>51</v>
      </c>
      <c r="S428" s="675">
        <f>SUMIF('Территориальный кк'!$A:$A,'2020'!$B428,'Территориальный кк'!F:F)</f>
        <v>1.153</v>
      </c>
      <c r="T428" s="675">
        <f>SUMIF('Территориальный кк'!$A:$A,'2020'!$B428,'Территориальный кк'!G:G)</f>
        <v>2.4820000000000002</v>
      </c>
      <c r="U428" s="618">
        <f>SUMIFS(Нормативы!G:G,Нормативы!$B:$B,$G428,Нормативы!$D:$D,'2020'!$I428,Нормативы!$F:$F,'2020'!$K428)*O428</f>
        <v>22310</v>
      </c>
      <c r="V428" s="618">
        <f t="shared" si="1097"/>
        <v>17135.2</v>
      </c>
      <c r="W428" s="618">
        <f t="shared" si="1098"/>
        <v>5174.8</v>
      </c>
      <c r="X428" s="618">
        <f>SUMIFS(Нормативы!J:J,Нормативы!$B:$B,$G428,Нормативы!$D:$D,'2020'!$I428,Нормативы!$F:$F,'2020'!$K428)</f>
        <v>1910</v>
      </c>
      <c r="Y428" s="618">
        <f>SUMIFS(Нормативы!K:K,Нормативы!$B:$B,$G428,Нормативы!$D:$D,'2020'!$I428,Нормативы!$F:$F,'2020'!$K428)</f>
        <v>382</v>
      </c>
      <c r="Z428" s="618">
        <f>SUMIFS(Нормативы!L:L,Нормативы!$B:$B,$G428,Нормативы!$D:$D,'2020'!$I428,Нормативы!$F:$F,'2020'!$K428)</f>
        <v>3970</v>
      </c>
      <c r="AA428" s="618">
        <f t="shared" si="1099"/>
        <v>13670</v>
      </c>
      <c r="AB428" s="618">
        <f>SUMIFS(Нормативы!N:N,Нормативы!$B:$B,$G428,Нормативы!$D:$D,'2020'!$I428,Нормативы!$F:$F,'2020'!$K428)*O428</f>
        <v>460</v>
      </c>
      <c r="AC428" s="618">
        <f>SUMIFS(Нормативы!O:O,Нормативы!$B:$B,$G428,Нормативы!$D:$D,'2020'!$I428,Нормативы!$F:$F,'2020'!$K428)</f>
        <v>9200</v>
      </c>
      <c r="AD428" s="618">
        <f>SUMIFS(Нормативы!P:P,Нормативы!$B:$B,$G428,Нормативы!$D:$D,'2020'!$I428,Нормативы!$F:$F,'2020'!$K428)*O428</f>
        <v>3270</v>
      </c>
      <c r="AE428" s="618">
        <f>SUMIFS(Нормативы!Q:Q,Нормативы!$B:$B,$G428,Нормативы!$D:$D,'2020'!$I428,Нормативы!$F:$F,'2020'!$K428)</f>
        <v>740</v>
      </c>
      <c r="AF428" s="618">
        <f>SUMIFS(Нормативы!R:R,Нормативы!$B:$B,$G428,Нормативы!$D:$D,'2020'!$I428,Нормативы!$F:$F,'2020'!$K428)</f>
        <v>2120</v>
      </c>
      <c r="AG428" s="618">
        <f>SUMIFS(Нормативы!S:S,Нормативы!$B:$B,$G428,Нормативы!$D:$D,'2020'!$I428,Нормативы!$F:$F,'2020'!$K428)</f>
        <v>8620</v>
      </c>
      <c r="AH428" s="618">
        <f>SUMIFS(Нормативы!T:T,Нормативы!$B:$B,$G428,Нормативы!$D:$D,'2020'!$I428,Нормативы!$F:$F,'2020'!$K428)</f>
        <v>310</v>
      </c>
      <c r="AI428" s="618">
        <f>SUMIFS(Нормативы!U:U,Нормативы!$B:$B,$G428,Нормативы!$D:$D,'2020'!$I428,Нормативы!$F:$F,'2020'!$K428)</f>
        <v>1240</v>
      </c>
      <c r="AJ428" s="618">
        <f>SUMIFS(Нормативы!V:V,Нормативы!$B:$B,$G428,Нормативы!$D:$D,'2020'!$I428,Нормативы!$F:$F,'2020'!$K428)</f>
        <v>50</v>
      </c>
      <c r="AK428" s="618">
        <f>SUMIFS(Нормативы!W:W,Нормативы!$B:$B,$G428,Нормативы!$D:$D,'2020'!$I428,Нормативы!$F:$F,'2020'!$K428)</f>
        <v>2570</v>
      </c>
      <c r="AL428" s="618">
        <f>SUMIFS(Нормативы!X:X,Нормативы!$B:$B,$G428,Нормативы!$D:$D,'2020'!$I428,Нормативы!$F:$F,'2020'!$K428)*O428</f>
        <v>17850</v>
      </c>
      <c r="AM428" s="618">
        <f t="shared" si="1100"/>
        <v>13709.7</v>
      </c>
      <c r="AN428" s="618">
        <f t="shared" si="1101"/>
        <v>4140.3</v>
      </c>
      <c r="AO428" s="618">
        <f>SUMIFS(Нормативы!AA:AA,Нормативы!$B:$B,$G428,Нормативы!$D:$D,'2020'!$I428,Нормативы!$F:$F,'2020'!$K428)</f>
        <v>650</v>
      </c>
      <c r="AP428" s="619">
        <f t="shared" si="1102"/>
        <v>75270</v>
      </c>
      <c r="AQ428" s="413">
        <f t="shared" si="1040"/>
        <v>1137810</v>
      </c>
      <c r="AR428" s="618">
        <f t="shared" si="1247"/>
        <v>873894</v>
      </c>
      <c r="AS428" s="618">
        <f t="shared" si="1248"/>
        <v>263916</v>
      </c>
      <c r="AT428" s="616">
        <f t="shared" si="1041"/>
        <v>97410</v>
      </c>
      <c r="AU428" s="616">
        <f t="shared" si="1042"/>
        <v>19482</v>
      </c>
      <c r="AV428" s="616">
        <f t="shared" si="1043"/>
        <v>202470</v>
      </c>
      <c r="AW428" s="616">
        <f t="shared" si="1044"/>
        <v>697170</v>
      </c>
      <c r="AX428" s="616">
        <f t="shared" si="1045"/>
        <v>23460</v>
      </c>
      <c r="AY428" s="616">
        <f t="shared" si="1046"/>
        <v>469200</v>
      </c>
      <c r="AZ428" s="616">
        <f t="shared" si="1047"/>
        <v>166770</v>
      </c>
      <c r="BA428" s="616">
        <f t="shared" si="1048"/>
        <v>37740</v>
      </c>
      <c r="BB428" s="616">
        <f t="shared" si="1049"/>
        <v>108120</v>
      </c>
      <c r="BC428" s="616">
        <f t="shared" si="1050"/>
        <v>439620</v>
      </c>
      <c r="BD428" s="616">
        <f t="shared" si="1051"/>
        <v>15810</v>
      </c>
      <c r="BE428" s="616">
        <f t="shared" si="1052"/>
        <v>63240</v>
      </c>
      <c r="BF428" s="616">
        <f t="shared" si="1053"/>
        <v>2550</v>
      </c>
      <c r="BG428" s="616">
        <f t="shared" si="1054"/>
        <v>131070</v>
      </c>
      <c r="BH428" s="616">
        <f t="shared" si="1055"/>
        <v>910350</v>
      </c>
      <c r="BI428" s="618">
        <f t="shared" si="1249"/>
        <v>699193.5</v>
      </c>
      <c r="BJ428" s="618">
        <f t="shared" si="1250"/>
        <v>211156.5</v>
      </c>
      <c r="BK428" s="616">
        <f t="shared" si="1251"/>
        <v>33150</v>
      </c>
      <c r="BL428" s="619">
        <f t="shared" si="1057"/>
        <v>3838770</v>
      </c>
      <c r="BM428" s="616">
        <f t="shared" si="1058"/>
        <v>1311895</v>
      </c>
      <c r="BN428" s="618">
        <f t="shared" si="1252"/>
        <v>1007599.8</v>
      </c>
      <c r="BO428" s="618">
        <f t="shared" si="1253"/>
        <v>304295.2</v>
      </c>
      <c r="BP428" s="616">
        <f t="shared" si="1254"/>
        <v>97410</v>
      </c>
      <c r="BQ428" s="616">
        <f t="shared" si="1108"/>
        <v>19482</v>
      </c>
      <c r="BR428" s="616">
        <f t="shared" si="1255"/>
        <v>202470</v>
      </c>
      <c r="BS428" s="616">
        <f t="shared" si="1256"/>
        <v>697170</v>
      </c>
      <c r="BT428" s="413"/>
      <c r="BU428" s="413"/>
      <c r="BV428" s="413"/>
      <c r="BW428" s="413"/>
      <c r="BX428" s="616">
        <f t="shared" si="1066"/>
        <v>268354</v>
      </c>
      <c r="BY428" s="616">
        <f t="shared" si="1261"/>
        <v>439620</v>
      </c>
      <c r="BZ428" s="616">
        <f t="shared" si="1262"/>
        <v>15810</v>
      </c>
      <c r="CA428" s="616">
        <f t="shared" si="1263"/>
        <v>63240</v>
      </c>
      <c r="CB428" s="616">
        <f t="shared" si="1264"/>
        <v>2550</v>
      </c>
      <c r="CC428" s="616">
        <f t="shared" si="1265"/>
        <v>131070</v>
      </c>
      <c r="CD428" s="616">
        <f t="shared" si="1072"/>
        <v>1049634</v>
      </c>
      <c r="CE428" s="618">
        <f t="shared" si="1266"/>
        <v>806170.5</v>
      </c>
      <c r="CF428" s="618">
        <f t="shared" si="1267"/>
        <v>243463.5</v>
      </c>
      <c r="CG428" s="616">
        <f t="shared" si="1268"/>
        <v>33150</v>
      </c>
      <c r="CH428" s="619">
        <f t="shared" si="1074"/>
        <v>4312373</v>
      </c>
      <c r="AUV428" s="699">
        <f t="shared" si="1184"/>
        <v>25723.43</v>
      </c>
      <c r="AUW428" s="699">
        <f t="shared" si="1185"/>
        <v>19756.86</v>
      </c>
      <c r="AUX428" s="699">
        <f t="shared" si="1186"/>
        <v>5966.57</v>
      </c>
      <c r="AUY428" s="699">
        <f t="shared" si="1284"/>
        <v>1910</v>
      </c>
      <c r="AUZ428" s="699">
        <f t="shared" si="1204"/>
        <v>7849.32</v>
      </c>
      <c r="AVA428" s="699">
        <f t="shared" si="1204"/>
        <v>9.08</v>
      </c>
      <c r="AVB428" s="699">
        <f t="shared" si="1285"/>
        <v>0</v>
      </c>
      <c r="AVC428" s="699">
        <f t="shared" si="1286"/>
        <v>0</v>
      </c>
      <c r="AVD428" s="699">
        <f t="shared" si="1287"/>
        <v>0</v>
      </c>
      <c r="AVE428" s="699">
        <f t="shared" si="1288"/>
        <v>0</v>
      </c>
      <c r="AVF428" s="699">
        <f t="shared" si="1289"/>
        <v>0</v>
      </c>
      <c r="AVG428" s="699">
        <f t="shared" si="1290"/>
        <v>5261.84</v>
      </c>
      <c r="AVH428" s="699">
        <f t="shared" si="1291"/>
        <v>8620</v>
      </c>
      <c r="AVI428" s="699">
        <f t="shared" si="1292"/>
        <v>310</v>
      </c>
      <c r="AVJ428" s="699">
        <f t="shared" si="1293"/>
        <v>1240</v>
      </c>
      <c r="AVK428" s="699">
        <f t="shared" si="1294"/>
        <v>50</v>
      </c>
      <c r="AVL428" s="699">
        <f t="shared" si="1295"/>
        <v>2570</v>
      </c>
      <c r="AVM428" s="699">
        <f t="shared" si="1296"/>
        <v>20581.060000000001</v>
      </c>
      <c r="AVN428" s="699">
        <f t="shared" si="1297"/>
        <v>15807.27</v>
      </c>
      <c r="AVO428" s="699">
        <f t="shared" si="1298"/>
        <v>4773.79</v>
      </c>
      <c r="AVP428" s="699">
        <f t="shared" si="1299"/>
        <v>650</v>
      </c>
      <c r="AVQ428" s="699">
        <f t="shared" si="1300"/>
        <v>84556.33</v>
      </c>
    </row>
    <row r="429" spans="1:108 1244:1265" ht="30" customHeight="1" x14ac:dyDescent="0.25">
      <c r="A429" s="643">
        <v>2</v>
      </c>
      <c r="B429" s="643">
        <v>21</v>
      </c>
      <c r="C429" s="643" t="s">
        <v>412</v>
      </c>
      <c r="D429" s="2"/>
      <c r="E429" s="2"/>
      <c r="F429" s="643" t="s">
        <v>40</v>
      </c>
      <c r="G429" s="643">
        <v>4</v>
      </c>
      <c r="H429" s="413" t="s">
        <v>10</v>
      </c>
      <c r="I429" s="643">
        <v>0</v>
      </c>
      <c r="J429" s="2" t="s">
        <v>413</v>
      </c>
      <c r="K429" s="643">
        <v>3</v>
      </c>
      <c r="L429" s="684"/>
      <c r="M429" s="3" t="s">
        <v>320</v>
      </c>
      <c r="N429" s="2" t="s">
        <v>414</v>
      </c>
      <c r="O429" s="643">
        <v>2</v>
      </c>
      <c r="P429" s="635">
        <v>2</v>
      </c>
      <c r="Q429" s="635">
        <v>2</v>
      </c>
      <c r="R429" s="635">
        <v>2</v>
      </c>
      <c r="S429" s="675">
        <f>SUMIF('Территориальный кк'!$A:$A,'2020'!$B429,'Территориальный кк'!F:F)</f>
        <v>1.153</v>
      </c>
      <c r="T429" s="675">
        <f>SUMIF('Территориальный кк'!$A:$A,'2020'!$B429,'Территориальный кк'!G:G)</f>
        <v>2.4820000000000002</v>
      </c>
      <c r="U429" s="618">
        <f>SUMIFS(Нормативы!G:G,Нормативы!$B:$B,$G429,Нормативы!$D:$D,'2020'!$I429,Нормативы!$F:$F,'2020'!$K429)*O429</f>
        <v>44620</v>
      </c>
      <c r="V429" s="618">
        <f t="shared" si="1097"/>
        <v>34270.400000000001</v>
      </c>
      <c r="W429" s="618">
        <f t="shared" si="1098"/>
        <v>10349.6</v>
      </c>
      <c r="X429" s="618">
        <f>SUMIFS(Нормативы!J:J,Нормативы!$B:$B,$G429,Нормативы!$D:$D,'2020'!$I429,Нормативы!$F:$F,'2020'!$K429)</f>
        <v>1910</v>
      </c>
      <c r="Y429" s="618">
        <f>SUMIFS(Нормативы!K:K,Нормативы!$B:$B,$G429,Нормативы!$D:$D,'2020'!$I429,Нормативы!$F:$F,'2020'!$K429)</f>
        <v>382</v>
      </c>
      <c r="Z429" s="618">
        <f>SUMIFS(Нормативы!L:L,Нормативы!$B:$B,$G429,Нормативы!$D:$D,'2020'!$I429,Нормативы!$F:$F,'2020'!$K429)</f>
        <v>3970</v>
      </c>
      <c r="AA429" s="618">
        <f t="shared" si="1099"/>
        <v>17400</v>
      </c>
      <c r="AB429" s="618">
        <f>SUMIFS(Нормативы!N:N,Нормативы!$B:$B,$G429,Нормативы!$D:$D,'2020'!$I429,Нормативы!$F:$F,'2020'!$K429)*O429</f>
        <v>920</v>
      </c>
      <c r="AC429" s="618">
        <f>SUMIFS(Нормативы!O:O,Нормативы!$B:$B,$G429,Нормативы!$D:$D,'2020'!$I429,Нормативы!$F:$F,'2020'!$K429)</f>
        <v>9200</v>
      </c>
      <c r="AD429" s="618">
        <f>SUMIFS(Нормативы!P:P,Нормативы!$B:$B,$G429,Нормативы!$D:$D,'2020'!$I429,Нормативы!$F:$F,'2020'!$K429)*O429</f>
        <v>6540</v>
      </c>
      <c r="AE429" s="618">
        <f>SUMIFS(Нормативы!Q:Q,Нормативы!$B:$B,$G429,Нормативы!$D:$D,'2020'!$I429,Нормативы!$F:$F,'2020'!$K429)</f>
        <v>740</v>
      </c>
      <c r="AF429" s="618">
        <f>SUMIFS(Нормативы!R:R,Нормативы!$B:$B,$G429,Нормативы!$D:$D,'2020'!$I429,Нормативы!$F:$F,'2020'!$K429)</f>
        <v>2120</v>
      </c>
      <c r="AG429" s="618">
        <f>SUMIFS(Нормативы!S:S,Нормативы!$B:$B,$G429,Нормативы!$D:$D,'2020'!$I429,Нормативы!$F:$F,'2020'!$K429)</f>
        <v>8620</v>
      </c>
      <c r="AH429" s="618">
        <f>SUMIFS(Нормативы!T:T,Нормативы!$B:$B,$G429,Нормативы!$D:$D,'2020'!$I429,Нормативы!$F:$F,'2020'!$K429)</f>
        <v>310</v>
      </c>
      <c r="AI429" s="618">
        <f>SUMIFS(Нормативы!U:U,Нормативы!$B:$B,$G429,Нормативы!$D:$D,'2020'!$I429,Нормативы!$F:$F,'2020'!$K429)</f>
        <v>1240</v>
      </c>
      <c r="AJ429" s="618">
        <f>SUMIFS(Нормативы!V:V,Нормативы!$B:$B,$G429,Нормативы!$D:$D,'2020'!$I429,Нормативы!$F:$F,'2020'!$K429)</f>
        <v>50</v>
      </c>
      <c r="AK429" s="618">
        <f>SUMIFS(Нормативы!W:W,Нормативы!$B:$B,$G429,Нормативы!$D:$D,'2020'!$I429,Нормативы!$F:$F,'2020'!$K429)</f>
        <v>2570</v>
      </c>
      <c r="AL429" s="618">
        <f>SUMIFS(Нормативы!X:X,Нормативы!$B:$B,$G429,Нормативы!$D:$D,'2020'!$I429,Нормативы!$F:$F,'2020'!$K429)*O429</f>
        <v>35700</v>
      </c>
      <c r="AM429" s="618">
        <f t="shared" si="1100"/>
        <v>27419.4</v>
      </c>
      <c r="AN429" s="618">
        <f t="shared" si="1101"/>
        <v>8280.6</v>
      </c>
      <c r="AO429" s="618">
        <f>SUMIFS(Нормативы!AA:AA,Нормативы!$B:$B,$G429,Нормативы!$D:$D,'2020'!$I429,Нормативы!$F:$F,'2020'!$K429)</f>
        <v>650</v>
      </c>
      <c r="AP429" s="619">
        <f t="shared" si="1102"/>
        <v>119160</v>
      </c>
      <c r="AQ429" s="413">
        <f t="shared" si="1040"/>
        <v>89240</v>
      </c>
      <c r="AR429" s="618">
        <f t="shared" si="1247"/>
        <v>68540.7</v>
      </c>
      <c r="AS429" s="618">
        <f t="shared" si="1248"/>
        <v>20699.3</v>
      </c>
      <c r="AT429" s="616">
        <f t="shared" si="1041"/>
        <v>3820</v>
      </c>
      <c r="AU429" s="616">
        <f t="shared" si="1042"/>
        <v>764</v>
      </c>
      <c r="AV429" s="616">
        <f t="shared" si="1043"/>
        <v>7940</v>
      </c>
      <c r="AW429" s="616">
        <f t="shared" si="1044"/>
        <v>34800</v>
      </c>
      <c r="AX429" s="616">
        <f t="shared" si="1045"/>
        <v>1840</v>
      </c>
      <c r="AY429" s="616">
        <f t="shared" si="1046"/>
        <v>18400</v>
      </c>
      <c r="AZ429" s="616">
        <f t="shared" si="1047"/>
        <v>13080</v>
      </c>
      <c r="BA429" s="616">
        <f t="shared" si="1048"/>
        <v>1480</v>
      </c>
      <c r="BB429" s="616">
        <f t="shared" si="1049"/>
        <v>4240</v>
      </c>
      <c r="BC429" s="616">
        <f t="shared" si="1050"/>
        <v>17240</v>
      </c>
      <c r="BD429" s="616">
        <f t="shared" si="1051"/>
        <v>620</v>
      </c>
      <c r="BE429" s="616">
        <f t="shared" si="1052"/>
        <v>2480</v>
      </c>
      <c r="BF429" s="616">
        <f t="shared" si="1053"/>
        <v>100</v>
      </c>
      <c r="BG429" s="616">
        <f t="shared" si="1054"/>
        <v>5140</v>
      </c>
      <c r="BH429" s="616">
        <f t="shared" si="1055"/>
        <v>71400</v>
      </c>
      <c r="BI429" s="618">
        <f t="shared" si="1249"/>
        <v>54838.7</v>
      </c>
      <c r="BJ429" s="618">
        <f t="shared" si="1250"/>
        <v>16561.3</v>
      </c>
      <c r="BK429" s="616">
        <f t="shared" si="1251"/>
        <v>1300</v>
      </c>
      <c r="BL429" s="619">
        <f t="shared" si="1057"/>
        <v>238320</v>
      </c>
      <c r="BM429" s="616">
        <f t="shared" si="1058"/>
        <v>102894</v>
      </c>
      <c r="BN429" s="618">
        <f t="shared" si="1252"/>
        <v>79027.600000000006</v>
      </c>
      <c r="BO429" s="618">
        <f t="shared" si="1253"/>
        <v>23866.400000000001</v>
      </c>
      <c r="BP429" s="616">
        <f t="shared" si="1254"/>
        <v>3820</v>
      </c>
      <c r="BQ429" s="616">
        <f t="shared" si="1108"/>
        <v>764</v>
      </c>
      <c r="BR429" s="616">
        <f t="shared" si="1255"/>
        <v>7940</v>
      </c>
      <c r="BS429" s="616">
        <f t="shared" si="1256"/>
        <v>34800</v>
      </c>
      <c r="BT429" s="413"/>
      <c r="BU429" s="413"/>
      <c r="BV429" s="413"/>
      <c r="BW429" s="413"/>
      <c r="BX429" s="616">
        <f t="shared" si="1066"/>
        <v>10524</v>
      </c>
      <c r="BY429" s="616">
        <f t="shared" si="1261"/>
        <v>17240</v>
      </c>
      <c r="BZ429" s="616">
        <f t="shared" si="1262"/>
        <v>620</v>
      </c>
      <c r="CA429" s="616">
        <f t="shared" si="1263"/>
        <v>2480</v>
      </c>
      <c r="CB429" s="616">
        <f t="shared" si="1264"/>
        <v>100</v>
      </c>
      <c r="CC429" s="616">
        <f t="shared" si="1265"/>
        <v>5140</v>
      </c>
      <c r="CD429" s="616">
        <f t="shared" si="1072"/>
        <v>82324</v>
      </c>
      <c r="CE429" s="618">
        <f t="shared" si="1266"/>
        <v>63228.9</v>
      </c>
      <c r="CF429" s="618">
        <f t="shared" si="1267"/>
        <v>19095.099999999999</v>
      </c>
      <c r="CG429" s="616">
        <f t="shared" si="1268"/>
        <v>1300</v>
      </c>
      <c r="CH429" s="619">
        <f t="shared" si="1074"/>
        <v>269182</v>
      </c>
      <c r="AUV429" s="699">
        <f t="shared" si="1184"/>
        <v>51447</v>
      </c>
      <c r="AUW429" s="699">
        <f t="shared" si="1185"/>
        <v>39513.82</v>
      </c>
      <c r="AUX429" s="699">
        <f t="shared" si="1186"/>
        <v>11933.18</v>
      </c>
      <c r="AUY429" s="699">
        <f t="shared" si="1284"/>
        <v>1910</v>
      </c>
      <c r="AUZ429" s="699">
        <f t="shared" si="1204"/>
        <v>307.82</v>
      </c>
      <c r="AVA429" s="699">
        <f t="shared" si="1204"/>
        <v>0.18</v>
      </c>
      <c r="AVB429" s="699">
        <f t="shared" si="1285"/>
        <v>0</v>
      </c>
      <c r="AVC429" s="699">
        <f t="shared" si="1286"/>
        <v>0</v>
      </c>
      <c r="AVD429" s="699">
        <f t="shared" si="1287"/>
        <v>0</v>
      </c>
      <c r="AVE429" s="699">
        <f t="shared" si="1288"/>
        <v>0</v>
      </c>
      <c r="AVF429" s="699">
        <f t="shared" si="1289"/>
        <v>0</v>
      </c>
      <c r="AVG429" s="699">
        <f t="shared" si="1290"/>
        <v>5262</v>
      </c>
      <c r="AVH429" s="699">
        <f t="shared" si="1291"/>
        <v>8620</v>
      </c>
      <c r="AVI429" s="699">
        <f t="shared" si="1292"/>
        <v>310</v>
      </c>
      <c r="AVJ429" s="699">
        <f t="shared" si="1293"/>
        <v>1240</v>
      </c>
      <c r="AVK429" s="699">
        <f t="shared" si="1294"/>
        <v>50</v>
      </c>
      <c r="AVL429" s="699">
        <f t="shared" si="1295"/>
        <v>2570</v>
      </c>
      <c r="AVM429" s="699">
        <f t="shared" si="1296"/>
        <v>41162</v>
      </c>
      <c r="AVN429" s="699">
        <f t="shared" si="1297"/>
        <v>31614.44</v>
      </c>
      <c r="AVO429" s="699">
        <f t="shared" si="1298"/>
        <v>9547.56</v>
      </c>
      <c r="AVP429" s="699">
        <f t="shared" si="1299"/>
        <v>650</v>
      </c>
      <c r="AVQ429" s="699">
        <f t="shared" si="1300"/>
        <v>134591</v>
      </c>
    </row>
    <row r="430" spans="1:108 1244:1265" ht="30" customHeight="1" x14ac:dyDescent="0.25">
      <c r="A430" s="643">
        <v>2</v>
      </c>
      <c r="B430" s="643">
        <v>22</v>
      </c>
      <c r="C430" s="643" t="s">
        <v>174</v>
      </c>
      <c r="D430" s="2"/>
      <c r="E430" s="2"/>
      <c r="F430" s="643" t="s">
        <v>40</v>
      </c>
      <c r="G430" s="643">
        <v>4</v>
      </c>
      <c r="H430" s="413" t="s">
        <v>10</v>
      </c>
      <c r="I430" s="643">
        <v>0</v>
      </c>
      <c r="J430" s="2" t="s">
        <v>410</v>
      </c>
      <c r="K430" s="643">
        <v>3</v>
      </c>
      <c r="L430" s="684"/>
      <c r="M430" s="3" t="s">
        <v>317</v>
      </c>
      <c r="N430" s="2" t="s">
        <v>411</v>
      </c>
      <c r="O430" s="643">
        <v>1</v>
      </c>
      <c r="P430" s="635">
        <v>444</v>
      </c>
      <c r="Q430" s="635">
        <v>444</v>
      </c>
      <c r="R430" s="635">
        <v>444</v>
      </c>
      <c r="S430" s="675">
        <f>SUMIF('Территориальный кк'!$A:$A,'2020'!$B430,'Территориальный кк'!F:F)</f>
        <v>1.796</v>
      </c>
      <c r="T430" s="675">
        <f>SUMIF('Территориальный кк'!$A:$A,'2020'!$B430,'Территориальный кк'!G:G)</f>
        <v>2.5550000000000002</v>
      </c>
      <c r="U430" s="618">
        <f>SUMIFS(Нормативы!G:G,Нормативы!$B:$B,$G430,Нормативы!$D:$D,'2020'!$I430,Нормативы!$F:$F,'2020'!$K430)*O430</f>
        <v>22310</v>
      </c>
      <c r="V430" s="618">
        <f t="shared" si="1097"/>
        <v>17135.2</v>
      </c>
      <c r="W430" s="618">
        <f t="shared" si="1098"/>
        <v>5174.8</v>
      </c>
      <c r="X430" s="618">
        <f>SUMIFS(Нормативы!J:J,Нормативы!$B:$B,$G430,Нормативы!$D:$D,'2020'!$I430,Нормативы!$F:$F,'2020'!$K430)</f>
        <v>1910</v>
      </c>
      <c r="Y430" s="618">
        <f>SUMIFS(Нормативы!K:K,Нормативы!$B:$B,$G430,Нормативы!$D:$D,'2020'!$I430,Нормативы!$F:$F,'2020'!$K430)</f>
        <v>382</v>
      </c>
      <c r="Z430" s="618">
        <f>SUMIFS(Нормативы!L:L,Нормативы!$B:$B,$G430,Нормативы!$D:$D,'2020'!$I430,Нормативы!$F:$F,'2020'!$K430)</f>
        <v>3970</v>
      </c>
      <c r="AA430" s="618">
        <f t="shared" si="1099"/>
        <v>13670</v>
      </c>
      <c r="AB430" s="618">
        <f>SUMIFS(Нормативы!N:N,Нормативы!$B:$B,$G430,Нормативы!$D:$D,'2020'!$I430,Нормативы!$F:$F,'2020'!$K430)*O430</f>
        <v>460</v>
      </c>
      <c r="AC430" s="618">
        <f>SUMIFS(Нормативы!O:O,Нормативы!$B:$B,$G430,Нормативы!$D:$D,'2020'!$I430,Нормативы!$F:$F,'2020'!$K430)</f>
        <v>9200</v>
      </c>
      <c r="AD430" s="618">
        <f>SUMIFS(Нормативы!P:P,Нормативы!$B:$B,$G430,Нормативы!$D:$D,'2020'!$I430,Нормативы!$F:$F,'2020'!$K430)*O430</f>
        <v>3270</v>
      </c>
      <c r="AE430" s="618">
        <f>SUMIFS(Нормативы!Q:Q,Нормативы!$B:$B,$G430,Нормативы!$D:$D,'2020'!$I430,Нормативы!$F:$F,'2020'!$K430)</f>
        <v>740</v>
      </c>
      <c r="AF430" s="618">
        <f>SUMIFS(Нормативы!R:R,Нормативы!$B:$B,$G430,Нормативы!$D:$D,'2020'!$I430,Нормативы!$F:$F,'2020'!$K430)</f>
        <v>2120</v>
      </c>
      <c r="AG430" s="618">
        <f>SUMIFS(Нормативы!S:S,Нормативы!$B:$B,$G430,Нормативы!$D:$D,'2020'!$I430,Нормативы!$F:$F,'2020'!$K430)</f>
        <v>8620</v>
      </c>
      <c r="AH430" s="618">
        <f>SUMIFS(Нормативы!T:T,Нормативы!$B:$B,$G430,Нормативы!$D:$D,'2020'!$I430,Нормативы!$F:$F,'2020'!$K430)</f>
        <v>310</v>
      </c>
      <c r="AI430" s="618">
        <f>SUMIFS(Нормативы!U:U,Нормативы!$B:$B,$G430,Нормативы!$D:$D,'2020'!$I430,Нормативы!$F:$F,'2020'!$K430)</f>
        <v>1240</v>
      </c>
      <c r="AJ430" s="618">
        <f>SUMIFS(Нормативы!V:V,Нормативы!$B:$B,$G430,Нормативы!$D:$D,'2020'!$I430,Нормативы!$F:$F,'2020'!$K430)</f>
        <v>50</v>
      </c>
      <c r="AK430" s="618">
        <f>SUMIFS(Нормативы!W:W,Нормативы!$B:$B,$G430,Нормативы!$D:$D,'2020'!$I430,Нормативы!$F:$F,'2020'!$K430)</f>
        <v>2570</v>
      </c>
      <c r="AL430" s="618">
        <f>SUMIFS(Нормативы!X:X,Нормативы!$B:$B,$G430,Нормативы!$D:$D,'2020'!$I430,Нормативы!$F:$F,'2020'!$K430)*O430</f>
        <v>17850</v>
      </c>
      <c r="AM430" s="618">
        <f t="shared" si="1100"/>
        <v>13709.7</v>
      </c>
      <c r="AN430" s="618">
        <f t="shared" si="1101"/>
        <v>4140.3</v>
      </c>
      <c r="AO430" s="618">
        <f>SUMIFS(Нормативы!AA:AA,Нормативы!$B:$B,$G430,Нормативы!$D:$D,'2020'!$I430,Нормативы!$F:$F,'2020'!$K430)</f>
        <v>650</v>
      </c>
      <c r="AP430" s="619">
        <f t="shared" si="1102"/>
        <v>75270</v>
      </c>
      <c r="AQ430" s="413">
        <f t="shared" si="1040"/>
        <v>9905640</v>
      </c>
      <c r="AR430" s="618">
        <f t="shared" si="1247"/>
        <v>7608018.4000000004</v>
      </c>
      <c r="AS430" s="618">
        <f t="shared" si="1248"/>
        <v>2297621.6</v>
      </c>
      <c r="AT430" s="616">
        <f t="shared" si="1041"/>
        <v>848040</v>
      </c>
      <c r="AU430" s="616">
        <f t="shared" si="1042"/>
        <v>169608</v>
      </c>
      <c r="AV430" s="616">
        <f t="shared" si="1043"/>
        <v>1762680</v>
      </c>
      <c r="AW430" s="616">
        <f t="shared" si="1044"/>
        <v>6069480</v>
      </c>
      <c r="AX430" s="616">
        <f t="shared" si="1045"/>
        <v>204240</v>
      </c>
      <c r="AY430" s="616">
        <f t="shared" si="1046"/>
        <v>4084800</v>
      </c>
      <c r="AZ430" s="616">
        <f t="shared" si="1047"/>
        <v>1451880</v>
      </c>
      <c r="BA430" s="616">
        <f t="shared" si="1048"/>
        <v>328560</v>
      </c>
      <c r="BB430" s="616">
        <f t="shared" si="1049"/>
        <v>941280</v>
      </c>
      <c r="BC430" s="616">
        <f t="shared" si="1050"/>
        <v>3827280</v>
      </c>
      <c r="BD430" s="616">
        <f t="shared" si="1051"/>
        <v>137640</v>
      </c>
      <c r="BE430" s="616">
        <f t="shared" si="1052"/>
        <v>550560</v>
      </c>
      <c r="BF430" s="616">
        <f t="shared" si="1053"/>
        <v>22200</v>
      </c>
      <c r="BG430" s="616">
        <f t="shared" si="1054"/>
        <v>1141080</v>
      </c>
      <c r="BH430" s="616">
        <f t="shared" si="1055"/>
        <v>7925400</v>
      </c>
      <c r="BI430" s="618">
        <f t="shared" si="1249"/>
        <v>6087096.7999999998</v>
      </c>
      <c r="BJ430" s="618">
        <f t="shared" si="1250"/>
        <v>1838303.2</v>
      </c>
      <c r="BK430" s="616">
        <f t="shared" si="1251"/>
        <v>288600</v>
      </c>
      <c r="BL430" s="619">
        <f t="shared" si="1057"/>
        <v>33419880</v>
      </c>
      <c r="BM430" s="616">
        <f t="shared" si="1058"/>
        <v>17790529</v>
      </c>
      <c r="BN430" s="618">
        <f t="shared" si="1252"/>
        <v>13664000.800000001</v>
      </c>
      <c r="BO430" s="618">
        <f t="shared" si="1253"/>
        <v>4126528.2</v>
      </c>
      <c r="BP430" s="616">
        <f t="shared" si="1254"/>
        <v>848040</v>
      </c>
      <c r="BQ430" s="616">
        <f t="shared" si="1108"/>
        <v>169608</v>
      </c>
      <c r="BR430" s="616">
        <f t="shared" si="1255"/>
        <v>1762680</v>
      </c>
      <c r="BS430" s="616">
        <f t="shared" si="1256"/>
        <v>6069480</v>
      </c>
      <c r="BT430" s="413"/>
      <c r="BU430" s="413"/>
      <c r="BV430" s="413"/>
      <c r="BW430" s="413"/>
      <c r="BX430" s="616">
        <f t="shared" si="1066"/>
        <v>2404970</v>
      </c>
      <c r="BY430" s="616">
        <f t="shared" si="1261"/>
        <v>3827280</v>
      </c>
      <c r="BZ430" s="616">
        <f t="shared" si="1262"/>
        <v>137640</v>
      </c>
      <c r="CA430" s="616">
        <f t="shared" si="1263"/>
        <v>550560</v>
      </c>
      <c r="CB430" s="616">
        <f t="shared" si="1264"/>
        <v>22200</v>
      </c>
      <c r="CC430" s="616">
        <f t="shared" si="1265"/>
        <v>1141080</v>
      </c>
      <c r="CD430" s="616">
        <f t="shared" si="1072"/>
        <v>14234018</v>
      </c>
      <c r="CE430" s="618">
        <f t="shared" si="1266"/>
        <v>10932425.5</v>
      </c>
      <c r="CF430" s="618">
        <f t="shared" si="1267"/>
        <v>3301592.5</v>
      </c>
      <c r="CG430" s="616">
        <f t="shared" si="1268"/>
        <v>288600</v>
      </c>
      <c r="CH430" s="619">
        <f t="shared" si="1074"/>
        <v>49077077</v>
      </c>
      <c r="AUV430" s="699">
        <f t="shared" si="1184"/>
        <v>40068.76</v>
      </c>
      <c r="AUW430" s="699">
        <f t="shared" si="1185"/>
        <v>30774.78</v>
      </c>
      <c r="AUX430" s="699">
        <f t="shared" si="1186"/>
        <v>9293.98</v>
      </c>
      <c r="AUY430" s="699">
        <f t="shared" si="1284"/>
        <v>1910</v>
      </c>
      <c r="AUZ430" s="699">
        <f t="shared" si="1204"/>
        <v>66382.78</v>
      </c>
      <c r="AVA430" s="699">
        <f t="shared" si="1204"/>
        <v>79.010000000000005</v>
      </c>
      <c r="AVB430" s="699">
        <f t="shared" si="1285"/>
        <v>0</v>
      </c>
      <c r="AVC430" s="699">
        <f t="shared" si="1286"/>
        <v>0</v>
      </c>
      <c r="AVD430" s="699">
        <f t="shared" si="1287"/>
        <v>0</v>
      </c>
      <c r="AVE430" s="699">
        <f t="shared" si="1288"/>
        <v>0</v>
      </c>
      <c r="AVF430" s="699">
        <f t="shared" si="1289"/>
        <v>0</v>
      </c>
      <c r="AVG430" s="699">
        <f t="shared" si="1290"/>
        <v>5416.6</v>
      </c>
      <c r="AVH430" s="699">
        <f t="shared" si="1291"/>
        <v>8620</v>
      </c>
      <c r="AVI430" s="699">
        <f t="shared" si="1292"/>
        <v>310</v>
      </c>
      <c r="AVJ430" s="699">
        <f t="shared" si="1293"/>
        <v>1240</v>
      </c>
      <c r="AVK430" s="699">
        <f t="shared" si="1294"/>
        <v>50</v>
      </c>
      <c r="AVL430" s="699">
        <f t="shared" si="1295"/>
        <v>2570</v>
      </c>
      <c r="AVM430" s="699">
        <f t="shared" si="1296"/>
        <v>32058.6</v>
      </c>
      <c r="AVN430" s="699">
        <f t="shared" si="1297"/>
        <v>24622.58</v>
      </c>
      <c r="AVO430" s="699">
        <f t="shared" si="1298"/>
        <v>7436.02</v>
      </c>
      <c r="AVP430" s="699">
        <f t="shared" si="1299"/>
        <v>650</v>
      </c>
      <c r="AVQ430" s="699">
        <f t="shared" si="1300"/>
        <v>110533.96</v>
      </c>
    </row>
    <row r="431" spans="1:108 1244:1265" ht="30" customHeight="1" x14ac:dyDescent="0.25">
      <c r="A431" s="643">
        <v>2</v>
      </c>
      <c r="B431" s="643">
        <v>22</v>
      </c>
      <c r="C431" s="643" t="s">
        <v>174</v>
      </c>
      <c r="D431" s="2"/>
      <c r="E431" s="2"/>
      <c r="F431" s="643" t="s">
        <v>40</v>
      </c>
      <c r="G431" s="643">
        <v>4</v>
      </c>
      <c r="H431" s="413" t="s">
        <v>8</v>
      </c>
      <c r="I431" s="643">
        <v>3</v>
      </c>
      <c r="J431" s="2" t="s">
        <v>410</v>
      </c>
      <c r="K431" s="643">
        <v>3</v>
      </c>
      <c r="L431" s="684"/>
      <c r="M431" s="3" t="s">
        <v>327</v>
      </c>
      <c r="N431" s="2" t="s">
        <v>411</v>
      </c>
      <c r="O431" s="643">
        <v>1</v>
      </c>
      <c r="P431" s="635">
        <v>55</v>
      </c>
      <c r="Q431" s="635">
        <v>55</v>
      </c>
      <c r="R431" s="635">
        <v>55</v>
      </c>
      <c r="S431" s="675">
        <f>SUMIF('Территориальный кк'!$A:$A,'2020'!$B431,'Территориальный кк'!F:F)</f>
        <v>1.796</v>
      </c>
      <c r="T431" s="675">
        <f>SUMIF('Территориальный кк'!$A:$A,'2020'!$B431,'Территориальный кк'!G:G)</f>
        <v>2.5550000000000002</v>
      </c>
      <c r="U431" s="618">
        <f>SUMIFS(Нормативы!G:G,Нормативы!$B:$B,$G431,Нормативы!$D:$D,'2020'!$I431,Нормативы!$F:$F,'2020'!$K431)*O431</f>
        <v>2231</v>
      </c>
      <c r="V431" s="618">
        <f t="shared" si="1097"/>
        <v>1713.5</v>
      </c>
      <c r="W431" s="618">
        <f t="shared" si="1098"/>
        <v>517.5</v>
      </c>
      <c r="X431" s="618">
        <f>SUMIFS(Нормативы!J:J,Нормативы!$B:$B,$G431,Нормативы!$D:$D,'2020'!$I431,Нормативы!$F:$F,'2020'!$K431)</f>
        <v>191</v>
      </c>
      <c r="Y431" s="618">
        <f>SUMIFS(Нормативы!K:K,Нормативы!$B:$B,$G431,Нормативы!$D:$D,'2020'!$I431,Нормативы!$F:$F,'2020'!$K431)</f>
        <v>38.200000000000003</v>
      </c>
      <c r="Z431" s="618">
        <f>SUMIFS(Нормативы!L:L,Нормативы!$B:$B,$G431,Нормативы!$D:$D,'2020'!$I431,Нормативы!$F:$F,'2020'!$K431)</f>
        <v>397</v>
      </c>
      <c r="AA431" s="618">
        <f t="shared" si="1099"/>
        <v>1367</v>
      </c>
      <c r="AB431" s="618">
        <f>SUMIFS(Нормативы!N:N,Нормативы!$B:$B,$G431,Нормативы!$D:$D,'2020'!$I431,Нормативы!$F:$F,'2020'!$K431)*O431</f>
        <v>46</v>
      </c>
      <c r="AC431" s="618">
        <f>SUMIFS(Нормативы!O:O,Нормативы!$B:$B,$G431,Нормативы!$D:$D,'2020'!$I431,Нормативы!$F:$F,'2020'!$K431)</f>
        <v>920</v>
      </c>
      <c r="AD431" s="618">
        <f>SUMIFS(Нормативы!P:P,Нормативы!$B:$B,$G431,Нормативы!$D:$D,'2020'!$I431,Нормативы!$F:$F,'2020'!$K431)*O431</f>
        <v>327</v>
      </c>
      <c r="AE431" s="618">
        <f>SUMIFS(Нормативы!Q:Q,Нормативы!$B:$B,$G431,Нормативы!$D:$D,'2020'!$I431,Нормативы!$F:$F,'2020'!$K431)</f>
        <v>74</v>
      </c>
      <c r="AF431" s="618">
        <f>SUMIFS(Нормативы!R:R,Нормативы!$B:$B,$G431,Нормативы!$D:$D,'2020'!$I431,Нормативы!$F:$F,'2020'!$K431)</f>
        <v>212</v>
      </c>
      <c r="AG431" s="618">
        <f>SUMIFS(Нормативы!S:S,Нормативы!$B:$B,$G431,Нормативы!$D:$D,'2020'!$I431,Нормативы!$F:$F,'2020'!$K431)</f>
        <v>862</v>
      </c>
      <c r="AH431" s="618">
        <f>SUMIFS(Нормативы!T:T,Нормативы!$B:$B,$G431,Нормативы!$D:$D,'2020'!$I431,Нормативы!$F:$F,'2020'!$K431)</f>
        <v>31</v>
      </c>
      <c r="AI431" s="618">
        <f>SUMIFS(Нормативы!U:U,Нормативы!$B:$B,$G431,Нормативы!$D:$D,'2020'!$I431,Нормативы!$F:$F,'2020'!$K431)</f>
        <v>124</v>
      </c>
      <c r="AJ431" s="618">
        <f>SUMIFS(Нормативы!V:V,Нормативы!$B:$B,$G431,Нормативы!$D:$D,'2020'!$I431,Нормативы!$F:$F,'2020'!$K431)</f>
        <v>5</v>
      </c>
      <c r="AK431" s="618">
        <f>SUMIFS(Нормативы!W:W,Нормативы!$B:$B,$G431,Нормативы!$D:$D,'2020'!$I431,Нормативы!$F:$F,'2020'!$K431)</f>
        <v>257</v>
      </c>
      <c r="AL431" s="618">
        <f>SUMIFS(Нормативы!X:X,Нормативы!$B:$B,$G431,Нормативы!$D:$D,'2020'!$I431,Нормативы!$F:$F,'2020'!$K431)*O431</f>
        <v>1785</v>
      </c>
      <c r="AM431" s="618">
        <f t="shared" si="1100"/>
        <v>1371</v>
      </c>
      <c r="AN431" s="618">
        <f t="shared" si="1101"/>
        <v>414</v>
      </c>
      <c r="AO431" s="618">
        <f>SUMIFS(Нормативы!AA:AA,Нормативы!$B:$B,$G431,Нормативы!$D:$D,'2020'!$I431,Нормативы!$F:$F,'2020'!$K431)</f>
        <v>0</v>
      </c>
      <c r="AP431" s="619">
        <f t="shared" si="1102"/>
        <v>7462</v>
      </c>
      <c r="AQ431" s="413">
        <f t="shared" si="1040"/>
        <v>122705</v>
      </c>
      <c r="AR431" s="618">
        <f t="shared" si="1247"/>
        <v>94243.5</v>
      </c>
      <c r="AS431" s="618">
        <f t="shared" si="1248"/>
        <v>28461.5</v>
      </c>
      <c r="AT431" s="616">
        <f t="shared" si="1041"/>
        <v>10505</v>
      </c>
      <c r="AU431" s="616">
        <f t="shared" si="1042"/>
        <v>2101</v>
      </c>
      <c r="AV431" s="616">
        <f t="shared" si="1043"/>
        <v>21835</v>
      </c>
      <c r="AW431" s="616">
        <f t="shared" si="1044"/>
        <v>75185</v>
      </c>
      <c r="AX431" s="616">
        <f t="shared" si="1045"/>
        <v>2530</v>
      </c>
      <c r="AY431" s="616">
        <f t="shared" si="1046"/>
        <v>50600</v>
      </c>
      <c r="AZ431" s="616">
        <f t="shared" si="1047"/>
        <v>17985</v>
      </c>
      <c r="BA431" s="616">
        <f t="shared" si="1048"/>
        <v>4070</v>
      </c>
      <c r="BB431" s="616">
        <f t="shared" si="1049"/>
        <v>11660</v>
      </c>
      <c r="BC431" s="616">
        <f t="shared" si="1050"/>
        <v>47410</v>
      </c>
      <c r="BD431" s="616">
        <f t="shared" si="1051"/>
        <v>1705</v>
      </c>
      <c r="BE431" s="616">
        <f t="shared" si="1052"/>
        <v>6820</v>
      </c>
      <c r="BF431" s="616">
        <f t="shared" si="1053"/>
        <v>275</v>
      </c>
      <c r="BG431" s="616">
        <f t="shared" si="1054"/>
        <v>14135</v>
      </c>
      <c r="BH431" s="616">
        <f t="shared" si="1055"/>
        <v>98175</v>
      </c>
      <c r="BI431" s="618">
        <f t="shared" si="1249"/>
        <v>75403.199999999997</v>
      </c>
      <c r="BJ431" s="618">
        <f t="shared" si="1250"/>
        <v>22771.8</v>
      </c>
      <c r="BK431" s="616">
        <f t="shared" si="1251"/>
        <v>0</v>
      </c>
      <c r="BL431" s="619">
        <f t="shared" si="1057"/>
        <v>410410</v>
      </c>
      <c r="BM431" s="616">
        <f t="shared" si="1058"/>
        <v>220378</v>
      </c>
      <c r="BN431" s="618">
        <f t="shared" si="1252"/>
        <v>169261.1</v>
      </c>
      <c r="BO431" s="618">
        <f t="shared" si="1253"/>
        <v>51116.9</v>
      </c>
      <c r="BP431" s="616">
        <f t="shared" si="1254"/>
        <v>10505</v>
      </c>
      <c r="BQ431" s="616">
        <f t="shared" si="1108"/>
        <v>2101</v>
      </c>
      <c r="BR431" s="616">
        <f t="shared" si="1255"/>
        <v>21835</v>
      </c>
      <c r="BS431" s="616">
        <f t="shared" si="1256"/>
        <v>75185</v>
      </c>
      <c r="BT431" s="413"/>
      <c r="BU431" s="413"/>
      <c r="BV431" s="413"/>
      <c r="BW431" s="413"/>
      <c r="BX431" s="616">
        <f t="shared" si="1066"/>
        <v>29791</v>
      </c>
      <c r="BY431" s="616">
        <f t="shared" si="1261"/>
        <v>47410</v>
      </c>
      <c r="BZ431" s="616">
        <f t="shared" si="1262"/>
        <v>1705</v>
      </c>
      <c r="CA431" s="616">
        <f t="shared" si="1263"/>
        <v>6820</v>
      </c>
      <c r="CB431" s="616">
        <f t="shared" si="1264"/>
        <v>275</v>
      </c>
      <c r="CC431" s="616">
        <f t="shared" si="1265"/>
        <v>14135</v>
      </c>
      <c r="CD431" s="616">
        <f t="shared" si="1072"/>
        <v>176322</v>
      </c>
      <c r="CE431" s="618">
        <f t="shared" si="1266"/>
        <v>135424</v>
      </c>
      <c r="CF431" s="618">
        <f t="shared" si="1267"/>
        <v>40898</v>
      </c>
      <c r="CG431" s="616">
        <f t="shared" si="1268"/>
        <v>0</v>
      </c>
      <c r="CH431" s="619">
        <f t="shared" si="1074"/>
        <v>604361</v>
      </c>
      <c r="AUV431" s="699">
        <f t="shared" si="1184"/>
        <v>4006.87</v>
      </c>
      <c r="AUW431" s="699">
        <f t="shared" si="1185"/>
        <v>3077.47</v>
      </c>
      <c r="AUX431" s="699">
        <f t="shared" si="1186"/>
        <v>929.4</v>
      </c>
      <c r="AUY431" s="699">
        <f t="shared" si="1284"/>
        <v>191</v>
      </c>
      <c r="AUZ431" s="699">
        <f t="shared" si="1204"/>
        <v>822.31</v>
      </c>
      <c r="AVA431" s="699">
        <f t="shared" si="1204"/>
        <v>9.7899999999999991</v>
      </c>
      <c r="AVB431" s="699">
        <f t="shared" si="1285"/>
        <v>0</v>
      </c>
      <c r="AVC431" s="699">
        <f t="shared" si="1286"/>
        <v>0</v>
      </c>
      <c r="AVD431" s="699">
        <f t="shared" si="1287"/>
        <v>0</v>
      </c>
      <c r="AVE431" s="699">
        <f t="shared" si="1288"/>
        <v>0</v>
      </c>
      <c r="AVF431" s="699">
        <f t="shared" si="1289"/>
        <v>0</v>
      </c>
      <c r="AVG431" s="699">
        <f t="shared" si="1290"/>
        <v>541.65</v>
      </c>
      <c r="AVH431" s="699">
        <f t="shared" si="1291"/>
        <v>862</v>
      </c>
      <c r="AVI431" s="699">
        <f t="shared" si="1292"/>
        <v>31</v>
      </c>
      <c r="AVJ431" s="699">
        <f t="shared" si="1293"/>
        <v>124</v>
      </c>
      <c r="AVK431" s="699">
        <f t="shared" si="1294"/>
        <v>5</v>
      </c>
      <c r="AVL431" s="699">
        <f t="shared" si="1295"/>
        <v>257</v>
      </c>
      <c r="AVM431" s="699">
        <f t="shared" si="1296"/>
        <v>3205.85</v>
      </c>
      <c r="AVN431" s="699">
        <f t="shared" si="1297"/>
        <v>2462.25</v>
      </c>
      <c r="AVO431" s="699">
        <f t="shared" si="1298"/>
        <v>743.6</v>
      </c>
      <c r="AVP431" s="699">
        <f t="shared" si="1299"/>
        <v>0</v>
      </c>
      <c r="AVQ431" s="699">
        <f t="shared" si="1300"/>
        <v>10988.38</v>
      </c>
    </row>
    <row r="432" spans="1:108 1244:1265" ht="30" customHeight="1" x14ac:dyDescent="0.25">
      <c r="A432" s="643">
        <v>2</v>
      </c>
      <c r="B432" s="643">
        <v>22</v>
      </c>
      <c r="C432" s="643" t="s">
        <v>174</v>
      </c>
      <c r="D432" s="2"/>
      <c r="E432" s="2"/>
      <c r="F432" s="643" t="s">
        <v>40</v>
      </c>
      <c r="G432" s="643">
        <v>4</v>
      </c>
      <c r="H432" s="413" t="s">
        <v>10</v>
      </c>
      <c r="I432" s="643">
        <v>0</v>
      </c>
      <c r="J432" s="2" t="s">
        <v>410</v>
      </c>
      <c r="K432" s="643">
        <v>3</v>
      </c>
      <c r="L432" s="684"/>
      <c r="M432" s="3" t="s">
        <v>318</v>
      </c>
      <c r="N432" s="2" t="s">
        <v>414</v>
      </c>
      <c r="O432" s="643">
        <v>2</v>
      </c>
      <c r="P432" s="635"/>
      <c r="Q432" s="635"/>
      <c r="R432" s="635"/>
      <c r="S432" s="675">
        <f>SUMIF('Территориальный кк'!$A:$A,'2020'!$B432,'Территориальный кк'!F:F)</f>
        <v>1.796</v>
      </c>
      <c r="T432" s="675">
        <f>SUMIF('Территориальный кк'!$A:$A,'2020'!$B432,'Территориальный кк'!G:G)</f>
        <v>2.5550000000000002</v>
      </c>
      <c r="U432" s="618">
        <f>SUMIFS(Нормативы!G:G,Нормативы!$B:$B,$G432,Нормативы!$D:$D,'2020'!$I432,Нормативы!$F:$F,'2020'!$K432)*O432</f>
        <v>44620</v>
      </c>
      <c r="V432" s="618">
        <f t="shared" si="1097"/>
        <v>34270.400000000001</v>
      </c>
      <c r="W432" s="618">
        <f t="shared" si="1098"/>
        <v>10349.6</v>
      </c>
      <c r="X432" s="618">
        <f>SUMIFS(Нормативы!J:J,Нормативы!$B:$B,$G432,Нормативы!$D:$D,'2020'!$I432,Нормативы!$F:$F,'2020'!$K432)</f>
        <v>1910</v>
      </c>
      <c r="Y432" s="618">
        <f>SUMIFS(Нормативы!K:K,Нормативы!$B:$B,$G432,Нормативы!$D:$D,'2020'!$I432,Нормативы!$F:$F,'2020'!$K432)</f>
        <v>382</v>
      </c>
      <c r="Z432" s="618">
        <f>SUMIFS(Нормативы!L:L,Нормативы!$B:$B,$G432,Нормативы!$D:$D,'2020'!$I432,Нормативы!$F:$F,'2020'!$K432)</f>
        <v>3970</v>
      </c>
      <c r="AA432" s="618">
        <f t="shared" si="1099"/>
        <v>17400</v>
      </c>
      <c r="AB432" s="618">
        <f>SUMIFS(Нормативы!N:N,Нормативы!$B:$B,$G432,Нормативы!$D:$D,'2020'!$I432,Нормативы!$F:$F,'2020'!$K432)*O432</f>
        <v>920</v>
      </c>
      <c r="AC432" s="618">
        <f>SUMIFS(Нормативы!O:O,Нормативы!$B:$B,$G432,Нормативы!$D:$D,'2020'!$I432,Нормативы!$F:$F,'2020'!$K432)</f>
        <v>9200</v>
      </c>
      <c r="AD432" s="618">
        <f>SUMIFS(Нормативы!P:P,Нормативы!$B:$B,$G432,Нормативы!$D:$D,'2020'!$I432,Нормативы!$F:$F,'2020'!$K432)*O432</f>
        <v>6540</v>
      </c>
      <c r="AE432" s="618">
        <f>SUMIFS(Нормативы!Q:Q,Нормативы!$B:$B,$G432,Нормативы!$D:$D,'2020'!$I432,Нормативы!$F:$F,'2020'!$K432)</f>
        <v>740</v>
      </c>
      <c r="AF432" s="618">
        <f>SUMIFS(Нормативы!R:R,Нормативы!$B:$B,$G432,Нормативы!$D:$D,'2020'!$I432,Нормативы!$F:$F,'2020'!$K432)</f>
        <v>2120</v>
      </c>
      <c r="AG432" s="618">
        <f>SUMIFS(Нормативы!S:S,Нормативы!$B:$B,$G432,Нормативы!$D:$D,'2020'!$I432,Нормативы!$F:$F,'2020'!$K432)</f>
        <v>8620</v>
      </c>
      <c r="AH432" s="618">
        <f>SUMIFS(Нормативы!T:T,Нормативы!$B:$B,$G432,Нормативы!$D:$D,'2020'!$I432,Нормативы!$F:$F,'2020'!$K432)</f>
        <v>310</v>
      </c>
      <c r="AI432" s="618">
        <f>SUMIFS(Нормативы!U:U,Нормативы!$B:$B,$G432,Нормативы!$D:$D,'2020'!$I432,Нормативы!$F:$F,'2020'!$K432)</f>
        <v>1240</v>
      </c>
      <c r="AJ432" s="618">
        <f>SUMIFS(Нормативы!V:V,Нормативы!$B:$B,$G432,Нормативы!$D:$D,'2020'!$I432,Нормативы!$F:$F,'2020'!$K432)</f>
        <v>50</v>
      </c>
      <c r="AK432" s="618">
        <f>SUMIFS(Нормативы!W:W,Нормативы!$B:$B,$G432,Нормативы!$D:$D,'2020'!$I432,Нормативы!$F:$F,'2020'!$K432)</f>
        <v>2570</v>
      </c>
      <c r="AL432" s="618">
        <f>SUMIFS(Нормативы!X:X,Нормативы!$B:$B,$G432,Нормативы!$D:$D,'2020'!$I432,Нормативы!$F:$F,'2020'!$K432)*O432</f>
        <v>35700</v>
      </c>
      <c r="AM432" s="618">
        <f t="shared" si="1100"/>
        <v>27419.4</v>
      </c>
      <c r="AN432" s="618">
        <f t="shared" si="1101"/>
        <v>8280.6</v>
      </c>
      <c r="AO432" s="618">
        <f>SUMIFS(Нормативы!AA:AA,Нормативы!$B:$B,$G432,Нормативы!$D:$D,'2020'!$I432,Нормативы!$F:$F,'2020'!$K432)</f>
        <v>650</v>
      </c>
      <c r="AP432" s="619">
        <f t="shared" si="1102"/>
        <v>119160</v>
      </c>
      <c r="AQ432" s="413">
        <f t="shared" ref="AQ432:AQ455" si="1301">ROUND($P432*U432,0)</f>
        <v>0</v>
      </c>
      <c r="AR432" s="618">
        <f t="shared" si="1247"/>
        <v>0</v>
      </c>
      <c r="AS432" s="618">
        <f t="shared" si="1248"/>
        <v>0</v>
      </c>
      <c r="AT432" s="616">
        <f t="shared" ref="AT432:AT455" si="1302">ROUND($P432*X432,0)</f>
        <v>0</v>
      </c>
      <c r="AU432" s="616">
        <f t="shared" ref="AU432:AU455" si="1303">ROUND($P432*Y432,0)</f>
        <v>0</v>
      </c>
      <c r="AV432" s="616">
        <f t="shared" ref="AV432:AV455" si="1304">ROUND($P432*Z432,0)</f>
        <v>0</v>
      </c>
      <c r="AW432" s="616">
        <f t="shared" ref="AW432:AW455" si="1305">ROUND($P432*AA432,0)</f>
        <v>0</v>
      </c>
      <c r="AX432" s="616">
        <f t="shared" ref="AX432:AX455" si="1306">ROUND($P432*AB432,0)</f>
        <v>0</v>
      </c>
      <c r="AY432" s="616">
        <f t="shared" ref="AY432:AY455" si="1307">ROUND($P432*AC432,0)</f>
        <v>0</v>
      </c>
      <c r="AZ432" s="616">
        <f t="shared" ref="AZ432:AZ455" si="1308">ROUND($P432*AD432,0)</f>
        <v>0</v>
      </c>
      <c r="BA432" s="616">
        <f t="shared" ref="BA432:BA455" si="1309">ROUND($P432*AE432,0)</f>
        <v>0</v>
      </c>
      <c r="BB432" s="616">
        <f t="shared" ref="BB432:BB455" si="1310">ROUND($P432*AF432,0)</f>
        <v>0</v>
      </c>
      <c r="BC432" s="616">
        <f t="shared" ref="BC432:BC455" si="1311">ROUND($P432*AG432,0)</f>
        <v>0</v>
      </c>
      <c r="BD432" s="616">
        <f t="shared" ref="BD432:BD455" si="1312">ROUND($P432*AH432,0)</f>
        <v>0</v>
      </c>
      <c r="BE432" s="616">
        <f t="shared" ref="BE432:BE455" si="1313">ROUND($P432*AI432,0)</f>
        <v>0</v>
      </c>
      <c r="BF432" s="616">
        <f t="shared" ref="BF432:BF455" si="1314">ROUND($P432*AJ432,0)</f>
        <v>0</v>
      </c>
      <c r="BG432" s="616">
        <f t="shared" ref="BG432:BG455" si="1315">ROUND($P432*AK432,0)</f>
        <v>0</v>
      </c>
      <c r="BH432" s="616">
        <f t="shared" ref="BH432:BH455" si="1316">ROUND($P432*AL432,0)</f>
        <v>0</v>
      </c>
      <c r="BI432" s="618">
        <f t="shared" si="1249"/>
        <v>0</v>
      </c>
      <c r="BJ432" s="618">
        <f t="shared" si="1250"/>
        <v>0</v>
      </c>
      <c r="BK432" s="616">
        <f t="shared" si="1251"/>
        <v>0</v>
      </c>
      <c r="BL432" s="619">
        <f t="shared" ref="BL432:BL455" si="1317">AQ432+AT432+AV432+AW432++BB432+BC432+BD432+BE432+BF432+BG432+BH432+BK432</f>
        <v>0</v>
      </c>
      <c r="BM432" s="616">
        <f t="shared" ref="BM432:BM455" si="1318">ROUND(AQ432*S432,0)</f>
        <v>0</v>
      </c>
      <c r="BN432" s="618">
        <f t="shared" si="1252"/>
        <v>0</v>
      </c>
      <c r="BO432" s="618">
        <f t="shared" si="1253"/>
        <v>0</v>
      </c>
      <c r="BP432" s="616">
        <f t="shared" si="1254"/>
        <v>0</v>
      </c>
      <c r="BQ432" s="616">
        <f t="shared" si="1108"/>
        <v>0</v>
      </c>
      <c r="BR432" s="616">
        <f t="shared" si="1255"/>
        <v>0</v>
      </c>
      <c r="BS432" s="616">
        <f t="shared" si="1256"/>
        <v>0</v>
      </c>
      <c r="BT432" s="413"/>
      <c r="BU432" s="413"/>
      <c r="BV432" s="413"/>
      <c r="BW432" s="413"/>
      <c r="BX432" s="616">
        <f t="shared" ref="BX432:BX454" si="1319">ROUND(BB432*T432,0)</f>
        <v>0</v>
      </c>
      <c r="BY432" s="616">
        <f t="shared" si="1261"/>
        <v>0</v>
      </c>
      <c r="BZ432" s="616">
        <f t="shared" si="1262"/>
        <v>0</v>
      </c>
      <c r="CA432" s="616">
        <f t="shared" si="1263"/>
        <v>0</v>
      </c>
      <c r="CB432" s="616">
        <f t="shared" si="1264"/>
        <v>0</v>
      </c>
      <c r="CC432" s="616">
        <f t="shared" si="1265"/>
        <v>0</v>
      </c>
      <c r="CD432" s="616">
        <f t="shared" ref="CD432:CD455" si="1320">ROUND(BH432*S432,0)</f>
        <v>0</v>
      </c>
      <c r="CE432" s="618">
        <f t="shared" si="1266"/>
        <v>0</v>
      </c>
      <c r="CF432" s="618">
        <f t="shared" si="1267"/>
        <v>0</v>
      </c>
      <c r="CG432" s="616">
        <f t="shared" si="1268"/>
        <v>0</v>
      </c>
      <c r="CH432" s="619">
        <f t="shared" ref="CH432:CH455" si="1321">BM432+BP432+BR432+BS432++BX432+BY432+BZ432+CA432+CB432+CC432+CD432+CG432</f>
        <v>0</v>
      </c>
      <c r="AUV432" s="699">
        <v>0</v>
      </c>
      <c r="AUW432" s="699">
        <f t="shared" si="1185"/>
        <v>0</v>
      </c>
      <c r="AUX432" s="699">
        <f t="shared" si="1186"/>
        <v>0</v>
      </c>
      <c r="AUY432" s="699">
        <f t="shared" si="1204"/>
        <v>0</v>
      </c>
      <c r="AUZ432" s="699">
        <f t="shared" si="1204"/>
        <v>0</v>
      </c>
      <c r="AVA432" s="699">
        <f t="shared" si="1204"/>
        <v>0</v>
      </c>
      <c r="AVB432" s="699">
        <f t="shared" si="1204"/>
        <v>0</v>
      </c>
      <c r="AVC432" s="697"/>
      <c r="AVD432" s="697"/>
      <c r="AVE432" s="697"/>
      <c r="AVF432" s="697"/>
      <c r="AVG432" s="697"/>
      <c r="AVH432" s="697"/>
      <c r="AVI432" s="697"/>
      <c r="AVJ432" s="697"/>
      <c r="AVK432" s="697"/>
      <c r="AVL432" s="697"/>
      <c r="AVM432" s="697"/>
      <c r="AVN432" s="697"/>
      <c r="AVO432" s="697"/>
      <c r="AVP432" s="697"/>
      <c r="AVQ432" s="697"/>
    </row>
    <row r="433" spans="1:86 1244:1265" ht="30" customHeight="1" x14ac:dyDescent="0.25">
      <c r="A433" s="643">
        <v>2</v>
      </c>
      <c r="B433" s="643">
        <v>26</v>
      </c>
      <c r="C433" s="643" t="s">
        <v>177</v>
      </c>
      <c r="D433" s="2"/>
      <c r="E433" s="2"/>
      <c r="F433" s="643" t="s">
        <v>40</v>
      </c>
      <c r="G433" s="643">
        <v>4</v>
      </c>
      <c r="H433" s="413" t="s">
        <v>10</v>
      </c>
      <c r="I433" s="643">
        <v>0</v>
      </c>
      <c r="J433" s="2" t="s">
        <v>410</v>
      </c>
      <c r="K433" s="643">
        <v>3</v>
      </c>
      <c r="L433" s="684"/>
      <c r="M433" s="3" t="s">
        <v>317</v>
      </c>
      <c r="N433" s="2" t="s">
        <v>411</v>
      </c>
      <c r="O433" s="643">
        <v>1</v>
      </c>
      <c r="P433" s="635">
        <v>68</v>
      </c>
      <c r="Q433" s="635">
        <v>68</v>
      </c>
      <c r="R433" s="635">
        <v>68</v>
      </c>
      <c r="S433" s="675">
        <f>SUMIF('Территориальный кк'!$A:$A,'2020'!$B433,'Территориальный кк'!F:F)</f>
        <v>1.2010000000000001</v>
      </c>
      <c r="T433" s="675">
        <f>SUMIF('Территориальный кк'!$A:$A,'2020'!$B433,'Территориальный кк'!G:G)</f>
        <v>2.4159999999999999</v>
      </c>
      <c r="U433" s="618">
        <f>SUMIFS(Нормативы!G:G,Нормативы!$B:$B,$G433,Нормативы!$D:$D,'2020'!$I433,Нормативы!$F:$F,'2020'!$K433)*O433</f>
        <v>22310</v>
      </c>
      <c r="V433" s="618">
        <f t="shared" ref="V433:V455" si="1322">ROUND(U433/1.302,1)</f>
        <v>17135.2</v>
      </c>
      <c r="W433" s="618">
        <f t="shared" ref="W433:W455" si="1323">U433-V433</f>
        <v>5174.8</v>
      </c>
      <c r="X433" s="618">
        <f>SUMIFS(Нормативы!J:J,Нормативы!$B:$B,$G433,Нормативы!$D:$D,'2020'!$I433,Нормативы!$F:$F,'2020'!$K433)</f>
        <v>1910</v>
      </c>
      <c r="Y433" s="618">
        <f>SUMIFS(Нормативы!K:K,Нормативы!$B:$B,$G433,Нормативы!$D:$D,'2020'!$I433,Нормативы!$F:$F,'2020'!$K433)</f>
        <v>382</v>
      </c>
      <c r="Z433" s="618">
        <f>SUMIFS(Нормативы!L:L,Нормативы!$B:$B,$G433,Нормативы!$D:$D,'2020'!$I433,Нормативы!$F:$F,'2020'!$K433)</f>
        <v>3970</v>
      </c>
      <c r="AA433" s="618">
        <f t="shared" ref="AA433:AA455" si="1324">AB433+AC433+AD433+AE433</f>
        <v>13670</v>
      </c>
      <c r="AB433" s="618">
        <f>SUMIFS(Нормативы!N:N,Нормативы!$B:$B,$G433,Нормативы!$D:$D,'2020'!$I433,Нормативы!$F:$F,'2020'!$K433)*O433</f>
        <v>460</v>
      </c>
      <c r="AC433" s="618">
        <f>SUMIFS(Нормативы!O:O,Нормативы!$B:$B,$G433,Нормативы!$D:$D,'2020'!$I433,Нормативы!$F:$F,'2020'!$K433)</f>
        <v>9200</v>
      </c>
      <c r="AD433" s="618">
        <f>SUMIFS(Нормативы!P:P,Нормативы!$B:$B,$G433,Нормативы!$D:$D,'2020'!$I433,Нормативы!$F:$F,'2020'!$K433)*O433</f>
        <v>3270</v>
      </c>
      <c r="AE433" s="618">
        <f>SUMIFS(Нормативы!Q:Q,Нормативы!$B:$B,$G433,Нормативы!$D:$D,'2020'!$I433,Нормативы!$F:$F,'2020'!$K433)</f>
        <v>740</v>
      </c>
      <c r="AF433" s="618">
        <f>SUMIFS(Нормативы!R:R,Нормативы!$B:$B,$G433,Нормативы!$D:$D,'2020'!$I433,Нормативы!$F:$F,'2020'!$K433)</f>
        <v>2120</v>
      </c>
      <c r="AG433" s="618">
        <f>SUMIFS(Нормативы!S:S,Нормативы!$B:$B,$G433,Нормативы!$D:$D,'2020'!$I433,Нормативы!$F:$F,'2020'!$K433)</f>
        <v>8620</v>
      </c>
      <c r="AH433" s="618">
        <f>SUMIFS(Нормативы!T:T,Нормативы!$B:$B,$G433,Нормативы!$D:$D,'2020'!$I433,Нормативы!$F:$F,'2020'!$K433)</f>
        <v>310</v>
      </c>
      <c r="AI433" s="618">
        <f>SUMIFS(Нормативы!U:U,Нормативы!$B:$B,$G433,Нормативы!$D:$D,'2020'!$I433,Нормативы!$F:$F,'2020'!$K433)</f>
        <v>1240</v>
      </c>
      <c r="AJ433" s="618">
        <f>SUMIFS(Нормативы!V:V,Нормативы!$B:$B,$G433,Нормативы!$D:$D,'2020'!$I433,Нормативы!$F:$F,'2020'!$K433)</f>
        <v>50</v>
      </c>
      <c r="AK433" s="618">
        <f>SUMIFS(Нормативы!W:W,Нормативы!$B:$B,$G433,Нормативы!$D:$D,'2020'!$I433,Нормативы!$F:$F,'2020'!$K433)</f>
        <v>2570</v>
      </c>
      <c r="AL433" s="618">
        <f>SUMIFS(Нормативы!X:X,Нормативы!$B:$B,$G433,Нормативы!$D:$D,'2020'!$I433,Нормативы!$F:$F,'2020'!$K433)*O433</f>
        <v>17850</v>
      </c>
      <c r="AM433" s="618">
        <f t="shared" ref="AM433:AM455" si="1325">ROUND(AL433/1.302,1)</f>
        <v>13709.7</v>
      </c>
      <c r="AN433" s="618">
        <f t="shared" ref="AN433:AN455" si="1326">AL433-AM433</f>
        <v>4140.3</v>
      </c>
      <c r="AO433" s="618">
        <f>SUMIFS(Нормативы!AA:AA,Нормативы!$B:$B,$G433,Нормативы!$D:$D,'2020'!$I433,Нормативы!$F:$F,'2020'!$K433)</f>
        <v>650</v>
      </c>
      <c r="AP433" s="619">
        <f t="shared" ref="AP433:AP455" si="1327">U433+X433+Z433+AA433++AF433+AG433+AH433+AI433+AJ433+AK433+AL433+AO433</f>
        <v>75270</v>
      </c>
      <c r="AQ433" s="413">
        <f t="shared" si="1301"/>
        <v>1517080</v>
      </c>
      <c r="AR433" s="618">
        <f t="shared" si="1247"/>
        <v>1165192</v>
      </c>
      <c r="AS433" s="618">
        <f t="shared" si="1248"/>
        <v>351888</v>
      </c>
      <c r="AT433" s="616">
        <f t="shared" si="1302"/>
        <v>129880</v>
      </c>
      <c r="AU433" s="616">
        <f t="shared" si="1303"/>
        <v>25976</v>
      </c>
      <c r="AV433" s="616">
        <f t="shared" si="1304"/>
        <v>269960</v>
      </c>
      <c r="AW433" s="616">
        <f t="shared" si="1305"/>
        <v>929560</v>
      </c>
      <c r="AX433" s="616">
        <f t="shared" si="1306"/>
        <v>31280</v>
      </c>
      <c r="AY433" s="616">
        <f t="shared" si="1307"/>
        <v>625600</v>
      </c>
      <c r="AZ433" s="616">
        <f t="shared" si="1308"/>
        <v>222360</v>
      </c>
      <c r="BA433" s="616">
        <f t="shared" si="1309"/>
        <v>50320</v>
      </c>
      <c r="BB433" s="616">
        <f t="shared" si="1310"/>
        <v>144160</v>
      </c>
      <c r="BC433" s="616">
        <f t="shared" si="1311"/>
        <v>586160</v>
      </c>
      <c r="BD433" s="616">
        <f t="shared" si="1312"/>
        <v>21080</v>
      </c>
      <c r="BE433" s="616">
        <f t="shared" si="1313"/>
        <v>84320</v>
      </c>
      <c r="BF433" s="616">
        <f t="shared" si="1314"/>
        <v>3400</v>
      </c>
      <c r="BG433" s="616">
        <f t="shared" si="1315"/>
        <v>174760</v>
      </c>
      <c r="BH433" s="616">
        <f t="shared" si="1316"/>
        <v>1213800</v>
      </c>
      <c r="BI433" s="618">
        <f t="shared" si="1249"/>
        <v>932258.1</v>
      </c>
      <c r="BJ433" s="618">
        <f t="shared" si="1250"/>
        <v>281541.90000000002</v>
      </c>
      <c r="BK433" s="616">
        <f t="shared" si="1251"/>
        <v>44200</v>
      </c>
      <c r="BL433" s="619">
        <f t="shared" si="1317"/>
        <v>5118360</v>
      </c>
      <c r="BM433" s="616">
        <f t="shared" si="1318"/>
        <v>1822013</v>
      </c>
      <c r="BN433" s="618">
        <f t="shared" si="1252"/>
        <v>1399395.5</v>
      </c>
      <c r="BO433" s="618">
        <f t="shared" si="1253"/>
        <v>422617.5</v>
      </c>
      <c r="BP433" s="616">
        <f t="shared" si="1254"/>
        <v>129880</v>
      </c>
      <c r="BQ433" s="616">
        <f t="shared" ref="BQ433:BQ455" si="1328">AU433</f>
        <v>25976</v>
      </c>
      <c r="BR433" s="616">
        <f t="shared" si="1255"/>
        <v>269960</v>
      </c>
      <c r="BS433" s="616">
        <f t="shared" si="1256"/>
        <v>929560</v>
      </c>
      <c r="BT433" s="413"/>
      <c r="BU433" s="413"/>
      <c r="BV433" s="413"/>
      <c r="BW433" s="413"/>
      <c r="BX433" s="616">
        <f t="shared" si="1319"/>
        <v>348291</v>
      </c>
      <c r="BY433" s="616">
        <f t="shared" si="1261"/>
        <v>586160</v>
      </c>
      <c r="BZ433" s="616">
        <f t="shared" si="1262"/>
        <v>21080</v>
      </c>
      <c r="CA433" s="616">
        <f t="shared" si="1263"/>
        <v>84320</v>
      </c>
      <c r="CB433" s="616">
        <f t="shared" si="1264"/>
        <v>3400</v>
      </c>
      <c r="CC433" s="616">
        <f t="shared" si="1265"/>
        <v>174760</v>
      </c>
      <c r="CD433" s="616">
        <f t="shared" si="1320"/>
        <v>1457774</v>
      </c>
      <c r="CE433" s="618">
        <f t="shared" si="1266"/>
        <v>1119642.1000000001</v>
      </c>
      <c r="CF433" s="618">
        <f t="shared" si="1267"/>
        <v>338131.9</v>
      </c>
      <c r="CG433" s="616">
        <f t="shared" si="1268"/>
        <v>44200</v>
      </c>
      <c r="CH433" s="619">
        <f t="shared" si="1321"/>
        <v>5871398</v>
      </c>
      <c r="AUV433" s="699">
        <f t="shared" si="1184"/>
        <v>26794.31</v>
      </c>
      <c r="AUW433" s="699">
        <f t="shared" si="1185"/>
        <v>20579.349999999999</v>
      </c>
      <c r="AUX433" s="699">
        <f t="shared" si="1186"/>
        <v>6214.96</v>
      </c>
      <c r="AUY433" s="699">
        <f t="shared" ref="AUY433:AUY443" si="1329">BP433/P433</f>
        <v>1910</v>
      </c>
      <c r="AUZ433" s="699">
        <f t="shared" si="1204"/>
        <v>10751.66</v>
      </c>
      <c r="AVA433" s="699">
        <f t="shared" si="1204"/>
        <v>12.1</v>
      </c>
      <c r="AVB433" s="699">
        <f t="shared" ref="AVB433:AVB443" si="1330">AVC433+AVD433+AVE433+AVF433</f>
        <v>0</v>
      </c>
      <c r="AVC433" s="699">
        <f t="shared" ref="AVC433:AVC443" si="1331">BT433/P433</f>
        <v>0</v>
      </c>
      <c r="AVD433" s="699">
        <f t="shared" ref="AVD433:AVD443" si="1332">BU433/P433</f>
        <v>0</v>
      </c>
      <c r="AVE433" s="699">
        <f t="shared" ref="AVE433:AVE443" si="1333">BV433/P433</f>
        <v>0</v>
      </c>
      <c r="AVF433" s="699">
        <f t="shared" ref="AVF433:AVF443" si="1334">BW433/P433</f>
        <v>0</v>
      </c>
      <c r="AVG433" s="699">
        <f t="shared" ref="AVG433:AVG443" si="1335">BX433/P433</f>
        <v>5121.93</v>
      </c>
      <c r="AVH433" s="699">
        <f t="shared" ref="AVH433:AVH443" si="1336">BY433/P433</f>
        <v>8620</v>
      </c>
      <c r="AVI433" s="699">
        <f t="shared" ref="AVI433:AVI443" si="1337">BZ433/P433</f>
        <v>310</v>
      </c>
      <c r="AVJ433" s="699">
        <f t="shared" ref="AVJ433:AVJ443" si="1338">CA433/P433</f>
        <v>1240</v>
      </c>
      <c r="AVK433" s="699">
        <f t="shared" ref="AVK433:AVK443" si="1339">CB433/P433</f>
        <v>50</v>
      </c>
      <c r="AVL433" s="699">
        <f t="shared" ref="AVL433:AVL443" si="1340">CC433/P433</f>
        <v>2570</v>
      </c>
      <c r="AVM433" s="699">
        <f t="shared" ref="AVM433:AVM443" si="1341">CD433/P433</f>
        <v>21437.85</v>
      </c>
      <c r="AVN433" s="699">
        <f t="shared" ref="AVN433:AVN443" si="1342">AVM433/1.302</f>
        <v>16465.32</v>
      </c>
      <c r="AVO433" s="699">
        <f t="shared" ref="AVO433:AVO443" si="1343">AVM433-AVN433</f>
        <v>4972.53</v>
      </c>
      <c r="AVP433" s="699">
        <f t="shared" ref="AVP433:AVP443" si="1344">CG433/P433</f>
        <v>650</v>
      </c>
      <c r="AVQ433" s="699">
        <f t="shared" ref="AVQ433:AVQ443" si="1345">CH433/P433</f>
        <v>86344.09</v>
      </c>
    </row>
    <row r="434" spans="1:86 1244:1265" ht="30" customHeight="1" x14ac:dyDescent="0.25">
      <c r="A434" s="643">
        <v>2</v>
      </c>
      <c r="B434" s="643">
        <v>26</v>
      </c>
      <c r="C434" s="643" t="s">
        <v>177</v>
      </c>
      <c r="D434" s="2"/>
      <c r="E434" s="2"/>
      <c r="F434" s="643" t="s">
        <v>40</v>
      </c>
      <c r="G434" s="643">
        <v>4</v>
      </c>
      <c r="H434" s="413" t="s">
        <v>10</v>
      </c>
      <c r="I434" s="643">
        <v>0</v>
      </c>
      <c r="J434" s="2" t="s">
        <v>410</v>
      </c>
      <c r="K434" s="643">
        <v>3</v>
      </c>
      <c r="L434" s="684"/>
      <c r="M434" s="3" t="s">
        <v>318</v>
      </c>
      <c r="N434" s="2" t="s">
        <v>414</v>
      </c>
      <c r="O434" s="643">
        <v>2</v>
      </c>
      <c r="P434" s="635">
        <v>2</v>
      </c>
      <c r="Q434" s="635">
        <v>2</v>
      </c>
      <c r="R434" s="635">
        <v>2</v>
      </c>
      <c r="S434" s="675">
        <f>SUMIF('Территориальный кк'!$A:$A,'2020'!$B434,'Территориальный кк'!F:F)</f>
        <v>1.2010000000000001</v>
      </c>
      <c r="T434" s="675">
        <f>SUMIF('Территориальный кк'!$A:$A,'2020'!$B434,'Территориальный кк'!G:G)</f>
        <v>2.4159999999999999</v>
      </c>
      <c r="U434" s="618">
        <f>SUMIFS(Нормативы!G:G,Нормативы!$B:$B,$G434,Нормативы!$D:$D,'2020'!$I434,Нормативы!$F:$F,'2020'!$K434)*O434</f>
        <v>44620</v>
      </c>
      <c r="V434" s="618">
        <f t="shared" si="1322"/>
        <v>34270.400000000001</v>
      </c>
      <c r="W434" s="618">
        <f t="shared" si="1323"/>
        <v>10349.6</v>
      </c>
      <c r="X434" s="618">
        <f>SUMIFS(Нормативы!J:J,Нормативы!$B:$B,$G434,Нормативы!$D:$D,'2020'!$I434,Нормативы!$F:$F,'2020'!$K434)</f>
        <v>1910</v>
      </c>
      <c r="Y434" s="618">
        <f>SUMIFS(Нормативы!K:K,Нормативы!$B:$B,$G434,Нормативы!$D:$D,'2020'!$I434,Нормативы!$F:$F,'2020'!$K434)</f>
        <v>382</v>
      </c>
      <c r="Z434" s="618">
        <f>SUMIFS(Нормативы!L:L,Нормативы!$B:$B,$G434,Нормативы!$D:$D,'2020'!$I434,Нормативы!$F:$F,'2020'!$K434)</f>
        <v>3970</v>
      </c>
      <c r="AA434" s="618">
        <f t="shared" si="1324"/>
        <v>17400</v>
      </c>
      <c r="AB434" s="618">
        <f>SUMIFS(Нормативы!N:N,Нормативы!$B:$B,$G434,Нормативы!$D:$D,'2020'!$I434,Нормативы!$F:$F,'2020'!$K434)*O434</f>
        <v>920</v>
      </c>
      <c r="AC434" s="618">
        <f>SUMIFS(Нормативы!O:O,Нормативы!$B:$B,$G434,Нормативы!$D:$D,'2020'!$I434,Нормативы!$F:$F,'2020'!$K434)</f>
        <v>9200</v>
      </c>
      <c r="AD434" s="618">
        <f>SUMIFS(Нормативы!P:P,Нормативы!$B:$B,$G434,Нормативы!$D:$D,'2020'!$I434,Нормативы!$F:$F,'2020'!$K434)*O434</f>
        <v>6540</v>
      </c>
      <c r="AE434" s="618">
        <f>SUMIFS(Нормативы!Q:Q,Нормативы!$B:$B,$G434,Нормативы!$D:$D,'2020'!$I434,Нормативы!$F:$F,'2020'!$K434)</f>
        <v>740</v>
      </c>
      <c r="AF434" s="618">
        <f>SUMIFS(Нормативы!R:R,Нормативы!$B:$B,$G434,Нормативы!$D:$D,'2020'!$I434,Нормативы!$F:$F,'2020'!$K434)</f>
        <v>2120</v>
      </c>
      <c r="AG434" s="618">
        <f>SUMIFS(Нормативы!S:S,Нормативы!$B:$B,$G434,Нормативы!$D:$D,'2020'!$I434,Нормативы!$F:$F,'2020'!$K434)</f>
        <v>8620</v>
      </c>
      <c r="AH434" s="618">
        <f>SUMIFS(Нормативы!T:T,Нормативы!$B:$B,$G434,Нормативы!$D:$D,'2020'!$I434,Нормативы!$F:$F,'2020'!$K434)</f>
        <v>310</v>
      </c>
      <c r="AI434" s="618">
        <f>SUMIFS(Нормативы!U:U,Нормативы!$B:$B,$G434,Нормативы!$D:$D,'2020'!$I434,Нормативы!$F:$F,'2020'!$K434)</f>
        <v>1240</v>
      </c>
      <c r="AJ434" s="618">
        <f>SUMIFS(Нормативы!V:V,Нормативы!$B:$B,$G434,Нормативы!$D:$D,'2020'!$I434,Нормативы!$F:$F,'2020'!$K434)</f>
        <v>50</v>
      </c>
      <c r="AK434" s="618">
        <f>SUMIFS(Нормативы!W:W,Нормативы!$B:$B,$G434,Нормативы!$D:$D,'2020'!$I434,Нормативы!$F:$F,'2020'!$K434)</f>
        <v>2570</v>
      </c>
      <c r="AL434" s="618">
        <f>SUMIFS(Нормативы!X:X,Нормативы!$B:$B,$G434,Нормативы!$D:$D,'2020'!$I434,Нормативы!$F:$F,'2020'!$K434)*O434</f>
        <v>35700</v>
      </c>
      <c r="AM434" s="618">
        <f t="shared" si="1325"/>
        <v>27419.4</v>
      </c>
      <c r="AN434" s="618">
        <f t="shared" si="1326"/>
        <v>8280.6</v>
      </c>
      <c r="AO434" s="618">
        <f>SUMIFS(Нормативы!AA:AA,Нормативы!$B:$B,$G434,Нормативы!$D:$D,'2020'!$I434,Нормативы!$F:$F,'2020'!$K434)</f>
        <v>650</v>
      </c>
      <c r="AP434" s="619">
        <f t="shared" si="1327"/>
        <v>119160</v>
      </c>
      <c r="AQ434" s="413">
        <f t="shared" si="1301"/>
        <v>89240</v>
      </c>
      <c r="AR434" s="618">
        <f t="shared" si="1247"/>
        <v>68540.7</v>
      </c>
      <c r="AS434" s="618">
        <f t="shared" si="1248"/>
        <v>20699.3</v>
      </c>
      <c r="AT434" s="616">
        <f t="shared" si="1302"/>
        <v>3820</v>
      </c>
      <c r="AU434" s="616">
        <f t="shared" si="1303"/>
        <v>764</v>
      </c>
      <c r="AV434" s="616">
        <f t="shared" si="1304"/>
        <v>7940</v>
      </c>
      <c r="AW434" s="616">
        <f t="shared" si="1305"/>
        <v>34800</v>
      </c>
      <c r="AX434" s="616">
        <f t="shared" si="1306"/>
        <v>1840</v>
      </c>
      <c r="AY434" s="616">
        <f t="shared" si="1307"/>
        <v>18400</v>
      </c>
      <c r="AZ434" s="616">
        <f t="shared" si="1308"/>
        <v>13080</v>
      </c>
      <c r="BA434" s="616">
        <f t="shared" si="1309"/>
        <v>1480</v>
      </c>
      <c r="BB434" s="616">
        <f t="shared" si="1310"/>
        <v>4240</v>
      </c>
      <c r="BC434" s="616">
        <f t="shared" si="1311"/>
        <v>17240</v>
      </c>
      <c r="BD434" s="616">
        <f t="shared" si="1312"/>
        <v>620</v>
      </c>
      <c r="BE434" s="616">
        <f t="shared" si="1313"/>
        <v>2480</v>
      </c>
      <c r="BF434" s="616">
        <f t="shared" si="1314"/>
        <v>100</v>
      </c>
      <c r="BG434" s="616">
        <f t="shared" si="1315"/>
        <v>5140</v>
      </c>
      <c r="BH434" s="616">
        <f t="shared" si="1316"/>
        <v>71400</v>
      </c>
      <c r="BI434" s="618">
        <f t="shared" si="1249"/>
        <v>54838.7</v>
      </c>
      <c r="BJ434" s="618">
        <f t="shared" si="1250"/>
        <v>16561.3</v>
      </c>
      <c r="BK434" s="616">
        <f t="shared" si="1251"/>
        <v>1300</v>
      </c>
      <c r="BL434" s="619">
        <f t="shared" si="1317"/>
        <v>238320</v>
      </c>
      <c r="BM434" s="616">
        <f t="shared" si="1318"/>
        <v>107177</v>
      </c>
      <c r="BN434" s="618">
        <f t="shared" si="1252"/>
        <v>82317.2</v>
      </c>
      <c r="BO434" s="618">
        <f t="shared" si="1253"/>
        <v>24859.8</v>
      </c>
      <c r="BP434" s="616">
        <f t="shared" si="1254"/>
        <v>3820</v>
      </c>
      <c r="BQ434" s="616">
        <f t="shared" si="1328"/>
        <v>764</v>
      </c>
      <c r="BR434" s="616">
        <f t="shared" si="1255"/>
        <v>7940</v>
      </c>
      <c r="BS434" s="616">
        <f t="shared" si="1256"/>
        <v>34800</v>
      </c>
      <c r="BT434" s="413"/>
      <c r="BU434" s="413"/>
      <c r="BV434" s="413"/>
      <c r="BW434" s="413"/>
      <c r="BX434" s="616">
        <f t="shared" si="1319"/>
        <v>10244</v>
      </c>
      <c r="BY434" s="616">
        <f t="shared" si="1261"/>
        <v>17240</v>
      </c>
      <c r="BZ434" s="616">
        <f t="shared" si="1262"/>
        <v>620</v>
      </c>
      <c r="CA434" s="616">
        <f t="shared" si="1263"/>
        <v>2480</v>
      </c>
      <c r="CB434" s="616">
        <f t="shared" si="1264"/>
        <v>100</v>
      </c>
      <c r="CC434" s="616">
        <f t="shared" si="1265"/>
        <v>5140</v>
      </c>
      <c r="CD434" s="616">
        <f t="shared" si="1320"/>
        <v>85751</v>
      </c>
      <c r="CE434" s="618">
        <f t="shared" si="1266"/>
        <v>65861</v>
      </c>
      <c r="CF434" s="618">
        <f t="shared" si="1267"/>
        <v>19890</v>
      </c>
      <c r="CG434" s="616">
        <f t="shared" si="1268"/>
        <v>1300</v>
      </c>
      <c r="CH434" s="619">
        <f t="shared" si="1321"/>
        <v>276612</v>
      </c>
      <c r="AUV434" s="699">
        <f t="shared" si="1184"/>
        <v>53588.5</v>
      </c>
      <c r="AUW434" s="699">
        <f t="shared" si="1185"/>
        <v>41158.6</v>
      </c>
      <c r="AUX434" s="699">
        <f t="shared" si="1186"/>
        <v>12429.9</v>
      </c>
      <c r="AUY434" s="699">
        <f t="shared" si="1329"/>
        <v>1910</v>
      </c>
      <c r="AUZ434" s="699">
        <f t="shared" si="1204"/>
        <v>316.23</v>
      </c>
      <c r="AVA434" s="699">
        <f t="shared" si="1204"/>
        <v>0.18</v>
      </c>
      <c r="AVB434" s="699">
        <f t="shared" si="1330"/>
        <v>0</v>
      </c>
      <c r="AVC434" s="699">
        <f t="shared" si="1331"/>
        <v>0</v>
      </c>
      <c r="AVD434" s="699">
        <f t="shared" si="1332"/>
        <v>0</v>
      </c>
      <c r="AVE434" s="699">
        <f t="shared" si="1333"/>
        <v>0</v>
      </c>
      <c r="AVF434" s="699">
        <f t="shared" si="1334"/>
        <v>0</v>
      </c>
      <c r="AVG434" s="699">
        <f t="shared" si="1335"/>
        <v>5122</v>
      </c>
      <c r="AVH434" s="699">
        <f t="shared" si="1336"/>
        <v>8620</v>
      </c>
      <c r="AVI434" s="699">
        <f t="shared" si="1337"/>
        <v>310</v>
      </c>
      <c r="AVJ434" s="699">
        <f t="shared" si="1338"/>
        <v>1240</v>
      </c>
      <c r="AVK434" s="699">
        <f t="shared" si="1339"/>
        <v>50</v>
      </c>
      <c r="AVL434" s="699">
        <f t="shared" si="1340"/>
        <v>2570</v>
      </c>
      <c r="AVM434" s="699">
        <f t="shared" si="1341"/>
        <v>42875.5</v>
      </c>
      <c r="AVN434" s="699">
        <f t="shared" si="1342"/>
        <v>32930.49</v>
      </c>
      <c r="AVO434" s="699">
        <f t="shared" si="1343"/>
        <v>9945.01</v>
      </c>
      <c r="AVP434" s="699">
        <f t="shared" si="1344"/>
        <v>650</v>
      </c>
      <c r="AVQ434" s="699">
        <f t="shared" si="1345"/>
        <v>138306</v>
      </c>
    </row>
    <row r="435" spans="1:86 1244:1265" ht="30" customHeight="1" x14ac:dyDescent="0.25">
      <c r="A435" s="643">
        <v>2</v>
      </c>
      <c r="B435" s="643">
        <v>27</v>
      </c>
      <c r="C435" s="643" t="s">
        <v>178</v>
      </c>
      <c r="D435" s="2"/>
      <c r="E435" s="2"/>
      <c r="F435" s="643" t="s">
        <v>40</v>
      </c>
      <c r="G435" s="643">
        <v>4</v>
      </c>
      <c r="H435" s="413" t="s">
        <v>10</v>
      </c>
      <c r="I435" s="643">
        <v>0</v>
      </c>
      <c r="J435" s="2" t="s">
        <v>410</v>
      </c>
      <c r="K435" s="643">
        <v>3</v>
      </c>
      <c r="L435" s="684"/>
      <c r="M435" s="3" t="s">
        <v>317</v>
      </c>
      <c r="N435" s="2" t="s">
        <v>411</v>
      </c>
      <c r="O435" s="643">
        <v>1</v>
      </c>
      <c r="P435" s="635">
        <v>132</v>
      </c>
      <c r="Q435" s="635">
        <v>132</v>
      </c>
      <c r="R435" s="635">
        <v>132</v>
      </c>
      <c r="S435" s="675">
        <f>SUMIF('Территориальный кк'!$A:$A,'2020'!$B435,'Территориальный кк'!F:F)</f>
        <v>1.385</v>
      </c>
      <c r="T435" s="675">
        <f>SUMIF('Территориальный кк'!$A:$A,'2020'!$B435,'Территориальный кк'!G:G)</f>
        <v>2.823</v>
      </c>
      <c r="U435" s="618">
        <f>SUMIFS(Нормативы!G:G,Нормативы!$B:$B,$G435,Нормативы!$D:$D,'2020'!$I435,Нормативы!$F:$F,'2020'!$K435)*O435</f>
        <v>22310</v>
      </c>
      <c r="V435" s="618">
        <f t="shared" si="1322"/>
        <v>17135.2</v>
      </c>
      <c r="W435" s="618">
        <f t="shared" si="1323"/>
        <v>5174.8</v>
      </c>
      <c r="X435" s="618">
        <f>SUMIFS(Нормативы!J:J,Нормативы!$B:$B,$G435,Нормативы!$D:$D,'2020'!$I435,Нормативы!$F:$F,'2020'!$K435)</f>
        <v>1910</v>
      </c>
      <c r="Y435" s="618">
        <f>SUMIFS(Нормативы!K:K,Нормативы!$B:$B,$G435,Нормативы!$D:$D,'2020'!$I435,Нормативы!$F:$F,'2020'!$K435)</f>
        <v>382</v>
      </c>
      <c r="Z435" s="618">
        <f>SUMIFS(Нормативы!L:L,Нормативы!$B:$B,$G435,Нормативы!$D:$D,'2020'!$I435,Нормативы!$F:$F,'2020'!$K435)</f>
        <v>3970</v>
      </c>
      <c r="AA435" s="618">
        <f t="shared" si="1324"/>
        <v>13670</v>
      </c>
      <c r="AB435" s="618">
        <f>SUMIFS(Нормативы!N:N,Нормативы!$B:$B,$G435,Нормативы!$D:$D,'2020'!$I435,Нормативы!$F:$F,'2020'!$K435)*O435</f>
        <v>460</v>
      </c>
      <c r="AC435" s="618">
        <f>SUMIFS(Нормативы!O:O,Нормативы!$B:$B,$G435,Нормативы!$D:$D,'2020'!$I435,Нормативы!$F:$F,'2020'!$K435)</f>
        <v>9200</v>
      </c>
      <c r="AD435" s="618">
        <f>SUMIFS(Нормативы!P:P,Нормативы!$B:$B,$G435,Нормативы!$D:$D,'2020'!$I435,Нормативы!$F:$F,'2020'!$K435)*O435</f>
        <v>3270</v>
      </c>
      <c r="AE435" s="618">
        <f>SUMIFS(Нормативы!Q:Q,Нормативы!$B:$B,$G435,Нормативы!$D:$D,'2020'!$I435,Нормативы!$F:$F,'2020'!$K435)</f>
        <v>740</v>
      </c>
      <c r="AF435" s="618">
        <f>SUMIFS(Нормативы!R:R,Нормативы!$B:$B,$G435,Нормативы!$D:$D,'2020'!$I435,Нормативы!$F:$F,'2020'!$K435)</f>
        <v>2120</v>
      </c>
      <c r="AG435" s="618">
        <f>SUMIFS(Нормативы!S:S,Нормативы!$B:$B,$G435,Нормативы!$D:$D,'2020'!$I435,Нормативы!$F:$F,'2020'!$K435)</f>
        <v>8620</v>
      </c>
      <c r="AH435" s="618">
        <f>SUMIFS(Нормативы!T:T,Нормативы!$B:$B,$G435,Нормативы!$D:$D,'2020'!$I435,Нормативы!$F:$F,'2020'!$K435)</f>
        <v>310</v>
      </c>
      <c r="AI435" s="618">
        <f>SUMIFS(Нормативы!U:U,Нормативы!$B:$B,$G435,Нормативы!$D:$D,'2020'!$I435,Нормативы!$F:$F,'2020'!$K435)</f>
        <v>1240</v>
      </c>
      <c r="AJ435" s="618">
        <f>SUMIFS(Нормативы!V:V,Нормативы!$B:$B,$G435,Нормативы!$D:$D,'2020'!$I435,Нормативы!$F:$F,'2020'!$K435)</f>
        <v>50</v>
      </c>
      <c r="AK435" s="618">
        <f>SUMIFS(Нормативы!W:W,Нормативы!$B:$B,$G435,Нормативы!$D:$D,'2020'!$I435,Нормативы!$F:$F,'2020'!$K435)</f>
        <v>2570</v>
      </c>
      <c r="AL435" s="618">
        <f>SUMIFS(Нормативы!X:X,Нормативы!$B:$B,$G435,Нормативы!$D:$D,'2020'!$I435,Нормативы!$F:$F,'2020'!$K435)*O435</f>
        <v>17850</v>
      </c>
      <c r="AM435" s="618">
        <f t="shared" si="1325"/>
        <v>13709.7</v>
      </c>
      <c r="AN435" s="618">
        <f t="shared" si="1326"/>
        <v>4140.3</v>
      </c>
      <c r="AO435" s="618">
        <f>SUMIFS(Нормативы!AA:AA,Нормативы!$B:$B,$G435,Нормативы!$D:$D,'2020'!$I435,Нормативы!$F:$F,'2020'!$K435)</f>
        <v>650</v>
      </c>
      <c r="AP435" s="619">
        <f t="shared" si="1327"/>
        <v>75270</v>
      </c>
      <c r="AQ435" s="413">
        <f t="shared" si="1301"/>
        <v>2944920</v>
      </c>
      <c r="AR435" s="618">
        <f t="shared" si="1247"/>
        <v>2261843.2999999998</v>
      </c>
      <c r="AS435" s="618">
        <f t="shared" si="1248"/>
        <v>683076.7</v>
      </c>
      <c r="AT435" s="616">
        <f t="shared" si="1302"/>
        <v>252120</v>
      </c>
      <c r="AU435" s="616">
        <f t="shared" si="1303"/>
        <v>50424</v>
      </c>
      <c r="AV435" s="616">
        <f t="shared" si="1304"/>
        <v>524040</v>
      </c>
      <c r="AW435" s="616">
        <f t="shared" si="1305"/>
        <v>1804440</v>
      </c>
      <c r="AX435" s="616">
        <f t="shared" si="1306"/>
        <v>60720</v>
      </c>
      <c r="AY435" s="616">
        <f t="shared" si="1307"/>
        <v>1214400</v>
      </c>
      <c r="AZ435" s="616">
        <f t="shared" si="1308"/>
        <v>431640</v>
      </c>
      <c r="BA435" s="616">
        <f t="shared" si="1309"/>
        <v>97680</v>
      </c>
      <c r="BB435" s="616">
        <f t="shared" si="1310"/>
        <v>279840</v>
      </c>
      <c r="BC435" s="616">
        <f t="shared" si="1311"/>
        <v>1137840</v>
      </c>
      <c r="BD435" s="616">
        <f t="shared" si="1312"/>
        <v>40920</v>
      </c>
      <c r="BE435" s="616">
        <f t="shared" si="1313"/>
        <v>163680</v>
      </c>
      <c r="BF435" s="616">
        <f t="shared" si="1314"/>
        <v>6600</v>
      </c>
      <c r="BG435" s="616">
        <f t="shared" si="1315"/>
        <v>339240</v>
      </c>
      <c r="BH435" s="616">
        <f t="shared" si="1316"/>
        <v>2356200</v>
      </c>
      <c r="BI435" s="618">
        <f t="shared" si="1249"/>
        <v>1809677.4</v>
      </c>
      <c r="BJ435" s="618">
        <f t="shared" si="1250"/>
        <v>546522.6</v>
      </c>
      <c r="BK435" s="616">
        <f t="shared" si="1251"/>
        <v>85800</v>
      </c>
      <c r="BL435" s="619">
        <f t="shared" si="1317"/>
        <v>9935640</v>
      </c>
      <c r="BM435" s="616">
        <f t="shared" si="1318"/>
        <v>4078714</v>
      </c>
      <c r="BN435" s="618">
        <f t="shared" si="1252"/>
        <v>3132652.8</v>
      </c>
      <c r="BO435" s="618">
        <f t="shared" si="1253"/>
        <v>946061.2</v>
      </c>
      <c r="BP435" s="616">
        <f t="shared" si="1254"/>
        <v>252120</v>
      </c>
      <c r="BQ435" s="616">
        <f t="shared" si="1328"/>
        <v>50424</v>
      </c>
      <c r="BR435" s="616">
        <f t="shared" si="1255"/>
        <v>524040</v>
      </c>
      <c r="BS435" s="616">
        <f t="shared" si="1256"/>
        <v>1804440</v>
      </c>
      <c r="BT435" s="413"/>
      <c r="BU435" s="413"/>
      <c r="BV435" s="413"/>
      <c r="BW435" s="413"/>
      <c r="BX435" s="616">
        <f t="shared" si="1319"/>
        <v>789988</v>
      </c>
      <c r="BY435" s="616">
        <f t="shared" si="1261"/>
        <v>1137840</v>
      </c>
      <c r="BZ435" s="616">
        <f t="shared" si="1262"/>
        <v>40920</v>
      </c>
      <c r="CA435" s="616">
        <f t="shared" si="1263"/>
        <v>163680</v>
      </c>
      <c r="CB435" s="616">
        <f t="shared" si="1264"/>
        <v>6600</v>
      </c>
      <c r="CC435" s="616">
        <f t="shared" si="1265"/>
        <v>339240</v>
      </c>
      <c r="CD435" s="616">
        <f t="shared" si="1320"/>
        <v>3263337</v>
      </c>
      <c r="CE435" s="618">
        <f t="shared" si="1266"/>
        <v>2506403.2000000002</v>
      </c>
      <c r="CF435" s="618">
        <f t="shared" si="1267"/>
        <v>756933.8</v>
      </c>
      <c r="CG435" s="616">
        <f t="shared" si="1268"/>
        <v>85800</v>
      </c>
      <c r="CH435" s="619">
        <f t="shared" si="1321"/>
        <v>12486719</v>
      </c>
      <c r="AUV435" s="699">
        <f t="shared" si="1184"/>
        <v>30899.35</v>
      </c>
      <c r="AUW435" s="699">
        <f t="shared" si="1185"/>
        <v>23732.22</v>
      </c>
      <c r="AUX435" s="699">
        <f t="shared" si="1186"/>
        <v>7167.13</v>
      </c>
      <c r="AUY435" s="699">
        <f t="shared" si="1329"/>
        <v>1910</v>
      </c>
      <c r="AUZ435" s="699">
        <f t="shared" si="1204"/>
        <v>17861.849999999999</v>
      </c>
      <c r="AVA435" s="699">
        <f t="shared" si="1204"/>
        <v>23.49</v>
      </c>
      <c r="AVB435" s="699">
        <f t="shared" si="1330"/>
        <v>0</v>
      </c>
      <c r="AVC435" s="699">
        <f t="shared" si="1331"/>
        <v>0</v>
      </c>
      <c r="AVD435" s="699">
        <f t="shared" si="1332"/>
        <v>0</v>
      </c>
      <c r="AVE435" s="699">
        <f t="shared" si="1333"/>
        <v>0</v>
      </c>
      <c r="AVF435" s="699">
        <f t="shared" si="1334"/>
        <v>0</v>
      </c>
      <c r="AVG435" s="699">
        <f t="shared" si="1335"/>
        <v>5984.76</v>
      </c>
      <c r="AVH435" s="699">
        <f t="shared" si="1336"/>
        <v>8620</v>
      </c>
      <c r="AVI435" s="699">
        <f t="shared" si="1337"/>
        <v>310</v>
      </c>
      <c r="AVJ435" s="699">
        <f t="shared" si="1338"/>
        <v>1240</v>
      </c>
      <c r="AVK435" s="699">
        <f t="shared" si="1339"/>
        <v>50</v>
      </c>
      <c r="AVL435" s="699">
        <f t="shared" si="1340"/>
        <v>2570</v>
      </c>
      <c r="AVM435" s="699">
        <f t="shared" si="1341"/>
        <v>24722.25</v>
      </c>
      <c r="AVN435" s="699">
        <f t="shared" si="1342"/>
        <v>18987.900000000001</v>
      </c>
      <c r="AVO435" s="699">
        <f t="shared" si="1343"/>
        <v>5734.35</v>
      </c>
      <c r="AVP435" s="699">
        <f t="shared" si="1344"/>
        <v>650</v>
      </c>
      <c r="AVQ435" s="699">
        <f t="shared" si="1345"/>
        <v>94596.36</v>
      </c>
    </row>
    <row r="436" spans="1:86 1244:1265" ht="30" customHeight="1" x14ac:dyDescent="0.25">
      <c r="A436" s="643">
        <v>2</v>
      </c>
      <c r="B436" s="643">
        <v>28</v>
      </c>
      <c r="C436" s="643" t="s">
        <v>415</v>
      </c>
      <c r="D436" s="2"/>
      <c r="E436" s="2"/>
      <c r="F436" s="643" t="s">
        <v>40</v>
      </c>
      <c r="G436" s="643">
        <v>4</v>
      </c>
      <c r="H436" s="413" t="s">
        <v>10</v>
      </c>
      <c r="I436" s="643">
        <v>0</v>
      </c>
      <c r="J436" s="2" t="s">
        <v>410</v>
      </c>
      <c r="K436" s="643">
        <v>3</v>
      </c>
      <c r="L436" s="684"/>
      <c r="M436" s="3" t="s">
        <v>317</v>
      </c>
      <c r="N436" s="2" t="s">
        <v>411</v>
      </c>
      <c r="O436" s="643">
        <v>1</v>
      </c>
      <c r="P436" s="635">
        <v>127</v>
      </c>
      <c r="Q436" s="635">
        <v>127</v>
      </c>
      <c r="R436" s="635">
        <v>127</v>
      </c>
      <c r="S436" s="675">
        <f>SUMIF('Территориальный кк'!$A:$A,'2020'!$B436,'Территориальный кк'!F:F)</f>
        <v>1.7509999999999999</v>
      </c>
      <c r="T436" s="675">
        <f>SUMIF('Территориальный кк'!$A:$A,'2020'!$B436,'Территориальный кк'!G:G)</f>
        <v>4.806</v>
      </c>
      <c r="U436" s="618">
        <f>SUMIFS(Нормативы!G:G,Нормативы!$B:$B,$G436,Нормативы!$D:$D,'2020'!$I436,Нормативы!$F:$F,'2020'!$K436)*O436</f>
        <v>22310</v>
      </c>
      <c r="V436" s="618">
        <f t="shared" si="1322"/>
        <v>17135.2</v>
      </c>
      <c r="W436" s="618">
        <f t="shared" si="1323"/>
        <v>5174.8</v>
      </c>
      <c r="X436" s="618">
        <f>SUMIFS(Нормативы!J:J,Нормативы!$B:$B,$G436,Нормативы!$D:$D,'2020'!$I436,Нормативы!$F:$F,'2020'!$K436)</f>
        <v>1910</v>
      </c>
      <c r="Y436" s="618">
        <f>SUMIFS(Нормативы!K:K,Нормативы!$B:$B,$G436,Нормативы!$D:$D,'2020'!$I436,Нормативы!$F:$F,'2020'!$K436)</f>
        <v>382</v>
      </c>
      <c r="Z436" s="618">
        <f>SUMIFS(Нормативы!L:L,Нормативы!$B:$B,$G436,Нормативы!$D:$D,'2020'!$I436,Нормативы!$F:$F,'2020'!$K436)</f>
        <v>3970</v>
      </c>
      <c r="AA436" s="618">
        <f t="shared" si="1324"/>
        <v>13670</v>
      </c>
      <c r="AB436" s="618">
        <f>SUMIFS(Нормативы!N:N,Нормативы!$B:$B,$G436,Нормативы!$D:$D,'2020'!$I436,Нормативы!$F:$F,'2020'!$K436)*O436</f>
        <v>460</v>
      </c>
      <c r="AC436" s="618">
        <f>SUMIFS(Нормативы!O:O,Нормативы!$B:$B,$G436,Нормативы!$D:$D,'2020'!$I436,Нормативы!$F:$F,'2020'!$K436)</f>
        <v>9200</v>
      </c>
      <c r="AD436" s="618">
        <f>SUMIFS(Нормативы!P:P,Нормативы!$B:$B,$G436,Нормативы!$D:$D,'2020'!$I436,Нормативы!$F:$F,'2020'!$K436)*O436</f>
        <v>3270</v>
      </c>
      <c r="AE436" s="618">
        <f>SUMIFS(Нормативы!Q:Q,Нормативы!$B:$B,$G436,Нормативы!$D:$D,'2020'!$I436,Нормативы!$F:$F,'2020'!$K436)</f>
        <v>740</v>
      </c>
      <c r="AF436" s="618">
        <f>SUMIFS(Нормативы!R:R,Нормативы!$B:$B,$G436,Нормативы!$D:$D,'2020'!$I436,Нормативы!$F:$F,'2020'!$K436)</f>
        <v>2120</v>
      </c>
      <c r="AG436" s="618">
        <f>SUMIFS(Нормативы!S:S,Нормативы!$B:$B,$G436,Нормативы!$D:$D,'2020'!$I436,Нормативы!$F:$F,'2020'!$K436)</f>
        <v>8620</v>
      </c>
      <c r="AH436" s="618">
        <f>SUMIFS(Нормативы!T:T,Нормативы!$B:$B,$G436,Нормативы!$D:$D,'2020'!$I436,Нормативы!$F:$F,'2020'!$K436)</f>
        <v>310</v>
      </c>
      <c r="AI436" s="618">
        <f>SUMIFS(Нормативы!U:U,Нормативы!$B:$B,$G436,Нормативы!$D:$D,'2020'!$I436,Нормативы!$F:$F,'2020'!$K436)</f>
        <v>1240</v>
      </c>
      <c r="AJ436" s="618">
        <f>SUMIFS(Нормативы!V:V,Нормативы!$B:$B,$G436,Нормативы!$D:$D,'2020'!$I436,Нормативы!$F:$F,'2020'!$K436)</f>
        <v>50</v>
      </c>
      <c r="AK436" s="618">
        <f>SUMIFS(Нормативы!W:W,Нормативы!$B:$B,$G436,Нормативы!$D:$D,'2020'!$I436,Нормативы!$F:$F,'2020'!$K436)</f>
        <v>2570</v>
      </c>
      <c r="AL436" s="618">
        <f>SUMIFS(Нормативы!X:X,Нормативы!$B:$B,$G436,Нормативы!$D:$D,'2020'!$I436,Нормативы!$F:$F,'2020'!$K436)*O436</f>
        <v>17850</v>
      </c>
      <c r="AM436" s="618">
        <f t="shared" si="1325"/>
        <v>13709.7</v>
      </c>
      <c r="AN436" s="618">
        <f t="shared" si="1326"/>
        <v>4140.3</v>
      </c>
      <c r="AO436" s="618">
        <f>SUMIFS(Нормативы!AA:AA,Нормативы!$B:$B,$G436,Нормативы!$D:$D,'2020'!$I436,Нормативы!$F:$F,'2020'!$K436)</f>
        <v>650</v>
      </c>
      <c r="AP436" s="619">
        <f t="shared" si="1327"/>
        <v>75270</v>
      </c>
      <c r="AQ436" s="413">
        <f t="shared" si="1301"/>
        <v>2833370</v>
      </c>
      <c r="AR436" s="618">
        <f t="shared" si="1247"/>
        <v>2176167.4</v>
      </c>
      <c r="AS436" s="618">
        <f t="shared" si="1248"/>
        <v>657202.6</v>
      </c>
      <c r="AT436" s="616">
        <f t="shared" si="1302"/>
        <v>242570</v>
      </c>
      <c r="AU436" s="616">
        <f t="shared" si="1303"/>
        <v>48514</v>
      </c>
      <c r="AV436" s="616">
        <f t="shared" si="1304"/>
        <v>504190</v>
      </c>
      <c r="AW436" s="616">
        <f t="shared" si="1305"/>
        <v>1736090</v>
      </c>
      <c r="AX436" s="616">
        <f t="shared" si="1306"/>
        <v>58420</v>
      </c>
      <c r="AY436" s="616">
        <f t="shared" si="1307"/>
        <v>1168400</v>
      </c>
      <c r="AZ436" s="616">
        <f t="shared" si="1308"/>
        <v>415290</v>
      </c>
      <c r="BA436" s="616">
        <f t="shared" si="1309"/>
        <v>93980</v>
      </c>
      <c r="BB436" s="616">
        <f t="shared" si="1310"/>
        <v>269240</v>
      </c>
      <c r="BC436" s="616">
        <f t="shared" si="1311"/>
        <v>1094740</v>
      </c>
      <c r="BD436" s="616">
        <f t="shared" si="1312"/>
        <v>39370</v>
      </c>
      <c r="BE436" s="616">
        <f t="shared" si="1313"/>
        <v>157480</v>
      </c>
      <c r="BF436" s="616">
        <f t="shared" si="1314"/>
        <v>6350</v>
      </c>
      <c r="BG436" s="616">
        <f t="shared" si="1315"/>
        <v>326390</v>
      </c>
      <c r="BH436" s="616">
        <f t="shared" si="1316"/>
        <v>2266950</v>
      </c>
      <c r="BI436" s="618">
        <f t="shared" si="1249"/>
        <v>1741129</v>
      </c>
      <c r="BJ436" s="618">
        <f t="shared" si="1250"/>
        <v>525821</v>
      </c>
      <c r="BK436" s="616">
        <f t="shared" si="1251"/>
        <v>82550</v>
      </c>
      <c r="BL436" s="619">
        <f t="shared" si="1317"/>
        <v>9559290</v>
      </c>
      <c r="BM436" s="616">
        <f t="shared" si="1318"/>
        <v>4961231</v>
      </c>
      <c r="BN436" s="618">
        <f t="shared" si="1252"/>
        <v>3810469.3</v>
      </c>
      <c r="BO436" s="618">
        <f t="shared" si="1253"/>
        <v>1150761.7</v>
      </c>
      <c r="BP436" s="616">
        <f t="shared" si="1254"/>
        <v>242570</v>
      </c>
      <c r="BQ436" s="616">
        <f t="shared" si="1328"/>
        <v>48514</v>
      </c>
      <c r="BR436" s="616">
        <f t="shared" si="1255"/>
        <v>504190</v>
      </c>
      <c r="BS436" s="616">
        <f t="shared" si="1256"/>
        <v>1736090</v>
      </c>
      <c r="BT436" s="413"/>
      <c r="BU436" s="413"/>
      <c r="BV436" s="413"/>
      <c r="BW436" s="413"/>
      <c r="BX436" s="616">
        <f t="shared" si="1319"/>
        <v>1293967</v>
      </c>
      <c r="BY436" s="616">
        <f t="shared" si="1261"/>
        <v>1094740</v>
      </c>
      <c r="BZ436" s="616">
        <f t="shared" si="1262"/>
        <v>39370</v>
      </c>
      <c r="CA436" s="616">
        <f t="shared" si="1263"/>
        <v>157480</v>
      </c>
      <c r="CB436" s="616">
        <f t="shared" si="1264"/>
        <v>6350</v>
      </c>
      <c r="CC436" s="616">
        <f t="shared" si="1265"/>
        <v>326390</v>
      </c>
      <c r="CD436" s="616">
        <f t="shared" si="1320"/>
        <v>3969429</v>
      </c>
      <c r="CE436" s="618">
        <f t="shared" si="1266"/>
        <v>3048716.6</v>
      </c>
      <c r="CF436" s="618">
        <f t="shared" si="1267"/>
        <v>920712.4</v>
      </c>
      <c r="CG436" s="616">
        <f t="shared" si="1268"/>
        <v>82550</v>
      </c>
      <c r="CH436" s="619">
        <f t="shared" si="1321"/>
        <v>14414357</v>
      </c>
      <c r="AUV436" s="699">
        <f t="shared" si="1184"/>
        <v>39064.81</v>
      </c>
      <c r="AUW436" s="699">
        <f t="shared" si="1185"/>
        <v>30003.69</v>
      </c>
      <c r="AUX436" s="699">
        <f t="shared" si="1186"/>
        <v>9061.1200000000008</v>
      </c>
      <c r="AUY436" s="699">
        <f t="shared" si="1329"/>
        <v>1910</v>
      </c>
      <c r="AUZ436" s="699">
        <f t="shared" si="1204"/>
        <v>10094.469999999999</v>
      </c>
      <c r="AVA436" s="699">
        <f t="shared" si="1204"/>
        <v>22.6</v>
      </c>
      <c r="AVB436" s="699">
        <f t="shared" si="1330"/>
        <v>0</v>
      </c>
      <c r="AVC436" s="699">
        <f t="shared" si="1331"/>
        <v>0</v>
      </c>
      <c r="AVD436" s="699">
        <f t="shared" si="1332"/>
        <v>0</v>
      </c>
      <c r="AVE436" s="699">
        <f t="shared" si="1333"/>
        <v>0</v>
      </c>
      <c r="AVF436" s="699">
        <f t="shared" si="1334"/>
        <v>0</v>
      </c>
      <c r="AVG436" s="699">
        <f t="shared" si="1335"/>
        <v>10188.719999999999</v>
      </c>
      <c r="AVH436" s="699">
        <f t="shared" si="1336"/>
        <v>8620</v>
      </c>
      <c r="AVI436" s="699">
        <f t="shared" si="1337"/>
        <v>310</v>
      </c>
      <c r="AVJ436" s="699">
        <f t="shared" si="1338"/>
        <v>1240</v>
      </c>
      <c r="AVK436" s="699">
        <f t="shared" si="1339"/>
        <v>50</v>
      </c>
      <c r="AVL436" s="699">
        <f t="shared" si="1340"/>
        <v>2570</v>
      </c>
      <c r="AVM436" s="699">
        <f t="shared" si="1341"/>
        <v>31255.35</v>
      </c>
      <c r="AVN436" s="699">
        <f t="shared" si="1342"/>
        <v>24005.65</v>
      </c>
      <c r="AVO436" s="699">
        <f t="shared" si="1343"/>
        <v>7249.7</v>
      </c>
      <c r="AVP436" s="699">
        <f t="shared" si="1344"/>
        <v>650</v>
      </c>
      <c r="AVQ436" s="699">
        <f t="shared" si="1345"/>
        <v>113498.87</v>
      </c>
    </row>
    <row r="437" spans="1:86 1244:1265" ht="30" customHeight="1" x14ac:dyDescent="0.25">
      <c r="A437" s="643">
        <v>2</v>
      </c>
      <c r="B437" s="643">
        <v>23</v>
      </c>
      <c r="C437" s="643" t="s">
        <v>416</v>
      </c>
      <c r="D437" s="2"/>
      <c r="E437" s="2"/>
      <c r="F437" s="643" t="s">
        <v>40</v>
      </c>
      <c r="G437" s="643">
        <v>4</v>
      </c>
      <c r="H437" s="413" t="s">
        <v>10</v>
      </c>
      <c r="I437" s="643">
        <v>0</v>
      </c>
      <c r="J437" s="2" t="s">
        <v>410</v>
      </c>
      <c r="K437" s="643">
        <v>3</v>
      </c>
      <c r="L437" s="684"/>
      <c r="M437" s="3" t="s">
        <v>317</v>
      </c>
      <c r="N437" s="2" t="s">
        <v>411</v>
      </c>
      <c r="O437" s="643">
        <v>1</v>
      </c>
      <c r="P437" s="635">
        <v>112</v>
      </c>
      <c r="Q437" s="635">
        <v>112</v>
      </c>
      <c r="R437" s="635">
        <v>112</v>
      </c>
      <c r="S437" s="675">
        <f>SUMIF('Территориальный кк'!$A:$A,'2020'!$B437,'Территориальный кк'!F:F)</f>
        <v>1.4379999999999999</v>
      </c>
      <c r="T437" s="675">
        <f>SUMIF('Территориальный кк'!$A:$A,'2020'!$B437,'Территориальный кк'!G:G)</f>
        <v>2.3140000000000001</v>
      </c>
      <c r="U437" s="618">
        <f>SUMIFS(Нормативы!G:G,Нормативы!$B:$B,$G437,Нормативы!$D:$D,'2020'!$I437,Нормативы!$F:$F,'2020'!$K437)*O437</f>
        <v>22310</v>
      </c>
      <c r="V437" s="618">
        <f t="shared" si="1322"/>
        <v>17135.2</v>
      </c>
      <c r="W437" s="618">
        <f t="shared" si="1323"/>
        <v>5174.8</v>
      </c>
      <c r="X437" s="618">
        <f>SUMIFS(Нормативы!J:J,Нормативы!$B:$B,$G437,Нормативы!$D:$D,'2020'!$I437,Нормативы!$F:$F,'2020'!$K437)</f>
        <v>1910</v>
      </c>
      <c r="Y437" s="618">
        <f>SUMIFS(Нормативы!K:K,Нормативы!$B:$B,$G437,Нормативы!$D:$D,'2020'!$I437,Нормативы!$F:$F,'2020'!$K437)</f>
        <v>382</v>
      </c>
      <c r="Z437" s="618">
        <f>SUMIFS(Нормативы!L:L,Нормативы!$B:$B,$G437,Нормативы!$D:$D,'2020'!$I437,Нормативы!$F:$F,'2020'!$K437)</f>
        <v>3970</v>
      </c>
      <c r="AA437" s="618">
        <f t="shared" si="1324"/>
        <v>13670</v>
      </c>
      <c r="AB437" s="618">
        <f>SUMIFS(Нормативы!N:N,Нормативы!$B:$B,$G437,Нормативы!$D:$D,'2020'!$I437,Нормативы!$F:$F,'2020'!$K437)*O437</f>
        <v>460</v>
      </c>
      <c r="AC437" s="618">
        <f>SUMIFS(Нормативы!O:O,Нормативы!$B:$B,$G437,Нормативы!$D:$D,'2020'!$I437,Нормативы!$F:$F,'2020'!$K437)</f>
        <v>9200</v>
      </c>
      <c r="AD437" s="618">
        <f>SUMIFS(Нормативы!P:P,Нормативы!$B:$B,$G437,Нормативы!$D:$D,'2020'!$I437,Нормативы!$F:$F,'2020'!$K437)*O437</f>
        <v>3270</v>
      </c>
      <c r="AE437" s="618">
        <f>SUMIFS(Нормативы!Q:Q,Нормативы!$B:$B,$G437,Нормативы!$D:$D,'2020'!$I437,Нормативы!$F:$F,'2020'!$K437)</f>
        <v>740</v>
      </c>
      <c r="AF437" s="618">
        <f>SUMIFS(Нормативы!R:R,Нормативы!$B:$B,$G437,Нормативы!$D:$D,'2020'!$I437,Нормативы!$F:$F,'2020'!$K437)</f>
        <v>2120</v>
      </c>
      <c r="AG437" s="618">
        <f>SUMIFS(Нормативы!S:S,Нормативы!$B:$B,$G437,Нормативы!$D:$D,'2020'!$I437,Нормативы!$F:$F,'2020'!$K437)</f>
        <v>8620</v>
      </c>
      <c r="AH437" s="618">
        <f>SUMIFS(Нормативы!T:T,Нормативы!$B:$B,$G437,Нормативы!$D:$D,'2020'!$I437,Нормативы!$F:$F,'2020'!$K437)</f>
        <v>310</v>
      </c>
      <c r="AI437" s="618">
        <f>SUMIFS(Нормативы!U:U,Нормативы!$B:$B,$G437,Нормативы!$D:$D,'2020'!$I437,Нормативы!$F:$F,'2020'!$K437)</f>
        <v>1240</v>
      </c>
      <c r="AJ437" s="618">
        <f>SUMIFS(Нормативы!V:V,Нормативы!$B:$B,$G437,Нормативы!$D:$D,'2020'!$I437,Нормативы!$F:$F,'2020'!$K437)</f>
        <v>50</v>
      </c>
      <c r="AK437" s="618">
        <f>SUMIFS(Нормативы!W:W,Нормативы!$B:$B,$G437,Нормативы!$D:$D,'2020'!$I437,Нормативы!$F:$F,'2020'!$K437)</f>
        <v>2570</v>
      </c>
      <c r="AL437" s="618">
        <f>SUMIFS(Нормативы!X:X,Нормативы!$B:$B,$G437,Нормативы!$D:$D,'2020'!$I437,Нормативы!$F:$F,'2020'!$K437)*O437</f>
        <v>17850</v>
      </c>
      <c r="AM437" s="618">
        <f t="shared" si="1325"/>
        <v>13709.7</v>
      </c>
      <c r="AN437" s="618">
        <f t="shared" si="1326"/>
        <v>4140.3</v>
      </c>
      <c r="AO437" s="618">
        <f>SUMIFS(Нормативы!AA:AA,Нормативы!$B:$B,$G437,Нормативы!$D:$D,'2020'!$I437,Нормативы!$F:$F,'2020'!$K437)</f>
        <v>650</v>
      </c>
      <c r="AP437" s="619">
        <f t="shared" si="1327"/>
        <v>75270</v>
      </c>
      <c r="AQ437" s="413">
        <f t="shared" si="1301"/>
        <v>2498720</v>
      </c>
      <c r="AR437" s="618">
        <f t="shared" si="1247"/>
        <v>1919139.8</v>
      </c>
      <c r="AS437" s="618">
        <f t="shared" si="1248"/>
        <v>579580.19999999995</v>
      </c>
      <c r="AT437" s="616">
        <f t="shared" si="1302"/>
        <v>213920</v>
      </c>
      <c r="AU437" s="616">
        <f t="shared" si="1303"/>
        <v>42784</v>
      </c>
      <c r="AV437" s="616">
        <f t="shared" si="1304"/>
        <v>444640</v>
      </c>
      <c r="AW437" s="616">
        <f t="shared" si="1305"/>
        <v>1531040</v>
      </c>
      <c r="AX437" s="616">
        <f t="shared" si="1306"/>
        <v>51520</v>
      </c>
      <c r="AY437" s="616">
        <f t="shared" si="1307"/>
        <v>1030400</v>
      </c>
      <c r="AZ437" s="616">
        <f t="shared" si="1308"/>
        <v>366240</v>
      </c>
      <c r="BA437" s="616">
        <f t="shared" si="1309"/>
        <v>82880</v>
      </c>
      <c r="BB437" s="616">
        <f t="shared" si="1310"/>
        <v>237440</v>
      </c>
      <c r="BC437" s="616">
        <f t="shared" si="1311"/>
        <v>965440</v>
      </c>
      <c r="BD437" s="616">
        <f t="shared" si="1312"/>
        <v>34720</v>
      </c>
      <c r="BE437" s="616">
        <f t="shared" si="1313"/>
        <v>138880</v>
      </c>
      <c r="BF437" s="616">
        <f t="shared" si="1314"/>
        <v>5600</v>
      </c>
      <c r="BG437" s="616">
        <f t="shared" si="1315"/>
        <v>287840</v>
      </c>
      <c r="BH437" s="616">
        <f t="shared" si="1316"/>
        <v>1999200</v>
      </c>
      <c r="BI437" s="618">
        <f t="shared" si="1249"/>
        <v>1535483.9</v>
      </c>
      <c r="BJ437" s="618">
        <f t="shared" si="1250"/>
        <v>463716.1</v>
      </c>
      <c r="BK437" s="616">
        <f t="shared" si="1251"/>
        <v>72800</v>
      </c>
      <c r="BL437" s="619">
        <f t="shared" si="1317"/>
        <v>8430240</v>
      </c>
      <c r="BM437" s="616">
        <f t="shared" si="1318"/>
        <v>3593159</v>
      </c>
      <c r="BN437" s="618">
        <f t="shared" si="1252"/>
        <v>2759722.7</v>
      </c>
      <c r="BO437" s="618">
        <f t="shared" si="1253"/>
        <v>833436.3</v>
      </c>
      <c r="BP437" s="616">
        <f t="shared" si="1254"/>
        <v>213920</v>
      </c>
      <c r="BQ437" s="616">
        <f t="shared" si="1328"/>
        <v>42784</v>
      </c>
      <c r="BR437" s="616">
        <f t="shared" si="1255"/>
        <v>444640</v>
      </c>
      <c r="BS437" s="616">
        <f t="shared" si="1256"/>
        <v>1531040</v>
      </c>
      <c r="BT437" s="413"/>
      <c r="BU437" s="413"/>
      <c r="BV437" s="413"/>
      <c r="BW437" s="413"/>
      <c r="BX437" s="616">
        <f t="shared" si="1319"/>
        <v>549436</v>
      </c>
      <c r="BY437" s="616">
        <f t="shared" si="1261"/>
        <v>965440</v>
      </c>
      <c r="BZ437" s="616">
        <f t="shared" si="1262"/>
        <v>34720</v>
      </c>
      <c r="CA437" s="616">
        <f t="shared" si="1263"/>
        <v>138880</v>
      </c>
      <c r="CB437" s="616">
        <f t="shared" si="1264"/>
        <v>5600</v>
      </c>
      <c r="CC437" s="616">
        <f t="shared" si="1265"/>
        <v>287840</v>
      </c>
      <c r="CD437" s="616">
        <f t="shared" si="1320"/>
        <v>2874850</v>
      </c>
      <c r="CE437" s="618">
        <f t="shared" si="1266"/>
        <v>2208026.1</v>
      </c>
      <c r="CF437" s="618">
        <f t="shared" si="1267"/>
        <v>666823.9</v>
      </c>
      <c r="CG437" s="616">
        <f t="shared" si="1268"/>
        <v>72800</v>
      </c>
      <c r="CH437" s="619">
        <f t="shared" si="1321"/>
        <v>10712325</v>
      </c>
      <c r="AUV437" s="699">
        <f t="shared" si="1184"/>
        <v>32081.78</v>
      </c>
      <c r="AUW437" s="699">
        <f t="shared" si="1185"/>
        <v>24640.38</v>
      </c>
      <c r="AUX437" s="699">
        <f t="shared" si="1186"/>
        <v>7441.4</v>
      </c>
      <c r="AUY437" s="699">
        <f t="shared" si="1329"/>
        <v>1910</v>
      </c>
      <c r="AUZ437" s="699">
        <f t="shared" si="1204"/>
        <v>18489.2</v>
      </c>
      <c r="AVA437" s="699">
        <f t="shared" si="1204"/>
        <v>19.93</v>
      </c>
      <c r="AVB437" s="699">
        <f t="shared" si="1330"/>
        <v>0</v>
      </c>
      <c r="AVC437" s="699">
        <f t="shared" si="1331"/>
        <v>0</v>
      </c>
      <c r="AVD437" s="699">
        <f t="shared" si="1332"/>
        <v>0</v>
      </c>
      <c r="AVE437" s="699">
        <f t="shared" si="1333"/>
        <v>0</v>
      </c>
      <c r="AVF437" s="699">
        <f t="shared" si="1334"/>
        <v>0</v>
      </c>
      <c r="AVG437" s="699">
        <f t="shared" si="1335"/>
        <v>4905.68</v>
      </c>
      <c r="AVH437" s="699">
        <f t="shared" si="1336"/>
        <v>8620</v>
      </c>
      <c r="AVI437" s="699">
        <f t="shared" si="1337"/>
        <v>310</v>
      </c>
      <c r="AVJ437" s="699">
        <f t="shared" si="1338"/>
        <v>1240</v>
      </c>
      <c r="AVK437" s="699">
        <f t="shared" si="1339"/>
        <v>50</v>
      </c>
      <c r="AVL437" s="699">
        <f t="shared" si="1340"/>
        <v>2570</v>
      </c>
      <c r="AVM437" s="699">
        <f t="shared" si="1341"/>
        <v>25668.3</v>
      </c>
      <c r="AVN437" s="699">
        <f t="shared" si="1342"/>
        <v>19714.52</v>
      </c>
      <c r="AVO437" s="699">
        <f t="shared" si="1343"/>
        <v>5953.78</v>
      </c>
      <c r="AVP437" s="699">
        <f t="shared" si="1344"/>
        <v>650</v>
      </c>
      <c r="AVQ437" s="699">
        <f t="shared" si="1345"/>
        <v>95645.759999999995</v>
      </c>
    </row>
    <row r="438" spans="1:86 1244:1265" ht="30" customHeight="1" x14ac:dyDescent="0.25">
      <c r="A438" s="643">
        <v>2</v>
      </c>
      <c r="B438" s="643">
        <v>29</v>
      </c>
      <c r="C438" s="643" t="s">
        <v>180</v>
      </c>
      <c r="D438" s="2"/>
      <c r="E438" s="2"/>
      <c r="F438" s="643" t="s">
        <v>40</v>
      </c>
      <c r="G438" s="643">
        <v>4</v>
      </c>
      <c r="H438" s="413" t="s">
        <v>10</v>
      </c>
      <c r="I438" s="643">
        <v>0</v>
      </c>
      <c r="J438" s="2" t="s">
        <v>410</v>
      </c>
      <c r="K438" s="643">
        <v>3</v>
      </c>
      <c r="L438" s="684"/>
      <c r="M438" s="3" t="s">
        <v>317</v>
      </c>
      <c r="N438" s="2" t="s">
        <v>411</v>
      </c>
      <c r="O438" s="643">
        <v>1</v>
      </c>
      <c r="P438" s="635">
        <v>119</v>
      </c>
      <c r="Q438" s="635">
        <v>119</v>
      </c>
      <c r="R438" s="635">
        <v>119</v>
      </c>
      <c r="S438" s="675">
        <f>SUMIF('Территориальный кк'!$A:$A,'2020'!$B438,'Территориальный кк'!F:F)</f>
        <v>1.2270000000000001</v>
      </c>
      <c r="T438" s="675">
        <f>SUMIF('Территориальный кк'!$A:$A,'2020'!$B438,'Территориальный кк'!G:G)</f>
        <v>3.0470000000000002</v>
      </c>
      <c r="U438" s="618">
        <f>SUMIFS(Нормативы!G:G,Нормативы!$B:$B,$G438,Нормативы!$D:$D,'2020'!$I438,Нормативы!$F:$F,'2020'!$K438)*O438</f>
        <v>22310</v>
      </c>
      <c r="V438" s="618">
        <f t="shared" si="1322"/>
        <v>17135.2</v>
      </c>
      <c r="W438" s="618">
        <f t="shared" si="1323"/>
        <v>5174.8</v>
      </c>
      <c r="X438" s="618">
        <f>SUMIFS(Нормативы!J:J,Нормативы!$B:$B,$G438,Нормативы!$D:$D,'2020'!$I438,Нормативы!$F:$F,'2020'!$K438)</f>
        <v>1910</v>
      </c>
      <c r="Y438" s="618">
        <f>SUMIFS(Нормативы!K:K,Нормативы!$B:$B,$G438,Нормативы!$D:$D,'2020'!$I438,Нормативы!$F:$F,'2020'!$K438)</f>
        <v>382</v>
      </c>
      <c r="Z438" s="618">
        <f>SUMIFS(Нормативы!L:L,Нормативы!$B:$B,$G438,Нормативы!$D:$D,'2020'!$I438,Нормативы!$F:$F,'2020'!$K438)</f>
        <v>3970</v>
      </c>
      <c r="AA438" s="618">
        <f t="shared" si="1324"/>
        <v>13670</v>
      </c>
      <c r="AB438" s="618">
        <f>SUMIFS(Нормативы!N:N,Нормативы!$B:$B,$G438,Нормативы!$D:$D,'2020'!$I438,Нормативы!$F:$F,'2020'!$K438)*O438</f>
        <v>460</v>
      </c>
      <c r="AC438" s="618">
        <f>SUMIFS(Нормативы!O:O,Нормативы!$B:$B,$G438,Нормативы!$D:$D,'2020'!$I438,Нормативы!$F:$F,'2020'!$K438)</f>
        <v>9200</v>
      </c>
      <c r="AD438" s="618">
        <f>SUMIFS(Нормативы!P:P,Нормативы!$B:$B,$G438,Нормативы!$D:$D,'2020'!$I438,Нормативы!$F:$F,'2020'!$K438)*O438</f>
        <v>3270</v>
      </c>
      <c r="AE438" s="618">
        <f>SUMIFS(Нормативы!Q:Q,Нормативы!$B:$B,$G438,Нормативы!$D:$D,'2020'!$I438,Нормативы!$F:$F,'2020'!$K438)</f>
        <v>740</v>
      </c>
      <c r="AF438" s="618">
        <f>SUMIFS(Нормативы!R:R,Нормативы!$B:$B,$G438,Нормативы!$D:$D,'2020'!$I438,Нормативы!$F:$F,'2020'!$K438)</f>
        <v>2120</v>
      </c>
      <c r="AG438" s="618">
        <f>SUMIFS(Нормативы!S:S,Нормативы!$B:$B,$G438,Нормативы!$D:$D,'2020'!$I438,Нормативы!$F:$F,'2020'!$K438)</f>
        <v>8620</v>
      </c>
      <c r="AH438" s="618">
        <f>SUMIFS(Нормативы!T:T,Нормативы!$B:$B,$G438,Нормативы!$D:$D,'2020'!$I438,Нормативы!$F:$F,'2020'!$K438)</f>
        <v>310</v>
      </c>
      <c r="AI438" s="618">
        <f>SUMIFS(Нормативы!U:U,Нормативы!$B:$B,$G438,Нормативы!$D:$D,'2020'!$I438,Нормативы!$F:$F,'2020'!$K438)</f>
        <v>1240</v>
      </c>
      <c r="AJ438" s="618">
        <f>SUMIFS(Нормативы!V:V,Нормативы!$B:$B,$G438,Нормативы!$D:$D,'2020'!$I438,Нормативы!$F:$F,'2020'!$K438)</f>
        <v>50</v>
      </c>
      <c r="AK438" s="618">
        <f>SUMIFS(Нормативы!W:W,Нормативы!$B:$B,$G438,Нормативы!$D:$D,'2020'!$I438,Нормативы!$F:$F,'2020'!$K438)</f>
        <v>2570</v>
      </c>
      <c r="AL438" s="618">
        <f>SUMIFS(Нормативы!X:X,Нормативы!$B:$B,$G438,Нормативы!$D:$D,'2020'!$I438,Нормативы!$F:$F,'2020'!$K438)*O438</f>
        <v>17850</v>
      </c>
      <c r="AM438" s="618">
        <f t="shared" si="1325"/>
        <v>13709.7</v>
      </c>
      <c r="AN438" s="618">
        <f t="shared" si="1326"/>
        <v>4140.3</v>
      </c>
      <c r="AO438" s="618">
        <f>SUMIFS(Нормативы!AA:AA,Нормативы!$B:$B,$G438,Нормативы!$D:$D,'2020'!$I438,Нормативы!$F:$F,'2020'!$K438)</f>
        <v>650</v>
      </c>
      <c r="AP438" s="619">
        <f t="shared" si="1327"/>
        <v>75270</v>
      </c>
      <c r="AQ438" s="413">
        <f t="shared" si="1301"/>
        <v>2654890</v>
      </c>
      <c r="AR438" s="618">
        <f t="shared" si="1247"/>
        <v>2039086</v>
      </c>
      <c r="AS438" s="618">
        <f t="shared" si="1248"/>
        <v>615804</v>
      </c>
      <c r="AT438" s="616">
        <f t="shared" si="1302"/>
        <v>227290</v>
      </c>
      <c r="AU438" s="616">
        <f t="shared" si="1303"/>
        <v>45458</v>
      </c>
      <c r="AV438" s="616">
        <f t="shared" si="1304"/>
        <v>472430</v>
      </c>
      <c r="AW438" s="616">
        <f t="shared" si="1305"/>
        <v>1626730</v>
      </c>
      <c r="AX438" s="616">
        <f t="shared" si="1306"/>
        <v>54740</v>
      </c>
      <c r="AY438" s="616">
        <f t="shared" si="1307"/>
        <v>1094800</v>
      </c>
      <c r="AZ438" s="616">
        <f t="shared" si="1308"/>
        <v>389130</v>
      </c>
      <c r="BA438" s="616">
        <f t="shared" si="1309"/>
        <v>88060</v>
      </c>
      <c r="BB438" s="616">
        <f t="shared" si="1310"/>
        <v>252280</v>
      </c>
      <c r="BC438" s="616">
        <f t="shared" si="1311"/>
        <v>1025780</v>
      </c>
      <c r="BD438" s="616">
        <f t="shared" si="1312"/>
        <v>36890</v>
      </c>
      <c r="BE438" s="616">
        <f t="shared" si="1313"/>
        <v>147560</v>
      </c>
      <c r="BF438" s="616">
        <f t="shared" si="1314"/>
        <v>5950</v>
      </c>
      <c r="BG438" s="616">
        <f t="shared" si="1315"/>
        <v>305830</v>
      </c>
      <c r="BH438" s="616">
        <f t="shared" si="1316"/>
        <v>2124150</v>
      </c>
      <c r="BI438" s="618">
        <f t="shared" si="1249"/>
        <v>1631451.6</v>
      </c>
      <c r="BJ438" s="618">
        <f t="shared" si="1250"/>
        <v>492698.4</v>
      </c>
      <c r="BK438" s="616">
        <f t="shared" si="1251"/>
        <v>77350</v>
      </c>
      <c r="BL438" s="619">
        <f t="shared" si="1317"/>
        <v>8957130</v>
      </c>
      <c r="BM438" s="616">
        <f t="shared" si="1318"/>
        <v>3257550</v>
      </c>
      <c r="BN438" s="618">
        <f t="shared" si="1252"/>
        <v>2501958.5</v>
      </c>
      <c r="BO438" s="618">
        <f t="shared" si="1253"/>
        <v>755591.5</v>
      </c>
      <c r="BP438" s="616">
        <f t="shared" si="1254"/>
        <v>227290</v>
      </c>
      <c r="BQ438" s="616">
        <f t="shared" si="1328"/>
        <v>45458</v>
      </c>
      <c r="BR438" s="616">
        <f t="shared" si="1255"/>
        <v>472430</v>
      </c>
      <c r="BS438" s="616">
        <f t="shared" si="1256"/>
        <v>1626730</v>
      </c>
      <c r="BT438" s="413"/>
      <c r="BU438" s="413"/>
      <c r="BV438" s="413"/>
      <c r="BW438" s="413"/>
      <c r="BX438" s="616">
        <f t="shared" si="1319"/>
        <v>768697</v>
      </c>
      <c r="BY438" s="616">
        <f t="shared" si="1261"/>
        <v>1025780</v>
      </c>
      <c r="BZ438" s="616">
        <f t="shared" si="1262"/>
        <v>36890</v>
      </c>
      <c r="CA438" s="616">
        <f t="shared" si="1263"/>
        <v>147560</v>
      </c>
      <c r="CB438" s="616">
        <f t="shared" si="1264"/>
        <v>5950</v>
      </c>
      <c r="CC438" s="616">
        <f t="shared" si="1265"/>
        <v>305830</v>
      </c>
      <c r="CD438" s="616">
        <f t="shared" si="1320"/>
        <v>2606332</v>
      </c>
      <c r="CE438" s="618">
        <f t="shared" si="1266"/>
        <v>2001791.1</v>
      </c>
      <c r="CF438" s="618">
        <f t="shared" si="1267"/>
        <v>604540.9</v>
      </c>
      <c r="CG438" s="616">
        <f t="shared" si="1268"/>
        <v>77350</v>
      </c>
      <c r="CH438" s="619">
        <f t="shared" si="1321"/>
        <v>10558389</v>
      </c>
      <c r="AUV438" s="699">
        <f t="shared" si="1184"/>
        <v>27374.37</v>
      </c>
      <c r="AUW438" s="699">
        <f t="shared" si="1185"/>
        <v>21024.86</v>
      </c>
      <c r="AUX438" s="699">
        <f t="shared" si="1186"/>
        <v>6349.51</v>
      </c>
      <c r="AUY438" s="699">
        <f t="shared" si="1329"/>
        <v>1910</v>
      </c>
      <c r="AUZ438" s="699">
        <f t="shared" si="1204"/>
        <v>14918.94</v>
      </c>
      <c r="AVA438" s="699">
        <f t="shared" si="1204"/>
        <v>21.18</v>
      </c>
      <c r="AVB438" s="699">
        <f t="shared" si="1330"/>
        <v>0</v>
      </c>
      <c r="AVC438" s="699">
        <f t="shared" si="1331"/>
        <v>0</v>
      </c>
      <c r="AVD438" s="699">
        <f t="shared" si="1332"/>
        <v>0</v>
      </c>
      <c r="AVE438" s="699">
        <f t="shared" si="1333"/>
        <v>0</v>
      </c>
      <c r="AVF438" s="699">
        <f t="shared" si="1334"/>
        <v>0</v>
      </c>
      <c r="AVG438" s="699">
        <f t="shared" si="1335"/>
        <v>6459.64</v>
      </c>
      <c r="AVH438" s="699">
        <f t="shared" si="1336"/>
        <v>8620</v>
      </c>
      <c r="AVI438" s="699">
        <f t="shared" si="1337"/>
        <v>310</v>
      </c>
      <c r="AVJ438" s="699">
        <f t="shared" si="1338"/>
        <v>1240</v>
      </c>
      <c r="AVK438" s="699">
        <f t="shared" si="1339"/>
        <v>50</v>
      </c>
      <c r="AVL438" s="699">
        <f t="shared" si="1340"/>
        <v>2570</v>
      </c>
      <c r="AVM438" s="699">
        <f t="shared" si="1341"/>
        <v>21901.95</v>
      </c>
      <c r="AVN438" s="699">
        <f t="shared" si="1342"/>
        <v>16821.77</v>
      </c>
      <c r="AVO438" s="699">
        <f t="shared" si="1343"/>
        <v>5080.18</v>
      </c>
      <c r="AVP438" s="699">
        <f t="shared" si="1344"/>
        <v>650</v>
      </c>
      <c r="AVQ438" s="699">
        <f t="shared" si="1345"/>
        <v>88725.96</v>
      </c>
    </row>
    <row r="439" spans="1:86 1244:1265" ht="30" customHeight="1" x14ac:dyDescent="0.25">
      <c r="A439" s="643">
        <v>2</v>
      </c>
      <c r="B439" s="643">
        <v>24</v>
      </c>
      <c r="C439" s="643" t="s">
        <v>176</v>
      </c>
      <c r="D439" s="2"/>
      <c r="E439" s="2"/>
      <c r="F439" s="643" t="s">
        <v>40</v>
      </c>
      <c r="G439" s="643">
        <v>4</v>
      </c>
      <c r="H439" s="413" t="s">
        <v>10</v>
      </c>
      <c r="I439" s="643">
        <v>0</v>
      </c>
      <c r="J439" s="2" t="s">
        <v>410</v>
      </c>
      <c r="K439" s="643">
        <v>3</v>
      </c>
      <c r="L439" s="684"/>
      <c r="M439" s="3" t="s">
        <v>317</v>
      </c>
      <c r="N439" s="2" t="s">
        <v>411</v>
      </c>
      <c r="O439" s="643">
        <v>1</v>
      </c>
      <c r="P439" s="635">
        <v>137</v>
      </c>
      <c r="Q439" s="635">
        <v>137</v>
      </c>
      <c r="R439" s="635">
        <v>137</v>
      </c>
      <c r="S439" s="675">
        <f>SUMIF('Территориальный кк'!$A:$A,'2020'!$B439,'Территориальный кк'!F:F)</f>
        <v>2.1749999999999998</v>
      </c>
      <c r="T439" s="675">
        <f>SUMIF('Территориальный кк'!$A:$A,'2020'!$B439,'Территориальный кк'!G:G)</f>
        <v>2.9319999999999999</v>
      </c>
      <c r="U439" s="618">
        <f>SUMIFS(Нормативы!G:G,Нормативы!$B:$B,$G439,Нормативы!$D:$D,'2020'!$I439,Нормативы!$F:$F,'2020'!$K439)*O439</f>
        <v>22310</v>
      </c>
      <c r="V439" s="618">
        <f t="shared" si="1322"/>
        <v>17135.2</v>
      </c>
      <c r="W439" s="618">
        <f t="shared" si="1323"/>
        <v>5174.8</v>
      </c>
      <c r="X439" s="618">
        <f>SUMIFS(Нормативы!J:J,Нормативы!$B:$B,$G439,Нормативы!$D:$D,'2020'!$I439,Нормативы!$F:$F,'2020'!$K439)</f>
        <v>1910</v>
      </c>
      <c r="Y439" s="618">
        <f>SUMIFS(Нормативы!K:K,Нормативы!$B:$B,$G439,Нормативы!$D:$D,'2020'!$I439,Нормативы!$F:$F,'2020'!$K439)</f>
        <v>382</v>
      </c>
      <c r="Z439" s="618">
        <f>SUMIFS(Нормативы!L:L,Нормативы!$B:$B,$G439,Нормативы!$D:$D,'2020'!$I439,Нормативы!$F:$F,'2020'!$K439)</f>
        <v>3970</v>
      </c>
      <c r="AA439" s="618">
        <f t="shared" si="1324"/>
        <v>13670</v>
      </c>
      <c r="AB439" s="618">
        <f>SUMIFS(Нормативы!N:N,Нормативы!$B:$B,$G439,Нормативы!$D:$D,'2020'!$I439,Нормативы!$F:$F,'2020'!$K439)*O439</f>
        <v>460</v>
      </c>
      <c r="AC439" s="618">
        <f>SUMIFS(Нормативы!O:O,Нормативы!$B:$B,$G439,Нормативы!$D:$D,'2020'!$I439,Нормативы!$F:$F,'2020'!$K439)</f>
        <v>9200</v>
      </c>
      <c r="AD439" s="618">
        <f>SUMIFS(Нормативы!P:P,Нормативы!$B:$B,$G439,Нормативы!$D:$D,'2020'!$I439,Нормативы!$F:$F,'2020'!$K439)*O439</f>
        <v>3270</v>
      </c>
      <c r="AE439" s="618">
        <f>SUMIFS(Нормативы!Q:Q,Нормативы!$B:$B,$G439,Нормативы!$D:$D,'2020'!$I439,Нормативы!$F:$F,'2020'!$K439)</f>
        <v>740</v>
      </c>
      <c r="AF439" s="618">
        <f>SUMIFS(Нормативы!R:R,Нормативы!$B:$B,$G439,Нормативы!$D:$D,'2020'!$I439,Нормативы!$F:$F,'2020'!$K439)</f>
        <v>2120</v>
      </c>
      <c r="AG439" s="618">
        <f>SUMIFS(Нормативы!S:S,Нормативы!$B:$B,$G439,Нормативы!$D:$D,'2020'!$I439,Нормативы!$F:$F,'2020'!$K439)</f>
        <v>8620</v>
      </c>
      <c r="AH439" s="618">
        <f>SUMIFS(Нормативы!T:T,Нормативы!$B:$B,$G439,Нормативы!$D:$D,'2020'!$I439,Нормативы!$F:$F,'2020'!$K439)</f>
        <v>310</v>
      </c>
      <c r="AI439" s="618">
        <f>SUMIFS(Нормативы!U:U,Нормативы!$B:$B,$G439,Нормативы!$D:$D,'2020'!$I439,Нормативы!$F:$F,'2020'!$K439)</f>
        <v>1240</v>
      </c>
      <c r="AJ439" s="618">
        <f>SUMIFS(Нормативы!V:V,Нормативы!$B:$B,$G439,Нормативы!$D:$D,'2020'!$I439,Нормативы!$F:$F,'2020'!$K439)</f>
        <v>50</v>
      </c>
      <c r="AK439" s="618">
        <f>SUMIFS(Нормативы!W:W,Нормативы!$B:$B,$G439,Нормативы!$D:$D,'2020'!$I439,Нормативы!$F:$F,'2020'!$K439)</f>
        <v>2570</v>
      </c>
      <c r="AL439" s="618">
        <f>SUMIFS(Нормативы!X:X,Нормативы!$B:$B,$G439,Нормативы!$D:$D,'2020'!$I439,Нормативы!$F:$F,'2020'!$K439)*O439</f>
        <v>17850</v>
      </c>
      <c r="AM439" s="618">
        <f t="shared" si="1325"/>
        <v>13709.7</v>
      </c>
      <c r="AN439" s="618">
        <f t="shared" si="1326"/>
        <v>4140.3</v>
      </c>
      <c r="AO439" s="618">
        <f>SUMIFS(Нормативы!AA:AA,Нормативы!$B:$B,$G439,Нормативы!$D:$D,'2020'!$I439,Нормативы!$F:$F,'2020'!$K439)</f>
        <v>650</v>
      </c>
      <c r="AP439" s="619">
        <f t="shared" si="1327"/>
        <v>75270</v>
      </c>
      <c r="AQ439" s="413">
        <f t="shared" si="1301"/>
        <v>3056470</v>
      </c>
      <c r="AR439" s="618">
        <f t="shared" si="1247"/>
        <v>2347519.2000000002</v>
      </c>
      <c r="AS439" s="618">
        <f t="shared" si="1248"/>
        <v>708950.8</v>
      </c>
      <c r="AT439" s="616">
        <f t="shared" si="1302"/>
        <v>261670</v>
      </c>
      <c r="AU439" s="616">
        <f t="shared" si="1303"/>
        <v>52334</v>
      </c>
      <c r="AV439" s="616">
        <f t="shared" si="1304"/>
        <v>543890</v>
      </c>
      <c r="AW439" s="616">
        <f t="shared" si="1305"/>
        <v>1872790</v>
      </c>
      <c r="AX439" s="616">
        <f t="shared" si="1306"/>
        <v>63020</v>
      </c>
      <c r="AY439" s="616">
        <f t="shared" si="1307"/>
        <v>1260400</v>
      </c>
      <c r="AZ439" s="616">
        <f t="shared" si="1308"/>
        <v>447990</v>
      </c>
      <c r="BA439" s="616">
        <f t="shared" si="1309"/>
        <v>101380</v>
      </c>
      <c r="BB439" s="616">
        <f t="shared" si="1310"/>
        <v>290440</v>
      </c>
      <c r="BC439" s="616">
        <f t="shared" si="1311"/>
        <v>1180940</v>
      </c>
      <c r="BD439" s="616">
        <f t="shared" si="1312"/>
        <v>42470</v>
      </c>
      <c r="BE439" s="616">
        <f t="shared" si="1313"/>
        <v>169880</v>
      </c>
      <c r="BF439" s="616">
        <f t="shared" si="1314"/>
        <v>6850</v>
      </c>
      <c r="BG439" s="616">
        <f t="shared" si="1315"/>
        <v>352090</v>
      </c>
      <c r="BH439" s="616">
        <f t="shared" si="1316"/>
        <v>2445450</v>
      </c>
      <c r="BI439" s="618">
        <f t="shared" si="1249"/>
        <v>1878225.8</v>
      </c>
      <c r="BJ439" s="618">
        <f t="shared" si="1250"/>
        <v>567224.19999999995</v>
      </c>
      <c r="BK439" s="616">
        <f t="shared" si="1251"/>
        <v>89050</v>
      </c>
      <c r="BL439" s="619">
        <f t="shared" si="1317"/>
        <v>10311990</v>
      </c>
      <c r="BM439" s="616">
        <f t="shared" si="1318"/>
        <v>6647822</v>
      </c>
      <c r="BN439" s="618">
        <f t="shared" si="1252"/>
        <v>5105854.0999999996</v>
      </c>
      <c r="BO439" s="618">
        <f t="shared" si="1253"/>
        <v>1541967.9</v>
      </c>
      <c r="BP439" s="616">
        <f t="shared" si="1254"/>
        <v>261670</v>
      </c>
      <c r="BQ439" s="616">
        <f t="shared" si="1328"/>
        <v>52334</v>
      </c>
      <c r="BR439" s="616">
        <f t="shared" si="1255"/>
        <v>543890</v>
      </c>
      <c r="BS439" s="616">
        <f t="shared" si="1256"/>
        <v>1872790</v>
      </c>
      <c r="BT439" s="413"/>
      <c r="BU439" s="413"/>
      <c r="BV439" s="413"/>
      <c r="BW439" s="413"/>
      <c r="BX439" s="616">
        <f t="shared" si="1319"/>
        <v>851570</v>
      </c>
      <c r="BY439" s="616">
        <f t="shared" si="1261"/>
        <v>1180940</v>
      </c>
      <c r="BZ439" s="616">
        <f t="shared" si="1262"/>
        <v>42470</v>
      </c>
      <c r="CA439" s="616">
        <f t="shared" si="1263"/>
        <v>169880</v>
      </c>
      <c r="CB439" s="616">
        <f t="shared" si="1264"/>
        <v>6850</v>
      </c>
      <c r="CC439" s="616">
        <f t="shared" si="1265"/>
        <v>352090</v>
      </c>
      <c r="CD439" s="616">
        <f t="shared" si="1320"/>
        <v>5318854</v>
      </c>
      <c r="CE439" s="618">
        <f t="shared" si="1266"/>
        <v>4085141.3</v>
      </c>
      <c r="CF439" s="618">
        <f t="shared" si="1267"/>
        <v>1233712.7</v>
      </c>
      <c r="CG439" s="616">
        <f t="shared" si="1268"/>
        <v>89050</v>
      </c>
      <c r="CH439" s="619">
        <f t="shared" si="1321"/>
        <v>17337876</v>
      </c>
      <c r="AUV439" s="699">
        <f t="shared" si="1184"/>
        <v>48524.25</v>
      </c>
      <c r="AUW439" s="699">
        <f t="shared" si="1185"/>
        <v>37269.01</v>
      </c>
      <c r="AUX439" s="699">
        <f t="shared" si="1186"/>
        <v>11255.24</v>
      </c>
      <c r="AUY439" s="699">
        <f t="shared" si="1329"/>
        <v>1910</v>
      </c>
      <c r="AUZ439" s="699">
        <f t="shared" si="1204"/>
        <v>17849.25</v>
      </c>
      <c r="AVA439" s="699">
        <f t="shared" si="1204"/>
        <v>24.38</v>
      </c>
      <c r="AVB439" s="699">
        <f t="shared" si="1330"/>
        <v>0</v>
      </c>
      <c r="AVC439" s="699">
        <f t="shared" si="1331"/>
        <v>0</v>
      </c>
      <c r="AVD439" s="699">
        <f t="shared" si="1332"/>
        <v>0</v>
      </c>
      <c r="AVE439" s="699">
        <f t="shared" si="1333"/>
        <v>0</v>
      </c>
      <c r="AVF439" s="699">
        <f t="shared" si="1334"/>
        <v>0</v>
      </c>
      <c r="AVG439" s="699">
        <f t="shared" si="1335"/>
        <v>6215.84</v>
      </c>
      <c r="AVH439" s="699">
        <f t="shared" si="1336"/>
        <v>8620</v>
      </c>
      <c r="AVI439" s="699">
        <f t="shared" si="1337"/>
        <v>310</v>
      </c>
      <c r="AVJ439" s="699">
        <f t="shared" si="1338"/>
        <v>1240</v>
      </c>
      <c r="AVK439" s="699">
        <f t="shared" si="1339"/>
        <v>50</v>
      </c>
      <c r="AVL439" s="699">
        <f t="shared" si="1340"/>
        <v>2570</v>
      </c>
      <c r="AVM439" s="699">
        <f t="shared" si="1341"/>
        <v>38823.75</v>
      </c>
      <c r="AVN439" s="699">
        <f t="shared" si="1342"/>
        <v>29818.55</v>
      </c>
      <c r="AVO439" s="699">
        <f t="shared" si="1343"/>
        <v>9005.2000000000007</v>
      </c>
      <c r="AVP439" s="699">
        <f t="shared" si="1344"/>
        <v>650</v>
      </c>
      <c r="AVQ439" s="699">
        <f t="shared" si="1345"/>
        <v>126553.84</v>
      </c>
    </row>
    <row r="440" spans="1:86 1244:1265" ht="30" customHeight="1" x14ac:dyDescent="0.25">
      <c r="A440" s="643">
        <v>2</v>
      </c>
      <c r="B440" s="643">
        <v>24</v>
      </c>
      <c r="C440" s="643" t="s">
        <v>176</v>
      </c>
      <c r="D440" s="2"/>
      <c r="E440" s="2"/>
      <c r="F440" s="643" t="s">
        <v>40</v>
      </c>
      <c r="G440" s="643">
        <v>4</v>
      </c>
      <c r="H440" s="413" t="s">
        <v>10</v>
      </c>
      <c r="I440" s="643">
        <v>0</v>
      </c>
      <c r="J440" s="2" t="s">
        <v>410</v>
      </c>
      <c r="K440" s="643">
        <v>3</v>
      </c>
      <c r="L440" s="684"/>
      <c r="M440" s="3" t="s">
        <v>318</v>
      </c>
      <c r="N440" s="2" t="s">
        <v>414</v>
      </c>
      <c r="O440" s="643">
        <v>2</v>
      </c>
      <c r="P440" s="635">
        <v>2</v>
      </c>
      <c r="Q440" s="635">
        <v>2</v>
      </c>
      <c r="R440" s="635">
        <v>2</v>
      </c>
      <c r="S440" s="675">
        <f>SUMIF('Территориальный кк'!$A:$A,'2020'!$B440,'Территориальный кк'!F:F)</f>
        <v>2.1749999999999998</v>
      </c>
      <c r="T440" s="675">
        <f>SUMIF('Территориальный кк'!$A:$A,'2020'!$B440,'Территориальный кк'!G:G)</f>
        <v>2.9319999999999999</v>
      </c>
      <c r="U440" s="618">
        <f>SUMIFS(Нормативы!G:G,Нормативы!$B:$B,$G440,Нормативы!$D:$D,'2020'!$I440,Нормативы!$F:$F,'2020'!$K440)*O440</f>
        <v>44620</v>
      </c>
      <c r="V440" s="618">
        <f t="shared" si="1322"/>
        <v>34270.400000000001</v>
      </c>
      <c r="W440" s="618">
        <f t="shared" si="1323"/>
        <v>10349.6</v>
      </c>
      <c r="X440" s="618">
        <f>SUMIFS(Нормативы!J:J,Нормативы!$B:$B,$G440,Нормативы!$D:$D,'2020'!$I440,Нормативы!$F:$F,'2020'!$K440)</f>
        <v>1910</v>
      </c>
      <c r="Y440" s="618">
        <f>SUMIFS(Нормативы!K:K,Нормативы!$B:$B,$G440,Нормативы!$D:$D,'2020'!$I440,Нормативы!$F:$F,'2020'!$K440)</f>
        <v>382</v>
      </c>
      <c r="Z440" s="618">
        <f>SUMIFS(Нормативы!L:L,Нормативы!$B:$B,$G440,Нормативы!$D:$D,'2020'!$I440,Нормативы!$F:$F,'2020'!$K440)</f>
        <v>3970</v>
      </c>
      <c r="AA440" s="618">
        <f t="shared" si="1324"/>
        <v>17400</v>
      </c>
      <c r="AB440" s="618">
        <f>SUMIFS(Нормативы!N:N,Нормативы!$B:$B,$G440,Нормативы!$D:$D,'2020'!$I440,Нормативы!$F:$F,'2020'!$K440)*O440</f>
        <v>920</v>
      </c>
      <c r="AC440" s="618">
        <f>SUMIFS(Нормативы!O:O,Нормативы!$B:$B,$G440,Нормативы!$D:$D,'2020'!$I440,Нормативы!$F:$F,'2020'!$K440)</f>
        <v>9200</v>
      </c>
      <c r="AD440" s="618">
        <f>SUMIFS(Нормативы!P:P,Нормативы!$B:$B,$G440,Нормативы!$D:$D,'2020'!$I440,Нормативы!$F:$F,'2020'!$K440)*O440</f>
        <v>6540</v>
      </c>
      <c r="AE440" s="618">
        <f>SUMIFS(Нормативы!Q:Q,Нормативы!$B:$B,$G440,Нормативы!$D:$D,'2020'!$I440,Нормативы!$F:$F,'2020'!$K440)</f>
        <v>740</v>
      </c>
      <c r="AF440" s="618">
        <f>SUMIFS(Нормативы!R:R,Нормативы!$B:$B,$G440,Нормативы!$D:$D,'2020'!$I440,Нормативы!$F:$F,'2020'!$K440)</f>
        <v>2120</v>
      </c>
      <c r="AG440" s="618">
        <f>SUMIFS(Нормативы!S:S,Нормативы!$B:$B,$G440,Нормативы!$D:$D,'2020'!$I440,Нормативы!$F:$F,'2020'!$K440)</f>
        <v>8620</v>
      </c>
      <c r="AH440" s="618">
        <f>SUMIFS(Нормативы!T:T,Нормативы!$B:$B,$G440,Нормативы!$D:$D,'2020'!$I440,Нормативы!$F:$F,'2020'!$K440)</f>
        <v>310</v>
      </c>
      <c r="AI440" s="618">
        <f>SUMIFS(Нормативы!U:U,Нормативы!$B:$B,$G440,Нормативы!$D:$D,'2020'!$I440,Нормативы!$F:$F,'2020'!$K440)</f>
        <v>1240</v>
      </c>
      <c r="AJ440" s="618">
        <f>SUMIFS(Нормативы!V:V,Нормативы!$B:$B,$G440,Нормативы!$D:$D,'2020'!$I440,Нормативы!$F:$F,'2020'!$K440)</f>
        <v>50</v>
      </c>
      <c r="AK440" s="618">
        <f>SUMIFS(Нормативы!W:W,Нормативы!$B:$B,$G440,Нормативы!$D:$D,'2020'!$I440,Нормативы!$F:$F,'2020'!$K440)</f>
        <v>2570</v>
      </c>
      <c r="AL440" s="618">
        <f>SUMIFS(Нормативы!X:X,Нормативы!$B:$B,$G440,Нормативы!$D:$D,'2020'!$I440,Нормативы!$F:$F,'2020'!$K440)*O440</f>
        <v>35700</v>
      </c>
      <c r="AM440" s="618">
        <f t="shared" si="1325"/>
        <v>27419.4</v>
      </c>
      <c r="AN440" s="618">
        <f t="shared" si="1326"/>
        <v>8280.6</v>
      </c>
      <c r="AO440" s="618">
        <f>SUMIFS(Нормативы!AA:AA,Нормативы!$B:$B,$G440,Нормативы!$D:$D,'2020'!$I440,Нормативы!$F:$F,'2020'!$K440)</f>
        <v>650</v>
      </c>
      <c r="AP440" s="619">
        <f t="shared" si="1327"/>
        <v>119160</v>
      </c>
      <c r="AQ440" s="413">
        <f t="shared" si="1301"/>
        <v>89240</v>
      </c>
      <c r="AR440" s="618">
        <f t="shared" si="1247"/>
        <v>68540.7</v>
      </c>
      <c r="AS440" s="618">
        <f t="shared" si="1248"/>
        <v>20699.3</v>
      </c>
      <c r="AT440" s="616">
        <f t="shared" si="1302"/>
        <v>3820</v>
      </c>
      <c r="AU440" s="616">
        <f t="shared" si="1303"/>
        <v>764</v>
      </c>
      <c r="AV440" s="616">
        <f t="shared" si="1304"/>
        <v>7940</v>
      </c>
      <c r="AW440" s="616">
        <f t="shared" si="1305"/>
        <v>34800</v>
      </c>
      <c r="AX440" s="616">
        <f t="shared" si="1306"/>
        <v>1840</v>
      </c>
      <c r="AY440" s="616">
        <f t="shared" si="1307"/>
        <v>18400</v>
      </c>
      <c r="AZ440" s="616">
        <f t="shared" si="1308"/>
        <v>13080</v>
      </c>
      <c r="BA440" s="616">
        <f t="shared" si="1309"/>
        <v>1480</v>
      </c>
      <c r="BB440" s="616">
        <f t="shared" si="1310"/>
        <v>4240</v>
      </c>
      <c r="BC440" s="616">
        <f t="shared" si="1311"/>
        <v>17240</v>
      </c>
      <c r="BD440" s="616">
        <f t="shared" si="1312"/>
        <v>620</v>
      </c>
      <c r="BE440" s="616">
        <f t="shared" si="1313"/>
        <v>2480</v>
      </c>
      <c r="BF440" s="616">
        <f t="shared" si="1314"/>
        <v>100</v>
      </c>
      <c r="BG440" s="616">
        <f t="shared" si="1315"/>
        <v>5140</v>
      </c>
      <c r="BH440" s="616">
        <f t="shared" si="1316"/>
        <v>71400</v>
      </c>
      <c r="BI440" s="618">
        <f t="shared" si="1249"/>
        <v>54838.7</v>
      </c>
      <c r="BJ440" s="618">
        <f t="shared" si="1250"/>
        <v>16561.3</v>
      </c>
      <c r="BK440" s="616">
        <f t="shared" si="1251"/>
        <v>1300</v>
      </c>
      <c r="BL440" s="619">
        <f t="shared" si="1317"/>
        <v>238320</v>
      </c>
      <c r="BM440" s="616">
        <f t="shared" si="1318"/>
        <v>194097</v>
      </c>
      <c r="BN440" s="618">
        <f t="shared" si="1252"/>
        <v>149076</v>
      </c>
      <c r="BO440" s="618">
        <f t="shared" si="1253"/>
        <v>45021</v>
      </c>
      <c r="BP440" s="616">
        <f t="shared" si="1254"/>
        <v>3820</v>
      </c>
      <c r="BQ440" s="616">
        <f t="shared" si="1328"/>
        <v>764</v>
      </c>
      <c r="BR440" s="616">
        <f t="shared" si="1255"/>
        <v>7940</v>
      </c>
      <c r="BS440" s="616">
        <f t="shared" si="1256"/>
        <v>34800</v>
      </c>
      <c r="BT440" s="413"/>
      <c r="BU440" s="413"/>
      <c r="BV440" s="413"/>
      <c r="BW440" s="413"/>
      <c r="BX440" s="616">
        <f t="shared" si="1319"/>
        <v>12432</v>
      </c>
      <c r="BY440" s="616">
        <f t="shared" si="1261"/>
        <v>17240</v>
      </c>
      <c r="BZ440" s="616">
        <f t="shared" si="1262"/>
        <v>620</v>
      </c>
      <c r="CA440" s="616">
        <f t="shared" si="1263"/>
        <v>2480</v>
      </c>
      <c r="CB440" s="616">
        <f t="shared" si="1264"/>
        <v>100</v>
      </c>
      <c r="CC440" s="616">
        <f t="shared" si="1265"/>
        <v>5140</v>
      </c>
      <c r="CD440" s="616">
        <f t="shared" si="1320"/>
        <v>155295</v>
      </c>
      <c r="CE440" s="618">
        <f t="shared" si="1266"/>
        <v>119274.2</v>
      </c>
      <c r="CF440" s="618">
        <f t="shared" si="1267"/>
        <v>36020.800000000003</v>
      </c>
      <c r="CG440" s="616">
        <f t="shared" si="1268"/>
        <v>1300</v>
      </c>
      <c r="CH440" s="619">
        <f t="shared" si="1321"/>
        <v>435264</v>
      </c>
      <c r="AUV440" s="699">
        <f t="shared" si="1184"/>
        <v>97048.5</v>
      </c>
      <c r="AUW440" s="699">
        <f t="shared" si="1185"/>
        <v>74538.02</v>
      </c>
      <c r="AUX440" s="699">
        <f t="shared" si="1186"/>
        <v>22510.48</v>
      </c>
      <c r="AUY440" s="699">
        <f t="shared" si="1329"/>
        <v>1910</v>
      </c>
      <c r="AUZ440" s="699">
        <f t="shared" si="1204"/>
        <v>260.57</v>
      </c>
      <c r="AVA440" s="699">
        <f t="shared" si="1204"/>
        <v>0.18</v>
      </c>
      <c r="AVB440" s="699">
        <f t="shared" si="1330"/>
        <v>0</v>
      </c>
      <c r="AVC440" s="699">
        <f t="shared" si="1331"/>
        <v>0</v>
      </c>
      <c r="AVD440" s="699">
        <f t="shared" si="1332"/>
        <v>0</v>
      </c>
      <c r="AVE440" s="699">
        <f t="shared" si="1333"/>
        <v>0</v>
      </c>
      <c r="AVF440" s="699">
        <f t="shared" si="1334"/>
        <v>0</v>
      </c>
      <c r="AVG440" s="699">
        <f t="shared" si="1335"/>
        <v>6216</v>
      </c>
      <c r="AVH440" s="699">
        <f t="shared" si="1336"/>
        <v>8620</v>
      </c>
      <c r="AVI440" s="699">
        <f t="shared" si="1337"/>
        <v>310</v>
      </c>
      <c r="AVJ440" s="699">
        <f t="shared" si="1338"/>
        <v>1240</v>
      </c>
      <c r="AVK440" s="699">
        <f t="shared" si="1339"/>
        <v>50</v>
      </c>
      <c r="AVL440" s="699">
        <f t="shared" si="1340"/>
        <v>2570</v>
      </c>
      <c r="AVM440" s="699">
        <f t="shared" si="1341"/>
        <v>77647.5</v>
      </c>
      <c r="AVN440" s="699">
        <f t="shared" si="1342"/>
        <v>59637.1</v>
      </c>
      <c r="AVO440" s="699">
        <f t="shared" si="1343"/>
        <v>18010.400000000001</v>
      </c>
      <c r="AVP440" s="699">
        <f t="shared" si="1344"/>
        <v>650</v>
      </c>
      <c r="AVQ440" s="699">
        <f t="shared" si="1345"/>
        <v>217632</v>
      </c>
    </row>
    <row r="441" spans="1:86 1244:1265" s="608" customFormat="1" ht="30" customHeight="1" x14ac:dyDescent="0.25">
      <c r="A441" s="634">
        <v>2</v>
      </c>
      <c r="B441" s="634">
        <v>31</v>
      </c>
      <c r="C441" s="661" t="s">
        <v>475</v>
      </c>
      <c r="D441" s="2"/>
      <c r="E441" s="600"/>
      <c r="F441" s="634" t="s">
        <v>40</v>
      </c>
      <c r="G441" s="634">
        <v>4</v>
      </c>
      <c r="H441" s="611" t="s">
        <v>10</v>
      </c>
      <c r="I441" s="634">
        <v>0</v>
      </c>
      <c r="J441" s="600" t="s">
        <v>410</v>
      </c>
      <c r="K441" s="634">
        <v>3</v>
      </c>
      <c r="L441" s="685"/>
      <c r="M441" s="603" t="s">
        <v>317</v>
      </c>
      <c r="N441" s="600" t="s">
        <v>411</v>
      </c>
      <c r="O441" s="634">
        <v>1</v>
      </c>
      <c r="P441" s="634">
        <v>17</v>
      </c>
      <c r="Q441" s="634">
        <v>17</v>
      </c>
      <c r="R441" s="634">
        <v>17</v>
      </c>
      <c r="S441" s="675">
        <f>SUMIF('Территориальный кк'!$A:$A,'2020'!$B441,'Территориальный кк'!F:F)</f>
        <v>1.59</v>
      </c>
      <c r="T441" s="675">
        <f>SUMIF('Территориальный кк'!$A:$A,'2020'!$B441,'Территориальный кк'!G:G)</f>
        <v>3.3929999999999998</v>
      </c>
      <c r="U441" s="618">
        <f>SUMIFS(Нормативы!G:G,Нормативы!$B:$B,$G441,Нормативы!$D:$D,'2020'!$I441,Нормативы!$F:$F,'2020'!$K441)*O441</f>
        <v>22310</v>
      </c>
      <c r="V441" s="618">
        <f t="shared" ref="V441" si="1346">ROUND(U441/1.302,1)</f>
        <v>17135.2</v>
      </c>
      <c r="W441" s="618">
        <f t="shared" ref="W441" si="1347">U441-V441</f>
        <v>5174.8</v>
      </c>
      <c r="X441" s="618">
        <f>SUMIFS(Нормативы!J:J,Нормативы!$B:$B,$G441,Нормативы!$D:$D,'2020'!$I441,Нормативы!$F:$F,'2020'!$K441)</f>
        <v>1910</v>
      </c>
      <c r="Y441" s="618">
        <f>SUMIFS(Нормативы!K:K,Нормативы!$B:$B,$G441,Нормативы!$D:$D,'2020'!$I441,Нормативы!$F:$F,'2020'!$K441)</f>
        <v>382</v>
      </c>
      <c r="Z441" s="618">
        <f>SUMIFS(Нормативы!L:L,Нормативы!$B:$B,$G441,Нормативы!$D:$D,'2020'!$I441,Нормативы!$F:$F,'2020'!$K441)</f>
        <v>3970</v>
      </c>
      <c r="AA441" s="618">
        <f t="shared" ref="AA441" si="1348">AB441+AC441+AD441+AE441</f>
        <v>13670</v>
      </c>
      <c r="AB441" s="618">
        <f>SUMIFS(Нормативы!N:N,Нормативы!$B:$B,$G441,Нормативы!$D:$D,'2020'!$I441,Нормативы!$F:$F,'2020'!$K441)*O441</f>
        <v>460</v>
      </c>
      <c r="AC441" s="618">
        <f>SUMIFS(Нормативы!O:O,Нормативы!$B:$B,$G441,Нормативы!$D:$D,'2020'!$I441,Нормативы!$F:$F,'2020'!$K441)</f>
        <v>9200</v>
      </c>
      <c r="AD441" s="618">
        <f>SUMIFS(Нормативы!P:P,Нормативы!$B:$B,$G441,Нормативы!$D:$D,'2020'!$I441,Нормативы!$F:$F,'2020'!$K441)*O441</f>
        <v>3270</v>
      </c>
      <c r="AE441" s="618">
        <f>SUMIFS(Нормативы!Q:Q,Нормативы!$B:$B,$G441,Нормативы!$D:$D,'2020'!$I441,Нормативы!$F:$F,'2020'!$K441)</f>
        <v>740</v>
      </c>
      <c r="AF441" s="618">
        <f>SUMIFS(Нормативы!R:R,Нормативы!$B:$B,$G441,Нормативы!$D:$D,'2020'!$I441,Нормативы!$F:$F,'2020'!$K441)</f>
        <v>2120</v>
      </c>
      <c r="AG441" s="618">
        <f>SUMIFS(Нормативы!S:S,Нормативы!$B:$B,$G441,Нормативы!$D:$D,'2020'!$I441,Нормативы!$F:$F,'2020'!$K441)</f>
        <v>8620</v>
      </c>
      <c r="AH441" s="618">
        <f>SUMIFS(Нормативы!T:T,Нормативы!$B:$B,$G441,Нормативы!$D:$D,'2020'!$I441,Нормативы!$F:$F,'2020'!$K441)</f>
        <v>310</v>
      </c>
      <c r="AI441" s="618">
        <f>SUMIFS(Нормативы!U:U,Нормативы!$B:$B,$G441,Нормативы!$D:$D,'2020'!$I441,Нормативы!$F:$F,'2020'!$K441)</f>
        <v>1240</v>
      </c>
      <c r="AJ441" s="618">
        <f>SUMIFS(Нормативы!V:V,Нормативы!$B:$B,$G441,Нормативы!$D:$D,'2020'!$I441,Нормативы!$F:$F,'2020'!$K441)</f>
        <v>50</v>
      </c>
      <c r="AK441" s="618">
        <f>SUMIFS(Нормативы!W:W,Нормативы!$B:$B,$G441,Нормативы!$D:$D,'2020'!$I441,Нормативы!$F:$F,'2020'!$K441)</f>
        <v>2570</v>
      </c>
      <c r="AL441" s="618">
        <f>SUMIFS(Нормативы!X:X,Нормативы!$B:$B,$G441,Нормативы!$D:$D,'2020'!$I441,Нормативы!$F:$F,'2020'!$K441)*O441</f>
        <v>17850</v>
      </c>
      <c r="AM441" s="618">
        <f t="shared" ref="AM441" si="1349">ROUND(AL441/1.302,1)</f>
        <v>13709.7</v>
      </c>
      <c r="AN441" s="618">
        <f t="shared" ref="AN441" si="1350">AL441-AM441</f>
        <v>4140.3</v>
      </c>
      <c r="AO441" s="618">
        <f>SUMIFS(Нормативы!AA:AA,Нормативы!$B:$B,$G441,Нормативы!$D:$D,'2020'!$I441,Нормативы!$F:$F,'2020'!$K441)</f>
        <v>650</v>
      </c>
      <c r="AP441" s="619">
        <f t="shared" ref="AP441" si="1351">U441+X441+Z441+AA441++AF441+AG441+AH441+AI441+AJ441+AK441+AL441+AO441</f>
        <v>75270</v>
      </c>
      <c r="AQ441" s="611">
        <f t="shared" si="1301"/>
        <v>379270</v>
      </c>
      <c r="AR441" s="622">
        <f t="shared" si="1247"/>
        <v>291298</v>
      </c>
      <c r="AS441" s="622">
        <f t="shared" si="1248"/>
        <v>87972</v>
      </c>
      <c r="AT441" s="611">
        <f t="shared" si="1302"/>
        <v>32470</v>
      </c>
      <c r="AU441" s="611">
        <f t="shared" si="1303"/>
        <v>6494</v>
      </c>
      <c r="AV441" s="611">
        <f t="shared" si="1304"/>
        <v>67490</v>
      </c>
      <c r="AW441" s="611">
        <f t="shared" si="1305"/>
        <v>232390</v>
      </c>
      <c r="AX441" s="611">
        <f t="shared" si="1306"/>
        <v>7820</v>
      </c>
      <c r="AY441" s="611">
        <f t="shared" si="1307"/>
        <v>156400</v>
      </c>
      <c r="AZ441" s="611">
        <f t="shared" si="1308"/>
        <v>55590</v>
      </c>
      <c r="BA441" s="611">
        <f t="shared" si="1309"/>
        <v>12580</v>
      </c>
      <c r="BB441" s="611">
        <f t="shared" si="1310"/>
        <v>36040</v>
      </c>
      <c r="BC441" s="611">
        <f t="shared" si="1311"/>
        <v>146540</v>
      </c>
      <c r="BD441" s="611">
        <f t="shared" si="1312"/>
        <v>5270</v>
      </c>
      <c r="BE441" s="611">
        <f t="shared" si="1313"/>
        <v>21080</v>
      </c>
      <c r="BF441" s="611">
        <f t="shared" si="1314"/>
        <v>850</v>
      </c>
      <c r="BG441" s="611">
        <f t="shared" si="1315"/>
        <v>43690</v>
      </c>
      <c r="BH441" s="614">
        <f t="shared" si="1316"/>
        <v>303450</v>
      </c>
      <c r="BI441" s="622">
        <f t="shared" si="1249"/>
        <v>233064.5</v>
      </c>
      <c r="BJ441" s="622">
        <f t="shared" si="1250"/>
        <v>70385.5</v>
      </c>
      <c r="BK441" s="611">
        <f t="shared" si="1251"/>
        <v>11050</v>
      </c>
      <c r="BL441" s="623">
        <f t="shared" si="1317"/>
        <v>1279590</v>
      </c>
      <c r="BM441" s="616">
        <f t="shared" si="1318"/>
        <v>603039</v>
      </c>
      <c r="BN441" s="618">
        <f t="shared" si="1252"/>
        <v>463163.6</v>
      </c>
      <c r="BO441" s="618">
        <f t="shared" si="1253"/>
        <v>139875.4</v>
      </c>
      <c r="BP441" s="616">
        <f t="shared" si="1254"/>
        <v>32470</v>
      </c>
      <c r="BQ441" s="616">
        <f t="shared" si="1328"/>
        <v>6494</v>
      </c>
      <c r="BR441" s="616">
        <f t="shared" si="1255"/>
        <v>67490</v>
      </c>
      <c r="BS441" s="616">
        <f t="shared" si="1256"/>
        <v>232390</v>
      </c>
      <c r="BT441" s="611"/>
      <c r="BU441" s="611"/>
      <c r="BV441" s="611"/>
      <c r="BW441" s="611"/>
      <c r="BX441" s="616">
        <f t="shared" si="1319"/>
        <v>122284</v>
      </c>
      <c r="BY441" s="614">
        <f t="shared" si="1261"/>
        <v>146540</v>
      </c>
      <c r="BZ441" s="614">
        <f t="shared" si="1262"/>
        <v>5270</v>
      </c>
      <c r="CA441" s="614">
        <f t="shared" si="1263"/>
        <v>21080</v>
      </c>
      <c r="CB441" s="614">
        <f t="shared" si="1264"/>
        <v>850</v>
      </c>
      <c r="CC441" s="614">
        <f t="shared" si="1265"/>
        <v>43690</v>
      </c>
      <c r="CD441" s="614">
        <f t="shared" si="1320"/>
        <v>482486</v>
      </c>
      <c r="CE441" s="622">
        <f t="shared" si="1266"/>
        <v>370573</v>
      </c>
      <c r="CF441" s="622">
        <f t="shared" si="1267"/>
        <v>111913</v>
      </c>
      <c r="CG441" s="614">
        <f t="shared" si="1268"/>
        <v>11050</v>
      </c>
      <c r="CH441" s="623">
        <f t="shared" si="1321"/>
        <v>1768639</v>
      </c>
      <c r="AUV441" s="699">
        <f t="shared" si="1184"/>
        <v>35472.879999999997</v>
      </c>
      <c r="AUW441" s="699">
        <f t="shared" si="1185"/>
        <v>27244.92</v>
      </c>
      <c r="AUX441" s="699">
        <f t="shared" si="1186"/>
        <v>8227.9599999999991</v>
      </c>
      <c r="AUY441" s="699">
        <f t="shared" si="1329"/>
        <v>1910</v>
      </c>
      <c r="AUZ441" s="699">
        <v>0</v>
      </c>
      <c r="AVA441" s="699">
        <f t="shared" si="1204"/>
        <v>3.03</v>
      </c>
      <c r="AVB441" s="699">
        <f t="shared" si="1330"/>
        <v>0</v>
      </c>
      <c r="AVC441" s="699">
        <f t="shared" si="1331"/>
        <v>0</v>
      </c>
      <c r="AVD441" s="699">
        <f t="shared" si="1332"/>
        <v>0</v>
      </c>
      <c r="AVE441" s="699">
        <f t="shared" si="1333"/>
        <v>0</v>
      </c>
      <c r="AVF441" s="699">
        <f t="shared" si="1334"/>
        <v>0</v>
      </c>
      <c r="AVG441" s="699">
        <f t="shared" si="1335"/>
        <v>7193.18</v>
      </c>
      <c r="AVH441" s="699">
        <f t="shared" si="1336"/>
        <v>8620</v>
      </c>
      <c r="AVI441" s="699">
        <f t="shared" si="1337"/>
        <v>310</v>
      </c>
      <c r="AVJ441" s="699">
        <f t="shared" si="1338"/>
        <v>1240</v>
      </c>
      <c r="AVK441" s="699">
        <f t="shared" si="1339"/>
        <v>50</v>
      </c>
      <c r="AVL441" s="699">
        <f t="shared" si="1340"/>
        <v>2570</v>
      </c>
      <c r="AVM441" s="699">
        <f t="shared" si="1341"/>
        <v>28381.53</v>
      </c>
      <c r="AVN441" s="699">
        <f t="shared" si="1342"/>
        <v>21798.41</v>
      </c>
      <c r="AVO441" s="699">
        <f t="shared" si="1343"/>
        <v>6583.12</v>
      </c>
      <c r="AVP441" s="699">
        <f t="shared" si="1344"/>
        <v>650</v>
      </c>
      <c r="AVQ441" s="699">
        <f t="shared" si="1345"/>
        <v>104037.59</v>
      </c>
    </row>
    <row r="442" spans="1:86 1244:1265" ht="30" customHeight="1" x14ac:dyDescent="0.25">
      <c r="A442" s="643">
        <v>2</v>
      </c>
      <c r="B442" s="643">
        <v>25</v>
      </c>
      <c r="C442" s="643" t="s">
        <v>419</v>
      </c>
      <c r="D442" s="2"/>
      <c r="E442" s="2"/>
      <c r="F442" s="643" t="s">
        <v>40</v>
      </c>
      <c r="G442" s="643">
        <v>4</v>
      </c>
      <c r="H442" s="413" t="s">
        <v>10</v>
      </c>
      <c r="I442" s="643">
        <v>0</v>
      </c>
      <c r="J442" s="2" t="s">
        <v>410</v>
      </c>
      <c r="K442" s="643">
        <v>3</v>
      </c>
      <c r="L442" s="684"/>
      <c r="M442" s="3" t="s">
        <v>317</v>
      </c>
      <c r="N442" s="2" t="s">
        <v>411</v>
      </c>
      <c r="O442" s="643">
        <v>1</v>
      </c>
      <c r="P442" s="635">
        <v>260</v>
      </c>
      <c r="Q442" s="635">
        <v>260</v>
      </c>
      <c r="R442" s="635">
        <v>260</v>
      </c>
      <c r="S442" s="675">
        <f>SUMIF('Территориальный кк'!$A:$A,'2020'!$B442,'Территориальный кк'!F:F)</f>
        <v>1.427</v>
      </c>
      <c r="T442" s="675">
        <f>SUMIF('Территориальный кк'!$A:$A,'2020'!$B442,'Территориальный кк'!G:G)</f>
        <v>2.6659999999999999</v>
      </c>
      <c r="U442" s="618">
        <f>SUMIFS(Нормативы!G:G,Нормативы!$B:$B,$G442,Нормативы!$D:$D,'2020'!$I442,Нормативы!$F:$F,'2020'!$K442)*O442</f>
        <v>22310</v>
      </c>
      <c r="V442" s="618">
        <f t="shared" si="1322"/>
        <v>17135.2</v>
      </c>
      <c r="W442" s="618">
        <f t="shared" si="1323"/>
        <v>5174.8</v>
      </c>
      <c r="X442" s="618">
        <f>SUMIFS(Нормативы!J:J,Нормативы!$B:$B,$G442,Нормативы!$D:$D,'2020'!$I442,Нормативы!$F:$F,'2020'!$K442)</f>
        <v>1910</v>
      </c>
      <c r="Y442" s="618">
        <f>SUMIFS(Нормативы!K:K,Нормативы!$B:$B,$G442,Нормативы!$D:$D,'2020'!$I442,Нормативы!$F:$F,'2020'!$K442)</f>
        <v>382</v>
      </c>
      <c r="Z442" s="618">
        <f>SUMIFS(Нормативы!L:L,Нормативы!$B:$B,$G442,Нормативы!$D:$D,'2020'!$I442,Нормативы!$F:$F,'2020'!$K442)</f>
        <v>3970</v>
      </c>
      <c r="AA442" s="618">
        <f t="shared" si="1324"/>
        <v>13670</v>
      </c>
      <c r="AB442" s="618">
        <f>SUMIFS(Нормативы!N:N,Нормативы!$B:$B,$G442,Нормативы!$D:$D,'2020'!$I442,Нормативы!$F:$F,'2020'!$K442)*O442</f>
        <v>460</v>
      </c>
      <c r="AC442" s="618">
        <f>SUMIFS(Нормативы!O:O,Нормативы!$B:$B,$G442,Нормативы!$D:$D,'2020'!$I442,Нормативы!$F:$F,'2020'!$K442)</f>
        <v>9200</v>
      </c>
      <c r="AD442" s="618">
        <f>SUMIFS(Нормативы!P:P,Нормативы!$B:$B,$G442,Нормативы!$D:$D,'2020'!$I442,Нормативы!$F:$F,'2020'!$K442)*O442</f>
        <v>3270</v>
      </c>
      <c r="AE442" s="618">
        <f>SUMIFS(Нормативы!Q:Q,Нормативы!$B:$B,$G442,Нормативы!$D:$D,'2020'!$I442,Нормативы!$F:$F,'2020'!$K442)</f>
        <v>740</v>
      </c>
      <c r="AF442" s="618">
        <f>SUMIFS(Нормативы!R:R,Нормативы!$B:$B,$G442,Нормативы!$D:$D,'2020'!$I442,Нормативы!$F:$F,'2020'!$K442)</f>
        <v>2120</v>
      </c>
      <c r="AG442" s="618">
        <f>SUMIFS(Нормативы!S:S,Нормативы!$B:$B,$G442,Нормативы!$D:$D,'2020'!$I442,Нормативы!$F:$F,'2020'!$K442)</f>
        <v>8620</v>
      </c>
      <c r="AH442" s="618">
        <f>SUMIFS(Нормативы!T:T,Нормативы!$B:$B,$G442,Нормативы!$D:$D,'2020'!$I442,Нормативы!$F:$F,'2020'!$K442)</f>
        <v>310</v>
      </c>
      <c r="AI442" s="618">
        <f>SUMIFS(Нормативы!U:U,Нормативы!$B:$B,$G442,Нормативы!$D:$D,'2020'!$I442,Нормативы!$F:$F,'2020'!$K442)</f>
        <v>1240</v>
      </c>
      <c r="AJ442" s="618">
        <f>SUMIFS(Нормативы!V:V,Нормативы!$B:$B,$G442,Нормативы!$D:$D,'2020'!$I442,Нормативы!$F:$F,'2020'!$K442)</f>
        <v>50</v>
      </c>
      <c r="AK442" s="618">
        <f>SUMIFS(Нормативы!W:W,Нормативы!$B:$B,$G442,Нормативы!$D:$D,'2020'!$I442,Нормативы!$F:$F,'2020'!$K442)</f>
        <v>2570</v>
      </c>
      <c r="AL442" s="618">
        <f>SUMIFS(Нормативы!X:X,Нормативы!$B:$B,$G442,Нормативы!$D:$D,'2020'!$I442,Нормативы!$F:$F,'2020'!$K442)*O442</f>
        <v>17850</v>
      </c>
      <c r="AM442" s="618">
        <f t="shared" si="1325"/>
        <v>13709.7</v>
      </c>
      <c r="AN442" s="618">
        <f t="shared" si="1326"/>
        <v>4140.3</v>
      </c>
      <c r="AO442" s="618">
        <f>SUMIFS(Нормативы!AA:AA,Нормативы!$B:$B,$G442,Нормативы!$D:$D,'2020'!$I442,Нормативы!$F:$F,'2020'!$K442)</f>
        <v>650</v>
      </c>
      <c r="AP442" s="619">
        <f t="shared" si="1327"/>
        <v>75270</v>
      </c>
      <c r="AQ442" s="413">
        <f t="shared" si="1301"/>
        <v>5800600</v>
      </c>
      <c r="AR442" s="618">
        <f t="shared" si="1247"/>
        <v>4455145.9000000004</v>
      </c>
      <c r="AS442" s="618">
        <f t="shared" si="1248"/>
        <v>1345454.1</v>
      </c>
      <c r="AT442" s="616">
        <f t="shared" si="1302"/>
        <v>496600</v>
      </c>
      <c r="AU442" s="616">
        <f t="shared" si="1303"/>
        <v>99320</v>
      </c>
      <c r="AV442" s="616">
        <f t="shared" si="1304"/>
        <v>1032200</v>
      </c>
      <c r="AW442" s="616">
        <f t="shared" si="1305"/>
        <v>3554200</v>
      </c>
      <c r="AX442" s="616">
        <f t="shared" si="1306"/>
        <v>119600</v>
      </c>
      <c r="AY442" s="616">
        <f t="shared" si="1307"/>
        <v>2392000</v>
      </c>
      <c r="AZ442" s="616">
        <f t="shared" si="1308"/>
        <v>850200</v>
      </c>
      <c r="BA442" s="616">
        <f t="shared" si="1309"/>
        <v>192400</v>
      </c>
      <c r="BB442" s="616">
        <f t="shared" si="1310"/>
        <v>551200</v>
      </c>
      <c r="BC442" s="616">
        <f t="shared" si="1311"/>
        <v>2241200</v>
      </c>
      <c r="BD442" s="616">
        <f t="shared" si="1312"/>
        <v>80600</v>
      </c>
      <c r="BE442" s="616">
        <f t="shared" si="1313"/>
        <v>322400</v>
      </c>
      <c r="BF442" s="616">
        <f t="shared" si="1314"/>
        <v>13000</v>
      </c>
      <c r="BG442" s="616">
        <f t="shared" si="1315"/>
        <v>668200</v>
      </c>
      <c r="BH442" s="616">
        <f t="shared" si="1316"/>
        <v>4641000</v>
      </c>
      <c r="BI442" s="618">
        <f t="shared" si="1249"/>
        <v>3564516.1</v>
      </c>
      <c r="BJ442" s="618">
        <f t="shared" si="1250"/>
        <v>1076483.8999999999</v>
      </c>
      <c r="BK442" s="616">
        <f t="shared" si="1251"/>
        <v>169000</v>
      </c>
      <c r="BL442" s="619">
        <f t="shared" si="1317"/>
        <v>19570200</v>
      </c>
      <c r="BM442" s="616">
        <f t="shared" si="1318"/>
        <v>8277456</v>
      </c>
      <c r="BN442" s="618">
        <f t="shared" si="1252"/>
        <v>6357493.0999999996</v>
      </c>
      <c r="BO442" s="618">
        <f t="shared" si="1253"/>
        <v>1919962.9</v>
      </c>
      <c r="BP442" s="616">
        <f t="shared" si="1254"/>
        <v>496600</v>
      </c>
      <c r="BQ442" s="616">
        <f t="shared" si="1328"/>
        <v>99320</v>
      </c>
      <c r="BR442" s="616">
        <f t="shared" si="1255"/>
        <v>1032200</v>
      </c>
      <c r="BS442" s="616">
        <f t="shared" si="1256"/>
        <v>3554200</v>
      </c>
      <c r="BT442" s="413"/>
      <c r="BU442" s="413"/>
      <c r="BV442" s="413"/>
      <c r="BW442" s="413"/>
      <c r="BX442" s="616">
        <f t="shared" si="1319"/>
        <v>1469499</v>
      </c>
      <c r="BY442" s="616">
        <f t="shared" si="1261"/>
        <v>2241200</v>
      </c>
      <c r="BZ442" s="616">
        <f t="shared" si="1262"/>
        <v>80600</v>
      </c>
      <c r="CA442" s="616">
        <f t="shared" si="1263"/>
        <v>322400</v>
      </c>
      <c r="CB442" s="616">
        <f t="shared" si="1264"/>
        <v>13000</v>
      </c>
      <c r="CC442" s="616">
        <f t="shared" si="1265"/>
        <v>668200</v>
      </c>
      <c r="CD442" s="616">
        <f t="shared" si="1320"/>
        <v>6622707</v>
      </c>
      <c r="CE442" s="618">
        <f t="shared" si="1266"/>
        <v>5086564.5</v>
      </c>
      <c r="CF442" s="618">
        <f t="shared" si="1267"/>
        <v>1536142.5</v>
      </c>
      <c r="CG442" s="616">
        <f t="shared" si="1268"/>
        <v>169000</v>
      </c>
      <c r="CH442" s="619">
        <f t="shared" si="1321"/>
        <v>24947062</v>
      </c>
      <c r="AUV442" s="699">
        <f t="shared" si="1184"/>
        <v>31836.37</v>
      </c>
      <c r="AUW442" s="699">
        <f t="shared" si="1185"/>
        <v>24451.9</v>
      </c>
      <c r="AUX442" s="699">
        <f t="shared" si="1186"/>
        <v>7384.47</v>
      </c>
      <c r="AUY442" s="699">
        <f t="shared" si="1329"/>
        <v>1910</v>
      </c>
      <c r="AUZ442" s="699">
        <f t="shared" si="1204"/>
        <v>37254.31</v>
      </c>
      <c r="AVA442" s="699">
        <f t="shared" si="1204"/>
        <v>46.27</v>
      </c>
      <c r="AVB442" s="699">
        <f t="shared" si="1330"/>
        <v>0</v>
      </c>
      <c r="AVC442" s="699">
        <f t="shared" si="1331"/>
        <v>0</v>
      </c>
      <c r="AVD442" s="699">
        <f t="shared" si="1332"/>
        <v>0</v>
      </c>
      <c r="AVE442" s="699">
        <f t="shared" si="1333"/>
        <v>0</v>
      </c>
      <c r="AVF442" s="699">
        <f t="shared" si="1334"/>
        <v>0</v>
      </c>
      <c r="AVG442" s="699">
        <f t="shared" si="1335"/>
        <v>5651.92</v>
      </c>
      <c r="AVH442" s="699">
        <f t="shared" si="1336"/>
        <v>8620</v>
      </c>
      <c r="AVI442" s="699">
        <f t="shared" si="1337"/>
        <v>310</v>
      </c>
      <c r="AVJ442" s="699">
        <f t="shared" si="1338"/>
        <v>1240</v>
      </c>
      <c r="AVK442" s="699">
        <f t="shared" si="1339"/>
        <v>50</v>
      </c>
      <c r="AVL442" s="699">
        <f t="shared" si="1340"/>
        <v>2570</v>
      </c>
      <c r="AVM442" s="699">
        <f t="shared" si="1341"/>
        <v>25471.95</v>
      </c>
      <c r="AVN442" s="699">
        <f t="shared" si="1342"/>
        <v>19563.71</v>
      </c>
      <c r="AVO442" s="699">
        <f t="shared" si="1343"/>
        <v>5908.24</v>
      </c>
      <c r="AVP442" s="699">
        <f t="shared" si="1344"/>
        <v>650</v>
      </c>
      <c r="AVQ442" s="699">
        <f t="shared" si="1345"/>
        <v>95950.24</v>
      </c>
    </row>
    <row r="443" spans="1:86 1244:1265" ht="30" customHeight="1" x14ac:dyDescent="0.25">
      <c r="A443" s="643">
        <v>2</v>
      </c>
      <c r="B443" s="643">
        <v>25</v>
      </c>
      <c r="C443" s="643" t="s">
        <v>419</v>
      </c>
      <c r="D443" s="2"/>
      <c r="E443" s="2"/>
      <c r="F443" s="643" t="s">
        <v>40</v>
      </c>
      <c r="G443" s="643">
        <v>4</v>
      </c>
      <c r="H443" s="413" t="s">
        <v>418</v>
      </c>
      <c r="I443" s="643">
        <v>30</v>
      </c>
      <c r="J443" s="2" t="s">
        <v>410</v>
      </c>
      <c r="K443" s="643">
        <v>3</v>
      </c>
      <c r="L443" s="686"/>
      <c r="M443" s="3" t="s">
        <v>417</v>
      </c>
      <c r="N443" s="2" t="s">
        <v>411</v>
      </c>
      <c r="O443" s="643">
        <v>1</v>
      </c>
      <c r="P443" s="635">
        <v>50</v>
      </c>
      <c r="Q443" s="635">
        <v>50</v>
      </c>
      <c r="R443" s="635">
        <v>50</v>
      </c>
      <c r="S443" s="675">
        <f>SUMIF('Территориальный кк'!$A:$A,'2020'!$B443,'Территориальный кк'!F:F)</f>
        <v>1.427</v>
      </c>
      <c r="T443" s="675">
        <f>SUMIF('Территориальный кк'!$A:$A,'2020'!$B443,'Территориальный кк'!G:G)</f>
        <v>2.6659999999999999</v>
      </c>
      <c r="U443" s="618">
        <f>SUMIFS(Нормативы!G:G,Нормативы!$B:$B,$G443,Нормативы!$D:$D,'2020'!$I443,Нормативы!$F:$F,'2020'!$K443)*O443</f>
        <v>5578</v>
      </c>
      <c r="V443" s="618">
        <f t="shared" si="1322"/>
        <v>4284.2</v>
      </c>
      <c r="W443" s="618">
        <f t="shared" si="1323"/>
        <v>1293.8</v>
      </c>
      <c r="X443" s="618">
        <f>SUMIFS(Нормативы!J:J,Нормативы!$B:$B,$G443,Нормативы!$D:$D,'2020'!$I443,Нормативы!$F:$F,'2020'!$K443)</f>
        <v>478</v>
      </c>
      <c r="Y443" s="618">
        <f>SUMIFS(Нормативы!K:K,Нормативы!$B:$B,$G443,Нормативы!$D:$D,'2020'!$I443,Нормативы!$F:$F,'2020'!$K443)</f>
        <v>96</v>
      </c>
      <c r="Z443" s="618">
        <f>SUMIFS(Нормативы!L:L,Нормативы!$B:$B,$G443,Нормативы!$D:$D,'2020'!$I443,Нормативы!$F:$F,'2020'!$K443)</f>
        <v>993</v>
      </c>
      <c r="AA443" s="618">
        <f t="shared" si="1324"/>
        <v>3418</v>
      </c>
      <c r="AB443" s="618">
        <f>SUMIFS(Нормативы!N:N,Нормативы!$B:$B,$G443,Нормативы!$D:$D,'2020'!$I443,Нормативы!$F:$F,'2020'!$K443)*O443</f>
        <v>115</v>
      </c>
      <c r="AC443" s="618">
        <f>SUMIFS(Нормативы!O:O,Нормативы!$B:$B,$G443,Нормативы!$D:$D,'2020'!$I443,Нормативы!$F:$F,'2020'!$K443)</f>
        <v>2300</v>
      </c>
      <c r="AD443" s="618">
        <f>SUMIFS(Нормативы!P:P,Нормативы!$B:$B,$G443,Нормативы!$D:$D,'2020'!$I443,Нормативы!$F:$F,'2020'!$K443)*O443</f>
        <v>818</v>
      </c>
      <c r="AE443" s="618">
        <f>SUMIFS(Нормативы!Q:Q,Нормативы!$B:$B,$G443,Нормативы!$D:$D,'2020'!$I443,Нормативы!$F:$F,'2020'!$K443)</f>
        <v>185</v>
      </c>
      <c r="AF443" s="618">
        <f>SUMIFS(Нормативы!R:R,Нормативы!$B:$B,$G443,Нормативы!$D:$D,'2020'!$I443,Нормативы!$F:$F,'2020'!$K443)</f>
        <v>530</v>
      </c>
      <c r="AG443" s="618">
        <f>SUMIFS(Нормативы!S:S,Нормативы!$B:$B,$G443,Нормативы!$D:$D,'2020'!$I443,Нормативы!$F:$F,'2020'!$K443)</f>
        <v>2155</v>
      </c>
      <c r="AH443" s="618">
        <f>SUMIFS(Нормативы!T:T,Нормативы!$B:$B,$G443,Нормативы!$D:$D,'2020'!$I443,Нормативы!$F:$F,'2020'!$K443)</f>
        <v>78</v>
      </c>
      <c r="AI443" s="618">
        <f>SUMIFS(Нормативы!U:U,Нормативы!$B:$B,$G443,Нормативы!$D:$D,'2020'!$I443,Нормативы!$F:$F,'2020'!$K443)</f>
        <v>310</v>
      </c>
      <c r="AJ443" s="618">
        <f>SUMIFS(Нормативы!V:V,Нормативы!$B:$B,$G443,Нормативы!$D:$D,'2020'!$I443,Нормативы!$F:$F,'2020'!$K443)</f>
        <v>13</v>
      </c>
      <c r="AK443" s="618">
        <f>SUMIFS(Нормативы!W:W,Нормативы!$B:$B,$G443,Нормативы!$D:$D,'2020'!$I443,Нормативы!$F:$F,'2020'!$K443)</f>
        <v>643</v>
      </c>
      <c r="AL443" s="618">
        <f>SUMIFS(Нормативы!X:X,Нормативы!$B:$B,$G443,Нормативы!$D:$D,'2020'!$I443,Нормативы!$F:$F,'2020'!$K443)*O443</f>
        <v>4463</v>
      </c>
      <c r="AM443" s="618">
        <f t="shared" si="1325"/>
        <v>3427.8</v>
      </c>
      <c r="AN443" s="618">
        <f t="shared" si="1326"/>
        <v>1035.2</v>
      </c>
      <c r="AO443" s="618">
        <f>SUMIFS(Нормативы!AA:AA,Нормативы!$B:$B,$G443,Нормативы!$D:$D,'2020'!$I443,Нормативы!$F:$F,'2020'!$K443)</f>
        <v>0</v>
      </c>
      <c r="AP443" s="619">
        <f t="shared" si="1327"/>
        <v>18659</v>
      </c>
      <c r="AQ443" s="413">
        <f t="shared" si="1301"/>
        <v>278900</v>
      </c>
      <c r="AR443" s="618">
        <f t="shared" si="1247"/>
        <v>214208.9</v>
      </c>
      <c r="AS443" s="618">
        <f t="shared" si="1248"/>
        <v>64691.1</v>
      </c>
      <c r="AT443" s="616">
        <f t="shared" si="1302"/>
        <v>23900</v>
      </c>
      <c r="AU443" s="616">
        <f t="shared" si="1303"/>
        <v>4800</v>
      </c>
      <c r="AV443" s="616">
        <f t="shared" si="1304"/>
        <v>49650</v>
      </c>
      <c r="AW443" s="616">
        <f t="shared" si="1305"/>
        <v>170900</v>
      </c>
      <c r="AX443" s="616">
        <f t="shared" si="1306"/>
        <v>5750</v>
      </c>
      <c r="AY443" s="616">
        <f t="shared" si="1307"/>
        <v>115000</v>
      </c>
      <c r="AZ443" s="616">
        <f t="shared" si="1308"/>
        <v>40900</v>
      </c>
      <c r="BA443" s="616">
        <f t="shared" si="1309"/>
        <v>9250</v>
      </c>
      <c r="BB443" s="616">
        <f t="shared" si="1310"/>
        <v>26500</v>
      </c>
      <c r="BC443" s="616">
        <f t="shared" si="1311"/>
        <v>107750</v>
      </c>
      <c r="BD443" s="616">
        <f t="shared" si="1312"/>
        <v>3900</v>
      </c>
      <c r="BE443" s="616">
        <f t="shared" si="1313"/>
        <v>15500</v>
      </c>
      <c r="BF443" s="616">
        <f t="shared" si="1314"/>
        <v>650</v>
      </c>
      <c r="BG443" s="616">
        <f t="shared" si="1315"/>
        <v>32150</v>
      </c>
      <c r="BH443" s="616">
        <f t="shared" si="1316"/>
        <v>223150</v>
      </c>
      <c r="BI443" s="618">
        <f t="shared" si="1249"/>
        <v>171390.2</v>
      </c>
      <c r="BJ443" s="618">
        <f t="shared" si="1250"/>
        <v>51759.8</v>
      </c>
      <c r="BK443" s="616">
        <f t="shared" si="1251"/>
        <v>0</v>
      </c>
      <c r="BL443" s="619">
        <f t="shared" si="1317"/>
        <v>932950</v>
      </c>
      <c r="BM443" s="616">
        <f t="shared" si="1318"/>
        <v>397990</v>
      </c>
      <c r="BN443" s="618">
        <f t="shared" si="1252"/>
        <v>305675.90000000002</v>
      </c>
      <c r="BO443" s="618">
        <f t="shared" si="1253"/>
        <v>92314.1</v>
      </c>
      <c r="BP443" s="616">
        <f t="shared" si="1254"/>
        <v>23900</v>
      </c>
      <c r="BQ443" s="616">
        <f t="shared" si="1328"/>
        <v>4800</v>
      </c>
      <c r="BR443" s="616">
        <f t="shared" si="1255"/>
        <v>49650</v>
      </c>
      <c r="BS443" s="616">
        <f t="shared" si="1256"/>
        <v>170900</v>
      </c>
      <c r="BT443" s="413"/>
      <c r="BU443" s="413"/>
      <c r="BV443" s="413"/>
      <c r="BW443" s="413"/>
      <c r="BX443" s="616">
        <f t="shared" si="1319"/>
        <v>70649</v>
      </c>
      <c r="BY443" s="616">
        <f t="shared" si="1261"/>
        <v>107750</v>
      </c>
      <c r="BZ443" s="616">
        <f t="shared" si="1262"/>
        <v>3900</v>
      </c>
      <c r="CA443" s="616">
        <f t="shared" si="1263"/>
        <v>15500</v>
      </c>
      <c r="CB443" s="616">
        <f t="shared" si="1264"/>
        <v>650</v>
      </c>
      <c r="CC443" s="616">
        <f t="shared" si="1265"/>
        <v>32150</v>
      </c>
      <c r="CD443" s="616">
        <f t="shared" si="1320"/>
        <v>318435</v>
      </c>
      <c r="CE443" s="618">
        <f t="shared" si="1266"/>
        <v>244573.7</v>
      </c>
      <c r="CF443" s="618">
        <f t="shared" si="1267"/>
        <v>73861.3</v>
      </c>
      <c r="CG443" s="616">
        <f t="shared" si="1268"/>
        <v>0</v>
      </c>
      <c r="CH443" s="619">
        <f t="shared" si="1321"/>
        <v>1191474</v>
      </c>
      <c r="AUV443" s="699">
        <f t="shared" si="1184"/>
        <v>7959.8</v>
      </c>
      <c r="AUW443" s="699">
        <f t="shared" si="1185"/>
        <v>6113.52</v>
      </c>
      <c r="AUX443" s="699">
        <f t="shared" si="1186"/>
        <v>1846.28</v>
      </c>
      <c r="AUY443" s="699">
        <f t="shared" si="1329"/>
        <v>478</v>
      </c>
      <c r="AUZ443" s="699">
        <f t="shared" si="1204"/>
        <v>1800.45</v>
      </c>
      <c r="AVA443" s="699">
        <f t="shared" si="1204"/>
        <v>8.9</v>
      </c>
      <c r="AVB443" s="699">
        <f t="shared" si="1330"/>
        <v>0</v>
      </c>
      <c r="AVC443" s="699">
        <f t="shared" si="1331"/>
        <v>0</v>
      </c>
      <c r="AVD443" s="699">
        <f t="shared" si="1332"/>
        <v>0</v>
      </c>
      <c r="AVE443" s="699">
        <f t="shared" si="1333"/>
        <v>0</v>
      </c>
      <c r="AVF443" s="699">
        <f t="shared" si="1334"/>
        <v>0</v>
      </c>
      <c r="AVG443" s="699">
        <f t="shared" si="1335"/>
        <v>1412.98</v>
      </c>
      <c r="AVH443" s="699">
        <f t="shared" si="1336"/>
        <v>2155</v>
      </c>
      <c r="AVI443" s="699">
        <f t="shared" si="1337"/>
        <v>78</v>
      </c>
      <c r="AVJ443" s="699">
        <f t="shared" si="1338"/>
        <v>310</v>
      </c>
      <c r="AVK443" s="699">
        <f t="shared" si="1339"/>
        <v>13</v>
      </c>
      <c r="AVL443" s="699">
        <f t="shared" si="1340"/>
        <v>643</v>
      </c>
      <c r="AVM443" s="699">
        <f t="shared" si="1341"/>
        <v>6368.7</v>
      </c>
      <c r="AVN443" s="699">
        <f t="shared" si="1342"/>
        <v>4891.47</v>
      </c>
      <c r="AVO443" s="699">
        <f t="shared" si="1343"/>
        <v>1477.23</v>
      </c>
      <c r="AVP443" s="699">
        <f t="shared" si="1344"/>
        <v>0</v>
      </c>
      <c r="AVQ443" s="699">
        <f t="shared" si="1345"/>
        <v>23829.48</v>
      </c>
    </row>
    <row r="444" spans="1:86 1244:1265" ht="30" customHeight="1" x14ac:dyDescent="0.25">
      <c r="A444" s="639">
        <v>1</v>
      </c>
      <c r="B444" s="649">
        <v>11</v>
      </c>
      <c r="C444" s="665" t="s">
        <v>26</v>
      </c>
      <c r="D444" s="399"/>
      <c r="E444" s="400" t="s">
        <v>345</v>
      </c>
      <c r="F444" s="644" t="s">
        <v>38</v>
      </c>
      <c r="G444" s="649">
        <v>2</v>
      </c>
      <c r="H444" s="659" t="s">
        <v>10</v>
      </c>
      <c r="I444" s="649">
        <v>0</v>
      </c>
      <c r="J444" s="400" t="s">
        <v>437</v>
      </c>
      <c r="K444" s="649">
        <v>2</v>
      </c>
      <c r="L444" s="687" t="s">
        <v>350</v>
      </c>
      <c r="M444" s="401" t="s">
        <v>436</v>
      </c>
      <c r="N444" s="400" t="s">
        <v>411</v>
      </c>
      <c r="O444" s="644">
        <v>1</v>
      </c>
      <c r="P444" s="632"/>
      <c r="Q444" s="632"/>
      <c r="R444" s="632"/>
      <c r="S444" s="675">
        <f>SUMIF('Территориальный кк'!$A:$A,'2020'!$B444,'Территориальный кк'!D:D)</f>
        <v>1.2470000000000001</v>
      </c>
      <c r="T444" s="676">
        <f>SUMIF('Территориальный кк'!$A:$A,'2020'!$B444,'Территориальный кк'!E:E)</f>
        <v>3.2010000000000001</v>
      </c>
      <c r="U444" s="618">
        <f>SUMIFS(Нормативы!G:G,Нормативы!$B:$B,$G444,Нормативы!$D:$D,'2020'!$I444,Нормативы!$F:$F,'2020'!$K444)*O444</f>
        <v>64720</v>
      </c>
      <c r="V444" s="618">
        <f t="shared" si="1322"/>
        <v>49708.1</v>
      </c>
      <c r="W444" s="618">
        <f t="shared" si="1323"/>
        <v>15011.9</v>
      </c>
      <c r="X444" s="618">
        <f>SUMIFS(Нормативы!J:J,Нормативы!$B:$B,$G444,Нормативы!$D:$D,'2020'!$I444,Нормативы!$F:$F,'2020'!$K444)</f>
        <v>1610</v>
      </c>
      <c r="Y444" s="618">
        <f>SUMIFS(Нормативы!K:K,Нормативы!$B:$B,$G444,Нормативы!$D:$D,'2020'!$I444,Нормативы!$F:$F,'2020'!$K444)</f>
        <v>322</v>
      </c>
      <c r="Z444" s="618">
        <f>SUMIFS(Нормативы!L:L,Нормативы!$B:$B,$G444,Нормативы!$D:$D,'2020'!$I444,Нормативы!$F:$F,'2020'!$K444)</f>
        <v>3480</v>
      </c>
      <c r="AA444" s="618">
        <f t="shared" si="1324"/>
        <v>10170</v>
      </c>
      <c r="AB444" s="618">
        <f>SUMIFS(Нормативы!N:N,Нормативы!$B:$B,$G444,Нормативы!$D:$D,'2020'!$I444,Нормативы!$F:$F,'2020'!$K444)*O444</f>
        <v>520</v>
      </c>
      <c r="AC444" s="618">
        <f>SUMIFS(Нормативы!O:O,Нормативы!$B:$B,$G444,Нормативы!$D:$D,'2020'!$I444,Нормативы!$F:$F,'2020'!$K444)</f>
        <v>8390</v>
      </c>
      <c r="AD444" s="618">
        <f>SUMIFS(Нормативы!P:P,Нормативы!$B:$B,$G444,Нормативы!$D:$D,'2020'!$I444,Нормативы!$F:$F,'2020'!$K444)*O444</f>
        <v>370</v>
      </c>
      <c r="AE444" s="618">
        <f>SUMIFS(Нормативы!Q:Q,Нормативы!$B:$B,$G444,Нормативы!$D:$D,'2020'!$I444,Нормативы!$F:$F,'2020'!$K444)</f>
        <v>890</v>
      </c>
      <c r="AF444" s="618">
        <f>SUMIFS(Нормативы!R:R,Нормативы!$B:$B,$G444,Нормативы!$D:$D,'2020'!$I444,Нормативы!$F:$F,'2020'!$K444)</f>
        <v>2680</v>
      </c>
      <c r="AG444" s="618">
        <f>SUMIFS(Нормативы!S:S,Нормативы!$B:$B,$G444,Нормативы!$D:$D,'2020'!$I444,Нормативы!$F:$F,'2020'!$K444)</f>
        <v>5800</v>
      </c>
      <c r="AH444" s="618">
        <f>SUMIFS(Нормативы!T:T,Нормативы!$B:$B,$G444,Нормативы!$D:$D,'2020'!$I444,Нормативы!$F:$F,'2020'!$K444)</f>
        <v>540</v>
      </c>
      <c r="AI444" s="618">
        <f>SUMIFS(Нормативы!U:U,Нормативы!$B:$B,$G444,Нормативы!$D:$D,'2020'!$I444,Нормативы!$F:$F,'2020'!$K444)</f>
        <v>770</v>
      </c>
      <c r="AJ444" s="618">
        <f>SUMIFS(Нормативы!V:V,Нормативы!$B:$B,$G444,Нормативы!$D:$D,'2020'!$I444,Нормативы!$F:$F,'2020'!$K444)</f>
        <v>80</v>
      </c>
      <c r="AK444" s="618">
        <f>SUMIFS(Нормативы!W:W,Нормативы!$B:$B,$G444,Нормативы!$D:$D,'2020'!$I444,Нормативы!$F:$F,'2020'!$K444)</f>
        <v>330</v>
      </c>
      <c r="AL444" s="618">
        <f>SUMIFS(Нормативы!X:X,Нормативы!$B:$B,$G444,Нормативы!$D:$D,'2020'!$I444,Нормативы!$F:$F,'2020'!$K444)*O444</f>
        <v>14780</v>
      </c>
      <c r="AM444" s="618">
        <f t="shared" si="1325"/>
        <v>11351.8</v>
      </c>
      <c r="AN444" s="618">
        <f t="shared" si="1326"/>
        <v>3428.2</v>
      </c>
      <c r="AO444" s="618">
        <f>SUMIFS(Нормативы!AA:AA,Нормативы!$B:$B,$G444,Нормативы!$D:$D,'2020'!$I444,Нормативы!$F:$F,'2020'!$K444)</f>
        <v>3520</v>
      </c>
      <c r="AP444" s="619">
        <f t="shared" si="1327"/>
        <v>108480</v>
      </c>
      <c r="AQ444" s="413">
        <f t="shared" si="1301"/>
        <v>0</v>
      </c>
      <c r="AR444" s="618">
        <f t="shared" ref="AR444:AR455" si="1352">ROUND(AQ444/1.302,1)</f>
        <v>0</v>
      </c>
      <c r="AS444" s="618">
        <f t="shared" ref="AS444:AS455" si="1353">AQ444-AR444</f>
        <v>0</v>
      </c>
      <c r="AT444" s="616">
        <f t="shared" si="1302"/>
        <v>0</v>
      </c>
      <c r="AU444" s="616">
        <f t="shared" si="1303"/>
        <v>0</v>
      </c>
      <c r="AV444" s="616">
        <f t="shared" si="1304"/>
        <v>0</v>
      </c>
      <c r="AW444" s="616">
        <f t="shared" si="1305"/>
        <v>0</v>
      </c>
      <c r="AX444" s="616">
        <f t="shared" si="1306"/>
        <v>0</v>
      </c>
      <c r="AY444" s="616">
        <f t="shared" si="1307"/>
        <v>0</v>
      </c>
      <c r="AZ444" s="616">
        <f t="shared" si="1308"/>
        <v>0</v>
      </c>
      <c r="BA444" s="616">
        <f t="shared" si="1309"/>
        <v>0</v>
      </c>
      <c r="BB444" s="616">
        <f t="shared" si="1310"/>
        <v>0</v>
      </c>
      <c r="BC444" s="616">
        <f t="shared" si="1311"/>
        <v>0</v>
      </c>
      <c r="BD444" s="616">
        <f t="shared" si="1312"/>
        <v>0</v>
      </c>
      <c r="BE444" s="616">
        <f t="shared" si="1313"/>
        <v>0</v>
      </c>
      <c r="BF444" s="616">
        <f t="shared" si="1314"/>
        <v>0</v>
      </c>
      <c r="BG444" s="616">
        <f t="shared" si="1315"/>
        <v>0</v>
      </c>
      <c r="BH444" s="616">
        <f t="shared" si="1316"/>
        <v>0</v>
      </c>
      <c r="BI444" s="618">
        <f t="shared" ref="BI444:BI455" si="1354">ROUND(BH444/1.302,1)</f>
        <v>0</v>
      </c>
      <c r="BJ444" s="618">
        <f t="shared" ref="BJ444:BJ455" si="1355">BH444-BI444</f>
        <v>0</v>
      </c>
      <c r="BK444" s="616">
        <f t="shared" ref="BK444:BK455" si="1356">ROUND($P444*AO444,0)</f>
        <v>0</v>
      </c>
      <c r="BL444" s="620">
        <f t="shared" si="1317"/>
        <v>0</v>
      </c>
      <c r="BM444" s="616">
        <f t="shared" si="1318"/>
        <v>0</v>
      </c>
      <c r="BN444" s="618">
        <f t="shared" ref="BN444:BN455" si="1357">ROUND(BM444/1.302,1)</f>
        <v>0</v>
      </c>
      <c r="BO444" s="618">
        <f t="shared" ref="BO444:BO455" si="1358">BM444-BN444</f>
        <v>0</v>
      </c>
      <c r="BP444" s="616">
        <f t="shared" ref="BP444:BP455" si="1359">AT444</f>
        <v>0</v>
      </c>
      <c r="BQ444" s="616">
        <f t="shared" si="1328"/>
        <v>0</v>
      </c>
      <c r="BR444" s="616">
        <f t="shared" ref="BR444:BR455" si="1360">AV444</f>
        <v>0</v>
      </c>
      <c r="BS444" s="616">
        <f t="shared" ref="BS444:BW455" si="1361">AW444</f>
        <v>0</v>
      </c>
      <c r="BT444" s="413"/>
      <c r="BU444" s="413"/>
      <c r="BV444" s="413"/>
      <c r="BW444" s="413"/>
      <c r="BX444" s="616">
        <f t="shared" si="1319"/>
        <v>0</v>
      </c>
      <c r="BY444" s="616">
        <f t="shared" ref="BY444:BY455" si="1362">BC444</f>
        <v>0</v>
      </c>
      <c r="BZ444" s="616">
        <f t="shared" ref="BZ444:BZ455" si="1363">BD444</f>
        <v>0</v>
      </c>
      <c r="CA444" s="616">
        <f t="shared" ref="CA444:CA455" si="1364">BE444</f>
        <v>0</v>
      </c>
      <c r="CB444" s="616">
        <f t="shared" ref="CB444:CB455" si="1365">BF444</f>
        <v>0</v>
      </c>
      <c r="CC444" s="616">
        <f t="shared" ref="CC444:CC455" si="1366">BG444</f>
        <v>0</v>
      </c>
      <c r="CD444" s="616">
        <f t="shared" si="1320"/>
        <v>0</v>
      </c>
      <c r="CE444" s="618">
        <f t="shared" ref="CE444:CE455" si="1367">ROUND(CD444/1.302,1)</f>
        <v>0</v>
      </c>
      <c r="CF444" s="618">
        <f t="shared" ref="CF444:CF455" si="1368">CD444-CE444</f>
        <v>0</v>
      </c>
      <c r="CG444" s="616">
        <f t="shared" ref="CG444:CG455" si="1369">BK444</f>
        <v>0</v>
      </c>
      <c r="CH444" s="621">
        <f t="shared" si="1321"/>
        <v>0</v>
      </c>
      <c r="AUV444" s="699">
        <v>0</v>
      </c>
      <c r="AUW444" s="699">
        <f t="shared" si="1185"/>
        <v>0</v>
      </c>
      <c r="AUX444" s="699">
        <f t="shared" si="1186"/>
        <v>0</v>
      </c>
      <c r="AUY444" s="699">
        <f t="shared" si="1204"/>
        <v>0</v>
      </c>
      <c r="AUZ444" s="699">
        <f t="shared" si="1204"/>
        <v>0</v>
      </c>
      <c r="AVA444" s="699">
        <f t="shared" si="1204"/>
        <v>0</v>
      </c>
      <c r="AVB444" s="699">
        <f t="shared" si="1204"/>
        <v>0</v>
      </c>
      <c r="AVC444" s="697"/>
      <c r="AVD444" s="697"/>
      <c r="AVE444" s="697"/>
      <c r="AVF444" s="697"/>
      <c r="AVG444" s="697"/>
      <c r="AVH444" s="697"/>
      <c r="AVI444" s="697"/>
      <c r="AVJ444" s="697"/>
      <c r="AVK444" s="697"/>
      <c r="AVL444" s="697"/>
      <c r="AVM444" s="697"/>
      <c r="AVN444" s="697"/>
      <c r="AVO444" s="697"/>
      <c r="AVP444" s="697"/>
      <c r="AVQ444" s="697"/>
    </row>
    <row r="445" spans="1:86 1244:1265" ht="30" customHeight="1" x14ac:dyDescent="0.25">
      <c r="A445" s="639">
        <v>1</v>
      </c>
      <c r="B445" s="649">
        <v>11</v>
      </c>
      <c r="C445" s="665" t="s">
        <v>26</v>
      </c>
      <c r="D445" s="399"/>
      <c r="E445" s="400" t="s">
        <v>345</v>
      </c>
      <c r="F445" s="644" t="s">
        <v>38</v>
      </c>
      <c r="G445" s="649">
        <v>2</v>
      </c>
      <c r="H445" s="659" t="s">
        <v>10</v>
      </c>
      <c r="I445" s="649">
        <v>0</v>
      </c>
      <c r="J445" s="400" t="s">
        <v>438</v>
      </c>
      <c r="K445" s="649">
        <v>3</v>
      </c>
      <c r="L445" s="687" t="s">
        <v>350</v>
      </c>
      <c r="M445" s="401" t="s">
        <v>270</v>
      </c>
      <c r="N445" s="400" t="s">
        <v>411</v>
      </c>
      <c r="O445" s="644">
        <v>1</v>
      </c>
      <c r="P445" s="632">
        <v>37</v>
      </c>
      <c r="Q445" s="632">
        <v>37</v>
      </c>
      <c r="R445" s="632">
        <v>37</v>
      </c>
      <c r="S445" s="675">
        <f>SUMIF('Территориальный кк'!$A:$A,'2020'!$B445,'Территориальный кк'!D:D)</f>
        <v>1.2470000000000001</v>
      </c>
      <c r="T445" s="676">
        <f>SUMIF('Территориальный кк'!$A:$A,'2020'!$B445,'Территориальный кк'!E:E)</f>
        <v>3.2010000000000001</v>
      </c>
      <c r="U445" s="618">
        <f>SUMIFS(Нормативы!G:G,Нормативы!$B:$B,$G445,Нормативы!$D:$D,'2020'!$I445,Нормативы!$F:$F,'2020'!$K445)*O445</f>
        <v>70600</v>
      </c>
      <c r="V445" s="618">
        <f t="shared" si="1322"/>
        <v>54224.3</v>
      </c>
      <c r="W445" s="618">
        <f t="shared" si="1323"/>
        <v>16375.7</v>
      </c>
      <c r="X445" s="618">
        <f>SUMIFS(Нормативы!J:J,Нормативы!$B:$B,$G445,Нормативы!$D:$D,'2020'!$I445,Нормативы!$F:$F,'2020'!$K445)</f>
        <v>8860</v>
      </c>
      <c r="Y445" s="618">
        <f>SUMIFS(Нормативы!K:K,Нормативы!$B:$B,$G445,Нормативы!$D:$D,'2020'!$I445,Нормативы!$F:$F,'2020'!$K445)</f>
        <v>0</v>
      </c>
      <c r="Z445" s="618">
        <f>SUMIFS(Нормативы!L:L,Нормативы!$B:$B,$G445,Нормативы!$D:$D,'2020'!$I445,Нормативы!$F:$F,'2020'!$K445)</f>
        <v>8110</v>
      </c>
      <c r="AA445" s="618">
        <f t="shared" si="1324"/>
        <v>21610</v>
      </c>
      <c r="AB445" s="618">
        <f>SUMIFS(Нормативы!N:N,Нормативы!$B:$B,$G445,Нормативы!$D:$D,'2020'!$I445,Нормативы!$F:$F,'2020'!$K445)*O445</f>
        <v>520</v>
      </c>
      <c r="AC445" s="618">
        <f>SUMIFS(Нормативы!O:O,Нормативы!$B:$B,$G445,Нормативы!$D:$D,'2020'!$I445,Нормативы!$F:$F,'2020'!$K445)</f>
        <v>19720</v>
      </c>
      <c r="AD445" s="618">
        <f>SUMIFS(Нормативы!P:P,Нормативы!$B:$B,$G445,Нормативы!$D:$D,'2020'!$I445,Нормативы!$F:$F,'2020'!$K445)*O445</f>
        <v>400</v>
      </c>
      <c r="AE445" s="618">
        <f>SUMIFS(Нормативы!Q:Q,Нормативы!$B:$B,$G445,Нормативы!$D:$D,'2020'!$I445,Нормативы!$F:$F,'2020'!$K445)</f>
        <v>970</v>
      </c>
      <c r="AF445" s="618">
        <f>SUMIFS(Нормативы!R:R,Нормативы!$B:$B,$G445,Нормативы!$D:$D,'2020'!$I445,Нормативы!$F:$F,'2020'!$K445)</f>
        <v>2680</v>
      </c>
      <c r="AG445" s="618">
        <f>SUMIFS(Нормативы!S:S,Нормативы!$B:$B,$G445,Нормативы!$D:$D,'2020'!$I445,Нормативы!$F:$F,'2020'!$K445)</f>
        <v>5800</v>
      </c>
      <c r="AH445" s="618">
        <f>SUMIFS(Нормативы!T:T,Нормативы!$B:$B,$G445,Нормативы!$D:$D,'2020'!$I445,Нормативы!$F:$F,'2020'!$K445)</f>
        <v>540</v>
      </c>
      <c r="AI445" s="618">
        <f>SUMIFS(Нормативы!U:U,Нормативы!$B:$B,$G445,Нормативы!$D:$D,'2020'!$I445,Нормативы!$F:$F,'2020'!$K445)</f>
        <v>770</v>
      </c>
      <c r="AJ445" s="618">
        <f>SUMIFS(Нормативы!V:V,Нормативы!$B:$B,$G445,Нормативы!$D:$D,'2020'!$I445,Нормативы!$F:$F,'2020'!$K445)</f>
        <v>80</v>
      </c>
      <c r="AK445" s="618">
        <f>SUMIFS(Нормативы!W:W,Нормативы!$B:$B,$G445,Нормативы!$D:$D,'2020'!$I445,Нормативы!$F:$F,'2020'!$K445)</f>
        <v>330</v>
      </c>
      <c r="AL445" s="618">
        <f>SUMIFS(Нормативы!X:X,Нормативы!$B:$B,$G445,Нормативы!$D:$D,'2020'!$I445,Нормативы!$F:$F,'2020'!$K445)*O445</f>
        <v>16120</v>
      </c>
      <c r="AM445" s="618">
        <f t="shared" si="1325"/>
        <v>12381</v>
      </c>
      <c r="AN445" s="618">
        <f t="shared" si="1326"/>
        <v>3739</v>
      </c>
      <c r="AO445" s="618">
        <f>SUMIFS(Нормативы!AA:AA,Нормативы!$B:$B,$G445,Нормативы!$D:$D,'2020'!$I445,Нормативы!$F:$F,'2020'!$K445)</f>
        <v>3520</v>
      </c>
      <c r="AP445" s="619">
        <f t="shared" si="1327"/>
        <v>139020</v>
      </c>
      <c r="AQ445" s="413">
        <f t="shared" si="1301"/>
        <v>2612200</v>
      </c>
      <c r="AR445" s="618">
        <f t="shared" si="1352"/>
        <v>2006298</v>
      </c>
      <c r="AS445" s="618">
        <f t="shared" si="1353"/>
        <v>605902</v>
      </c>
      <c r="AT445" s="616">
        <f t="shared" si="1302"/>
        <v>327820</v>
      </c>
      <c r="AU445" s="616">
        <f t="shared" si="1303"/>
        <v>0</v>
      </c>
      <c r="AV445" s="616">
        <f t="shared" si="1304"/>
        <v>300070</v>
      </c>
      <c r="AW445" s="616">
        <f t="shared" si="1305"/>
        <v>799570</v>
      </c>
      <c r="AX445" s="616">
        <f t="shared" si="1306"/>
        <v>19240</v>
      </c>
      <c r="AY445" s="616">
        <f t="shared" si="1307"/>
        <v>729640</v>
      </c>
      <c r="AZ445" s="616">
        <f t="shared" si="1308"/>
        <v>14800</v>
      </c>
      <c r="BA445" s="616">
        <f t="shared" si="1309"/>
        <v>35890</v>
      </c>
      <c r="BB445" s="616">
        <f t="shared" si="1310"/>
        <v>99160</v>
      </c>
      <c r="BC445" s="616">
        <f t="shared" si="1311"/>
        <v>214600</v>
      </c>
      <c r="BD445" s="616">
        <f t="shared" si="1312"/>
        <v>19980</v>
      </c>
      <c r="BE445" s="616">
        <f t="shared" si="1313"/>
        <v>28490</v>
      </c>
      <c r="BF445" s="616">
        <f t="shared" si="1314"/>
        <v>2960</v>
      </c>
      <c r="BG445" s="616">
        <f t="shared" si="1315"/>
        <v>12210</v>
      </c>
      <c r="BH445" s="616">
        <f t="shared" si="1316"/>
        <v>596440</v>
      </c>
      <c r="BI445" s="618">
        <f t="shared" si="1354"/>
        <v>458095.2</v>
      </c>
      <c r="BJ445" s="618">
        <f t="shared" si="1355"/>
        <v>138344.79999999999</v>
      </c>
      <c r="BK445" s="616">
        <f t="shared" si="1356"/>
        <v>130240</v>
      </c>
      <c r="BL445" s="620">
        <f t="shared" si="1317"/>
        <v>5143740</v>
      </c>
      <c r="BM445" s="616">
        <f t="shared" si="1318"/>
        <v>3257413</v>
      </c>
      <c r="BN445" s="618">
        <f t="shared" si="1357"/>
        <v>2501853.2999999998</v>
      </c>
      <c r="BO445" s="618">
        <f t="shared" si="1358"/>
        <v>755559.7</v>
      </c>
      <c r="BP445" s="616">
        <f t="shared" si="1359"/>
        <v>327820</v>
      </c>
      <c r="BQ445" s="616">
        <f t="shared" si="1328"/>
        <v>0</v>
      </c>
      <c r="BR445" s="616">
        <f t="shared" si="1360"/>
        <v>300070</v>
      </c>
      <c r="BS445" s="616">
        <f t="shared" si="1361"/>
        <v>799570</v>
      </c>
      <c r="BT445" s="616">
        <f t="shared" si="1361"/>
        <v>19240</v>
      </c>
      <c r="BU445" s="616">
        <f t="shared" si="1361"/>
        <v>729640</v>
      </c>
      <c r="BV445" s="616">
        <f t="shared" si="1361"/>
        <v>14800</v>
      </c>
      <c r="BW445" s="616">
        <f t="shared" si="1361"/>
        <v>35890</v>
      </c>
      <c r="BX445" s="616">
        <f t="shared" si="1319"/>
        <v>317411</v>
      </c>
      <c r="BY445" s="616">
        <f t="shared" si="1362"/>
        <v>214600</v>
      </c>
      <c r="BZ445" s="616">
        <f t="shared" si="1363"/>
        <v>19980</v>
      </c>
      <c r="CA445" s="616">
        <f t="shared" si="1364"/>
        <v>28490</v>
      </c>
      <c r="CB445" s="616">
        <f t="shared" si="1365"/>
        <v>2960</v>
      </c>
      <c r="CC445" s="616">
        <f t="shared" si="1366"/>
        <v>12210</v>
      </c>
      <c r="CD445" s="616">
        <f t="shared" si="1320"/>
        <v>743761</v>
      </c>
      <c r="CE445" s="618">
        <f t="shared" si="1367"/>
        <v>571245</v>
      </c>
      <c r="CF445" s="618">
        <f t="shared" si="1368"/>
        <v>172516</v>
      </c>
      <c r="CG445" s="616">
        <f t="shared" si="1369"/>
        <v>130240</v>
      </c>
      <c r="CH445" s="621">
        <f t="shared" si="1321"/>
        <v>6154525</v>
      </c>
      <c r="AUV445" s="699">
        <f t="shared" si="1184"/>
        <v>88038.19</v>
      </c>
      <c r="AUW445" s="699">
        <f t="shared" si="1185"/>
        <v>67617.66</v>
      </c>
      <c r="AUX445" s="699">
        <f t="shared" si="1186"/>
        <v>20420.53</v>
      </c>
      <c r="AUY445" s="699">
        <f t="shared" ref="AUY445:AUY455" si="1370">BP445/P445</f>
        <v>8860</v>
      </c>
      <c r="AUZ445" s="699">
        <f t="shared" si="1204"/>
        <v>0</v>
      </c>
      <c r="AVA445" s="699">
        <f t="shared" si="1204"/>
        <v>4.25</v>
      </c>
      <c r="AVB445" s="699">
        <f t="shared" ref="AVB445:AVB455" si="1371">AVC445+AVD445+AVE445+AVF445</f>
        <v>21610</v>
      </c>
      <c r="AVC445" s="699">
        <f t="shared" ref="AVC445:AVC455" si="1372">BT445/P445</f>
        <v>520</v>
      </c>
      <c r="AVD445" s="699">
        <f t="shared" ref="AVD445:AVD455" si="1373">BU445/P445</f>
        <v>19720</v>
      </c>
      <c r="AVE445" s="699">
        <f t="shared" ref="AVE445:AVE455" si="1374">BV445/P445</f>
        <v>400</v>
      </c>
      <c r="AVF445" s="699">
        <f t="shared" ref="AVF445:AVF455" si="1375">BW445/P445</f>
        <v>970</v>
      </c>
      <c r="AVG445" s="699">
        <f t="shared" ref="AVG445:AVG455" si="1376">BX445/P445</f>
        <v>8578.68</v>
      </c>
      <c r="AVH445" s="699">
        <f t="shared" ref="AVH445:AVH455" si="1377">BY445/P445</f>
        <v>5800</v>
      </c>
      <c r="AVI445" s="699">
        <f t="shared" ref="AVI445:AVI455" si="1378">BZ445/P445</f>
        <v>540</v>
      </c>
      <c r="AVJ445" s="699">
        <f t="shared" ref="AVJ445:AVJ455" si="1379">CA445/P445</f>
        <v>770</v>
      </c>
      <c r="AVK445" s="699">
        <f t="shared" ref="AVK445:AVK455" si="1380">CB445/P445</f>
        <v>80</v>
      </c>
      <c r="AVL445" s="699">
        <f t="shared" ref="AVL445:AVL455" si="1381">CC445/P445</f>
        <v>330</v>
      </c>
      <c r="AVM445" s="699">
        <f t="shared" ref="AVM445:AVM455" si="1382">CD445/P445</f>
        <v>20101.650000000001</v>
      </c>
      <c r="AVN445" s="699">
        <f t="shared" ref="AVN445:AVN455" si="1383">AVM445/1.302</f>
        <v>15439.06</v>
      </c>
      <c r="AVO445" s="699">
        <f t="shared" ref="AVO445:AVO455" si="1384">AVM445-AVN445</f>
        <v>4662.59</v>
      </c>
      <c r="AVP445" s="699">
        <f t="shared" ref="AVP445:AVP455" si="1385">CG445/P445</f>
        <v>3520</v>
      </c>
      <c r="AVQ445" s="699">
        <f t="shared" ref="AVQ445:AVQ455" si="1386">CH445/P445</f>
        <v>166338.51</v>
      </c>
    </row>
    <row r="446" spans="1:86 1244:1265" ht="30" customHeight="1" x14ac:dyDescent="0.25">
      <c r="A446" s="639">
        <v>1</v>
      </c>
      <c r="B446" s="649">
        <v>11</v>
      </c>
      <c r="C446" s="665" t="s">
        <v>26</v>
      </c>
      <c r="D446" s="399"/>
      <c r="E446" s="400" t="s">
        <v>345</v>
      </c>
      <c r="F446" s="644" t="s">
        <v>38</v>
      </c>
      <c r="G446" s="649">
        <v>2</v>
      </c>
      <c r="H446" s="659" t="s">
        <v>8</v>
      </c>
      <c r="I446" s="649">
        <v>3</v>
      </c>
      <c r="J446" s="400" t="s">
        <v>438</v>
      </c>
      <c r="K446" s="649">
        <v>3</v>
      </c>
      <c r="L446" s="687" t="s">
        <v>350</v>
      </c>
      <c r="M446" s="401" t="s">
        <v>307</v>
      </c>
      <c r="N446" s="400" t="s">
        <v>411</v>
      </c>
      <c r="O446" s="644">
        <v>1</v>
      </c>
      <c r="P446" s="632">
        <v>27</v>
      </c>
      <c r="Q446" s="632">
        <v>27</v>
      </c>
      <c r="R446" s="632">
        <v>27</v>
      </c>
      <c r="S446" s="675">
        <f>SUMIF('Территориальный кк'!$A:$A,'2020'!$B446,'Территориальный кк'!D:D)</f>
        <v>1.2470000000000001</v>
      </c>
      <c r="T446" s="676">
        <f>SUMIF('Территориальный кк'!$A:$A,'2020'!$B446,'Территориальный кк'!E:E)</f>
        <v>3.2010000000000001</v>
      </c>
      <c r="U446" s="618">
        <f>SUMIFS(Нормативы!G:G,Нормативы!$B:$B,$G446,Нормативы!$D:$D,'2020'!$I446,Нормативы!$F:$F,'2020'!$K446)*O446</f>
        <v>12944</v>
      </c>
      <c r="V446" s="618">
        <f t="shared" si="1322"/>
        <v>9941.6</v>
      </c>
      <c r="W446" s="618">
        <f t="shared" si="1323"/>
        <v>3002.4</v>
      </c>
      <c r="X446" s="618">
        <f>SUMIFS(Нормативы!J:J,Нормативы!$B:$B,$G446,Нормативы!$D:$D,'2020'!$I446,Нормативы!$F:$F,'2020'!$K446)</f>
        <v>486</v>
      </c>
      <c r="Y446" s="618">
        <f>SUMIFS(Нормативы!K:K,Нормативы!$B:$B,$G446,Нормативы!$D:$D,'2020'!$I446,Нормативы!$F:$F,'2020'!$K446)</f>
        <v>97</v>
      </c>
      <c r="Z446" s="618">
        <f>SUMIFS(Нормативы!L:L,Нормативы!$B:$B,$G446,Нормативы!$D:$D,'2020'!$I446,Нормативы!$F:$F,'2020'!$K446)</f>
        <v>348</v>
      </c>
      <c r="AA446" s="618">
        <f t="shared" si="1324"/>
        <v>2031</v>
      </c>
      <c r="AB446" s="618">
        <f>SUMIFS(Нормативы!N:N,Нормативы!$B:$B,$G446,Нормативы!$D:$D,'2020'!$I446,Нормативы!$F:$F,'2020'!$K446)*O446</f>
        <v>52</v>
      </c>
      <c r="AC446" s="618">
        <f>SUMIFS(Нормативы!O:O,Нормативы!$B:$B,$G446,Нормативы!$D:$D,'2020'!$I446,Нормативы!$F:$F,'2020'!$K446)</f>
        <v>1728</v>
      </c>
      <c r="AD446" s="618">
        <f>SUMIFS(Нормативы!P:P,Нормативы!$B:$B,$G446,Нормативы!$D:$D,'2020'!$I446,Нормативы!$F:$F,'2020'!$K446)*O446</f>
        <v>73</v>
      </c>
      <c r="AE446" s="618">
        <f>SUMIFS(Нормативы!Q:Q,Нормативы!$B:$B,$G446,Нормативы!$D:$D,'2020'!$I446,Нормативы!$F:$F,'2020'!$K446)</f>
        <v>178</v>
      </c>
      <c r="AF446" s="618">
        <f>SUMIFS(Нормативы!R:R,Нормативы!$B:$B,$G446,Нормативы!$D:$D,'2020'!$I446,Нормативы!$F:$F,'2020'!$K446)</f>
        <v>275</v>
      </c>
      <c r="AG446" s="618">
        <f>SUMIFS(Нормативы!S:S,Нормативы!$B:$B,$G446,Нормативы!$D:$D,'2020'!$I446,Нормативы!$F:$F,'2020'!$K446)</f>
        <v>580</v>
      </c>
      <c r="AH446" s="618">
        <f>SUMIFS(Нормативы!T:T,Нормативы!$B:$B,$G446,Нормативы!$D:$D,'2020'!$I446,Нормативы!$F:$F,'2020'!$K446)</f>
        <v>54</v>
      </c>
      <c r="AI446" s="618">
        <f>SUMIFS(Нормативы!U:U,Нормативы!$B:$B,$G446,Нормативы!$D:$D,'2020'!$I446,Нормативы!$F:$F,'2020'!$K446)</f>
        <v>77</v>
      </c>
      <c r="AJ446" s="618">
        <f>SUMIFS(Нормативы!V:V,Нормативы!$B:$B,$G446,Нормативы!$D:$D,'2020'!$I446,Нормативы!$F:$F,'2020'!$K446)</f>
        <v>8</v>
      </c>
      <c r="AK446" s="618">
        <f>SUMIFS(Нормативы!W:W,Нормативы!$B:$B,$G446,Нормативы!$D:$D,'2020'!$I446,Нормативы!$F:$F,'2020'!$K446)</f>
        <v>39</v>
      </c>
      <c r="AL446" s="618">
        <f>SUMIFS(Нормативы!X:X,Нормативы!$B:$B,$G446,Нормативы!$D:$D,'2020'!$I446,Нормативы!$F:$F,'2020'!$K446)*O446</f>
        <v>1612</v>
      </c>
      <c r="AM446" s="618">
        <f t="shared" si="1325"/>
        <v>1238.0999999999999</v>
      </c>
      <c r="AN446" s="618">
        <f t="shared" si="1326"/>
        <v>373.9</v>
      </c>
      <c r="AO446" s="618">
        <f>SUMIFS(Нормативы!AA:AA,Нормативы!$B:$B,$G446,Нормативы!$D:$D,'2020'!$I446,Нормативы!$F:$F,'2020'!$K446)</f>
        <v>0</v>
      </c>
      <c r="AP446" s="619">
        <f t="shared" si="1327"/>
        <v>18454</v>
      </c>
      <c r="AQ446" s="413">
        <f t="shared" si="1301"/>
        <v>349488</v>
      </c>
      <c r="AR446" s="618">
        <f t="shared" si="1352"/>
        <v>268424</v>
      </c>
      <c r="AS446" s="618">
        <f t="shared" si="1353"/>
        <v>81064</v>
      </c>
      <c r="AT446" s="616">
        <f t="shared" si="1302"/>
        <v>13122</v>
      </c>
      <c r="AU446" s="616">
        <f t="shared" si="1303"/>
        <v>2619</v>
      </c>
      <c r="AV446" s="616">
        <f t="shared" si="1304"/>
        <v>9396</v>
      </c>
      <c r="AW446" s="616">
        <f t="shared" si="1305"/>
        <v>54837</v>
      </c>
      <c r="AX446" s="616">
        <f t="shared" si="1306"/>
        <v>1404</v>
      </c>
      <c r="AY446" s="616">
        <f t="shared" si="1307"/>
        <v>46656</v>
      </c>
      <c r="AZ446" s="616">
        <f t="shared" si="1308"/>
        <v>1971</v>
      </c>
      <c r="BA446" s="616">
        <f t="shared" si="1309"/>
        <v>4806</v>
      </c>
      <c r="BB446" s="616">
        <f t="shared" si="1310"/>
        <v>7425</v>
      </c>
      <c r="BC446" s="616">
        <f t="shared" si="1311"/>
        <v>15660</v>
      </c>
      <c r="BD446" s="616">
        <f t="shared" si="1312"/>
        <v>1458</v>
      </c>
      <c r="BE446" s="616">
        <f t="shared" si="1313"/>
        <v>2079</v>
      </c>
      <c r="BF446" s="616">
        <f t="shared" si="1314"/>
        <v>216</v>
      </c>
      <c r="BG446" s="616">
        <f t="shared" si="1315"/>
        <v>1053</v>
      </c>
      <c r="BH446" s="616">
        <f t="shared" si="1316"/>
        <v>43524</v>
      </c>
      <c r="BI446" s="618">
        <f t="shared" si="1354"/>
        <v>33428.6</v>
      </c>
      <c r="BJ446" s="618">
        <f t="shared" si="1355"/>
        <v>10095.4</v>
      </c>
      <c r="BK446" s="616">
        <f t="shared" si="1356"/>
        <v>0</v>
      </c>
      <c r="BL446" s="620">
        <f t="shared" si="1317"/>
        <v>498258</v>
      </c>
      <c r="BM446" s="616">
        <f t="shared" si="1318"/>
        <v>435812</v>
      </c>
      <c r="BN446" s="618">
        <f t="shared" si="1357"/>
        <v>334725</v>
      </c>
      <c r="BO446" s="618">
        <f t="shared" si="1358"/>
        <v>101087</v>
      </c>
      <c r="BP446" s="616">
        <f t="shared" si="1359"/>
        <v>13122</v>
      </c>
      <c r="BQ446" s="616">
        <f t="shared" si="1328"/>
        <v>2619</v>
      </c>
      <c r="BR446" s="616">
        <f t="shared" si="1360"/>
        <v>9396</v>
      </c>
      <c r="BS446" s="616">
        <f t="shared" si="1361"/>
        <v>54837</v>
      </c>
      <c r="BT446" s="616">
        <f t="shared" si="1361"/>
        <v>1404</v>
      </c>
      <c r="BU446" s="616">
        <f t="shared" si="1361"/>
        <v>46656</v>
      </c>
      <c r="BV446" s="616">
        <f t="shared" si="1361"/>
        <v>1971</v>
      </c>
      <c r="BW446" s="616">
        <f t="shared" si="1361"/>
        <v>4806</v>
      </c>
      <c r="BX446" s="616">
        <f t="shared" si="1319"/>
        <v>23767</v>
      </c>
      <c r="BY446" s="616">
        <f t="shared" si="1362"/>
        <v>15660</v>
      </c>
      <c r="BZ446" s="616">
        <f t="shared" si="1363"/>
        <v>1458</v>
      </c>
      <c r="CA446" s="616">
        <f t="shared" si="1364"/>
        <v>2079</v>
      </c>
      <c r="CB446" s="616">
        <f t="shared" si="1365"/>
        <v>216</v>
      </c>
      <c r="CC446" s="616">
        <f t="shared" si="1366"/>
        <v>1053</v>
      </c>
      <c r="CD446" s="616">
        <f t="shared" si="1320"/>
        <v>54274</v>
      </c>
      <c r="CE446" s="618">
        <f t="shared" si="1367"/>
        <v>41685.1</v>
      </c>
      <c r="CF446" s="618">
        <f t="shared" si="1368"/>
        <v>12588.9</v>
      </c>
      <c r="CG446" s="616">
        <f t="shared" si="1369"/>
        <v>0</v>
      </c>
      <c r="CH446" s="621">
        <f t="shared" si="1321"/>
        <v>611674</v>
      </c>
      <c r="AUV446" s="699">
        <f t="shared" si="1184"/>
        <v>16141.19</v>
      </c>
      <c r="AUW446" s="699">
        <f t="shared" si="1185"/>
        <v>12397.23</v>
      </c>
      <c r="AUX446" s="699">
        <f t="shared" si="1186"/>
        <v>3743.96</v>
      </c>
      <c r="AUY446" s="699">
        <f t="shared" si="1370"/>
        <v>486</v>
      </c>
      <c r="AUZ446" s="699">
        <f t="shared" si="1204"/>
        <v>818.18</v>
      </c>
      <c r="AVA446" s="699">
        <f t="shared" si="1204"/>
        <v>0.73</v>
      </c>
      <c r="AVB446" s="699">
        <f t="shared" si="1371"/>
        <v>2031</v>
      </c>
      <c r="AVC446" s="699">
        <f t="shared" si="1372"/>
        <v>52</v>
      </c>
      <c r="AVD446" s="699">
        <f t="shared" si="1373"/>
        <v>1728</v>
      </c>
      <c r="AVE446" s="699">
        <f t="shared" si="1374"/>
        <v>73</v>
      </c>
      <c r="AVF446" s="699">
        <f t="shared" si="1375"/>
        <v>178</v>
      </c>
      <c r="AVG446" s="699">
        <f t="shared" si="1376"/>
        <v>880.26</v>
      </c>
      <c r="AVH446" s="699">
        <f t="shared" si="1377"/>
        <v>580</v>
      </c>
      <c r="AVI446" s="699">
        <f t="shared" si="1378"/>
        <v>54</v>
      </c>
      <c r="AVJ446" s="699">
        <f t="shared" si="1379"/>
        <v>77</v>
      </c>
      <c r="AVK446" s="699">
        <f t="shared" si="1380"/>
        <v>8</v>
      </c>
      <c r="AVL446" s="699">
        <f t="shared" si="1381"/>
        <v>39</v>
      </c>
      <c r="AVM446" s="699">
        <f t="shared" si="1382"/>
        <v>2010.15</v>
      </c>
      <c r="AVN446" s="699">
        <f t="shared" si="1383"/>
        <v>1543.89</v>
      </c>
      <c r="AVO446" s="699">
        <f t="shared" si="1384"/>
        <v>466.26</v>
      </c>
      <c r="AVP446" s="699">
        <f t="shared" si="1385"/>
        <v>0</v>
      </c>
      <c r="AVQ446" s="699">
        <f t="shared" si="1386"/>
        <v>22654.59</v>
      </c>
    </row>
    <row r="447" spans="1:86 1244:1265" ht="30" customHeight="1" x14ac:dyDescent="0.25">
      <c r="A447" s="639">
        <v>1</v>
      </c>
      <c r="B447" s="649">
        <v>11</v>
      </c>
      <c r="C447" s="665" t="s">
        <v>26</v>
      </c>
      <c r="D447" s="399"/>
      <c r="E447" s="400" t="s">
        <v>345</v>
      </c>
      <c r="F447" s="644" t="s">
        <v>38</v>
      </c>
      <c r="G447" s="649">
        <v>2</v>
      </c>
      <c r="H447" s="659" t="s">
        <v>10</v>
      </c>
      <c r="I447" s="649">
        <v>0</v>
      </c>
      <c r="J447" s="400" t="s">
        <v>439</v>
      </c>
      <c r="K447" s="649">
        <v>3</v>
      </c>
      <c r="L447" s="687" t="s">
        <v>350</v>
      </c>
      <c r="M447" s="401" t="s">
        <v>267</v>
      </c>
      <c r="N447" s="400" t="s">
        <v>411</v>
      </c>
      <c r="O447" s="644">
        <v>1</v>
      </c>
      <c r="P447" s="632">
        <v>7</v>
      </c>
      <c r="Q447" s="632">
        <v>7</v>
      </c>
      <c r="R447" s="632">
        <v>7</v>
      </c>
      <c r="S447" s="675">
        <f>SUMIF('Территориальный кк'!$A:$A,'2020'!$B447,'Территориальный кк'!D:D)</f>
        <v>1.2470000000000001</v>
      </c>
      <c r="T447" s="676">
        <f>SUMIF('Территориальный кк'!$A:$A,'2020'!$B447,'Территориальный кк'!E:E)</f>
        <v>3.2010000000000001</v>
      </c>
      <c r="U447" s="618">
        <f>SUMIFS(Нормативы!G:G,Нормативы!$B:$B,$G447,Нормативы!$D:$D,'2020'!$I447,Нормативы!$F:$F,'2020'!$K447)*O447</f>
        <v>70600</v>
      </c>
      <c r="V447" s="618">
        <f t="shared" si="1322"/>
        <v>54224.3</v>
      </c>
      <c r="W447" s="618">
        <f t="shared" si="1323"/>
        <v>16375.7</v>
      </c>
      <c r="X447" s="618">
        <f>SUMIFS(Нормативы!J:J,Нормативы!$B:$B,$G447,Нормативы!$D:$D,'2020'!$I447,Нормативы!$F:$F,'2020'!$K447)</f>
        <v>8860</v>
      </c>
      <c r="Y447" s="618">
        <f>SUMIFS(Нормативы!K:K,Нормативы!$B:$B,$G447,Нормативы!$D:$D,'2020'!$I447,Нормативы!$F:$F,'2020'!$K447)</f>
        <v>0</v>
      </c>
      <c r="Z447" s="618">
        <f>SUMIFS(Нормативы!L:L,Нормативы!$B:$B,$G447,Нормативы!$D:$D,'2020'!$I447,Нормативы!$F:$F,'2020'!$K447)</f>
        <v>8110</v>
      </c>
      <c r="AA447" s="618">
        <f t="shared" si="1324"/>
        <v>21610</v>
      </c>
      <c r="AB447" s="618">
        <f>SUMIFS(Нормативы!N:N,Нормативы!$B:$B,$G447,Нормативы!$D:$D,'2020'!$I447,Нормативы!$F:$F,'2020'!$K447)*O447</f>
        <v>520</v>
      </c>
      <c r="AC447" s="618">
        <f>SUMIFS(Нормативы!O:O,Нормативы!$B:$B,$G447,Нормативы!$D:$D,'2020'!$I447,Нормативы!$F:$F,'2020'!$K447)</f>
        <v>19720</v>
      </c>
      <c r="AD447" s="618">
        <f>SUMIFS(Нормативы!P:P,Нормативы!$B:$B,$G447,Нормативы!$D:$D,'2020'!$I447,Нормативы!$F:$F,'2020'!$K447)*O447</f>
        <v>400</v>
      </c>
      <c r="AE447" s="618">
        <f>SUMIFS(Нормативы!Q:Q,Нормативы!$B:$B,$G447,Нормативы!$D:$D,'2020'!$I447,Нормативы!$F:$F,'2020'!$K447)</f>
        <v>970</v>
      </c>
      <c r="AF447" s="618">
        <f>SUMIFS(Нормативы!R:R,Нормативы!$B:$B,$G447,Нормативы!$D:$D,'2020'!$I447,Нормативы!$F:$F,'2020'!$K447)</f>
        <v>2680</v>
      </c>
      <c r="AG447" s="618">
        <f>SUMIFS(Нормативы!S:S,Нормативы!$B:$B,$G447,Нормативы!$D:$D,'2020'!$I447,Нормативы!$F:$F,'2020'!$K447)</f>
        <v>5800</v>
      </c>
      <c r="AH447" s="618">
        <f>SUMIFS(Нормативы!T:T,Нормативы!$B:$B,$G447,Нормативы!$D:$D,'2020'!$I447,Нормативы!$F:$F,'2020'!$K447)</f>
        <v>540</v>
      </c>
      <c r="AI447" s="618">
        <f>SUMIFS(Нормативы!U:U,Нормативы!$B:$B,$G447,Нормативы!$D:$D,'2020'!$I447,Нормативы!$F:$F,'2020'!$K447)</f>
        <v>770</v>
      </c>
      <c r="AJ447" s="618">
        <f>SUMIFS(Нормативы!V:V,Нормативы!$B:$B,$G447,Нормативы!$D:$D,'2020'!$I447,Нормативы!$F:$F,'2020'!$K447)</f>
        <v>80</v>
      </c>
      <c r="AK447" s="618">
        <f>SUMIFS(Нормативы!W:W,Нормативы!$B:$B,$G447,Нормативы!$D:$D,'2020'!$I447,Нормативы!$F:$F,'2020'!$K447)</f>
        <v>330</v>
      </c>
      <c r="AL447" s="618">
        <f>SUMIFS(Нормативы!X:X,Нормативы!$B:$B,$G447,Нормативы!$D:$D,'2020'!$I447,Нормативы!$F:$F,'2020'!$K447)*O447</f>
        <v>16120</v>
      </c>
      <c r="AM447" s="618">
        <f t="shared" si="1325"/>
        <v>12381</v>
      </c>
      <c r="AN447" s="618">
        <f t="shared" si="1326"/>
        <v>3739</v>
      </c>
      <c r="AO447" s="618">
        <f>SUMIFS(Нормативы!AA:AA,Нормативы!$B:$B,$G447,Нормативы!$D:$D,'2020'!$I447,Нормативы!$F:$F,'2020'!$K447)</f>
        <v>3520</v>
      </c>
      <c r="AP447" s="619">
        <f t="shared" si="1327"/>
        <v>139020</v>
      </c>
      <c r="AQ447" s="413">
        <f t="shared" si="1301"/>
        <v>494200</v>
      </c>
      <c r="AR447" s="618">
        <f t="shared" si="1352"/>
        <v>379569.9</v>
      </c>
      <c r="AS447" s="618">
        <f t="shared" si="1353"/>
        <v>114630.1</v>
      </c>
      <c r="AT447" s="616">
        <f t="shared" si="1302"/>
        <v>62020</v>
      </c>
      <c r="AU447" s="616">
        <f t="shared" si="1303"/>
        <v>0</v>
      </c>
      <c r="AV447" s="616">
        <f t="shared" si="1304"/>
        <v>56770</v>
      </c>
      <c r="AW447" s="616">
        <f t="shared" si="1305"/>
        <v>151270</v>
      </c>
      <c r="AX447" s="616">
        <f t="shared" si="1306"/>
        <v>3640</v>
      </c>
      <c r="AY447" s="616">
        <f t="shared" si="1307"/>
        <v>138040</v>
      </c>
      <c r="AZ447" s="616">
        <f t="shared" si="1308"/>
        <v>2800</v>
      </c>
      <c r="BA447" s="616">
        <f t="shared" si="1309"/>
        <v>6790</v>
      </c>
      <c r="BB447" s="616">
        <f t="shared" si="1310"/>
        <v>18760</v>
      </c>
      <c r="BC447" s="616">
        <f t="shared" si="1311"/>
        <v>40600</v>
      </c>
      <c r="BD447" s="616">
        <f t="shared" si="1312"/>
        <v>3780</v>
      </c>
      <c r="BE447" s="616">
        <f t="shared" si="1313"/>
        <v>5390</v>
      </c>
      <c r="BF447" s="616">
        <f t="shared" si="1314"/>
        <v>560</v>
      </c>
      <c r="BG447" s="616">
        <f t="shared" si="1315"/>
        <v>2310</v>
      </c>
      <c r="BH447" s="616">
        <f t="shared" si="1316"/>
        <v>112840</v>
      </c>
      <c r="BI447" s="618">
        <f t="shared" si="1354"/>
        <v>86666.7</v>
      </c>
      <c r="BJ447" s="618">
        <f t="shared" si="1355"/>
        <v>26173.3</v>
      </c>
      <c r="BK447" s="616">
        <f t="shared" si="1356"/>
        <v>24640</v>
      </c>
      <c r="BL447" s="620">
        <f t="shared" si="1317"/>
        <v>973140</v>
      </c>
      <c r="BM447" s="616">
        <f t="shared" si="1318"/>
        <v>616267</v>
      </c>
      <c r="BN447" s="618">
        <f t="shared" si="1357"/>
        <v>473323.3</v>
      </c>
      <c r="BO447" s="618">
        <f t="shared" si="1358"/>
        <v>142943.70000000001</v>
      </c>
      <c r="BP447" s="616">
        <f t="shared" si="1359"/>
        <v>62020</v>
      </c>
      <c r="BQ447" s="616">
        <f t="shared" si="1328"/>
        <v>0</v>
      </c>
      <c r="BR447" s="616">
        <f t="shared" si="1360"/>
        <v>56770</v>
      </c>
      <c r="BS447" s="616">
        <f t="shared" si="1361"/>
        <v>151270</v>
      </c>
      <c r="BT447" s="616">
        <f t="shared" si="1361"/>
        <v>3640</v>
      </c>
      <c r="BU447" s="616">
        <f t="shared" si="1361"/>
        <v>138040</v>
      </c>
      <c r="BV447" s="616">
        <f t="shared" si="1361"/>
        <v>2800</v>
      </c>
      <c r="BW447" s="616">
        <f t="shared" si="1361"/>
        <v>6790</v>
      </c>
      <c r="BX447" s="616">
        <f t="shared" si="1319"/>
        <v>60051</v>
      </c>
      <c r="BY447" s="616">
        <f t="shared" si="1362"/>
        <v>40600</v>
      </c>
      <c r="BZ447" s="616">
        <f t="shared" si="1363"/>
        <v>3780</v>
      </c>
      <c r="CA447" s="616">
        <f t="shared" si="1364"/>
        <v>5390</v>
      </c>
      <c r="CB447" s="616">
        <f t="shared" si="1365"/>
        <v>560</v>
      </c>
      <c r="CC447" s="616">
        <f t="shared" si="1366"/>
        <v>2310</v>
      </c>
      <c r="CD447" s="616">
        <f t="shared" si="1320"/>
        <v>140711</v>
      </c>
      <c r="CE447" s="618">
        <f t="shared" si="1367"/>
        <v>108073</v>
      </c>
      <c r="CF447" s="618">
        <f t="shared" si="1368"/>
        <v>32638</v>
      </c>
      <c r="CG447" s="616">
        <f t="shared" si="1369"/>
        <v>24640</v>
      </c>
      <c r="CH447" s="621">
        <f t="shared" si="1321"/>
        <v>1164369</v>
      </c>
      <c r="AUV447" s="699">
        <f t="shared" si="1184"/>
        <v>88038.14</v>
      </c>
      <c r="AUW447" s="699">
        <f t="shared" si="1185"/>
        <v>67617.62</v>
      </c>
      <c r="AUX447" s="699">
        <f t="shared" si="1186"/>
        <v>20420.52</v>
      </c>
      <c r="AUY447" s="699">
        <f t="shared" si="1370"/>
        <v>8860</v>
      </c>
      <c r="AUZ447" s="699">
        <f t="shared" si="1204"/>
        <v>0</v>
      </c>
      <c r="AVA447" s="699">
        <f t="shared" si="1204"/>
        <v>0.8</v>
      </c>
      <c r="AVB447" s="699">
        <f t="shared" si="1371"/>
        <v>21610</v>
      </c>
      <c r="AVC447" s="699">
        <f t="shared" si="1372"/>
        <v>520</v>
      </c>
      <c r="AVD447" s="699">
        <f t="shared" si="1373"/>
        <v>19720</v>
      </c>
      <c r="AVE447" s="699">
        <f t="shared" si="1374"/>
        <v>400</v>
      </c>
      <c r="AVF447" s="699">
        <f t="shared" si="1375"/>
        <v>970</v>
      </c>
      <c r="AVG447" s="699">
        <f t="shared" si="1376"/>
        <v>8578.7099999999991</v>
      </c>
      <c r="AVH447" s="699">
        <f t="shared" si="1377"/>
        <v>5800</v>
      </c>
      <c r="AVI447" s="699">
        <f t="shared" si="1378"/>
        <v>540</v>
      </c>
      <c r="AVJ447" s="699">
        <f t="shared" si="1379"/>
        <v>770</v>
      </c>
      <c r="AVK447" s="699">
        <f t="shared" si="1380"/>
        <v>80</v>
      </c>
      <c r="AVL447" s="699">
        <f t="shared" si="1381"/>
        <v>330</v>
      </c>
      <c r="AVM447" s="699">
        <f t="shared" si="1382"/>
        <v>20101.57</v>
      </c>
      <c r="AVN447" s="699">
        <f t="shared" si="1383"/>
        <v>15438.99</v>
      </c>
      <c r="AVO447" s="699">
        <f t="shared" si="1384"/>
        <v>4662.58</v>
      </c>
      <c r="AVP447" s="699">
        <f t="shared" si="1385"/>
        <v>3520</v>
      </c>
      <c r="AVQ447" s="699">
        <f t="shared" si="1386"/>
        <v>166338.43</v>
      </c>
    </row>
    <row r="448" spans="1:86 1244:1265" ht="30" customHeight="1" x14ac:dyDescent="0.25">
      <c r="A448" s="639">
        <v>1</v>
      </c>
      <c r="B448" s="649">
        <v>11</v>
      </c>
      <c r="C448" s="665" t="s">
        <v>26</v>
      </c>
      <c r="D448" s="399"/>
      <c r="E448" s="400" t="s">
        <v>345</v>
      </c>
      <c r="F448" s="644" t="s">
        <v>38</v>
      </c>
      <c r="G448" s="649">
        <v>2</v>
      </c>
      <c r="H448" s="659" t="s">
        <v>8</v>
      </c>
      <c r="I448" s="649">
        <v>3</v>
      </c>
      <c r="J448" s="400" t="s">
        <v>439</v>
      </c>
      <c r="K448" s="649">
        <v>3</v>
      </c>
      <c r="L448" s="687" t="s">
        <v>350</v>
      </c>
      <c r="M448" s="401" t="s">
        <v>294</v>
      </c>
      <c r="N448" s="400" t="s">
        <v>411</v>
      </c>
      <c r="O448" s="644">
        <v>1</v>
      </c>
      <c r="P448" s="632">
        <v>7</v>
      </c>
      <c r="Q448" s="632">
        <v>7</v>
      </c>
      <c r="R448" s="632">
        <v>7</v>
      </c>
      <c r="S448" s="675">
        <f>SUMIF('Территориальный кк'!$A:$A,'2020'!$B448,'Территориальный кк'!D:D)</f>
        <v>1.2470000000000001</v>
      </c>
      <c r="T448" s="676">
        <f>SUMIF('Территориальный кк'!$A:$A,'2020'!$B448,'Территориальный кк'!E:E)</f>
        <v>3.2010000000000001</v>
      </c>
      <c r="U448" s="618">
        <f>SUMIFS(Нормативы!G:G,Нормативы!$B:$B,$G448,Нормативы!$D:$D,'2020'!$I448,Нормативы!$F:$F,'2020'!$K448)*O448</f>
        <v>12944</v>
      </c>
      <c r="V448" s="618">
        <f t="shared" si="1322"/>
        <v>9941.6</v>
      </c>
      <c r="W448" s="618">
        <f t="shared" si="1323"/>
        <v>3002.4</v>
      </c>
      <c r="X448" s="618">
        <f>SUMIFS(Нормативы!J:J,Нормативы!$B:$B,$G448,Нормативы!$D:$D,'2020'!$I448,Нормативы!$F:$F,'2020'!$K448)</f>
        <v>486</v>
      </c>
      <c r="Y448" s="618">
        <f>SUMIFS(Нормативы!K:K,Нормативы!$B:$B,$G448,Нормативы!$D:$D,'2020'!$I448,Нормативы!$F:$F,'2020'!$K448)</f>
        <v>97</v>
      </c>
      <c r="Z448" s="618">
        <f>SUMIFS(Нормативы!L:L,Нормативы!$B:$B,$G448,Нормативы!$D:$D,'2020'!$I448,Нормативы!$F:$F,'2020'!$K448)</f>
        <v>348</v>
      </c>
      <c r="AA448" s="618">
        <f t="shared" si="1324"/>
        <v>2031</v>
      </c>
      <c r="AB448" s="618">
        <f>SUMIFS(Нормативы!N:N,Нормативы!$B:$B,$G448,Нормативы!$D:$D,'2020'!$I448,Нормативы!$F:$F,'2020'!$K448)*O448</f>
        <v>52</v>
      </c>
      <c r="AC448" s="618">
        <f>SUMIFS(Нормативы!O:O,Нормативы!$B:$B,$G448,Нормативы!$D:$D,'2020'!$I448,Нормативы!$F:$F,'2020'!$K448)</f>
        <v>1728</v>
      </c>
      <c r="AD448" s="618">
        <f>SUMIFS(Нормативы!P:P,Нормативы!$B:$B,$G448,Нормативы!$D:$D,'2020'!$I448,Нормативы!$F:$F,'2020'!$K448)*O448</f>
        <v>73</v>
      </c>
      <c r="AE448" s="618">
        <f>SUMIFS(Нормативы!Q:Q,Нормативы!$B:$B,$G448,Нормативы!$D:$D,'2020'!$I448,Нормативы!$F:$F,'2020'!$K448)</f>
        <v>178</v>
      </c>
      <c r="AF448" s="618">
        <f>SUMIFS(Нормативы!R:R,Нормативы!$B:$B,$G448,Нормативы!$D:$D,'2020'!$I448,Нормативы!$F:$F,'2020'!$K448)</f>
        <v>275</v>
      </c>
      <c r="AG448" s="618">
        <f>SUMIFS(Нормативы!S:S,Нормативы!$B:$B,$G448,Нормативы!$D:$D,'2020'!$I448,Нормативы!$F:$F,'2020'!$K448)</f>
        <v>580</v>
      </c>
      <c r="AH448" s="618">
        <f>SUMIFS(Нормативы!T:T,Нормативы!$B:$B,$G448,Нормативы!$D:$D,'2020'!$I448,Нормативы!$F:$F,'2020'!$K448)</f>
        <v>54</v>
      </c>
      <c r="AI448" s="618">
        <f>SUMIFS(Нормативы!U:U,Нормативы!$B:$B,$G448,Нормативы!$D:$D,'2020'!$I448,Нормативы!$F:$F,'2020'!$K448)</f>
        <v>77</v>
      </c>
      <c r="AJ448" s="618">
        <f>SUMIFS(Нормативы!V:V,Нормативы!$B:$B,$G448,Нормативы!$D:$D,'2020'!$I448,Нормативы!$F:$F,'2020'!$K448)</f>
        <v>8</v>
      </c>
      <c r="AK448" s="618">
        <f>SUMIFS(Нормативы!W:W,Нормативы!$B:$B,$G448,Нормативы!$D:$D,'2020'!$I448,Нормативы!$F:$F,'2020'!$K448)</f>
        <v>39</v>
      </c>
      <c r="AL448" s="618">
        <f>SUMIFS(Нормативы!X:X,Нормативы!$B:$B,$G448,Нормативы!$D:$D,'2020'!$I448,Нормативы!$F:$F,'2020'!$K448)*O448</f>
        <v>1612</v>
      </c>
      <c r="AM448" s="618">
        <f t="shared" si="1325"/>
        <v>1238.0999999999999</v>
      </c>
      <c r="AN448" s="618">
        <f t="shared" si="1326"/>
        <v>373.9</v>
      </c>
      <c r="AO448" s="618">
        <f>SUMIFS(Нормативы!AA:AA,Нормативы!$B:$B,$G448,Нормативы!$D:$D,'2020'!$I448,Нормативы!$F:$F,'2020'!$K448)</f>
        <v>0</v>
      </c>
      <c r="AP448" s="619">
        <f t="shared" si="1327"/>
        <v>18454</v>
      </c>
      <c r="AQ448" s="413">
        <f t="shared" si="1301"/>
        <v>90608</v>
      </c>
      <c r="AR448" s="618">
        <f t="shared" si="1352"/>
        <v>69591.399999999994</v>
      </c>
      <c r="AS448" s="618">
        <f t="shared" si="1353"/>
        <v>21016.6</v>
      </c>
      <c r="AT448" s="616">
        <f t="shared" si="1302"/>
        <v>3402</v>
      </c>
      <c r="AU448" s="616">
        <f t="shared" si="1303"/>
        <v>679</v>
      </c>
      <c r="AV448" s="616">
        <f t="shared" si="1304"/>
        <v>2436</v>
      </c>
      <c r="AW448" s="616">
        <f t="shared" si="1305"/>
        <v>14217</v>
      </c>
      <c r="AX448" s="616">
        <f t="shared" si="1306"/>
        <v>364</v>
      </c>
      <c r="AY448" s="616">
        <f t="shared" si="1307"/>
        <v>12096</v>
      </c>
      <c r="AZ448" s="616">
        <f t="shared" si="1308"/>
        <v>511</v>
      </c>
      <c r="BA448" s="616">
        <f t="shared" si="1309"/>
        <v>1246</v>
      </c>
      <c r="BB448" s="616">
        <f t="shared" si="1310"/>
        <v>1925</v>
      </c>
      <c r="BC448" s="616">
        <f t="shared" si="1311"/>
        <v>4060</v>
      </c>
      <c r="BD448" s="616">
        <f t="shared" si="1312"/>
        <v>378</v>
      </c>
      <c r="BE448" s="616">
        <f t="shared" si="1313"/>
        <v>539</v>
      </c>
      <c r="BF448" s="616">
        <f t="shared" si="1314"/>
        <v>56</v>
      </c>
      <c r="BG448" s="616">
        <f t="shared" si="1315"/>
        <v>273</v>
      </c>
      <c r="BH448" s="616">
        <f t="shared" si="1316"/>
        <v>11284</v>
      </c>
      <c r="BI448" s="618">
        <f t="shared" si="1354"/>
        <v>8666.7000000000007</v>
      </c>
      <c r="BJ448" s="618">
        <f t="shared" si="1355"/>
        <v>2617.3000000000002</v>
      </c>
      <c r="BK448" s="616">
        <f t="shared" si="1356"/>
        <v>0</v>
      </c>
      <c r="BL448" s="620">
        <f t="shared" si="1317"/>
        <v>129178</v>
      </c>
      <c r="BM448" s="616">
        <f t="shared" si="1318"/>
        <v>112988</v>
      </c>
      <c r="BN448" s="618">
        <f t="shared" si="1357"/>
        <v>86780.3</v>
      </c>
      <c r="BO448" s="618">
        <f t="shared" si="1358"/>
        <v>26207.7</v>
      </c>
      <c r="BP448" s="616">
        <f t="shared" si="1359"/>
        <v>3402</v>
      </c>
      <c r="BQ448" s="616">
        <f t="shared" si="1328"/>
        <v>679</v>
      </c>
      <c r="BR448" s="616">
        <f t="shared" si="1360"/>
        <v>2436</v>
      </c>
      <c r="BS448" s="616">
        <f t="shared" si="1361"/>
        <v>14217</v>
      </c>
      <c r="BT448" s="616">
        <f t="shared" si="1361"/>
        <v>364</v>
      </c>
      <c r="BU448" s="616">
        <f t="shared" si="1361"/>
        <v>12096</v>
      </c>
      <c r="BV448" s="616">
        <f t="shared" si="1361"/>
        <v>511</v>
      </c>
      <c r="BW448" s="616">
        <f t="shared" si="1361"/>
        <v>1246</v>
      </c>
      <c r="BX448" s="616">
        <f t="shared" si="1319"/>
        <v>6162</v>
      </c>
      <c r="BY448" s="616">
        <f t="shared" si="1362"/>
        <v>4060</v>
      </c>
      <c r="BZ448" s="616">
        <f t="shared" si="1363"/>
        <v>378</v>
      </c>
      <c r="CA448" s="616">
        <f t="shared" si="1364"/>
        <v>539</v>
      </c>
      <c r="CB448" s="616">
        <f t="shared" si="1365"/>
        <v>56</v>
      </c>
      <c r="CC448" s="616">
        <f t="shared" si="1366"/>
        <v>273</v>
      </c>
      <c r="CD448" s="616">
        <f>ROUND(BH448*S448,0)</f>
        <v>14071</v>
      </c>
      <c r="CE448" s="618">
        <f t="shared" si="1367"/>
        <v>10807.2</v>
      </c>
      <c r="CF448" s="618">
        <f t="shared" si="1368"/>
        <v>3263.8</v>
      </c>
      <c r="CG448" s="616">
        <f t="shared" si="1369"/>
        <v>0</v>
      </c>
      <c r="CH448" s="621">
        <f t="shared" si="1321"/>
        <v>158582</v>
      </c>
      <c r="AUV448" s="699">
        <f t="shared" si="1184"/>
        <v>16141.14</v>
      </c>
      <c r="AUW448" s="699">
        <f t="shared" si="1185"/>
        <v>12397.19</v>
      </c>
      <c r="AUX448" s="699">
        <f t="shared" si="1186"/>
        <v>3743.95</v>
      </c>
      <c r="AUY448" s="699">
        <f t="shared" si="1370"/>
        <v>486</v>
      </c>
      <c r="AUZ448" s="699">
        <f t="shared" si="1204"/>
        <v>212.12</v>
      </c>
      <c r="AVA448" s="699">
        <f t="shared" si="1204"/>
        <v>0.19</v>
      </c>
      <c r="AVB448" s="699">
        <f t="shared" si="1371"/>
        <v>2031</v>
      </c>
      <c r="AVC448" s="699">
        <f t="shared" si="1372"/>
        <v>52</v>
      </c>
      <c r="AVD448" s="699">
        <f t="shared" si="1373"/>
        <v>1728</v>
      </c>
      <c r="AVE448" s="699">
        <f t="shared" si="1374"/>
        <v>73</v>
      </c>
      <c r="AVF448" s="699">
        <f t="shared" si="1375"/>
        <v>178</v>
      </c>
      <c r="AVG448" s="699">
        <f t="shared" si="1376"/>
        <v>880.29</v>
      </c>
      <c r="AVH448" s="699">
        <f t="shared" si="1377"/>
        <v>580</v>
      </c>
      <c r="AVI448" s="699">
        <f t="shared" si="1378"/>
        <v>54</v>
      </c>
      <c r="AVJ448" s="699">
        <f t="shared" si="1379"/>
        <v>77</v>
      </c>
      <c r="AVK448" s="699">
        <f t="shared" si="1380"/>
        <v>8</v>
      </c>
      <c r="AVL448" s="699">
        <f t="shared" si="1381"/>
        <v>39</v>
      </c>
      <c r="AVM448" s="699">
        <f t="shared" si="1382"/>
        <v>2010.14</v>
      </c>
      <c r="AVN448" s="699">
        <f t="shared" si="1383"/>
        <v>1543.89</v>
      </c>
      <c r="AVO448" s="699">
        <f t="shared" si="1384"/>
        <v>466.25</v>
      </c>
      <c r="AVP448" s="699">
        <f t="shared" si="1385"/>
        <v>0</v>
      </c>
      <c r="AVQ448" s="699">
        <f t="shared" si="1386"/>
        <v>22654.57</v>
      </c>
    </row>
    <row r="449" spans="1:108 1244:1265" ht="30" customHeight="1" x14ac:dyDescent="0.25">
      <c r="A449" s="639">
        <v>1</v>
      </c>
      <c r="B449" s="649">
        <v>11</v>
      </c>
      <c r="C449" s="665" t="s">
        <v>26</v>
      </c>
      <c r="D449" s="399"/>
      <c r="E449" s="400" t="s">
        <v>345</v>
      </c>
      <c r="F449" s="644" t="s">
        <v>38</v>
      </c>
      <c r="G449" s="649">
        <v>2</v>
      </c>
      <c r="H449" s="659" t="s">
        <v>10</v>
      </c>
      <c r="I449" s="649">
        <v>0</v>
      </c>
      <c r="J449" s="400" t="s">
        <v>440</v>
      </c>
      <c r="K449" s="649">
        <v>3</v>
      </c>
      <c r="L449" s="687" t="s">
        <v>350</v>
      </c>
      <c r="M449" s="401" t="s">
        <v>268</v>
      </c>
      <c r="N449" s="400" t="s">
        <v>411</v>
      </c>
      <c r="O449" s="644">
        <v>1</v>
      </c>
      <c r="P449" s="632">
        <v>3</v>
      </c>
      <c r="Q449" s="632">
        <v>3</v>
      </c>
      <c r="R449" s="632">
        <v>3</v>
      </c>
      <c r="S449" s="675">
        <f>SUMIF('Территориальный кк'!$A:$A,'2020'!$B449,'Территориальный кк'!D:D)</f>
        <v>1.2470000000000001</v>
      </c>
      <c r="T449" s="676">
        <f>SUMIF('Территориальный кк'!$A:$A,'2020'!$B449,'Территориальный кк'!E:E)</f>
        <v>3.2010000000000001</v>
      </c>
      <c r="U449" s="618">
        <f>SUMIFS(Нормативы!G:G,Нормативы!$B:$B,$G449,Нормативы!$D:$D,'2020'!$I449,Нормативы!$F:$F,'2020'!$K449)*O449</f>
        <v>70600</v>
      </c>
      <c r="V449" s="618">
        <f t="shared" si="1322"/>
        <v>54224.3</v>
      </c>
      <c r="W449" s="618">
        <f t="shared" si="1323"/>
        <v>16375.7</v>
      </c>
      <c r="X449" s="618">
        <f>SUMIFS(Нормативы!J:J,Нормативы!$B:$B,$G449,Нормативы!$D:$D,'2020'!$I449,Нормативы!$F:$F,'2020'!$K449)</f>
        <v>8860</v>
      </c>
      <c r="Y449" s="618">
        <f>SUMIFS(Нормативы!K:K,Нормативы!$B:$B,$G449,Нормативы!$D:$D,'2020'!$I449,Нормативы!$F:$F,'2020'!$K449)</f>
        <v>0</v>
      </c>
      <c r="Z449" s="618">
        <f>SUMIFS(Нормативы!L:L,Нормативы!$B:$B,$G449,Нормативы!$D:$D,'2020'!$I449,Нормативы!$F:$F,'2020'!$K449)</f>
        <v>8110</v>
      </c>
      <c r="AA449" s="618">
        <f t="shared" si="1324"/>
        <v>21610</v>
      </c>
      <c r="AB449" s="618">
        <f>SUMIFS(Нормативы!N:N,Нормативы!$B:$B,$G449,Нормативы!$D:$D,'2020'!$I449,Нормативы!$F:$F,'2020'!$K449)*O449</f>
        <v>520</v>
      </c>
      <c r="AC449" s="618">
        <f>SUMIFS(Нормативы!O:O,Нормативы!$B:$B,$G449,Нормативы!$D:$D,'2020'!$I449,Нормативы!$F:$F,'2020'!$K449)</f>
        <v>19720</v>
      </c>
      <c r="AD449" s="618">
        <f>SUMIFS(Нормативы!P:P,Нормативы!$B:$B,$G449,Нормативы!$D:$D,'2020'!$I449,Нормативы!$F:$F,'2020'!$K449)*O449</f>
        <v>400</v>
      </c>
      <c r="AE449" s="618">
        <f>SUMIFS(Нормативы!Q:Q,Нормативы!$B:$B,$G449,Нормативы!$D:$D,'2020'!$I449,Нормативы!$F:$F,'2020'!$K449)</f>
        <v>970</v>
      </c>
      <c r="AF449" s="618">
        <f>SUMIFS(Нормативы!R:R,Нормативы!$B:$B,$G449,Нормативы!$D:$D,'2020'!$I449,Нормативы!$F:$F,'2020'!$K449)</f>
        <v>2680</v>
      </c>
      <c r="AG449" s="618">
        <f>SUMIFS(Нормативы!S:S,Нормативы!$B:$B,$G449,Нормативы!$D:$D,'2020'!$I449,Нормативы!$F:$F,'2020'!$K449)</f>
        <v>5800</v>
      </c>
      <c r="AH449" s="618">
        <f>SUMIFS(Нормативы!T:T,Нормативы!$B:$B,$G449,Нормативы!$D:$D,'2020'!$I449,Нормативы!$F:$F,'2020'!$K449)</f>
        <v>540</v>
      </c>
      <c r="AI449" s="618">
        <f>SUMIFS(Нормативы!U:U,Нормативы!$B:$B,$G449,Нормативы!$D:$D,'2020'!$I449,Нормативы!$F:$F,'2020'!$K449)</f>
        <v>770</v>
      </c>
      <c r="AJ449" s="618">
        <f>SUMIFS(Нормативы!V:V,Нормативы!$B:$B,$G449,Нормативы!$D:$D,'2020'!$I449,Нормативы!$F:$F,'2020'!$K449)</f>
        <v>80</v>
      </c>
      <c r="AK449" s="618">
        <f>SUMIFS(Нормативы!W:W,Нормативы!$B:$B,$G449,Нормативы!$D:$D,'2020'!$I449,Нормативы!$F:$F,'2020'!$K449)</f>
        <v>330</v>
      </c>
      <c r="AL449" s="618">
        <f>SUMIFS(Нормативы!X:X,Нормативы!$B:$B,$G449,Нормативы!$D:$D,'2020'!$I449,Нормативы!$F:$F,'2020'!$K449)*O449</f>
        <v>16120</v>
      </c>
      <c r="AM449" s="618">
        <f t="shared" si="1325"/>
        <v>12381</v>
      </c>
      <c r="AN449" s="618">
        <f t="shared" si="1326"/>
        <v>3739</v>
      </c>
      <c r="AO449" s="618">
        <f>SUMIFS(Нормативы!AA:AA,Нормативы!$B:$B,$G449,Нормативы!$D:$D,'2020'!$I449,Нормативы!$F:$F,'2020'!$K449)</f>
        <v>3520</v>
      </c>
      <c r="AP449" s="619">
        <f t="shared" si="1327"/>
        <v>139020</v>
      </c>
      <c r="AQ449" s="413">
        <f t="shared" si="1301"/>
        <v>211800</v>
      </c>
      <c r="AR449" s="618">
        <f t="shared" si="1352"/>
        <v>162672.79999999999</v>
      </c>
      <c r="AS449" s="618">
        <f t="shared" si="1353"/>
        <v>49127.199999999997</v>
      </c>
      <c r="AT449" s="616">
        <f t="shared" si="1302"/>
        <v>26580</v>
      </c>
      <c r="AU449" s="616">
        <f t="shared" si="1303"/>
        <v>0</v>
      </c>
      <c r="AV449" s="616">
        <f t="shared" si="1304"/>
        <v>24330</v>
      </c>
      <c r="AW449" s="616">
        <f t="shared" si="1305"/>
        <v>64830</v>
      </c>
      <c r="AX449" s="616">
        <f t="shared" si="1306"/>
        <v>1560</v>
      </c>
      <c r="AY449" s="616">
        <f t="shared" si="1307"/>
        <v>59160</v>
      </c>
      <c r="AZ449" s="616">
        <f t="shared" si="1308"/>
        <v>1200</v>
      </c>
      <c r="BA449" s="616">
        <f t="shared" si="1309"/>
        <v>2910</v>
      </c>
      <c r="BB449" s="616">
        <f t="shared" si="1310"/>
        <v>8040</v>
      </c>
      <c r="BC449" s="616">
        <f t="shared" si="1311"/>
        <v>17400</v>
      </c>
      <c r="BD449" s="616">
        <f t="shared" si="1312"/>
        <v>1620</v>
      </c>
      <c r="BE449" s="616">
        <f t="shared" si="1313"/>
        <v>2310</v>
      </c>
      <c r="BF449" s="616">
        <f t="shared" si="1314"/>
        <v>240</v>
      </c>
      <c r="BG449" s="616">
        <f t="shared" si="1315"/>
        <v>990</v>
      </c>
      <c r="BH449" s="616">
        <f t="shared" si="1316"/>
        <v>48360</v>
      </c>
      <c r="BI449" s="618">
        <f t="shared" si="1354"/>
        <v>37142.9</v>
      </c>
      <c r="BJ449" s="618">
        <f t="shared" si="1355"/>
        <v>11217.1</v>
      </c>
      <c r="BK449" s="616">
        <f t="shared" si="1356"/>
        <v>10560</v>
      </c>
      <c r="BL449" s="620">
        <f t="shared" si="1317"/>
        <v>417060</v>
      </c>
      <c r="BM449" s="616">
        <f t="shared" si="1318"/>
        <v>264115</v>
      </c>
      <c r="BN449" s="618">
        <f t="shared" si="1357"/>
        <v>202853.3</v>
      </c>
      <c r="BO449" s="618">
        <f t="shared" si="1358"/>
        <v>61261.7</v>
      </c>
      <c r="BP449" s="616">
        <f t="shared" si="1359"/>
        <v>26580</v>
      </c>
      <c r="BQ449" s="616">
        <f t="shared" si="1328"/>
        <v>0</v>
      </c>
      <c r="BR449" s="616">
        <f t="shared" si="1360"/>
        <v>24330</v>
      </c>
      <c r="BS449" s="616">
        <f t="shared" si="1361"/>
        <v>64830</v>
      </c>
      <c r="BT449" s="616">
        <f t="shared" si="1361"/>
        <v>1560</v>
      </c>
      <c r="BU449" s="616">
        <f t="shared" si="1361"/>
        <v>59160</v>
      </c>
      <c r="BV449" s="616">
        <f t="shared" si="1361"/>
        <v>1200</v>
      </c>
      <c r="BW449" s="616">
        <f t="shared" si="1361"/>
        <v>2910</v>
      </c>
      <c r="BX449" s="616">
        <f t="shared" si="1319"/>
        <v>25736</v>
      </c>
      <c r="BY449" s="616">
        <f t="shared" si="1362"/>
        <v>17400</v>
      </c>
      <c r="BZ449" s="616">
        <f t="shared" si="1363"/>
        <v>1620</v>
      </c>
      <c r="CA449" s="616">
        <f t="shared" si="1364"/>
        <v>2310</v>
      </c>
      <c r="CB449" s="616">
        <f t="shared" si="1365"/>
        <v>240</v>
      </c>
      <c r="CC449" s="616">
        <f t="shared" si="1366"/>
        <v>990</v>
      </c>
      <c r="CD449" s="616">
        <f t="shared" si="1320"/>
        <v>60305</v>
      </c>
      <c r="CE449" s="618">
        <f t="shared" si="1367"/>
        <v>46317.2</v>
      </c>
      <c r="CF449" s="618">
        <f t="shared" si="1368"/>
        <v>13987.8</v>
      </c>
      <c r="CG449" s="616">
        <f t="shared" si="1369"/>
        <v>10560</v>
      </c>
      <c r="CH449" s="621">
        <f t="shared" si="1321"/>
        <v>499016</v>
      </c>
      <c r="AUV449" s="699">
        <f t="shared" si="1184"/>
        <v>88038.33</v>
      </c>
      <c r="AUW449" s="699">
        <f t="shared" si="1185"/>
        <v>67617.759999999995</v>
      </c>
      <c r="AUX449" s="699">
        <f t="shared" si="1186"/>
        <v>20420.57</v>
      </c>
      <c r="AUY449" s="699">
        <f t="shared" si="1370"/>
        <v>8860</v>
      </c>
      <c r="AUZ449" s="699">
        <f t="shared" si="1204"/>
        <v>0</v>
      </c>
      <c r="AVA449" s="699">
        <f t="shared" si="1204"/>
        <v>0.34</v>
      </c>
      <c r="AVB449" s="699">
        <f t="shared" si="1371"/>
        <v>21610</v>
      </c>
      <c r="AVC449" s="699">
        <f t="shared" si="1372"/>
        <v>520</v>
      </c>
      <c r="AVD449" s="699">
        <f t="shared" si="1373"/>
        <v>19720</v>
      </c>
      <c r="AVE449" s="699">
        <f t="shared" si="1374"/>
        <v>400</v>
      </c>
      <c r="AVF449" s="699">
        <f t="shared" si="1375"/>
        <v>970</v>
      </c>
      <c r="AVG449" s="699">
        <f t="shared" si="1376"/>
        <v>8578.67</v>
      </c>
      <c r="AVH449" s="699">
        <f t="shared" si="1377"/>
        <v>5800</v>
      </c>
      <c r="AVI449" s="699">
        <f t="shared" si="1378"/>
        <v>540</v>
      </c>
      <c r="AVJ449" s="699">
        <f t="shared" si="1379"/>
        <v>770</v>
      </c>
      <c r="AVK449" s="699">
        <f t="shared" si="1380"/>
        <v>80</v>
      </c>
      <c r="AVL449" s="699">
        <f t="shared" si="1381"/>
        <v>330</v>
      </c>
      <c r="AVM449" s="699">
        <f t="shared" si="1382"/>
        <v>20101.669999999998</v>
      </c>
      <c r="AVN449" s="699">
        <f t="shared" si="1383"/>
        <v>15439.07</v>
      </c>
      <c r="AVO449" s="699">
        <f t="shared" si="1384"/>
        <v>4662.6000000000004</v>
      </c>
      <c r="AVP449" s="699">
        <f t="shared" si="1385"/>
        <v>3520</v>
      </c>
      <c r="AVQ449" s="699">
        <f t="shared" si="1386"/>
        <v>166338.67000000001</v>
      </c>
    </row>
    <row r="450" spans="1:108 1244:1265" ht="30" customHeight="1" x14ac:dyDescent="0.25">
      <c r="A450" s="639">
        <v>1</v>
      </c>
      <c r="B450" s="649">
        <v>11</v>
      </c>
      <c r="C450" s="665" t="s">
        <v>26</v>
      </c>
      <c r="D450" s="399"/>
      <c r="E450" s="400" t="s">
        <v>345</v>
      </c>
      <c r="F450" s="644" t="s">
        <v>38</v>
      </c>
      <c r="G450" s="649">
        <v>2</v>
      </c>
      <c r="H450" s="659" t="s">
        <v>10</v>
      </c>
      <c r="I450" s="649">
        <v>0</v>
      </c>
      <c r="J450" s="400" t="s">
        <v>441</v>
      </c>
      <c r="K450" s="649">
        <v>3</v>
      </c>
      <c r="L450" s="687" t="s">
        <v>350</v>
      </c>
      <c r="M450" s="401" t="s">
        <v>269</v>
      </c>
      <c r="N450" s="400" t="s">
        <v>411</v>
      </c>
      <c r="O450" s="644">
        <v>1</v>
      </c>
      <c r="P450" s="632">
        <v>10</v>
      </c>
      <c r="Q450" s="632">
        <v>10</v>
      </c>
      <c r="R450" s="632">
        <v>10</v>
      </c>
      <c r="S450" s="675">
        <f>SUMIF('Территориальный кк'!$A:$A,'2020'!$B450,'Территориальный кк'!D:D)</f>
        <v>1.2470000000000001</v>
      </c>
      <c r="T450" s="676">
        <f>SUMIF('Территориальный кк'!$A:$A,'2020'!$B450,'Территориальный кк'!E:E)</f>
        <v>3.2010000000000001</v>
      </c>
      <c r="U450" s="618">
        <f>SUMIFS(Нормативы!G:G,Нормативы!$B:$B,$G450,Нормативы!$D:$D,'2020'!$I450,Нормативы!$F:$F,'2020'!$K450)*O450</f>
        <v>70600</v>
      </c>
      <c r="V450" s="618">
        <f t="shared" si="1322"/>
        <v>54224.3</v>
      </c>
      <c r="W450" s="618">
        <f t="shared" si="1323"/>
        <v>16375.7</v>
      </c>
      <c r="X450" s="618">
        <f>SUMIFS(Нормативы!J:J,Нормативы!$B:$B,$G450,Нормативы!$D:$D,'2020'!$I450,Нормативы!$F:$F,'2020'!$K450)</f>
        <v>8860</v>
      </c>
      <c r="Y450" s="618">
        <f>SUMIFS(Нормативы!K:K,Нормативы!$B:$B,$G450,Нормативы!$D:$D,'2020'!$I450,Нормативы!$F:$F,'2020'!$K450)</f>
        <v>0</v>
      </c>
      <c r="Z450" s="618">
        <f>SUMIFS(Нормативы!L:L,Нормативы!$B:$B,$G450,Нормативы!$D:$D,'2020'!$I450,Нормативы!$F:$F,'2020'!$K450)</f>
        <v>8110</v>
      </c>
      <c r="AA450" s="618">
        <f t="shared" si="1324"/>
        <v>21610</v>
      </c>
      <c r="AB450" s="618">
        <f>SUMIFS(Нормативы!N:N,Нормативы!$B:$B,$G450,Нормативы!$D:$D,'2020'!$I450,Нормативы!$F:$F,'2020'!$K450)*O450</f>
        <v>520</v>
      </c>
      <c r="AC450" s="618">
        <f>SUMIFS(Нормативы!O:O,Нормативы!$B:$B,$G450,Нормативы!$D:$D,'2020'!$I450,Нормативы!$F:$F,'2020'!$K450)</f>
        <v>19720</v>
      </c>
      <c r="AD450" s="618">
        <f>SUMIFS(Нормативы!P:P,Нормативы!$B:$B,$G450,Нормативы!$D:$D,'2020'!$I450,Нормативы!$F:$F,'2020'!$K450)*O450</f>
        <v>400</v>
      </c>
      <c r="AE450" s="618">
        <f>SUMIFS(Нормативы!Q:Q,Нормативы!$B:$B,$G450,Нормативы!$D:$D,'2020'!$I450,Нормативы!$F:$F,'2020'!$K450)</f>
        <v>970</v>
      </c>
      <c r="AF450" s="618">
        <f>SUMIFS(Нормативы!R:R,Нормативы!$B:$B,$G450,Нормативы!$D:$D,'2020'!$I450,Нормативы!$F:$F,'2020'!$K450)</f>
        <v>2680</v>
      </c>
      <c r="AG450" s="618">
        <f>SUMIFS(Нормативы!S:S,Нормативы!$B:$B,$G450,Нормативы!$D:$D,'2020'!$I450,Нормативы!$F:$F,'2020'!$K450)</f>
        <v>5800</v>
      </c>
      <c r="AH450" s="618">
        <f>SUMIFS(Нормативы!T:T,Нормативы!$B:$B,$G450,Нормативы!$D:$D,'2020'!$I450,Нормативы!$F:$F,'2020'!$K450)</f>
        <v>540</v>
      </c>
      <c r="AI450" s="618">
        <f>SUMIFS(Нормативы!U:U,Нормативы!$B:$B,$G450,Нормативы!$D:$D,'2020'!$I450,Нормативы!$F:$F,'2020'!$K450)</f>
        <v>770</v>
      </c>
      <c r="AJ450" s="618">
        <f>SUMIFS(Нормативы!V:V,Нормативы!$B:$B,$G450,Нормативы!$D:$D,'2020'!$I450,Нормативы!$F:$F,'2020'!$K450)</f>
        <v>80</v>
      </c>
      <c r="AK450" s="618">
        <f>SUMIFS(Нормативы!W:W,Нормативы!$B:$B,$G450,Нормативы!$D:$D,'2020'!$I450,Нормативы!$F:$F,'2020'!$K450)</f>
        <v>330</v>
      </c>
      <c r="AL450" s="618">
        <f>SUMIFS(Нормативы!X:X,Нормативы!$B:$B,$G450,Нормативы!$D:$D,'2020'!$I450,Нормативы!$F:$F,'2020'!$K450)*O450</f>
        <v>16120</v>
      </c>
      <c r="AM450" s="618">
        <f t="shared" si="1325"/>
        <v>12381</v>
      </c>
      <c r="AN450" s="618">
        <f t="shared" si="1326"/>
        <v>3739</v>
      </c>
      <c r="AO450" s="618">
        <f>SUMIFS(Нормативы!AA:AA,Нормативы!$B:$B,$G450,Нормативы!$D:$D,'2020'!$I450,Нормативы!$F:$F,'2020'!$K450)</f>
        <v>3520</v>
      </c>
      <c r="AP450" s="619">
        <f t="shared" si="1327"/>
        <v>139020</v>
      </c>
      <c r="AQ450" s="413">
        <f t="shared" si="1301"/>
        <v>706000</v>
      </c>
      <c r="AR450" s="618">
        <f t="shared" si="1352"/>
        <v>542242.69999999995</v>
      </c>
      <c r="AS450" s="618">
        <f t="shared" si="1353"/>
        <v>163757.29999999999</v>
      </c>
      <c r="AT450" s="616">
        <f t="shared" si="1302"/>
        <v>88600</v>
      </c>
      <c r="AU450" s="616">
        <f t="shared" si="1303"/>
        <v>0</v>
      </c>
      <c r="AV450" s="616">
        <f t="shared" si="1304"/>
        <v>81100</v>
      </c>
      <c r="AW450" s="616">
        <f t="shared" si="1305"/>
        <v>216100</v>
      </c>
      <c r="AX450" s="616">
        <f t="shared" si="1306"/>
        <v>5200</v>
      </c>
      <c r="AY450" s="616">
        <f t="shared" si="1307"/>
        <v>197200</v>
      </c>
      <c r="AZ450" s="616">
        <f t="shared" si="1308"/>
        <v>4000</v>
      </c>
      <c r="BA450" s="616">
        <f t="shared" si="1309"/>
        <v>9700</v>
      </c>
      <c r="BB450" s="616">
        <f t="shared" si="1310"/>
        <v>26800</v>
      </c>
      <c r="BC450" s="616">
        <f t="shared" si="1311"/>
        <v>58000</v>
      </c>
      <c r="BD450" s="616">
        <f t="shared" si="1312"/>
        <v>5400</v>
      </c>
      <c r="BE450" s="616">
        <f t="shared" si="1313"/>
        <v>7700</v>
      </c>
      <c r="BF450" s="616">
        <f t="shared" si="1314"/>
        <v>800</v>
      </c>
      <c r="BG450" s="616">
        <f t="shared" si="1315"/>
        <v>3300</v>
      </c>
      <c r="BH450" s="616">
        <f t="shared" si="1316"/>
        <v>161200</v>
      </c>
      <c r="BI450" s="618">
        <f t="shared" si="1354"/>
        <v>123809.5</v>
      </c>
      <c r="BJ450" s="618">
        <f t="shared" si="1355"/>
        <v>37390.5</v>
      </c>
      <c r="BK450" s="616">
        <f t="shared" si="1356"/>
        <v>35200</v>
      </c>
      <c r="BL450" s="620">
        <f t="shared" si="1317"/>
        <v>1390200</v>
      </c>
      <c r="BM450" s="616">
        <f t="shared" si="1318"/>
        <v>880382</v>
      </c>
      <c r="BN450" s="618">
        <f t="shared" si="1357"/>
        <v>676176.7</v>
      </c>
      <c r="BO450" s="618">
        <f t="shared" si="1358"/>
        <v>204205.3</v>
      </c>
      <c r="BP450" s="616">
        <f t="shared" si="1359"/>
        <v>88600</v>
      </c>
      <c r="BQ450" s="616">
        <f t="shared" si="1328"/>
        <v>0</v>
      </c>
      <c r="BR450" s="616">
        <f t="shared" si="1360"/>
        <v>81100</v>
      </c>
      <c r="BS450" s="616">
        <f t="shared" si="1361"/>
        <v>216100</v>
      </c>
      <c r="BT450" s="616">
        <f t="shared" si="1361"/>
        <v>5200</v>
      </c>
      <c r="BU450" s="616">
        <f t="shared" si="1361"/>
        <v>197200</v>
      </c>
      <c r="BV450" s="616">
        <f t="shared" si="1361"/>
        <v>4000</v>
      </c>
      <c r="BW450" s="616">
        <f t="shared" si="1361"/>
        <v>9700</v>
      </c>
      <c r="BX450" s="616">
        <f t="shared" si="1319"/>
        <v>85787</v>
      </c>
      <c r="BY450" s="616">
        <f t="shared" si="1362"/>
        <v>58000</v>
      </c>
      <c r="BZ450" s="616">
        <f t="shared" si="1363"/>
        <v>5400</v>
      </c>
      <c r="CA450" s="616">
        <f t="shared" si="1364"/>
        <v>7700</v>
      </c>
      <c r="CB450" s="616">
        <f t="shared" si="1365"/>
        <v>800</v>
      </c>
      <c r="CC450" s="616">
        <f t="shared" si="1366"/>
        <v>3300</v>
      </c>
      <c r="CD450" s="616">
        <f t="shared" si="1320"/>
        <v>201016</v>
      </c>
      <c r="CE450" s="618">
        <f t="shared" si="1367"/>
        <v>154390.20000000001</v>
      </c>
      <c r="CF450" s="618">
        <f t="shared" si="1368"/>
        <v>46625.8</v>
      </c>
      <c r="CG450" s="616">
        <f t="shared" si="1369"/>
        <v>35200</v>
      </c>
      <c r="CH450" s="621">
        <f t="shared" si="1321"/>
        <v>1663385</v>
      </c>
      <c r="AUV450" s="699">
        <f t="shared" si="1184"/>
        <v>88038.2</v>
      </c>
      <c r="AUW450" s="699">
        <f t="shared" si="1185"/>
        <v>67617.67</v>
      </c>
      <c r="AUX450" s="699">
        <f t="shared" si="1186"/>
        <v>20420.53</v>
      </c>
      <c r="AUY450" s="699">
        <f t="shared" si="1370"/>
        <v>8860</v>
      </c>
      <c r="AUZ450" s="699">
        <f t="shared" si="1204"/>
        <v>0</v>
      </c>
      <c r="AVA450" s="699">
        <f t="shared" si="1204"/>
        <v>1.1499999999999999</v>
      </c>
      <c r="AVB450" s="699">
        <f t="shared" si="1371"/>
        <v>21610</v>
      </c>
      <c r="AVC450" s="699">
        <f t="shared" si="1372"/>
        <v>520</v>
      </c>
      <c r="AVD450" s="699">
        <f t="shared" si="1373"/>
        <v>19720</v>
      </c>
      <c r="AVE450" s="699">
        <f t="shared" si="1374"/>
        <v>400</v>
      </c>
      <c r="AVF450" s="699">
        <f t="shared" si="1375"/>
        <v>970</v>
      </c>
      <c r="AVG450" s="699">
        <f t="shared" si="1376"/>
        <v>8578.7000000000007</v>
      </c>
      <c r="AVH450" s="699">
        <f t="shared" si="1377"/>
        <v>5800</v>
      </c>
      <c r="AVI450" s="699">
        <f t="shared" si="1378"/>
        <v>540</v>
      </c>
      <c r="AVJ450" s="699">
        <f t="shared" si="1379"/>
        <v>770</v>
      </c>
      <c r="AVK450" s="699">
        <f t="shared" si="1380"/>
        <v>80</v>
      </c>
      <c r="AVL450" s="699">
        <f t="shared" si="1381"/>
        <v>330</v>
      </c>
      <c r="AVM450" s="699">
        <f t="shared" si="1382"/>
        <v>20101.599999999999</v>
      </c>
      <c r="AVN450" s="699">
        <f t="shared" si="1383"/>
        <v>15439.02</v>
      </c>
      <c r="AVO450" s="699">
        <f t="shared" si="1384"/>
        <v>4662.58</v>
      </c>
      <c r="AVP450" s="699">
        <f t="shared" si="1385"/>
        <v>3520</v>
      </c>
      <c r="AVQ450" s="699">
        <f t="shared" si="1386"/>
        <v>166338.5</v>
      </c>
    </row>
    <row r="451" spans="1:108 1244:1265" ht="30" customHeight="1" x14ac:dyDescent="0.25">
      <c r="A451" s="639">
        <v>1</v>
      </c>
      <c r="B451" s="649">
        <v>11</v>
      </c>
      <c r="C451" s="665" t="s">
        <v>26</v>
      </c>
      <c r="D451" s="399"/>
      <c r="E451" s="400" t="s">
        <v>345</v>
      </c>
      <c r="F451" s="644" t="s">
        <v>38</v>
      </c>
      <c r="G451" s="649">
        <v>2</v>
      </c>
      <c r="H451" s="659" t="s">
        <v>8</v>
      </c>
      <c r="I451" s="649">
        <v>3</v>
      </c>
      <c r="J451" s="400" t="s">
        <v>441</v>
      </c>
      <c r="K451" s="649">
        <v>3</v>
      </c>
      <c r="L451" s="687" t="s">
        <v>350</v>
      </c>
      <c r="M451" s="401" t="s">
        <v>300</v>
      </c>
      <c r="N451" s="400" t="s">
        <v>411</v>
      </c>
      <c r="O451" s="644">
        <v>1</v>
      </c>
      <c r="P451" s="632">
        <v>7</v>
      </c>
      <c r="Q451" s="632">
        <v>7</v>
      </c>
      <c r="R451" s="632">
        <v>7</v>
      </c>
      <c r="S451" s="675">
        <f>SUMIF('Территориальный кк'!$A:$A,'2020'!$B451,'Территориальный кк'!D:D)</f>
        <v>1.2470000000000001</v>
      </c>
      <c r="T451" s="676">
        <f>SUMIF('Территориальный кк'!$A:$A,'2020'!$B451,'Территориальный кк'!E:E)</f>
        <v>3.2010000000000001</v>
      </c>
      <c r="U451" s="618">
        <f>SUMIFS(Нормативы!G:G,Нормативы!$B:$B,$G451,Нормативы!$D:$D,'2020'!$I451,Нормативы!$F:$F,'2020'!$K451)*O451</f>
        <v>12944</v>
      </c>
      <c r="V451" s="618">
        <f t="shared" si="1322"/>
        <v>9941.6</v>
      </c>
      <c r="W451" s="618">
        <f t="shared" si="1323"/>
        <v>3002.4</v>
      </c>
      <c r="X451" s="618">
        <f>SUMIFS(Нормативы!J:J,Нормативы!$B:$B,$G451,Нормативы!$D:$D,'2020'!$I451,Нормативы!$F:$F,'2020'!$K451)</f>
        <v>486</v>
      </c>
      <c r="Y451" s="618">
        <f>SUMIFS(Нормативы!K:K,Нормативы!$B:$B,$G451,Нормативы!$D:$D,'2020'!$I451,Нормативы!$F:$F,'2020'!$K451)</f>
        <v>97</v>
      </c>
      <c r="Z451" s="618">
        <f>SUMIFS(Нормативы!L:L,Нормативы!$B:$B,$G451,Нормативы!$D:$D,'2020'!$I451,Нормативы!$F:$F,'2020'!$K451)</f>
        <v>348</v>
      </c>
      <c r="AA451" s="618">
        <f t="shared" si="1324"/>
        <v>2031</v>
      </c>
      <c r="AB451" s="618">
        <f>SUMIFS(Нормативы!N:N,Нормативы!$B:$B,$G451,Нормативы!$D:$D,'2020'!$I451,Нормативы!$F:$F,'2020'!$K451)*O451</f>
        <v>52</v>
      </c>
      <c r="AC451" s="618">
        <f>SUMIFS(Нормативы!O:O,Нормативы!$B:$B,$G451,Нормативы!$D:$D,'2020'!$I451,Нормативы!$F:$F,'2020'!$K451)</f>
        <v>1728</v>
      </c>
      <c r="AD451" s="618">
        <f>SUMIFS(Нормативы!P:P,Нормативы!$B:$B,$G451,Нормативы!$D:$D,'2020'!$I451,Нормативы!$F:$F,'2020'!$K451)*O451</f>
        <v>73</v>
      </c>
      <c r="AE451" s="618">
        <f>SUMIFS(Нормативы!Q:Q,Нормативы!$B:$B,$G451,Нормативы!$D:$D,'2020'!$I451,Нормативы!$F:$F,'2020'!$K451)</f>
        <v>178</v>
      </c>
      <c r="AF451" s="618">
        <f>SUMIFS(Нормативы!R:R,Нормативы!$B:$B,$G451,Нормативы!$D:$D,'2020'!$I451,Нормативы!$F:$F,'2020'!$K451)</f>
        <v>275</v>
      </c>
      <c r="AG451" s="618">
        <f>SUMIFS(Нормативы!S:S,Нормативы!$B:$B,$G451,Нормативы!$D:$D,'2020'!$I451,Нормативы!$F:$F,'2020'!$K451)</f>
        <v>580</v>
      </c>
      <c r="AH451" s="618">
        <f>SUMIFS(Нормативы!T:T,Нормативы!$B:$B,$G451,Нормативы!$D:$D,'2020'!$I451,Нормативы!$F:$F,'2020'!$K451)</f>
        <v>54</v>
      </c>
      <c r="AI451" s="618">
        <f>SUMIFS(Нормативы!U:U,Нормативы!$B:$B,$G451,Нормативы!$D:$D,'2020'!$I451,Нормативы!$F:$F,'2020'!$K451)</f>
        <v>77</v>
      </c>
      <c r="AJ451" s="618">
        <f>SUMIFS(Нормативы!V:V,Нормативы!$B:$B,$G451,Нормативы!$D:$D,'2020'!$I451,Нормативы!$F:$F,'2020'!$K451)</f>
        <v>8</v>
      </c>
      <c r="AK451" s="618">
        <f>SUMIFS(Нормативы!W:W,Нормативы!$B:$B,$G451,Нормативы!$D:$D,'2020'!$I451,Нормативы!$F:$F,'2020'!$K451)</f>
        <v>39</v>
      </c>
      <c r="AL451" s="618">
        <f>SUMIFS(Нормативы!X:X,Нормативы!$B:$B,$G451,Нормативы!$D:$D,'2020'!$I451,Нормативы!$F:$F,'2020'!$K451)*O451</f>
        <v>1612</v>
      </c>
      <c r="AM451" s="618">
        <f t="shared" si="1325"/>
        <v>1238.0999999999999</v>
      </c>
      <c r="AN451" s="618">
        <f t="shared" si="1326"/>
        <v>373.9</v>
      </c>
      <c r="AO451" s="618">
        <f>SUMIFS(Нормативы!AA:AA,Нормативы!$B:$B,$G451,Нормативы!$D:$D,'2020'!$I451,Нормативы!$F:$F,'2020'!$K451)</f>
        <v>0</v>
      </c>
      <c r="AP451" s="619">
        <f t="shared" si="1327"/>
        <v>18454</v>
      </c>
      <c r="AQ451" s="413">
        <f t="shared" si="1301"/>
        <v>90608</v>
      </c>
      <c r="AR451" s="618">
        <f t="shared" si="1352"/>
        <v>69591.399999999994</v>
      </c>
      <c r="AS451" s="618">
        <f t="shared" si="1353"/>
        <v>21016.6</v>
      </c>
      <c r="AT451" s="616">
        <f t="shared" si="1302"/>
        <v>3402</v>
      </c>
      <c r="AU451" s="616">
        <f t="shared" si="1303"/>
        <v>679</v>
      </c>
      <c r="AV451" s="616">
        <f t="shared" si="1304"/>
        <v>2436</v>
      </c>
      <c r="AW451" s="616">
        <f t="shared" si="1305"/>
        <v>14217</v>
      </c>
      <c r="AX451" s="616">
        <f t="shared" si="1306"/>
        <v>364</v>
      </c>
      <c r="AY451" s="616">
        <f t="shared" si="1307"/>
        <v>12096</v>
      </c>
      <c r="AZ451" s="616">
        <f t="shared" si="1308"/>
        <v>511</v>
      </c>
      <c r="BA451" s="616">
        <f t="shared" si="1309"/>
        <v>1246</v>
      </c>
      <c r="BB451" s="616">
        <f t="shared" si="1310"/>
        <v>1925</v>
      </c>
      <c r="BC451" s="616">
        <f t="shared" si="1311"/>
        <v>4060</v>
      </c>
      <c r="BD451" s="616">
        <f t="shared" si="1312"/>
        <v>378</v>
      </c>
      <c r="BE451" s="616">
        <f t="shared" si="1313"/>
        <v>539</v>
      </c>
      <c r="BF451" s="616">
        <f t="shared" si="1314"/>
        <v>56</v>
      </c>
      <c r="BG451" s="616">
        <f t="shared" si="1315"/>
        <v>273</v>
      </c>
      <c r="BH451" s="616">
        <f t="shared" si="1316"/>
        <v>11284</v>
      </c>
      <c r="BI451" s="618">
        <f t="shared" si="1354"/>
        <v>8666.7000000000007</v>
      </c>
      <c r="BJ451" s="618">
        <f t="shared" si="1355"/>
        <v>2617.3000000000002</v>
      </c>
      <c r="BK451" s="616">
        <f t="shared" si="1356"/>
        <v>0</v>
      </c>
      <c r="BL451" s="620">
        <f t="shared" si="1317"/>
        <v>129178</v>
      </c>
      <c r="BM451" s="616">
        <f t="shared" si="1318"/>
        <v>112988</v>
      </c>
      <c r="BN451" s="618">
        <f t="shared" si="1357"/>
        <v>86780.3</v>
      </c>
      <c r="BO451" s="618">
        <f t="shared" si="1358"/>
        <v>26207.7</v>
      </c>
      <c r="BP451" s="616">
        <f t="shared" si="1359"/>
        <v>3402</v>
      </c>
      <c r="BQ451" s="616">
        <f t="shared" si="1328"/>
        <v>679</v>
      </c>
      <c r="BR451" s="616">
        <f t="shared" si="1360"/>
        <v>2436</v>
      </c>
      <c r="BS451" s="616">
        <f t="shared" si="1361"/>
        <v>14217</v>
      </c>
      <c r="BT451" s="616">
        <f t="shared" si="1361"/>
        <v>364</v>
      </c>
      <c r="BU451" s="616">
        <f t="shared" si="1361"/>
        <v>12096</v>
      </c>
      <c r="BV451" s="616">
        <f t="shared" si="1361"/>
        <v>511</v>
      </c>
      <c r="BW451" s="616">
        <f t="shared" si="1361"/>
        <v>1246</v>
      </c>
      <c r="BX451" s="616">
        <f t="shared" si="1319"/>
        <v>6162</v>
      </c>
      <c r="BY451" s="616">
        <f t="shared" si="1362"/>
        <v>4060</v>
      </c>
      <c r="BZ451" s="616">
        <f t="shared" si="1363"/>
        <v>378</v>
      </c>
      <c r="CA451" s="616">
        <f t="shared" si="1364"/>
        <v>539</v>
      </c>
      <c r="CB451" s="616">
        <f t="shared" si="1365"/>
        <v>56</v>
      </c>
      <c r="CC451" s="616">
        <f t="shared" si="1366"/>
        <v>273</v>
      </c>
      <c r="CD451" s="616">
        <f t="shared" si="1320"/>
        <v>14071</v>
      </c>
      <c r="CE451" s="618">
        <f t="shared" si="1367"/>
        <v>10807.2</v>
      </c>
      <c r="CF451" s="618">
        <f t="shared" si="1368"/>
        <v>3263.8</v>
      </c>
      <c r="CG451" s="616">
        <f t="shared" si="1369"/>
        <v>0</v>
      </c>
      <c r="CH451" s="621">
        <f t="shared" si="1321"/>
        <v>158582</v>
      </c>
      <c r="AUV451" s="699">
        <f t="shared" si="1184"/>
        <v>16141.14</v>
      </c>
      <c r="AUW451" s="699">
        <f t="shared" si="1185"/>
        <v>12397.19</v>
      </c>
      <c r="AUX451" s="699">
        <f t="shared" si="1186"/>
        <v>3743.95</v>
      </c>
      <c r="AUY451" s="699">
        <f t="shared" si="1370"/>
        <v>486</v>
      </c>
      <c r="AUZ451" s="699">
        <f t="shared" si="1204"/>
        <v>212.12</v>
      </c>
      <c r="AVA451" s="699">
        <f t="shared" si="1204"/>
        <v>0.19</v>
      </c>
      <c r="AVB451" s="699">
        <f t="shared" si="1371"/>
        <v>2031</v>
      </c>
      <c r="AVC451" s="699">
        <f t="shared" si="1372"/>
        <v>52</v>
      </c>
      <c r="AVD451" s="699">
        <f t="shared" si="1373"/>
        <v>1728</v>
      </c>
      <c r="AVE451" s="699">
        <f t="shared" si="1374"/>
        <v>73</v>
      </c>
      <c r="AVF451" s="699">
        <f t="shared" si="1375"/>
        <v>178</v>
      </c>
      <c r="AVG451" s="699">
        <f t="shared" si="1376"/>
        <v>880.29</v>
      </c>
      <c r="AVH451" s="699">
        <f t="shared" si="1377"/>
        <v>580</v>
      </c>
      <c r="AVI451" s="699">
        <f t="shared" si="1378"/>
        <v>54</v>
      </c>
      <c r="AVJ451" s="699">
        <f t="shared" si="1379"/>
        <v>77</v>
      </c>
      <c r="AVK451" s="699">
        <f t="shared" si="1380"/>
        <v>8</v>
      </c>
      <c r="AVL451" s="699">
        <f t="shared" si="1381"/>
        <v>39</v>
      </c>
      <c r="AVM451" s="699">
        <f t="shared" si="1382"/>
        <v>2010.14</v>
      </c>
      <c r="AVN451" s="699">
        <f t="shared" si="1383"/>
        <v>1543.89</v>
      </c>
      <c r="AVO451" s="699">
        <f t="shared" si="1384"/>
        <v>466.25</v>
      </c>
      <c r="AVP451" s="699">
        <f t="shared" si="1385"/>
        <v>0</v>
      </c>
      <c r="AVQ451" s="699">
        <f t="shared" si="1386"/>
        <v>22654.57</v>
      </c>
    </row>
    <row r="452" spans="1:108 1244:1265" ht="30" customHeight="1" x14ac:dyDescent="0.25">
      <c r="A452" s="639">
        <v>1</v>
      </c>
      <c r="B452" s="649">
        <v>11</v>
      </c>
      <c r="C452" s="665" t="s">
        <v>26</v>
      </c>
      <c r="D452" s="399"/>
      <c r="E452" s="400" t="s">
        <v>442</v>
      </c>
      <c r="F452" s="644" t="s">
        <v>39</v>
      </c>
      <c r="G452" s="649">
        <v>3</v>
      </c>
      <c r="H452" s="659" t="s">
        <v>10</v>
      </c>
      <c r="I452" s="649">
        <v>0</v>
      </c>
      <c r="J452" s="400" t="s">
        <v>443</v>
      </c>
      <c r="K452" s="649">
        <v>2</v>
      </c>
      <c r="L452" s="688" t="s">
        <v>351</v>
      </c>
      <c r="M452" s="401" t="s">
        <v>274</v>
      </c>
      <c r="N452" s="400" t="s">
        <v>411</v>
      </c>
      <c r="O452" s="644">
        <v>1</v>
      </c>
      <c r="P452" s="632">
        <v>2</v>
      </c>
      <c r="Q452" s="632">
        <v>2</v>
      </c>
      <c r="R452" s="632">
        <v>2</v>
      </c>
      <c r="S452" s="675">
        <f>SUMIF('Территориальный кк'!$A:$A,'2020'!$B452,'Территориальный кк'!D:D)</f>
        <v>1.2470000000000001</v>
      </c>
      <c r="T452" s="676">
        <f>SUMIF('Территориальный кк'!$A:$A,'2020'!$B452,'Территориальный кк'!E:E)</f>
        <v>3.2010000000000001</v>
      </c>
      <c r="U452" s="618">
        <f>SUMIFS(Нормативы!G:G,Нормативы!$B:$B,$G452,Нормативы!$D:$D,'2020'!$I452,Нормативы!$F:$F,'2020'!$K452)*O452</f>
        <v>78450</v>
      </c>
      <c r="V452" s="618">
        <f t="shared" si="1322"/>
        <v>60253.5</v>
      </c>
      <c r="W452" s="618">
        <f t="shared" si="1323"/>
        <v>18196.5</v>
      </c>
      <c r="X452" s="618">
        <f>SUMIFS(Нормативы!J:J,Нормативы!$B:$B,$G452,Нормативы!$D:$D,'2020'!$I452,Нормативы!$F:$F,'2020'!$K452)</f>
        <v>1610</v>
      </c>
      <c r="Y452" s="618">
        <f>SUMIFS(Нормативы!K:K,Нормативы!$B:$B,$G452,Нормативы!$D:$D,'2020'!$I452,Нормативы!$F:$F,'2020'!$K452)</f>
        <v>322</v>
      </c>
      <c r="Z452" s="618">
        <f>SUMIFS(Нормативы!L:L,Нормативы!$B:$B,$G452,Нормативы!$D:$D,'2020'!$I452,Нормативы!$F:$F,'2020'!$K452)</f>
        <v>3480</v>
      </c>
      <c r="AA452" s="618">
        <f t="shared" si="1324"/>
        <v>8580</v>
      </c>
      <c r="AB452" s="618">
        <f>SUMIFS(Нормативы!N:N,Нормативы!$B:$B,$G452,Нормативы!$D:$D,'2020'!$I452,Нормативы!$F:$F,'2020'!$K452)*O452</f>
        <v>880</v>
      </c>
      <c r="AC452" s="618">
        <f>SUMIFS(Нормативы!O:O,Нормативы!$B:$B,$G452,Нормативы!$D:$D,'2020'!$I452,Нормативы!$F:$F,'2020'!$K452)</f>
        <v>6180</v>
      </c>
      <c r="AD452" s="618">
        <f>SUMIFS(Нормативы!P:P,Нормативы!$B:$B,$G452,Нормативы!$D:$D,'2020'!$I452,Нормативы!$F:$F,'2020'!$K452)*O452</f>
        <v>440</v>
      </c>
      <c r="AE452" s="618">
        <f>SUMIFS(Нормативы!Q:Q,Нормативы!$B:$B,$G452,Нормативы!$D:$D,'2020'!$I452,Нормативы!$F:$F,'2020'!$K452)</f>
        <v>1080</v>
      </c>
      <c r="AF452" s="618">
        <f>SUMIFS(Нормативы!R:R,Нормативы!$B:$B,$G452,Нормативы!$D:$D,'2020'!$I452,Нормативы!$F:$F,'2020'!$K452)</f>
        <v>2490</v>
      </c>
      <c r="AG452" s="618">
        <f>SUMIFS(Нормативы!S:S,Нормативы!$B:$B,$G452,Нормативы!$D:$D,'2020'!$I452,Нормативы!$F:$F,'2020'!$K452)</f>
        <v>5800</v>
      </c>
      <c r="AH452" s="618">
        <f>SUMIFS(Нормативы!T:T,Нормативы!$B:$B,$G452,Нормативы!$D:$D,'2020'!$I452,Нормативы!$F:$F,'2020'!$K452)</f>
        <v>540</v>
      </c>
      <c r="AI452" s="618">
        <f>SUMIFS(Нормативы!U:U,Нормативы!$B:$B,$G452,Нормативы!$D:$D,'2020'!$I452,Нормативы!$F:$F,'2020'!$K452)</f>
        <v>770</v>
      </c>
      <c r="AJ452" s="618">
        <f>SUMIFS(Нормативы!V:V,Нормативы!$B:$B,$G452,Нормативы!$D:$D,'2020'!$I452,Нормативы!$F:$F,'2020'!$K452)</f>
        <v>170</v>
      </c>
      <c r="AK452" s="618">
        <f>SUMIFS(Нормативы!W:W,Нормативы!$B:$B,$G452,Нормативы!$D:$D,'2020'!$I452,Нормативы!$F:$F,'2020'!$K452)</f>
        <v>200</v>
      </c>
      <c r="AL452" s="618">
        <f>SUMIFS(Нормативы!X:X,Нормативы!$B:$B,$G452,Нормативы!$D:$D,'2020'!$I452,Нормативы!$F:$F,'2020'!$K452)*O452</f>
        <v>13440</v>
      </c>
      <c r="AM452" s="618">
        <f t="shared" si="1325"/>
        <v>10322.6</v>
      </c>
      <c r="AN452" s="618">
        <f t="shared" si="1326"/>
        <v>3117.4</v>
      </c>
      <c r="AO452" s="618">
        <f>SUMIFS(Нормативы!AA:AA,Нормативы!$B:$B,$G452,Нормативы!$D:$D,'2020'!$I452,Нормативы!$F:$F,'2020'!$K452)</f>
        <v>0</v>
      </c>
      <c r="AP452" s="619">
        <f t="shared" si="1327"/>
        <v>115530</v>
      </c>
      <c r="AQ452" s="413">
        <f t="shared" si="1301"/>
        <v>156900</v>
      </c>
      <c r="AR452" s="618">
        <f t="shared" si="1352"/>
        <v>120506.9</v>
      </c>
      <c r="AS452" s="618">
        <f t="shared" si="1353"/>
        <v>36393.1</v>
      </c>
      <c r="AT452" s="616">
        <f t="shared" si="1302"/>
        <v>3220</v>
      </c>
      <c r="AU452" s="616">
        <f t="shared" si="1303"/>
        <v>644</v>
      </c>
      <c r="AV452" s="616">
        <f t="shared" si="1304"/>
        <v>6960</v>
      </c>
      <c r="AW452" s="616">
        <f t="shared" si="1305"/>
        <v>17160</v>
      </c>
      <c r="AX452" s="616">
        <f t="shared" si="1306"/>
        <v>1760</v>
      </c>
      <c r="AY452" s="616">
        <f t="shared" si="1307"/>
        <v>12360</v>
      </c>
      <c r="AZ452" s="616">
        <f t="shared" si="1308"/>
        <v>880</v>
      </c>
      <c r="BA452" s="616">
        <f t="shared" si="1309"/>
        <v>2160</v>
      </c>
      <c r="BB452" s="616">
        <f t="shared" si="1310"/>
        <v>4980</v>
      </c>
      <c r="BC452" s="616">
        <f t="shared" si="1311"/>
        <v>11600</v>
      </c>
      <c r="BD452" s="616">
        <f t="shared" si="1312"/>
        <v>1080</v>
      </c>
      <c r="BE452" s="616">
        <f t="shared" si="1313"/>
        <v>1540</v>
      </c>
      <c r="BF452" s="616">
        <f t="shared" si="1314"/>
        <v>340</v>
      </c>
      <c r="BG452" s="616">
        <f t="shared" si="1315"/>
        <v>400</v>
      </c>
      <c r="BH452" s="616">
        <f t="shared" si="1316"/>
        <v>26880</v>
      </c>
      <c r="BI452" s="618">
        <f t="shared" si="1354"/>
        <v>20645.2</v>
      </c>
      <c r="BJ452" s="618">
        <f t="shared" si="1355"/>
        <v>6234.8</v>
      </c>
      <c r="BK452" s="616">
        <f t="shared" si="1356"/>
        <v>0</v>
      </c>
      <c r="BL452" s="620">
        <f t="shared" si="1317"/>
        <v>231060</v>
      </c>
      <c r="BM452" s="616">
        <f t="shared" si="1318"/>
        <v>195654</v>
      </c>
      <c r="BN452" s="618">
        <f t="shared" si="1357"/>
        <v>150271.9</v>
      </c>
      <c r="BO452" s="618">
        <f t="shared" si="1358"/>
        <v>45382.1</v>
      </c>
      <c r="BP452" s="616">
        <f t="shared" si="1359"/>
        <v>3220</v>
      </c>
      <c r="BQ452" s="616">
        <f t="shared" si="1328"/>
        <v>644</v>
      </c>
      <c r="BR452" s="616">
        <f t="shared" si="1360"/>
        <v>6960</v>
      </c>
      <c r="BS452" s="616">
        <f t="shared" si="1361"/>
        <v>17160</v>
      </c>
      <c r="BT452" s="616">
        <f t="shared" si="1361"/>
        <v>1760</v>
      </c>
      <c r="BU452" s="616">
        <f t="shared" si="1361"/>
        <v>12360</v>
      </c>
      <c r="BV452" s="616">
        <f t="shared" si="1361"/>
        <v>880</v>
      </c>
      <c r="BW452" s="616">
        <f t="shared" si="1361"/>
        <v>2160</v>
      </c>
      <c r="BX452" s="616">
        <f t="shared" si="1319"/>
        <v>15941</v>
      </c>
      <c r="BY452" s="616">
        <f t="shared" si="1362"/>
        <v>11600</v>
      </c>
      <c r="BZ452" s="616">
        <f t="shared" si="1363"/>
        <v>1080</v>
      </c>
      <c r="CA452" s="616">
        <f t="shared" si="1364"/>
        <v>1540</v>
      </c>
      <c r="CB452" s="616">
        <f t="shared" si="1365"/>
        <v>340</v>
      </c>
      <c r="CC452" s="616">
        <f t="shared" si="1366"/>
        <v>400</v>
      </c>
      <c r="CD452" s="616">
        <f t="shared" si="1320"/>
        <v>33519</v>
      </c>
      <c r="CE452" s="618">
        <f t="shared" si="1367"/>
        <v>25744.2</v>
      </c>
      <c r="CF452" s="618">
        <f t="shared" si="1368"/>
        <v>7774.8</v>
      </c>
      <c r="CG452" s="616">
        <f t="shared" si="1369"/>
        <v>0</v>
      </c>
      <c r="CH452" s="621">
        <f t="shared" si="1321"/>
        <v>287414</v>
      </c>
      <c r="AUV452" s="699">
        <f t="shared" si="1184"/>
        <v>97827</v>
      </c>
      <c r="AUW452" s="699">
        <f t="shared" si="1185"/>
        <v>75135.94</v>
      </c>
      <c r="AUX452" s="699">
        <f t="shared" si="1186"/>
        <v>22691.06</v>
      </c>
      <c r="AUY452" s="699">
        <f t="shared" si="1370"/>
        <v>1610</v>
      </c>
      <c r="AUZ452" s="699">
        <f t="shared" si="1204"/>
        <v>201.19</v>
      </c>
      <c r="AVA452" s="699">
        <f t="shared" si="1204"/>
        <v>0.09</v>
      </c>
      <c r="AVB452" s="699">
        <f t="shared" si="1371"/>
        <v>8580</v>
      </c>
      <c r="AVC452" s="699">
        <f t="shared" si="1372"/>
        <v>880</v>
      </c>
      <c r="AVD452" s="699">
        <f t="shared" si="1373"/>
        <v>6180</v>
      </c>
      <c r="AVE452" s="699">
        <f t="shared" si="1374"/>
        <v>440</v>
      </c>
      <c r="AVF452" s="699">
        <f t="shared" si="1375"/>
        <v>1080</v>
      </c>
      <c r="AVG452" s="699">
        <f t="shared" si="1376"/>
        <v>7970.5</v>
      </c>
      <c r="AVH452" s="699">
        <f t="shared" si="1377"/>
        <v>5800</v>
      </c>
      <c r="AVI452" s="699">
        <f t="shared" si="1378"/>
        <v>540</v>
      </c>
      <c r="AVJ452" s="699">
        <f t="shared" si="1379"/>
        <v>770</v>
      </c>
      <c r="AVK452" s="699">
        <f t="shared" si="1380"/>
        <v>170</v>
      </c>
      <c r="AVL452" s="699">
        <f t="shared" si="1381"/>
        <v>200</v>
      </c>
      <c r="AVM452" s="699">
        <f t="shared" si="1382"/>
        <v>16759.5</v>
      </c>
      <c r="AVN452" s="699">
        <f t="shared" si="1383"/>
        <v>12872.12</v>
      </c>
      <c r="AVO452" s="699">
        <f t="shared" si="1384"/>
        <v>3887.38</v>
      </c>
      <c r="AVP452" s="699">
        <f t="shared" si="1385"/>
        <v>0</v>
      </c>
      <c r="AVQ452" s="699">
        <f t="shared" si="1386"/>
        <v>143707</v>
      </c>
    </row>
    <row r="453" spans="1:108 1244:1265" ht="30" customHeight="1" x14ac:dyDescent="0.25">
      <c r="A453" s="639">
        <v>1</v>
      </c>
      <c r="B453" s="649">
        <v>11</v>
      </c>
      <c r="C453" s="665" t="s">
        <v>26</v>
      </c>
      <c r="D453" s="399"/>
      <c r="E453" s="400" t="s">
        <v>442</v>
      </c>
      <c r="F453" s="644" t="s">
        <v>39</v>
      </c>
      <c r="G453" s="649">
        <v>3</v>
      </c>
      <c r="H453" s="659" t="s">
        <v>10</v>
      </c>
      <c r="I453" s="649">
        <v>0</v>
      </c>
      <c r="J453" s="400" t="s">
        <v>444</v>
      </c>
      <c r="K453" s="649">
        <v>2</v>
      </c>
      <c r="L453" s="688" t="s">
        <v>446</v>
      </c>
      <c r="M453" s="401" t="s">
        <v>271</v>
      </c>
      <c r="N453" s="400" t="s">
        <v>411</v>
      </c>
      <c r="O453" s="644">
        <v>1</v>
      </c>
      <c r="P453" s="632">
        <v>1</v>
      </c>
      <c r="Q453" s="632">
        <v>1</v>
      </c>
      <c r="R453" s="632">
        <v>1</v>
      </c>
      <c r="S453" s="675">
        <f>SUMIF('Территориальный кк'!$A:$A,'2020'!$B453,'Территориальный кк'!D:D)</f>
        <v>1.2470000000000001</v>
      </c>
      <c r="T453" s="676">
        <f>SUMIF('Территориальный кк'!$A:$A,'2020'!$B453,'Территориальный кк'!E:E)</f>
        <v>3.2010000000000001</v>
      </c>
      <c r="U453" s="618">
        <f>SUMIFS(Нормативы!G:G,Нормативы!$B:$B,$G453,Нормативы!$D:$D,'2020'!$I453,Нормативы!$F:$F,'2020'!$K453)*O453</f>
        <v>78450</v>
      </c>
      <c r="V453" s="618">
        <f t="shared" si="1322"/>
        <v>60253.5</v>
      </c>
      <c r="W453" s="618">
        <f t="shared" si="1323"/>
        <v>18196.5</v>
      </c>
      <c r="X453" s="618">
        <f>SUMIFS(Нормативы!J:J,Нормативы!$B:$B,$G453,Нормативы!$D:$D,'2020'!$I453,Нормативы!$F:$F,'2020'!$K453)</f>
        <v>1610</v>
      </c>
      <c r="Y453" s="618">
        <f>SUMIFS(Нормативы!K:K,Нормативы!$B:$B,$G453,Нормативы!$D:$D,'2020'!$I453,Нормативы!$F:$F,'2020'!$K453)</f>
        <v>322</v>
      </c>
      <c r="Z453" s="618">
        <f>SUMIFS(Нормативы!L:L,Нормативы!$B:$B,$G453,Нормативы!$D:$D,'2020'!$I453,Нормативы!$F:$F,'2020'!$K453)</f>
        <v>3480</v>
      </c>
      <c r="AA453" s="618">
        <f t="shared" si="1324"/>
        <v>8580</v>
      </c>
      <c r="AB453" s="618">
        <f>SUMIFS(Нормативы!N:N,Нормативы!$B:$B,$G453,Нормативы!$D:$D,'2020'!$I453,Нормативы!$F:$F,'2020'!$K453)*O453</f>
        <v>880</v>
      </c>
      <c r="AC453" s="618">
        <f>SUMIFS(Нормативы!O:O,Нормативы!$B:$B,$G453,Нормативы!$D:$D,'2020'!$I453,Нормативы!$F:$F,'2020'!$K453)</f>
        <v>6180</v>
      </c>
      <c r="AD453" s="618">
        <f>SUMIFS(Нормативы!P:P,Нормативы!$B:$B,$G453,Нормативы!$D:$D,'2020'!$I453,Нормативы!$F:$F,'2020'!$K453)*O453</f>
        <v>440</v>
      </c>
      <c r="AE453" s="618">
        <f>SUMIFS(Нормативы!Q:Q,Нормативы!$B:$B,$G453,Нормативы!$D:$D,'2020'!$I453,Нормативы!$F:$F,'2020'!$K453)</f>
        <v>1080</v>
      </c>
      <c r="AF453" s="618">
        <f>SUMIFS(Нормативы!R:R,Нормативы!$B:$B,$G453,Нормативы!$D:$D,'2020'!$I453,Нормативы!$F:$F,'2020'!$K453)</f>
        <v>2490</v>
      </c>
      <c r="AG453" s="618">
        <f>SUMIFS(Нормативы!S:S,Нормативы!$B:$B,$G453,Нормативы!$D:$D,'2020'!$I453,Нормативы!$F:$F,'2020'!$K453)</f>
        <v>5800</v>
      </c>
      <c r="AH453" s="618">
        <f>SUMIFS(Нормативы!T:T,Нормативы!$B:$B,$G453,Нормативы!$D:$D,'2020'!$I453,Нормативы!$F:$F,'2020'!$K453)</f>
        <v>540</v>
      </c>
      <c r="AI453" s="618">
        <f>SUMIFS(Нормативы!U:U,Нормативы!$B:$B,$G453,Нормативы!$D:$D,'2020'!$I453,Нормативы!$F:$F,'2020'!$K453)</f>
        <v>770</v>
      </c>
      <c r="AJ453" s="618">
        <f>SUMIFS(Нормативы!V:V,Нормативы!$B:$B,$G453,Нормативы!$D:$D,'2020'!$I453,Нормативы!$F:$F,'2020'!$K453)</f>
        <v>170</v>
      </c>
      <c r="AK453" s="618">
        <f>SUMIFS(Нормативы!W:W,Нормативы!$B:$B,$G453,Нормативы!$D:$D,'2020'!$I453,Нормативы!$F:$F,'2020'!$K453)</f>
        <v>200</v>
      </c>
      <c r="AL453" s="618">
        <f>SUMIFS(Нормативы!X:X,Нормативы!$B:$B,$G453,Нормативы!$D:$D,'2020'!$I453,Нормативы!$F:$F,'2020'!$K453)*O453</f>
        <v>13440</v>
      </c>
      <c r="AM453" s="618">
        <f t="shared" si="1325"/>
        <v>10322.6</v>
      </c>
      <c r="AN453" s="618">
        <f t="shared" si="1326"/>
        <v>3117.4</v>
      </c>
      <c r="AO453" s="618">
        <f>SUMIFS(Нормативы!AA:AA,Нормативы!$B:$B,$G453,Нормативы!$D:$D,'2020'!$I453,Нормативы!$F:$F,'2020'!$K453)</f>
        <v>0</v>
      </c>
      <c r="AP453" s="619">
        <f t="shared" si="1327"/>
        <v>115530</v>
      </c>
      <c r="AQ453" s="413">
        <f t="shared" si="1301"/>
        <v>78450</v>
      </c>
      <c r="AR453" s="618">
        <f t="shared" si="1352"/>
        <v>60253.5</v>
      </c>
      <c r="AS453" s="618">
        <f t="shared" si="1353"/>
        <v>18196.5</v>
      </c>
      <c r="AT453" s="616">
        <f t="shared" si="1302"/>
        <v>1610</v>
      </c>
      <c r="AU453" s="616">
        <f t="shared" si="1303"/>
        <v>322</v>
      </c>
      <c r="AV453" s="616">
        <f t="shared" si="1304"/>
        <v>3480</v>
      </c>
      <c r="AW453" s="616">
        <f t="shared" si="1305"/>
        <v>8580</v>
      </c>
      <c r="AX453" s="616">
        <f t="shared" si="1306"/>
        <v>880</v>
      </c>
      <c r="AY453" s="616">
        <f t="shared" si="1307"/>
        <v>6180</v>
      </c>
      <c r="AZ453" s="616">
        <f t="shared" si="1308"/>
        <v>440</v>
      </c>
      <c r="BA453" s="616">
        <f t="shared" si="1309"/>
        <v>1080</v>
      </c>
      <c r="BB453" s="616">
        <f t="shared" si="1310"/>
        <v>2490</v>
      </c>
      <c r="BC453" s="616">
        <f t="shared" si="1311"/>
        <v>5800</v>
      </c>
      <c r="BD453" s="616">
        <f t="shared" si="1312"/>
        <v>540</v>
      </c>
      <c r="BE453" s="616">
        <f t="shared" si="1313"/>
        <v>770</v>
      </c>
      <c r="BF453" s="616">
        <f t="shared" si="1314"/>
        <v>170</v>
      </c>
      <c r="BG453" s="616">
        <f t="shared" si="1315"/>
        <v>200</v>
      </c>
      <c r="BH453" s="616">
        <f t="shared" si="1316"/>
        <v>13440</v>
      </c>
      <c r="BI453" s="618">
        <f t="shared" si="1354"/>
        <v>10322.6</v>
      </c>
      <c r="BJ453" s="618">
        <f t="shared" si="1355"/>
        <v>3117.4</v>
      </c>
      <c r="BK453" s="616">
        <f t="shared" si="1356"/>
        <v>0</v>
      </c>
      <c r="BL453" s="620">
        <f t="shared" si="1317"/>
        <v>115530</v>
      </c>
      <c r="BM453" s="616">
        <f t="shared" si="1318"/>
        <v>97827</v>
      </c>
      <c r="BN453" s="618">
        <f t="shared" si="1357"/>
        <v>75135.899999999994</v>
      </c>
      <c r="BO453" s="618">
        <f t="shared" si="1358"/>
        <v>22691.1</v>
      </c>
      <c r="BP453" s="616">
        <f t="shared" si="1359"/>
        <v>1610</v>
      </c>
      <c r="BQ453" s="616">
        <f t="shared" si="1328"/>
        <v>322</v>
      </c>
      <c r="BR453" s="616">
        <f t="shared" si="1360"/>
        <v>3480</v>
      </c>
      <c r="BS453" s="616">
        <f t="shared" si="1361"/>
        <v>8580</v>
      </c>
      <c r="BT453" s="616">
        <f t="shared" si="1361"/>
        <v>880</v>
      </c>
      <c r="BU453" s="616">
        <f t="shared" si="1361"/>
        <v>6180</v>
      </c>
      <c r="BV453" s="616">
        <f t="shared" si="1361"/>
        <v>440</v>
      </c>
      <c r="BW453" s="616">
        <f t="shared" si="1361"/>
        <v>1080</v>
      </c>
      <c r="BX453" s="616">
        <f t="shared" si="1319"/>
        <v>7970</v>
      </c>
      <c r="BY453" s="616">
        <f t="shared" si="1362"/>
        <v>5800</v>
      </c>
      <c r="BZ453" s="616">
        <f t="shared" si="1363"/>
        <v>540</v>
      </c>
      <c r="CA453" s="616">
        <f t="shared" si="1364"/>
        <v>770</v>
      </c>
      <c r="CB453" s="616">
        <f t="shared" si="1365"/>
        <v>170</v>
      </c>
      <c r="CC453" s="616">
        <f t="shared" si="1366"/>
        <v>200</v>
      </c>
      <c r="CD453" s="616">
        <f t="shared" si="1320"/>
        <v>16760</v>
      </c>
      <c r="CE453" s="618">
        <f t="shared" si="1367"/>
        <v>12872.5</v>
      </c>
      <c r="CF453" s="618">
        <f t="shared" si="1368"/>
        <v>3887.5</v>
      </c>
      <c r="CG453" s="616">
        <f t="shared" si="1369"/>
        <v>0</v>
      </c>
      <c r="CH453" s="621">
        <f t="shared" si="1321"/>
        <v>143707</v>
      </c>
      <c r="AUV453" s="699">
        <f t="shared" si="1184"/>
        <v>97827</v>
      </c>
      <c r="AUW453" s="699">
        <f t="shared" si="1185"/>
        <v>75135.94</v>
      </c>
      <c r="AUX453" s="699">
        <f t="shared" si="1186"/>
        <v>22691.06</v>
      </c>
      <c r="AUY453" s="699">
        <f t="shared" si="1370"/>
        <v>1610</v>
      </c>
      <c r="AUZ453" s="699">
        <f t="shared" si="1204"/>
        <v>100.59</v>
      </c>
      <c r="AVA453" s="699">
        <f t="shared" si="1204"/>
        <v>0.04</v>
      </c>
      <c r="AVB453" s="699">
        <f t="shared" si="1371"/>
        <v>8580</v>
      </c>
      <c r="AVC453" s="699">
        <f t="shared" si="1372"/>
        <v>880</v>
      </c>
      <c r="AVD453" s="699">
        <f t="shared" si="1373"/>
        <v>6180</v>
      </c>
      <c r="AVE453" s="699">
        <f t="shared" si="1374"/>
        <v>440</v>
      </c>
      <c r="AVF453" s="699">
        <f t="shared" si="1375"/>
        <v>1080</v>
      </c>
      <c r="AVG453" s="699">
        <f t="shared" si="1376"/>
        <v>7970</v>
      </c>
      <c r="AVH453" s="699">
        <f t="shared" si="1377"/>
        <v>5800</v>
      </c>
      <c r="AVI453" s="699">
        <f t="shared" si="1378"/>
        <v>540</v>
      </c>
      <c r="AVJ453" s="699">
        <f t="shared" si="1379"/>
        <v>770</v>
      </c>
      <c r="AVK453" s="699">
        <f t="shared" si="1380"/>
        <v>170</v>
      </c>
      <c r="AVL453" s="699">
        <f t="shared" si="1381"/>
        <v>200</v>
      </c>
      <c r="AVM453" s="699">
        <f t="shared" si="1382"/>
        <v>16760</v>
      </c>
      <c r="AVN453" s="699">
        <f t="shared" si="1383"/>
        <v>12872.5</v>
      </c>
      <c r="AVO453" s="699">
        <f t="shared" si="1384"/>
        <v>3887.5</v>
      </c>
      <c r="AVP453" s="699">
        <f t="shared" si="1385"/>
        <v>0</v>
      </c>
      <c r="AVQ453" s="699">
        <f t="shared" si="1386"/>
        <v>143707</v>
      </c>
    </row>
    <row r="454" spans="1:108 1244:1265" ht="30" customHeight="1" x14ac:dyDescent="0.25">
      <c r="A454" s="639">
        <v>1</v>
      </c>
      <c r="B454" s="650">
        <v>11</v>
      </c>
      <c r="C454" s="666" t="s">
        <v>26</v>
      </c>
      <c r="D454" s="399"/>
      <c r="E454" s="411" t="s">
        <v>442</v>
      </c>
      <c r="F454" s="645" t="s">
        <v>39</v>
      </c>
      <c r="G454" s="650">
        <v>3</v>
      </c>
      <c r="H454" s="660" t="s">
        <v>10</v>
      </c>
      <c r="I454" s="650">
        <v>0</v>
      </c>
      <c r="J454" s="411" t="s">
        <v>438</v>
      </c>
      <c r="K454" s="650">
        <v>3</v>
      </c>
      <c r="L454" s="689" t="s">
        <v>447</v>
      </c>
      <c r="M454" s="412" t="s">
        <v>273</v>
      </c>
      <c r="N454" s="411" t="s">
        <v>411</v>
      </c>
      <c r="O454" s="645">
        <v>1</v>
      </c>
      <c r="P454" s="632">
        <v>4</v>
      </c>
      <c r="Q454" s="632">
        <v>4</v>
      </c>
      <c r="R454" s="632">
        <v>4</v>
      </c>
      <c r="S454" s="675">
        <f>SUMIF('Территориальный кк'!$A:$A,'2020'!$B454,'Территориальный кк'!D:D)</f>
        <v>1.2470000000000001</v>
      </c>
      <c r="T454" s="676">
        <f>SUMIF('Территориальный кк'!$A:$A,'2020'!$B454,'Территориальный кк'!E:E)</f>
        <v>3.2010000000000001</v>
      </c>
      <c r="U454" s="618">
        <f>SUMIFS(Нормативы!G:G,Нормативы!$B:$B,$G454,Нормативы!$D:$D,'2020'!$I454,Нормативы!$F:$F,'2020'!$K454)*O454</f>
        <v>78450</v>
      </c>
      <c r="V454" s="618">
        <f t="shared" si="1322"/>
        <v>60253.5</v>
      </c>
      <c r="W454" s="618">
        <f t="shared" si="1323"/>
        <v>18196.5</v>
      </c>
      <c r="X454" s="618">
        <f>SUMIFS(Нормативы!J:J,Нормативы!$B:$B,$G454,Нормативы!$D:$D,'2020'!$I454,Нормативы!$F:$F,'2020'!$K454)</f>
        <v>6840</v>
      </c>
      <c r="Y454" s="618">
        <f>SUMIFS(Нормативы!K:K,Нормативы!$B:$B,$G454,Нормативы!$D:$D,'2020'!$I454,Нормативы!$F:$F,'2020'!$K454)</f>
        <v>1368</v>
      </c>
      <c r="Z454" s="618">
        <f>SUMIFS(Нормативы!L:L,Нормативы!$B:$B,$G454,Нормативы!$D:$D,'2020'!$I454,Нормативы!$F:$F,'2020'!$K454)</f>
        <v>8110</v>
      </c>
      <c r="AA454" s="618">
        <f t="shared" si="1324"/>
        <v>23360</v>
      </c>
      <c r="AB454" s="618">
        <f>SUMIFS(Нормативы!N:N,Нормативы!$B:$B,$G454,Нормативы!$D:$D,'2020'!$I454,Нормативы!$F:$F,'2020'!$K454)*O454</f>
        <v>880</v>
      </c>
      <c r="AC454" s="618">
        <f>SUMIFS(Нормативы!O:O,Нормативы!$B:$B,$G454,Нормативы!$D:$D,'2020'!$I454,Нормативы!$F:$F,'2020'!$K454)</f>
        <v>20960</v>
      </c>
      <c r="AD454" s="618">
        <f>SUMIFS(Нормативы!P:P,Нормативы!$B:$B,$G454,Нормативы!$D:$D,'2020'!$I454,Нормативы!$F:$F,'2020'!$K454)*O454</f>
        <v>440</v>
      </c>
      <c r="AE454" s="618">
        <f>SUMIFS(Нормативы!Q:Q,Нормативы!$B:$B,$G454,Нормативы!$D:$D,'2020'!$I454,Нормативы!$F:$F,'2020'!$K454)</f>
        <v>1080</v>
      </c>
      <c r="AF454" s="618">
        <f>SUMIFS(Нормативы!R:R,Нормативы!$B:$B,$G454,Нормативы!$D:$D,'2020'!$I454,Нормативы!$F:$F,'2020'!$K454)</f>
        <v>2700</v>
      </c>
      <c r="AG454" s="618">
        <f>SUMIFS(Нормативы!S:S,Нормативы!$B:$B,$G454,Нормативы!$D:$D,'2020'!$I454,Нормативы!$F:$F,'2020'!$K454)</f>
        <v>5800</v>
      </c>
      <c r="AH454" s="618">
        <f>SUMIFS(Нормативы!T:T,Нормативы!$B:$B,$G454,Нормативы!$D:$D,'2020'!$I454,Нормативы!$F:$F,'2020'!$K454)</f>
        <v>540</v>
      </c>
      <c r="AI454" s="618">
        <f>SUMIFS(Нормативы!U:U,Нормативы!$B:$B,$G454,Нормативы!$D:$D,'2020'!$I454,Нормативы!$F:$F,'2020'!$K454)</f>
        <v>770</v>
      </c>
      <c r="AJ454" s="618">
        <f>SUMIFS(Нормативы!V:V,Нормативы!$B:$B,$G454,Нормативы!$D:$D,'2020'!$I454,Нормативы!$F:$F,'2020'!$K454)</f>
        <v>170</v>
      </c>
      <c r="AK454" s="618">
        <f>SUMIFS(Нормативы!W:W,Нормативы!$B:$B,$G454,Нормативы!$D:$D,'2020'!$I454,Нормативы!$F:$F,'2020'!$K454)</f>
        <v>200</v>
      </c>
      <c r="AL454" s="618">
        <f>SUMIFS(Нормативы!X:X,Нормативы!$B:$B,$G454,Нормативы!$D:$D,'2020'!$I454,Нормативы!$F:$F,'2020'!$K454)*O454</f>
        <v>13440</v>
      </c>
      <c r="AM454" s="618">
        <f t="shared" si="1325"/>
        <v>10322.6</v>
      </c>
      <c r="AN454" s="618">
        <f t="shared" si="1326"/>
        <v>3117.4</v>
      </c>
      <c r="AO454" s="618">
        <f>SUMIFS(Нормативы!AA:AA,Нормативы!$B:$B,$G454,Нормативы!$D:$D,'2020'!$I454,Нормативы!$F:$F,'2020'!$K454)</f>
        <v>0</v>
      </c>
      <c r="AP454" s="619">
        <f t="shared" si="1327"/>
        <v>140380</v>
      </c>
      <c r="AQ454" s="413">
        <f t="shared" si="1301"/>
        <v>313800</v>
      </c>
      <c r="AR454" s="618">
        <f t="shared" si="1352"/>
        <v>241013.8</v>
      </c>
      <c r="AS454" s="618">
        <f t="shared" si="1353"/>
        <v>72786.2</v>
      </c>
      <c r="AT454" s="616">
        <f t="shared" si="1302"/>
        <v>27360</v>
      </c>
      <c r="AU454" s="616">
        <f t="shared" si="1303"/>
        <v>5472</v>
      </c>
      <c r="AV454" s="616">
        <f t="shared" si="1304"/>
        <v>32440</v>
      </c>
      <c r="AW454" s="616">
        <f t="shared" si="1305"/>
        <v>93440</v>
      </c>
      <c r="AX454" s="616">
        <f t="shared" si="1306"/>
        <v>3520</v>
      </c>
      <c r="AY454" s="616">
        <f t="shared" si="1307"/>
        <v>83840</v>
      </c>
      <c r="AZ454" s="616">
        <f t="shared" si="1308"/>
        <v>1760</v>
      </c>
      <c r="BA454" s="616">
        <f t="shared" si="1309"/>
        <v>4320</v>
      </c>
      <c r="BB454" s="616">
        <f t="shared" si="1310"/>
        <v>10800</v>
      </c>
      <c r="BC454" s="616">
        <f t="shared" si="1311"/>
        <v>23200</v>
      </c>
      <c r="BD454" s="616">
        <f t="shared" si="1312"/>
        <v>2160</v>
      </c>
      <c r="BE454" s="616">
        <f t="shared" si="1313"/>
        <v>3080</v>
      </c>
      <c r="BF454" s="616">
        <f t="shared" si="1314"/>
        <v>680</v>
      </c>
      <c r="BG454" s="616">
        <f t="shared" si="1315"/>
        <v>800</v>
      </c>
      <c r="BH454" s="616">
        <f t="shared" si="1316"/>
        <v>53760</v>
      </c>
      <c r="BI454" s="627">
        <f t="shared" si="1354"/>
        <v>41290.300000000003</v>
      </c>
      <c r="BJ454" s="627">
        <f t="shared" si="1355"/>
        <v>12469.7</v>
      </c>
      <c r="BK454" s="617">
        <f t="shared" si="1356"/>
        <v>0</v>
      </c>
      <c r="BL454" s="628">
        <f t="shared" si="1317"/>
        <v>561520</v>
      </c>
      <c r="BM454" s="617">
        <f t="shared" si="1318"/>
        <v>391309</v>
      </c>
      <c r="BN454" s="627">
        <f t="shared" si="1357"/>
        <v>300544.5</v>
      </c>
      <c r="BO454" s="627">
        <f t="shared" si="1358"/>
        <v>90764.5</v>
      </c>
      <c r="BP454" s="617">
        <f t="shared" si="1359"/>
        <v>27360</v>
      </c>
      <c r="BQ454" s="617">
        <f t="shared" si="1328"/>
        <v>5472</v>
      </c>
      <c r="BR454" s="617">
        <f t="shared" si="1360"/>
        <v>32440</v>
      </c>
      <c r="BS454" s="617">
        <f t="shared" si="1361"/>
        <v>93440</v>
      </c>
      <c r="BT454" s="616">
        <f t="shared" si="1361"/>
        <v>3520</v>
      </c>
      <c r="BU454" s="616">
        <f t="shared" si="1361"/>
        <v>83840</v>
      </c>
      <c r="BV454" s="616">
        <f t="shared" si="1361"/>
        <v>1760</v>
      </c>
      <c r="BW454" s="616">
        <f t="shared" si="1361"/>
        <v>4320</v>
      </c>
      <c r="BX454" s="616">
        <f t="shared" si="1319"/>
        <v>34571</v>
      </c>
      <c r="BY454" s="617">
        <f t="shared" si="1362"/>
        <v>23200</v>
      </c>
      <c r="BZ454" s="617">
        <f t="shared" si="1363"/>
        <v>2160</v>
      </c>
      <c r="CA454" s="617">
        <f t="shared" si="1364"/>
        <v>3080</v>
      </c>
      <c r="CB454" s="617">
        <f t="shared" si="1365"/>
        <v>680</v>
      </c>
      <c r="CC454" s="617">
        <f t="shared" si="1366"/>
        <v>800</v>
      </c>
      <c r="CD454" s="617">
        <f t="shared" si="1320"/>
        <v>67039</v>
      </c>
      <c r="CE454" s="627">
        <f t="shared" si="1367"/>
        <v>51489.2</v>
      </c>
      <c r="CF454" s="627">
        <f t="shared" si="1368"/>
        <v>15549.8</v>
      </c>
      <c r="CG454" s="617">
        <f t="shared" si="1369"/>
        <v>0</v>
      </c>
      <c r="CH454" s="629">
        <f t="shared" si="1321"/>
        <v>676079</v>
      </c>
      <c r="AUV454" s="699">
        <f t="shared" si="1184"/>
        <v>97827.25</v>
      </c>
      <c r="AUW454" s="699">
        <f t="shared" si="1185"/>
        <v>75136.14</v>
      </c>
      <c r="AUX454" s="699">
        <f t="shared" si="1186"/>
        <v>22691.11</v>
      </c>
      <c r="AUY454" s="699">
        <f t="shared" si="1370"/>
        <v>6840</v>
      </c>
      <c r="AUZ454" s="699">
        <f t="shared" si="1204"/>
        <v>1709.47</v>
      </c>
      <c r="AVA454" s="699">
        <f t="shared" si="1204"/>
        <v>0.41</v>
      </c>
      <c r="AVB454" s="699">
        <f t="shared" si="1371"/>
        <v>23360</v>
      </c>
      <c r="AVC454" s="699">
        <f t="shared" si="1372"/>
        <v>880</v>
      </c>
      <c r="AVD454" s="699">
        <f t="shared" si="1373"/>
        <v>20960</v>
      </c>
      <c r="AVE454" s="699">
        <f t="shared" si="1374"/>
        <v>440</v>
      </c>
      <c r="AVF454" s="699">
        <f t="shared" si="1375"/>
        <v>1080</v>
      </c>
      <c r="AVG454" s="699">
        <f t="shared" si="1376"/>
        <v>8642.75</v>
      </c>
      <c r="AVH454" s="699">
        <f t="shared" si="1377"/>
        <v>5800</v>
      </c>
      <c r="AVI454" s="699">
        <f t="shared" si="1378"/>
        <v>540</v>
      </c>
      <c r="AVJ454" s="699">
        <f t="shared" si="1379"/>
        <v>770</v>
      </c>
      <c r="AVK454" s="699">
        <f t="shared" si="1380"/>
        <v>170</v>
      </c>
      <c r="AVL454" s="699">
        <f t="shared" si="1381"/>
        <v>200</v>
      </c>
      <c r="AVM454" s="699">
        <f t="shared" si="1382"/>
        <v>16759.75</v>
      </c>
      <c r="AVN454" s="699">
        <f t="shared" si="1383"/>
        <v>12872.31</v>
      </c>
      <c r="AVO454" s="699">
        <f t="shared" si="1384"/>
        <v>3887.44</v>
      </c>
      <c r="AVP454" s="699">
        <f t="shared" si="1385"/>
        <v>0</v>
      </c>
      <c r="AVQ454" s="699">
        <f t="shared" si="1386"/>
        <v>169019.75</v>
      </c>
    </row>
    <row r="455" spans="1:108 1244:1265" ht="30" customHeight="1" x14ac:dyDescent="0.25">
      <c r="A455" s="643">
        <v>1</v>
      </c>
      <c r="B455" s="649">
        <v>11</v>
      </c>
      <c r="C455" s="665" t="s">
        <v>26</v>
      </c>
      <c r="D455" s="698"/>
      <c r="E455" s="400" t="s">
        <v>442</v>
      </c>
      <c r="F455" s="644" t="s">
        <v>39</v>
      </c>
      <c r="G455" s="649">
        <v>3</v>
      </c>
      <c r="H455" s="659" t="s">
        <v>10</v>
      </c>
      <c r="I455" s="649">
        <v>0</v>
      </c>
      <c r="J455" s="400" t="s">
        <v>445</v>
      </c>
      <c r="K455" s="649">
        <v>3</v>
      </c>
      <c r="L455" s="688" t="s">
        <v>448</v>
      </c>
      <c r="M455" s="401" t="s">
        <v>272</v>
      </c>
      <c r="N455" s="400" t="s">
        <v>411</v>
      </c>
      <c r="O455" s="644">
        <v>1</v>
      </c>
      <c r="P455" s="632">
        <v>16</v>
      </c>
      <c r="Q455" s="632">
        <v>16</v>
      </c>
      <c r="R455" s="632">
        <v>16</v>
      </c>
      <c r="S455" s="676">
        <f>SUMIF('Территориальный кк'!$A:$A,'2020'!$B455,'Территориальный кк'!D:D)</f>
        <v>1.2470000000000001</v>
      </c>
      <c r="T455" s="676">
        <f>SUMIF('Территориальный кк'!$A:$A,'2020'!$B455,'Территориальный кк'!E:E)</f>
        <v>3.2010000000000001</v>
      </c>
      <c r="U455" s="618">
        <f>SUMIFS(Нормативы!G:G,Нормативы!$B:$B,$G455,Нормативы!$D:$D,'2020'!$I455,Нормативы!$F:$F,'2020'!$K455)*O455</f>
        <v>78450</v>
      </c>
      <c r="V455" s="618">
        <f t="shared" si="1322"/>
        <v>60253.5</v>
      </c>
      <c r="W455" s="618">
        <f t="shared" si="1323"/>
        <v>18196.5</v>
      </c>
      <c r="X455" s="618">
        <f>SUMIFS(Нормативы!J:J,Нормативы!$B:$B,$G455,Нормативы!$D:$D,'2020'!$I455,Нормативы!$F:$F,'2020'!$K455)</f>
        <v>6840</v>
      </c>
      <c r="Y455" s="618">
        <f>SUMIFS(Нормативы!K:K,Нормативы!$B:$B,$G455,Нормативы!$D:$D,'2020'!$I455,Нормативы!$F:$F,'2020'!$K455)</f>
        <v>1368</v>
      </c>
      <c r="Z455" s="618">
        <f>SUMIFS(Нормативы!L:L,Нормативы!$B:$B,$G455,Нормативы!$D:$D,'2020'!$I455,Нормативы!$F:$F,'2020'!$K455)</f>
        <v>8110</v>
      </c>
      <c r="AA455" s="618">
        <f t="shared" si="1324"/>
        <v>23360</v>
      </c>
      <c r="AB455" s="618">
        <f>SUMIFS(Нормативы!N:N,Нормативы!$B:$B,$G455,Нормативы!$D:$D,'2020'!$I455,Нормативы!$F:$F,'2020'!$K455)*O455</f>
        <v>880</v>
      </c>
      <c r="AC455" s="618">
        <f>SUMIFS(Нормативы!O:O,Нормативы!$B:$B,$G455,Нормативы!$D:$D,'2020'!$I455,Нормативы!$F:$F,'2020'!$K455)</f>
        <v>20960</v>
      </c>
      <c r="AD455" s="618">
        <f>SUMIFS(Нормативы!P:P,Нормативы!$B:$B,$G455,Нормативы!$D:$D,'2020'!$I455,Нормативы!$F:$F,'2020'!$K455)*O455</f>
        <v>440</v>
      </c>
      <c r="AE455" s="618">
        <f>SUMIFS(Нормативы!Q:Q,Нормативы!$B:$B,$G455,Нормативы!$D:$D,'2020'!$I455,Нормативы!$F:$F,'2020'!$K455)</f>
        <v>1080</v>
      </c>
      <c r="AF455" s="618">
        <f>SUMIFS(Нормативы!R:R,Нормативы!$B:$B,$G455,Нормативы!$D:$D,'2020'!$I455,Нормативы!$F:$F,'2020'!$K455)</f>
        <v>2700</v>
      </c>
      <c r="AG455" s="618">
        <f>SUMIFS(Нормативы!S:S,Нормативы!$B:$B,$G455,Нормативы!$D:$D,'2020'!$I455,Нормативы!$F:$F,'2020'!$K455)</f>
        <v>5800</v>
      </c>
      <c r="AH455" s="618">
        <f>SUMIFS(Нормативы!T:T,Нормативы!$B:$B,$G455,Нормативы!$D:$D,'2020'!$I455,Нормативы!$F:$F,'2020'!$K455)</f>
        <v>540</v>
      </c>
      <c r="AI455" s="618">
        <f>SUMIFS(Нормативы!U:U,Нормативы!$B:$B,$G455,Нормативы!$D:$D,'2020'!$I455,Нормативы!$F:$F,'2020'!$K455)</f>
        <v>770</v>
      </c>
      <c r="AJ455" s="618">
        <f>SUMIFS(Нормативы!V:V,Нормативы!$B:$B,$G455,Нормативы!$D:$D,'2020'!$I455,Нормативы!$F:$F,'2020'!$K455)</f>
        <v>170</v>
      </c>
      <c r="AK455" s="618">
        <f>SUMIFS(Нормативы!W:W,Нормативы!$B:$B,$G455,Нормативы!$D:$D,'2020'!$I455,Нормативы!$F:$F,'2020'!$K455)</f>
        <v>200</v>
      </c>
      <c r="AL455" s="618">
        <f>SUMIFS(Нормативы!X:X,Нормативы!$B:$B,$G455,Нормативы!$D:$D,'2020'!$I455,Нормативы!$F:$F,'2020'!$K455)*O455</f>
        <v>13440</v>
      </c>
      <c r="AM455" s="618">
        <f t="shared" si="1325"/>
        <v>10322.6</v>
      </c>
      <c r="AN455" s="618">
        <f t="shared" si="1326"/>
        <v>3117.4</v>
      </c>
      <c r="AO455" s="618">
        <f>SUMIFS(Нормативы!AA:AA,Нормативы!$B:$B,$G455,Нормативы!$D:$D,'2020'!$I455,Нормативы!$F:$F,'2020'!$K455)</f>
        <v>0</v>
      </c>
      <c r="AP455" s="619">
        <f t="shared" si="1327"/>
        <v>140380</v>
      </c>
      <c r="AQ455" s="413">
        <f t="shared" si="1301"/>
        <v>1255200</v>
      </c>
      <c r="AR455" s="618">
        <f t="shared" si="1352"/>
        <v>964055.3</v>
      </c>
      <c r="AS455" s="618">
        <f t="shared" si="1353"/>
        <v>291144.7</v>
      </c>
      <c r="AT455" s="616">
        <f t="shared" si="1302"/>
        <v>109440</v>
      </c>
      <c r="AU455" s="616">
        <f t="shared" si="1303"/>
        <v>21888</v>
      </c>
      <c r="AV455" s="616">
        <f t="shared" si="1304"/>
        <v>129760</v>
      </c>
      <c r="AW455" s="616">
        <f t="shared" si="1305"/>
        <v>373760</v>
      </c>
      <c r="AX455" s="616">
        <f t="shared" si="1306"/>
        <v>14080</v>
      </c>
      <c r="AY455" s="616">
        <f t="shared" si="1307"/>
        <v>335360</v>
      </c>
      <c r="AZ455" s="616">
        <f t="shared" si="1308"/>
        <v>7040</v>
      </c>
      <c r="BA455" s="616">
        <f t="shared" si="1309"/>
        <v>17280</v>
      </c>
      <c r="BB455" s="616">
        <f t="shared" si="1310"/>
        <v>43200</v>
      </c>
      <c r="BC455" s="616">
        <f t="shared" si="1311"/>
        <v>92800</v>
      </c>
      <c r="BD455" s="616">
        <f t="shared" si="1312"/>
        <v>8640</v>
      </c>
      <c r="BE455" s="616">
        <f t="shared" si="1313"/>
        <v>12320</v>
      </c>
      <c r="BF455" s="616">
        <f t="shared" si="1314"/>
        <v>2720</v>
      </c>
      <c r="BG455" s="616">
        <f t="shared" si="1315"/>
        <v>3200</v>
      </c>
      <c r="BH455" s="616">
        <f t="shared" si="1316"/>
        <v>215040</v>
      </c>
      <c r="BI455" s="618">
        <f t="shared" si="1354"/>
        <v>165161.29999999999</v>
      </c>
      <c r="BJ455" s="618">
        <f t="shared" si="1355"/>
        <v>49878.7</v>
      </c>
      <c r="BK455" s="616">
        <f t="shared" si="1356"/>
        <v>0</v>
      </c>
      <c r="BL455" s="620">
        <f t="shared" si="1317"/>
        <v>2246080</v>
      </c>
      <c r="BM455" s="616">
        <f t="shared" si="1318"/>
        <v>1565234</v>
      </c>
      <c r="BN455" s="618">
        <f t="shared" si="1357"/>
        <v>1202176.7</v>
      </c>
      <c r="BO455" s="618">
        <f t="shared" si="1358"/>
        <v>363057.3</v>
      </c>
      <c r="BP455" s="616">
        <f t="shared" si="1359"/>
        <v>109440</v>
      </c>
      <c r="BQ455" s="616">
        <f t="shared" si="1328"/>
        <v>21888</v>
      </c>
      <c r="BR455" s="616">
        <f t="shared" si="1360"/>
        <v>129760</v>
      </c>
      <c r="BS455" s="616">
        <f t="shared" si="1361"/>
        <v>373760</v>
      </c>
      <c r="BT455" s="616">
        <f t="shared" si="1361"/>
        <v>14080</v>
      </c>
      <c r="BU455" s="616">
        <f t="shared" si="1361"/>
        <v>335360</v>
      </c>
      <c r="BV455" s="616">
        <f t="shared" si="1361"/>
        <v>7040</v>
      </c>
      <c r="BW455" s="616">
        <f t="shared" si="1361"/>
        <v>17280</v>
      </c>
      <c r="BX455" s="616">
        <f>ROUND(BB455*T455,0)</f>
        <v>138283</v>
      </c>
      <c r="BY455" s="616">
        <f t="shared" si="1362"/>
        <v>92800</v>
      </c>
      <c r="BZ455" s="616">
        <f t="shared" si="1363"/>
        <v>8640</v>
      </c>
      <c r="CA455" s="616">
        <f t="shared" si="1364"/>
        <v>12320</v>
      </c>
      <c r="CB455" s="616">
        <f t="shared" si="1365"/>
        <v>2720</v>
      </c>
      <c r="CC455" s="616">
        <f t="shared" si="1366"/>
        <v>3200</v>
      </c>
      <c r="CD455" s="616">
        <f t="shared" si="1320"/>
        <v>268155</v>
      </c>
      <c r="CE455" s="618">
        <f t="shared" si="1367"/>
        <v>205956.2</v>
      </c>
      <c r="CF455" s="618">
        <f t="shared" si="1368"/>
        <v>62198.8</v>
      </c>
      <c r="CG455" s="616">
        <f t="shared" si="1369"/>
        <v>0</v>
      </c>
      <c r="CH455" s="621">
        <f t="shared" si="1321"/>
        <v>2704312</v>
      </c>
      <c r="AUV455" s="699">
        <f t="shared" ref="AUV455" si="1387">BM455/P455</f>
        <v>97827.13</v>
      </c>
      <c r="AUW455" s="699">
        <f t="shared" ref="AUW455" si="1388">AUV455/1.302</f>
        <v>75136.039999999994</v>
      </c>
      <c r="AUX455" s="699">
        <f t="shared" ref="AUX455" si="1389">AUV455-AUW455</f>
        <v>22691.09</v>
      </c>
      <c r="AUY455" s="699">
        <f t="shared" si="1370"/>
        <v>6840</v>
      </c>
      <c r="AUZ455" s="699">
        <f t="shared" si="1204"/>
        <v>6837.86</v>
      </c>
      <c r="AVA455" s="699">
        <f t="shared" si="1204"/>
        <v>1.65</v>
      </c>
      <c r="AVB455" s="699">
        <f t="shared" si="1371"/>
        <v>23360</v>
      </c>
      <c r="AVC455" s="699">
        <f t="shared" si="1372"/>
        <v>880</v>
      </c>
      <c r="AVD455" s="699">
        <f t="shared" si="1373"/>
        <v>20960</v>
      </c>
      <c r="AVE455" s="699">
        <f t="shared" si="1374"/>
        <v>440</v>
      </c>
      <c r="AVF455" s="699">
        <f t="shared" si="1375"/>
        <v>1080</v>
      </c>
      <c r="AVG455" s="699">
        <f t="shared" si="1376"/>
        <v>8642.69</v>
      </c>
      <c r="AVH455" s="699">
        <f t="shared" si="1377"/>
        <v>5800</v>
      </c>
      <c r="AVI455" s="699">
        <f t="shared" si="1378"/>
        <v>540</v>
      </c>
      <c r="AVJ455" s="699">
        <f t="shared" si="1379"/>
        <v>770</v>
      </c>
      <c r="AVK455" s="699">
        <f t="shared" si="1380"/>
        <v>170</v>
      </c>
      <c r="AVL455" s="699">
        <f t="shared" si="1381"/>
        <v>200</v>
      </c>
      <c r="AVM455" s="699">
        <f t="shared" si="1382"/>
        <v>16759.689999999999</v>
      </c>
      <c r="AVN455" s="699">
        <f t="shared" si="1383"/>
        <v>12872.27</v>
      </c>
      <c r="AVO455" s="699">
        <f t="shared" si="1384"/>
        <v>3887.42</v>
      </c>
      <c r="AVP455" s="699">
        <f t="shared" si="1385"/>
        <v>0</v>
      </c>
      <c r="AVQ455" s="699">
        <f t="shared" si="1386"/>
        <v>169019.5</v>
      </c>
    </row>
    <row r="456" spans="1:108 1244:1265" s="414" customFormat="1" ht="30" customHeight="1" x14ac:dyDescent="0.25">
      <c r="A456" s="646"/>
      <c r="B456" s="646"/>
      <c r="C456" s="646"/>
      <c r="D456" s="4"/>
      <c r="F456" s="646"/>
      <c r="G456" s="646"/>
      <c r="I456" s="646"/>
      <c r="K456" s="646"/>
      <c r="O456" s="646"/>
      <c r="P456" s="636">
        <f t="shared" ref="P456:R456" si="1390">SUBTOTAL(9,P4:P455)</f>
        <v>27400</v>
      </c>
      <c r="Q456" s="636">
        <f t="shared" si="1390"/>
        <v>27400</v>
      </c>
      <c r="R456" s="636">
        <f t="shared" si="1390"/>
        <v>27400</v>
      </c>
      <c r="S456" s="668"/>
      <c r="T456" s="668"/>
      <c r="U456" s="414">
        <f>SUBTOTAL(9,U4:U455)</f>
        <v>22523541</v>
      </c>
      <c r="V456" s="414">
        <f t="shared" ref="V456:CG456" si="1391">SUBTOTAL(9,V4:V455)</f>
        <v>17299191.300000001</v>
      </c>
      <c r="W456" s="414">
        <f t="shared" si="1391"/>
        <v>5224349.7</v>
      </c>
      <c r="X456" s="414">
        <f t="shared" si="1391"/>
        <v>1540167</v>
      </c>
      <c r="Y456" s="414">
        <f t="shared" si="1391"/>
        <v>212349.8</v>
      </c>
      <c r="Z456" s="414">
        <f t="shared" si="1391"/>
        <v>1760862</v>
      </c>
      <c r="AA456" s="414">
        <f t="shared" si="1391"/>
        <v>4533425</v>
      </c>
      <c r="AB456" s="414">
        <f t="shared" si="1391"/>
        <v>209067</v>
      </c>
      <c r="AC456" s="414">
        <f t="shared" si="1391"/>
        <v>3777231</v>
      </c>
      <c r="AD456" s="414">
        <f t="shared" si="1391"/>
        <v>269822</v>
      </c>
      <c r="AE456" s="414">
        <f t="shared" si="1391"/>
        <v>277305</v>
      </c>
      <c r="AF456" s="414">
        <f t="shared" si="1391"/>
        <v>793387</v>
      </c>
      <c r="AG456" s="414">
        <f t="shared" si="1391"/>
        <v>1847435</v>
      </c>
      <c r="AH456" s="414">
        <f t="shared" si="1391"/>
        <v>159962</v>
      </c>
      <c r="AI456" s="414">
        <f t="shared" si="1391"/>
        <v>257179</v>
      </c>
      <c r="AJ456" s="414">
        <f t="shared" si="1391"/>
        <v>28176</v>
      </c>
      <c r="AK456" s="414">
        <f t="shared" si="1391"/>
        <v>225173</v>
      </c>
      <c r="AL456" s="414">
        <f t="shared" si="1391"/>
        <v>5712165</v>
      </c>
      <c r="AM456" s="414">
        <f t="shared" si="1391"/>
        <v>4387233.9000000004</v>
      </c>
      <c r="AN456" s="414">
        <f t="shared" si="1391"/>
        <v>1324931.1000000001</v>
      </c>
      <c r="AO456" s="414">
        <f t="shared" si="1391"/>
        <v>769640</v>
      </c>
      <c r="AP456" s="414">
        <f t="shared" si="1391"/>
        <v>40151112</v>
      </c>
      <c r="AQ456" s="414">
        <f t="shared" si="1391"/>
        <v>1244234346</v>
      </c>
      <c r="AR456" s="414">
        <f t="shared" si="1391"/>
        <v>955633139.10000002</v>
      </c>
      <c r="AS456" s="414">
        <f t="shared" si="1391"/>
        <v>288601206.89999998</v>
      </c>
      <c r="AT456" s="414">
        <f t="shared" si="1391"/>
        <v>155527997</v>
      </c>
      <c r="AU456" s="414">
        <f t="shared" si="1391"/>
        <v>27869901</v>
      </c>
      <c r="AV456" s="414">
        <f t="shared" si="1391"/>
        <v>152606183</v>
      </c>
      <c r="AW456" s="414">
        <f t="shared" si="1391"/>
        <v>378275113</v>
      </c>
      <c r="AX456" s="414">
        <f t="shared" si="1391"/>
        <v>11044928</v>
      </c>
      <c r="AY456" s="414">
        <f t="shared" si="1391"/>
        <v>331154992</v>
      </c>
      <c r="AZ456" s="414">
        <f t="shared" si="1391"/>
        <v>17677707</v>
      </c>
      <c r="BA456" s="414">
        <f t="shared" si="1391"/>
        <v>18397486</v>
      </c>
      <c r="BB456" s="414">
        <f t="shared" si="1391"/>
        <v>54851138</v>
      </c>
      <c r="BC456" s="414">
        <f t="shared" si="1391"/>
        <v>132172120</v>
      </c>
      <c r="BD456" s="414">
        <f t="shared" si="1391"/>
        <v>10692325</v>
      </c>
      <c r="BE456" s="414">
        <f t="shared" si="1391"/>
        <v>17956310</v>
      </c>
      <c r="BF456" s="414">
        <f t="shared" si="1391"/>
        <v>1624185</v>
      </c>
      <c r="BG456" s="414">
        <f t="shared" si="1391"/>
        <v>25067825</v>
      </c>
      <c r="BH456" s="414">
        <f t="shared" si="1391"/>
        <v>348188687</v>
      </c>
      <c r="BI456" s="414">
        <f t="shared" si="1391"/>
        <v>267426027.30000001</v>
      </c>
      <c r="BJ456" s="414">
        <f t="shared" si="1391"/>
        <v>80762659.700000003</v>
      </c>
      <c r="BK456" s="414">
        <f t="shared" si="1391"/>
        <v>61659600</v>
      </c>
      <c r="BL456" s="427">
        <f t="shared" si="1391"/>
        <v>2582855829</v>
      </c>
      <c r="BM456" s="414">
        <f t="shared" si="1391"/>
        <v>2335788012.52</v>
      </c>
      <c r="BN456" s="414">
        <f t="shared" si="1391"/>
        <v>1794000010</v>
      </c>
      <c r="BO456" s="414">
        <f t="shared" si="1391"/>
        <v>541788002.51999998</v>
      </c>
      <c r="BP456" s="414">
        <f t="shared" si="1391"/>
        <v>155527997</v>
      </c>
      <c r="BQ456" s="414">
        <f t="shared" si="1391"/>
        <v>27869901</v>
      </c>
      <c r="BR456" s="414">
        <f t="shared" si="1391"/>
        <v>152606183</v>
      </c>
      <c r="BS456" s="414">
        <f t="shared" si="1391"/>
        <v>378275113</v>
      </c>
      <c r="BT456" s="413">
        <f t="shared" si="1391"/>
        <v>10093648</v>
      </c>
      <c r="BU456" s="413">
        <f t="shared" si="1391"/>
        <v>312212192</v>
      </c>
      <c r="BV456" s="413">
        <f t="shared" si="1391"/>
        <v>10915322</v>
      </c>
      <c r="BW456" s="413">
        <f t="shared" si="1391"/>
        <v>16873826</v>
      </c>
      <c r="BX456" s="414">
        <f t="shared" si="1391"/>
        <v>154294441</v>
      </c>
      <c r="BY456" s="414">
        <f t="shared" si="1391"/>
        <v>132172120</v>
      </c>
      <c r="BZ456" s="414">
        <f t="shared" si="1391"/>
        <v>10692325</v>
      </c>
      <c r="CA456" s="414">
        <f t="shared" si="1391"/>
        <v>17956310</v>
      </c>
      <c r="CB456" s="414">
        <f t="shared" si="1391"/>
        <v>1624185</v>
      </c>
      <c r="CC456" s="414">
        <f t="shared" si="1391"/>
        <v>25067825</v>
      </c>
      <c r="CD456" s="414">
        <f t="shared" si="1391"/>
        <v>637641341</v>
      </c>
      <c r="CE456" s="414">
        <f t="shared" si="1391"/>
        <v>489739892.39999998</v>
      </c>
      <c r="CF456" s="414">
        <f t="shared" si="1391"/>
        <v>147901448.59999999</v>
      </c>
      <c r="CG456" s="414">
        <f t="shared" si="1391"/>
        <v>61659600</v>
      </c>
      <c r="CH456" s="416">
        <f t="shared" ref="CH456" si="1392">SUBTOTAL(9,CH4:CH455)</f>
        <v>4063299881.52</v>
      </c>
      <c r="CI456" s="4"/>
      <c r="CJ456" s="89"/>
      <c r="CK456" s="89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89"/>
      <c r="DB456" s="89"/>
      <c r="DC456" s="4"/>
      <c r="DD456" s="4"/>
    </row>
    <row r="457" spans="1:108 1244:1265" s="422" customFormat="1" ht="30" customHeight="1" x14ac:dyDescent="0.25">
      <c r="A457" s="648"/>
      <c r="B457" s="648"/>
      <c r="C457" s="648"/>
      <c r="D457" s="4"/>
      <c r="F457" s="648"/>
      <c r="G457" s="648"/>
      <c r="I457" s="648"/>
      <c r="K457" s="648"/>
      <c r="M457" s="423" t="s">
        <v>449</v>
      </c>
      <c r="N457" s="423" t="s">
        <v>40</v>
      </c>
      <c r="O457" s="647"/>
      <c r="P457" s="637">
        <f>P123+P124+P125+P126+P127+P143+P145+P244+P268+P269+P270+P271+P272+P273+P274+P275+P333+P334+P335</f>
        <v>1425</v>
      </c>
      <c r="Q457" s="637">
        <f t="shared" ref="Q457:CB457" si="1393">Q123+Q124+Q125+Q126+Q127+Q143+Q145+Q244+Q268+Q269+Q270+Q271+Q272+Q273+Q274+Q275+Q333+Q334+Q335</f>
        <v>1425</v>
      </c>
      <c r="R457" s="637">
        <f t="shared" si="1393"/>
        <v>1425</v>
      </c>
      <c r="S457" s="677">
        <f t="shared" si="1393"/>
        <v>28.469000000000001</v>
      </c>
      <c r="T457" s="677">
        <f t="shared" si="1393"/>
        <v>51.375999999999998</v>
      </c>
      <c r="U457" s="423">
        <f t="shared" si="1393"/>
        <v>537671</v>
      </c>
      <c r="V457" s="423">
        <f t="shared" si="1393"/>
        <v>412958.3</v>
      </c>
      <c r="W457" s="423">
        <f t="shared" si="1393"/>
        <v>124712.7</v>
      </c>
      <c r="X457" s="423">
        <f t="shared" si="1393"/>
        <v>31571</v>
      </c>
      <c r="Y457" s="423">
        <f t="shared" si="1393"/>
        <v>6314.2</v>
      </c>
      <c r="Z457" s="423">
        <f t="shared" si="1393"/>
        <v>67867</v>
      </c>
      <c r="AA457" s="423">
        <f t="shared" si="1393"/>
        <v>234247</v>
      </c>
      <c r="AB457" s="423">
        <f t="shared" si="1393"/>
        <v>11086</v>
      </c>
      <c r="AC457" s="423">
        <f t="shared" si="1393"/>
        <v>140720</v>
      </c>
      <c r="AD457" s="423">
        <f t="shared" si="1393"/>
        <v>69047</v>
      </c>
      <c r="AE457" s="423">
        <f t="shared" si="1393"/>
        <v>13394</v>
      </c>
      <c r="AF457" s="423">
        <f t="shared" si="1393"/>
        <v>38372</v>
      </c>
      <c r="AG457" s="423">
        <f t="shared" si="1393"/>
        <v>156022</v>
      </c>
      <c r="AH457" s="423">
        <f t="shared" si="1393"/>
        <v>5611</v>
      </c>
      <c r="AI457" s="423">
        <f t="shared" si="1393"/>
        <v>22444</v>
      </c>
      <c r="AJ457" s="423">
        <f t="shared" si="1393"/>
        <v>905</v>
      </c>
      <c r="AK457" s="423">
        <f t="shared" si="1393"/>
        <v>39377</v>
      </c>
      <c r="AL457" s="423">
        <f t="shared" si="1393"/>
        <v>418265</v>
      </c>
      <c r="AM457" s="423">
        <f t="shared" si="1393"/>
        <v>321248.59999999998</v>
      </c>
      <c r="AN457" s="423">
        <f t="shared" si="1393"/>
        <v>97016.4</v>
      </c>
      <c r="AO457" s="423">
        <f t="shared" si="1393"/>
        <v>11700</v>
      </c>
      <c r="AP457" s="423">
        <f t="shared" si="1393"/>
        <v>1564052</v>
      </c>
      <c r="AQ457" s="423">
        <f t="shared" si="1393"/>
        <v>30497770</v>
      </c>
      <c r="AR457" s="423">
        <f t="shared" si="1393"/>
        <v>23423786.399999999</v>
      </c>
      <c r="AS457" s="423">
        <f t="shared" si="1393"/>
        <v>7073983.5999999996</v>
      </c>
      <c r="AT457" s="423">
        <f t="shared" si="1393"/>
        <v>2498850</v>
      </c>
      <c r="AU457" s="423">
        <f t="shared" si="1393"/>
        <v>499770</v>
      </c>
      <c r="AV457" s="423">
        <f t="shared" si="1393"/>
        <v>5232120</v>
      </c>
      <c r="AW457" s="423">
        <f t="shared" si="1393"/>
        <v>17800890</v>
      </c>
      <c r="AX457" s="423">
        <f t="shared" si="1393"/>
        <v>628820</v>
      </c>
      <c r="AY457" s="423">
        <f t="shared" si="1393"/>
        <v>11843400</v>
      </c>
      <c r="AZ457" s="423">
        <f t="shared" si="1393"/>
        <v>4340770</v>
      </c>
      <c r="BA457" s="423">
        <f t="shared" si="1393"/>
        <v>987900</v>
      </c>
      <c r="BB457" s="423">
        <f t="shared" si="1393"/>
        <v>2830200</v>
      </c>
      <c r="BC457" s="423">
        <f t="shared" si="1393"/>
        <v>11507700</v>
      </c>
      <c r="BD457" s="423">
        <f t="shared" si="1393"/>
        <v>413850</v>
      </c>
      <c r="BE457" s="423">
        <f t="shared" si="1393"/>
        <v>1655400</v>
      </c>
      <c r="BF457" s="423">
        <f t="shared" si="1393"/>
        <v>66750</v>
      </c>
      <c r="BG457" s="423">
        <f t="shared" si="1393"/>
        <v>3309570</v>
      </c>
      <c r="BH457" s="423">
        <f t="shared" si="1393"/>
        <v>24243010</v>
      </c>
      <c r="BI457" s="423">
        <f t="shared" si="1393"/>
        <v>18619823.199999999</v>
      </c>
      <c r="BJ457" s="423">
        <f t="shared" si="1393"/>
        <v>5623186.7999999998</v>
      </c>
      <c r="BK457" s="423">
        <f t="shared" si="1393"/>
        <v>861250</v>
      </c>
      <c r="BL457" s="428">
        <f t="shared" si="1393"/>
        <v>100917360</v>
      </c>
      <c r="BM457" s="423">
        <f t="shared" si="1393"/>
        <v>43744823</v>
      </c>
      <c r="BN457" s="423">
        <f t="shared" si="1393"/>
        <v>33598174.5</v>
      </c>
      <c r="BO457" s="423">
        <f t="shared" si="1393"/>
        <v>10146648.5</v>
      </c>
      <c r="BP457" s="423">
        <f t="shared" si="1393"/>
        <v>2498850</v>
      </c>
      <c r="BQ457" s="423">
        <f t="shared" si="1393"/>
        <v>499770</v>
      </c>
      <c r="BR457" s="423">
        <f t="shared" si="1393"/>
        <v>5232120</v>
      </c>
      <c r="BS457" s="423">
        <f t="shared" si="1393"/>
        <v>17800890</v>
      </c>
      <c r="BT457" s="423">
        <f t="shared" si="1393"/>
        <v>628820</v>
      </c>
      <c r="BU457" s="423">
        <f t="shared" si="1393"/>
        <v>11843400</v>
      </c>
      <c r="BV457" s="423">
        <f t="shared" si="1393"/>
        <v>4340770</v>
      </c>
      <c r="BW457" s="423">
        <f t="shared" si="1393"/>
        <v>987900</v>
      </c>
      <c r="BX457" s="423">
        <f t="shared" si="1393"/>
        <v>6689519</v>
      </c>
      <c r="BY457" s="423">
        <f t="shared" si="1393"/>
        <v>11507700</v>
      </c>
      <c r="BZ457" s="423">
        <f t="shared" si="1393"/>
        <v>413850</v>
      </c>
      <c r="CA457" s="423">
        <f t="shared" si="1393"/>
        <v>1655400</v>
      </c>
      <c r="CB457" s="423">
        <f t="shared" si="1393"/>
        <v>66750</v>
      </c>
      <c r="CC457" s="423">
        <f t="shared" ref="CC457:CG457" si="1394">CC123+CC124+CC125+CC126+CC127+CC143+CC145+CC244+CC268+CC269+CC270+CC271+CC272+CC273+CC274+CC275+CC333+CC334+CC335</f>
        <v>3309570</v>
      </c>
      <c r="CD457" s="423">
        <f t="shared" si="1394"/>
        <v>34775998</v>
      </c>
      <c r="CE457" s="423">
        <f t="shared" si="1394"/>
        <v>26709675.899999999</v>
      </c>
      <c r="CF457" s="423">
        <f t="shared" si="1394"/>
        <v>8066322.0999999996</v>
      </c>
      <c r="CG457" s="423">
        <f t="shared" si="1394"/>
        <v>861250</v>
      </c>
      <c r="CH457" s="425">
        <v>115208800</v>
      </c>
      <c r="CI457" s="4"/>
      <c r="CJ457" s="89"/>
      <c r="CK457" s="89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89"/>
      <c r="DB457" s="89"/>
      <c r="DC457" s="4"/>
      <c r="DD457" s="4"/>
    </row>
    <row r="458" spans="1:108 1244:1265" s="422" customFormat="1" ht="30" customHeight="1" x14ac:dyDescent="0.25">
      <c r="A458" s="648"/>
      <c r="B458" s="648"/>
      <c r="C458" s="648"/>
      <c r="D458" s="4"/>
      <c r="F458" s="648"/>
      <c r="G458" s="648"/>
      <c r="I458" s="648"/>
      <c r="K458" s="648"/>
      <c r="N458" s="423" t="s">
        <v>450</v>
      </c>
      <c r="O458" s="648"/>
      <c r="P458" s="638"/>
      <c r="Q458" s="638"/>
      <c r="R458" s="638"/>
      <c r="S458" s="678"/>
      <c r="T458" s="678"/>
      <c r="U458" s="422">
        <f>U456-U457</f>
        <v>21985870</v>
      </c>
      <c r="V458" s="422">
        <f t="shared" ref="V458:CG458" si="1395">V456-V457</f>
        <v>16886233</v>
      </c>
      <c r="W458" s="422">
        <f t="shared" si="1395"/>
        <v>5099637</v>
      </c>
      <c r="X458" s="422">
        <f t="shared" si="1395"/>
        <v>1508596</v>
      </c>
      <c r="Y458" s="422">
        <f t="shared" si="1395"/>
        <v>206035.6</v>
      </c>
      <c r="Z458" s="422">
        <f t="shared" si="1395"/>
        <v>1692995</v>
      </c>
      <c r="AA458" s="422">
        <f t="shared" si="1395"/>
        <v>4299178</v>
      </c>
      <c r="AB458" s="422">
        <f t="shared" si="1395"/>
        <v>197981</v>
      </c>
      <c r="AC458" s="422">
        <f t="shared" si="1395"/>
        <v>3636511</v>
      </c>
      <c r="AD458" s="422">
        <f t="shared" si="1395"/>
        <v>200775</v>
      </c>
      <c r="AE458" s="422">
        <f t="shared" si="1395"/>
        <v>263911</v>
      </c>
      <c r="AF458" s="422">
        <f t="shared" si="1395"/>
        <v>755015</v>
      </c>
      <c r="AG458" s="422">
        <f t="shared" si="1395"/>
        <v>1691413</v>
      </c>
      <c r="AH458" s="422">
        <f t="shared" si="1395"/>
        <v>154351</v>
      </c>
      <c r="AI458" s="422">
        <f t="shared" si="1395"/>
        <v>234735</v>
      </c>
      <c r="AJ458" s="422">
        <f t="shared" si="1395"/>
        <v>27271</v>
      </c>
      <c r="AK458" s="422">
        <f t="shared" si="1395"/>
        <v>185796</v>
      </c>
      <c r="AL458" s="422">
        <f t="shared" si="1395"/>
        <v>5293900</v>
      </c>
      <c r="AM458" s="422">
        <f t="shared" si="1395"/>
        <v>4065985.3</v>
      </c>
      <c r="AN458" s="422">
        <f t="shared" si="1395"/>
        <v>1227914.7</v>
      </c>
      <c r="AO458" s="422">
        <f t="shared" si="1395"/>
        <v>757940</v>
      </c>
      <c r="AP458" s="422">
        <f t="shared" si="1395"/>
        <v>38587060</v>
      </c>
      <c r="AQ458" s="422">
        <f t="shared" si="1395"/>
        <v>1213736576</v>
      </c>
      <c r="AR458" s="422">
        <f t="shared" si="1395"/>
        <v>932209352.70000005</v>
      </c>
      <c r="AS458" s="422">
        <f t="shared" si="1395"/>
        <v>281527223.30000001</v>
      </c>
      <c r="AT458" s="422">
        <f t="shared" si="1395"/>
        <v>153029147</v>
      </c>
      <c r="AU458" s="422">
        <f t="shared" si="1395"/>
        <v>27370131</v>
      </c>
      <c r="AV458" s="422">
        <f t="shared" si="1395"/>
        <v>147374063</v>
      </c>
      <c r="AW458" s="422">
        <f t="shared" si="1395"/>
        <v>360474223</v>
      </c>
      <c r="AX458" s="422">
        <f t="shared" si="1395"/>
        <v>10416108</v>
      </c>
      <c r="AY458" s="422">
        <f t="shared" si="1395"/>
        <v>319311592</v>
      </c>
      <c r="AZ458" s="422">
        <f t="shared" si="1395"/>
        <v>13336937</v>
      </c>
      <c r="BA458" s="422">
        <f t="shared" si="1395"/>
        <v>17409586</v>
      </c>
      <c r="BB458" s="422">
        <f t="shared" si="1395"/>
        <v>52020938</v>
      </c>
      <c r="BC458" s="422">
        <f t="shared" si="1395"/>
        <v>120664420</v>
      </c>
      <c r="BD458" s="422">
        <f t="shared" si="1395"/>
        <v>10278475</v>
      </c>
      <c r="BE458" s="422">
        <f t="shared" si="1395"/>
        <v>16300910</v>
      </c>
      <c r="BF458" s="422">
        <f t="shared" si="1395"/>
        <v>1557435</v>
      </c>
      <c r="BG458" s="422">
        <f t="shared" si="1395"/>
        <v>21758255</v>
      </c>
      <c r="BH458" s="422">
        <f t="shared" si="1395"/>
        <v>323945677</v>
      </c>
      <c r="BI458" s="422">
        <f t="shared" si="1395"/>
        <v>248806204.09999999</v>
      </c>
      <c r="BJ458" s="422">
        <f t="shared" si="1395"/>
        <v>75139472.900000006</v>
      </c>
      <c r="BK458" s="422">
        <f t="shared" si="1395"/>
        <v>60798350</v>
      </c>
      <c r="BL458" s="429">
        <f t="shared" si="1395"/>
        <v>2481938469</v>
      </c>
      <c r="BM458" s="422">
        <f t="shared" si="1395"/>
        <v>2292043189.52</v>
      </c>
      <c r="BN458" s="422">
        <f t="shared" si="1395"/>
        <v>1760401835.5</v>
      </c>
      <c r="BO458" s="422">
        <f t="shared" si="1395"/>
        <v>531641354.01999998</v>
      </c>
      <c r="BP458" s="422">
        <f t="shared" si="1395"/>
        <v>153029147</v>
      </c>
      <c r="BQ458" s="422">
        <f t="shared" si="1395"/>
        <v>27370131</v>
      </c>
      <c r="BR458" s="422">
        <f t="shared" si="1395"/>
        <v>147374063</v>
      </c>
      <c r="BS458" s="422">
        <f t="shared" si="1395"/>
        <v>360474223</v>
      </c>
      <c r="BT458" s="422">
        <f t="shared" si="1395"/>
        <v>9464828</v>
      </c>
      <c r="BU458" s="422">
        <f t="shared" si="1395"/>
        <v>300368792</v>
      </c>
      <c r="BV458" s="422">
        <f t="shared" si="1395"/>
        <v>6574552</v>
      </c>
      <c r="BW458" s="422">
        <f t="shared" si="1395"/>
        <v>15885926</v>
      </c>
      <c r="BX458" s="422">
        <f t="shared" si="1395"/>
        <v>147604922</v>
      </c>
      <c r="BY458" s="422">
        <f t="shared" si="1395"/>
        <v>120664420</v>
      </c>
      <c r="BZ458" s="422">
        <f t="shared" si="1395"/>
        <v>10278475</v>
      </c>
      <c r="CA458" s="422">
        <f t="shared" si="1395"/>
        <v>16300910</v>
      </c>
      <c r="CB458" s="422">
        <f t="shared" si="1395"/>
        <v>1557435</v>
      </c>
      <c r="CC458" s="422">
        <f t="shared" si="1395"/>
        <v>21758255</v>
      </c>
      <c r="CD458" s="422">
        <f t="shared" si="1395"/>
        <v>602865343</v>
      </c>
      <c r="CE458" s="422">
        <f t="shared" si="1395"/>
        <v>463030216.5</v>
      </c>
      <c r="CF458" s="422">
        <f t="shared" si="1395"/>
        <v>139835126.5</v>
      </c>
      <c r="CG458" s="422">
        <f t="shared" si="1395"/>
        <v>60798350</v>
      </c>
      <c r="CH458" s="422">
        <f t="shared" ref="CH458:DD458" si="1396">CH456-CH457</f>
        <v>3948091081.52</v>
      </c>
      <c r="CI458" s="422">
        <f t="shared" si="1396"/>
        <v>0</v>
      </c>
      <c r="CJ458" s="422">
        <f t="shared" si="1396"/>
        <v>0</v>
      </c>
      <c r="CK458" s="422">
        <f t="shared" si="1396"/>
        <v>0</v>
      </c>
      <c r="CL458" s="422">
        <f t="shared" si="1396"/>
        <v>0</v>
      </c>
      <c r="CM458" s="422">
        <f t="shared" si="1396"/>
        <v>0</v>
      </c>
      <c r="CN458" s="422">
        <f t="shared" si="1396"/>
        <v>0</v>
      </c>
      <c r="CO458" s="422">
        <f t="shared" si="1396"/>
        <v>0</v>
      </c>
      <c r="CP458" s="422">
        <f t="shared" si="1396"/>
        <v>0</v>
      </c>
      <c r="CQ458" s="422">
        <f t="shared" si="1396"/>
        <v>0</v>
      </c>
      <c r="CR458" s="422">
        <f t="shared" si="1396"/>
        <v>0</v>
      </c>
      <c r="CS458" s="422">
        <f t="shared" si="1396"/>
        <v>0</v>
      </c>
      <c r="CT458" s="422">
        <f t="shared" si="1396"/>
        <v>0</v>
      </c>
      <c r="CU458" s="422">
        <f t="shared" si="1396"/>
        <v>0</v>
      </c>
      <c r="CV458" s="422">
        <f t="shared" si="1396"/>
        <v>0</v>
      </c>
      <c r="CW458" s="422">
        <f t="shared" si="1396"/>
        <v>0</v>
      </c>
      <c r="CX458" s="422">
        <f t="shared" si="1396"/>
        <v>0</v>
      </c>
      <c r="CY458" s="422">
        <f t="shared" si="1396"/>
        <v>0</v>
      </c>
      <c r="CZ458" s="422">
        <f t="shared" si="1396"/>
        <v>0</v>
      </c>
      <c r="DA458" s="422">
        <f t="shared" si="1396"/>
        <v>0</v>
      </c>
      <c r="DB458" s="422">
        <f t="shared" si="1396"/>
        <v>0</v>
      </c>
      <c r="DC458" s="422">
        <f t="shared" si="1396"/>
        <v>0</v>
      </c>
      <c r="DD458" s="422">
        <f t="shared" si="1396"/>
        <v>0</v>
      </c>
      <c r="AUV458" s="699">
        <f>SUBTOTAL(9,AUV4:AUV457)</f>
        <v>37130731.670000002</v>
      </c>
      <c r="AUW458" s="700" t="e">
        <f>SUBTOTAL(9,AUW4:AUW457)</f>
        <v>#VALUE!</v>
      </c>
      <c r="AUX458" s="700" t="e">
        <f>SUBTOTAL(9,AUX4:AUX457)</f>
        <v>#VALUE!</v>
      </c>
      <c r="AUY458" s="700">
        <f t="shared" ref="AUY458:AVB458" si="1397">SUBTOTAL(9,AUY4:AUY457)</f>
        <v>1426803.7</v>
      </c>
      <c r="AUZ458" s="700">
        <f t="shared" si="1397"/>
        <v>10626678.720000001</v>
      </c>
      <c r="AVA458" s="700">
        <f t="shared" si="1397"/>
        <v>5720.93</v>
      </c>
      <c r="AVB458" s="700">
        <f t="shared" si="1397"/>
        <v>3857924.39</v>
      </c>
      <c r="AVC458" s="700">
        <f t="shared" ref="AVC458" si="1398">SUBTOTAL(9,AVC4:AVC457)</f>
        <v>176310</v>
      </c>
      <c r="AVD458" s="700">
        <f t="shared" ref="AVD458" si="1399">SUBTOTAL(9,AVD4:AVD457)</f>
        <v>3295558</v>
      </c>
      <c r="AVE458" s="700">
        <f t="shared" ref="AVE458" si="1400">SUBTOTAL(9,AVE4:AVE457)</f>
        <v>171210</v>
      </c>
      <c r="AVF458" s="700">
        <f t="shared" ref="AVF458:AVG458" si="1401">SUBTOTAL(9,AVF4:AVF457)</f>
        <v>238206</v>
      </c>
      <c r="AVG458" s="700">
        <f t="shared" si="1401"/>
        <v>2166457.41</v>
      </c>
      <c r="AVH458" s="700">
        <f t="shared" ref="AVH458" si="1402">SUBTOTAL(9,AVH4:AVH457)</f>
        <v>1670227</v>
      </c>
      <c r="AVI458" s="700">
        <f t="shared" ref="AVI458" si="1403">SUBTOTAL(9,AVI4:AVI457)</f>
        <v>144790</v>
      </c>
      <c r="AVJ458" s="700">
        <f t="shared" ref="AVJ458" si="1404">SUBTOTAL(9,AVJ4:AVJ457)</f>
        <v>232353</v>
      </c>
      <c r="AVK458" s="700">
        <f t="shared" ref="AVK458" si="1405">SUBTOTAL(9,AVK4:AVK457)</f>
        <v>25003</v>
      </c>
      <c r="AVL458" s="700">
        <f t="shared" ref="AVL458" si="1406">SUBTOTAL(9,AVL4:AVL457)</f>
        <v>207468</v>
      </c>
      <c r="AVM458" s="700">
        <f t="shared" ref="AVM458" si="1407">SUBTOTAL(9,AVM4:AVM457)</f>
        <v>9226914.3000000007</v>
      </c>
      <c r="AVN458" s="700">
        <f t="shared" ref="AVN458" si="1408">SUBTOTAL(9,AVN4:AVN457)</f>
        <v>7086723.8399999999</v>
      </c>
      <c r="AVO458" s="700">
        <f t="shared" ref="AVO458" si="1409">SUBTOTAL(9,AVO4:AVO457)</f>
        <v>2140190.46</v>
      </c>
      <c r="AVP458" s="700">
        <f t="shared" ref="AVP458" si="1410">SUBTOTAL(9,AVP4:AVP457)</f>
        <v>714240</v>
      </c>
      <c r="AVQ458" s="700">
        <f t="shared" ref="AVQ458" si="1411">SUBTOTAL(9,AVQ4:AVQ457)</f>
        <v>58673949.149999999</v>
      </c>
    </row>
    <row r="459" spans="1:108 1244:1265" s="422" customFormat="1" ht="30" customHeight="1" x14ac:dyDescent="0.25">
      <c r="A459" s="648"/>
      <c r="B459" s="648"/>
      <c r="C459" s="648"/>
      <c r="D459" s="4"/>
      <c r="F459" s="648"/>
      <c r="G459" s="648"/>
      <c r="I459" s="648"/>
      <c r="K459" s="648"/>
      <c r="O459" s="648"/>
      <c r="P459" s="638">
        <f>P456-P457</f>
        <v>25975</v>
      </c>
      <c r="Q459" s="638"/>
      <c r="R459" s="638"/>
      <c r="S459" s="678"/>
      <c r="T459" s="678"/>
      <c r="U459" s="422">
        <f>U458/1000</f>
        <v>21985.87</v>
      </c>
      <c r="V459" s="422">
        <f t="shared" ref="V459:CG459" si="1412">V458/1000</f>
        <v>16886.23</v>
      </c>
      <c r="W459" s="422">
        <f t="shared" si="1412"/>
        <v>5099.6400000000003</v>
      </c>
      <c r="X459" s="422">
        <f t="shared" si="1412"/>
        <v>1508.6</v>
      </c>
      <c r="Y459" s="422">
        <f t="shared" si="1412"/>
        <v>206.04</v>
      </c>
      <c r="Z459" s="422">
        <f t="shared" si="1412"/>
        <v>1693</v>
      </c>
      <c r="AA459" s="422">
        <f t="shared" si="1412"/>
        <v>4299.18</v>
      </c>
      <c r="AB459" s="422">
        <f t="shared" si="1412"/>
        <v>197.98</v>
      </c>
      <c r="AC459" s="422">
        <f t="shared" si="1412"/>
        <v>3636.51</v>
      </c>
      <c r="AD459" s="422">
        <f t="shared" si="1412"/>
        <v>200.78</v>
      </c>
      <c r="AE459" s="422">
        <f t="shared" si="1412"/>
        <v>263.91000000000003</v>
      </c>
      <c r="AF459" s="422">
        <f t="shared" si="1412"/>
        <v>755.02</v>
      </c>
      <c r="AG459" s="422">
        <f t="shared" si="1412"/>
        <v>1691.41</v>
      </c>
      <c r="AH459" s="422">
        <f t="shared" si="1412"/>
        <v>154.35</v>
      </c>
      <c r="AI459" s="422">
        <f t="shared" si="1412"/>
        <v>234.74</v>
      </c>
      <c r="AJ459" s="422">
        <f t="shared" si="1412"/>
        <v>27.27</v>
      </c>
      <c r="AK459" s="422">
        <f t="shared" si="1412"/>
        <v>185.8</v>
      </c>
      <c r="AL459" s="422">
        <f t="shared" si="1412"/>
        <v>5293.9</v>
      </c>
      <c r="AM459" s="422">
        <f t="shared" si="1412"/>
        <v>4065.99</v>
      </c>
      <c r="AN459" s="422">
        <f t="shared" si="1412"/>
        <v>1227.9100000000001</v>
      </c>
      <c r="AO459" s="422">
        <f t="shared" si="1412"/>
        <v>757.94</v>
      </c>
      <c r="AP459" s="422">
        <f t="shared" si="1412"/>
        <v>38587.06</v>
      </c>
      <c r="AQ459" s="422">
        <f t="shared" si="1412"/>
        <v>1213736.58</v>
      </c>
      <c r="AR459" s="422">
        <f t="shared" si="1412"/>
        <v>932209.35</v>
      </c>
      <c r="AS459" s="422">
        <f t="shared" si="1412"/>
        <v>281527.21999999997</v>
      </c>
      <c r="AT459" s="422">
        <f t="shared" si="1412"/>
        <v>153029.15</v>
      </c>
      <c r="AU459" s="422">
        <f t="shared" si="1412"/>
        <v>27370.13</v>
      </c>
      <c r="AV459" s="422">
        <f t="shared" si="1412"/>
        <v>147374.06</v>
      </c>
      <c r="AW459" s="422">
        <f t="shared" si="1412"/>
        <v>360474.22</v>
      </c>
      <c r="AX459" s="422">
        <f t="shared" si="1412"/>
        <v>10416.11</v>
      </c>
      <c r="AY459" s="422">
        <f t="shared" si="1412"/>
        <v>319311.59000000003</v>
      </c>
      <c r="AZ459" s="422">
        <f t="shared" si="1412"/>
        <v>13336.94</v>
      </c>
      <c r="BA459" s="422">
        <f t="shared" si="1412"/>
        <v>17409.59</v>
      </c>
      <c r="BB459" s="429">
        <f t="shared" si="1412"/>
        <v>52020.94</v>
      </c>
      <c r="BC459" s="422">
        <f t="shared" si="1412"/>
        <v>120664.42</v>
      </c>
      <c r="BD459" s="422">
        <f t="shared" si="1412"/>
        <v>10278.48</v>
      </c>
      <c r="BE459" s="422">
        <f t="shared" si="1412"/>
        <v>16300.91</v>
      </c>
      <c r="BF459" s="422">
        <f t="shared" si="1412"/>
        <v>1557.44</v>
      </c>
      <c r="BG459" s="422">
        <f t="shared" si="1412"/>
        <v>21758.26</v>
      </c>
      <c r="BH459" s="422">
        <f t="shared" si="1412"/>
        <v>323945.68</v>
      </c>
      <c r="BI459" s="422">
        <f t="shared" si="1412"/>
        <v>248806.2</v>
      </c>
      <c r="BJ459" s="422">
        <f t="shared" si="1412"/>
        <v>75139.47</v>
      </c>
      <c r="BK459" s="422">
        <f t="shared" si="1412"/>
        <v>60798.35</v>
      </c>
      <c r="BL459" s="429">
        <f t="shared" si="1412"/>
        <v>2481938.4700000002</v>
      </c>
      <c r="BM459" s="422">
        <f t="shared" si="1412"/>
        <v>2292043.19</v>
      </c>
      <c r="BN459" s="422">
        <f t="shared" si="1412"/>
        <v>1760401.84</v>
      </c>
      <c r="BO459" s="422">
        <f t="shared" si="1412"/>
        <v>531641.35</v>
      </c>
      <c r="BP459" s="422">
        <f t="shared" si="1412"/>
        <v>153029.15</v>
      </c>
      <c r="BQ459" s="422">
        <f t="shared" si="1412"/>
        <v>27370.13</v>
      </c>
      <c r="BR459" s="422">
        <f t="shared" si="1412"/>
        <v>147374.06</v>
      </c>
      <c r="BS459" s="422">
        <f t="shared" si="1412"/>
        <v>360474.22</v>
      </c>
      <c r="BT459" s="422">
        <f t="shared" si="1412"/>
        <v>9464.83</v>
      </c>
      <c r="BU459" s="422">
        <f t="shared" si="1412"/>
        <v>300368.78999999998</v>
      </c>
      <c r="BV459" s="422">
        <f t="shared" si="1412"/>
        <v>6574.55</v>
      </c>
      <c r="BW459" s="422">
        <f t="shared" si="1412"/>
        <v>15885.93</v>
      </c>
      <c r="BX459" s="422">
        <f t="shared" si="1412"/>
        <v>147604.92000000001</v>
      </c>
      <c r="BY459" s="422">
        <f t="shared" si="1412"/>
        <v>120664.42</v>
      </c>
      <c r="BZ459" s="422">
        <f t="shared" si="1412"/>
        <v>10278.48</v>
      </c>
      <c r="CA459" s="422">
        <f t="shared" si="1412"/>
        <v>16300.91</v>
      </c>
      <c r="CB459" s="422">
        <f t="shared" si="1412"/>
        <v>1557.44</v>
      </c>
      <c r="CC459" s="422">
        <f t="shared" si="1412"/>
        <v>21758.26</v>
      </c>
      <c r="CD459" s="422">
        <f t="shared" si="1412"/>
        <v>602865.34</v>
      </c>
      <c r="CE459" s="422">
        <f t="shared" si="1412"/>
        <v>463030.22</v>
      </c>
      <c r="CF459" s="422">
        <f t="shared" si="1412"/>
        <v>139835.13</v>
      </c>
      <c r="CG459" s="422">
        <f t="shared" si="1412"/>
        <v>60798.35</v>
      </c>
      <c r="CH459" s="429">
        <f t="shared" ref="CH459:DD459" si="1413">CH458/1000</f>
        <v>3948091.08</v>
      </c>
      <c r="CI459" s="422">
        <f t="shared" si="1413"/>
        <v>0</v>
      </c>
      <c r="CJ459" s="422">
        <f t="shared" si="1413"/>
        <v>0</v>
      </c>
      <c r="CK459" s="422">
        <f t="shared" si="1413"/>
        <v>0</v>
      </c>
      <c r="CL459" s="422">
        <f t="shared" si="1413"/>
        <v>0</v>
      </c>
      <c r="CM459" s="422">
        <f t="shared" si="1413"/>
        <v>0</v>
      </c>
      <c r="CN459" s="422">
        <f t="shared" si="1413"/>
        <v>0</v>
      </c>
      <c r="CO459" s="422">
        <f t="shared" si="1413"/>
        <v>0</v>
      </c>
      <c r="CP459" s="422">
        <f t="shared" si="1413"/>
        <v>0</v>
      </c>
      <c r="CQ459" s="422">
        <f t="shared" si="1413"/>
        <v>0</v>
      </c>
      <c r="CR459" s="422">
        <f t="shared" si="1413"/>
        <v>0</v>
      </c>
      <c r="CS459" s="422">
        <f t="shared" si="1413"/>
        <v>0</v>
      </c>
      <c r="CT459" s="422">
        <f t="shared" si="1413"/>
        <v>0</v>
      </c>
      <c r="CU459" s="422">
        <f t="shared" si="1413"/>
        <v>0</v>
      </c>
      <c r="CV459" s="422">
        <f t="shared" si="1413"/>
        <v>0</v>
      </c>
      <c r="CW459" s="422">
        <f t="shared" si="1413"/>
        <v>0</v>
      </c>
      <c r="CX459" s="422">
        <f t="shared" si="1413"/>
        <v>0</v>
      </c>
      <c r="CY459" s="422">
        <f t="shared" si="1413"/>
        <v>0</v>
      </c>
      <c r="CZ459" s="422">
        <f t="shared" si="1413"/>
        <v>0</v>
      </c>
      <c r="DA459" s="422">
        <f t="shared" si="1413"/>
        <v>0</v>
      </c>
      <c r="DB459" s="422">
        <f t="shared" si="1413"/>
        <v>0</v>
      </c>
      <c r="DC459" s="422">
        <f t="shared" si="1413"/>
        <v>0</v>
      </c>
      <c r="DD459" s="422">
        <f t="shared" si="1413"/>
        <v>0</v>
      </c>
    </row>
    <row r="460" spans="1:108 1244:1265" s="422" customFormat="1" ht="30" customHeight="1" x14ac:dyDescent="0.25">
      <c r="A460" s="648"/>
      <c r="B460" s="648"/>
      <c r="C460" s="648"/>
      <c r="D460" s="4"/>
      <c r="F460" s="648"/>
      <c r="G460" s="648"/>
      <c r="I460" s="648"/>
      <c r="K460" s="648"/>
      <c r="N460" s="422" t="s">
        <v>451</v>
      </c>
      <c r="O460" s="648"/>
      <c r="P460" s="638"/>
      <c r="Q460" s="638"/>
      <c r="R460" s="638"/>
      <c r="S460" s="678"/>
      <c r="T460" s="678" t="s">
        <v>186</v>
      </c>
      <c r="U460" s="422">
        <f>U459+AM459</f>
        <v>26051.86</v>
      </c>
      <c r="AP460" s="424"/>
      <c r="AQ460" s="429">
        <f>AQ459+BH459</f>
        <v>1537682.26</v>
      </c>
      <c r="BL460" s="424"/>
      <c r="BM460" s="429">
        <f>BM459+CD459</f>
        <v>2894908.53</v>
      </c>
      <c r="BT460" s="612"/>
      <c r="BU460" s="612"/>
      <c r="BV460" s="612"/>
      <c r="BW460" s="612"/>
      <c r="CH460" s="424"/>
      <c r="CI460" s="4"/>
      <c r="CJ460" s="89"/>
      <c r="CK460" s="89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89"/>
      <c r="DB460" s="89"/>
      <c r="DC460" s="4"/>
      <c r="DD460" s="4"/>
    </row>
  </sheetData>
  <autoFilter ref="A3:AVQ460"/>
  <mergeCells count="85">
    <mergeCell ref="AVQ2:AVQ3"/>
    <mergeCell ref="AVA1:AVO1"/>
    <mergeCell ref="AVK2:AVK3"/>
    <mergeCell ref="AVL2:AVL3"/>
    <mergeCell ref="AVM2:AVM3"/>
    <mergeCell ref="AVN2:AVO2"/>
    <mergeCell ref="AVP2:AVP3"/>
    <mergeCell ref="AVC2:AVF2"/>
    <mergeCell ref="AVG2:AVG3"/>
    <mergeCell ref="AVH2:AVH3"/>
    <mergeCell ref="AVI2:AVI3"/>
    <mergeCell ref="AVJ2:AVJ3"/>
    <mergeCell ref="AUV2:AUV3"/>
    <mergeCell ref="AUW2:AUX2"/>
    <mergeCell ref="AUY2:AUY3"/>
    <mergeCell ref="AVA2:AVA3"/>
    <mergeCell ref="AVB2:AVB3"/>
    <mergeCell ref="U1:AP1"/>
    <mergeCell ref="CI1:DB1"/>
    <mergeCell ref="CY2:CY3"/>
    <mergeCell ref="CZ2:CZ3"/>
    <mergeCell ref="DA2:DB2"/>
    <mergeCell ref="CI2:CI3"/>
    <mergeCell ref="CJ2:CK2"/>
    <mergeCell ref="CL2:CL3"/>
    <mergeCell ref="CO2:CO3"/>
    <mergeCell ref="CP2:CS2"/>
    <mergeCell ref="AK2:AK3"/>
    <mergeCell ref="AR2:AS2"/>
    <mergeCell ref="AT2:AT3"/>
    <mergeCell ref="AW2:AW3"/>
    <mergeCell ref="AX2:BA2"/>
    <mergeCell ref="AL2:AL3"/>
    <mergeCell ref="DC2:DC3"/>
    <mergeCell ref="DD2:DD3"/>
    <mergeCell ref="CT2:CT3"/>
    <mergeCell ref="CU2:CU3"/>
    <mergeCell ref="CV2:CV3"/>
    <mergeCell ref="CW2:CW3"/>
    <mergeCell ref="CX2:CX3"/>
    <mergeCell ref="CG2:CG3"/>
    <mergeCell ref="CH2:CH3"/>
    <mergeCell ref="AV2:AV3"/>
    <mergeCell ref="BX2:BX3"/>
    <mergeCell ref="BY2:BY3"/>
    <mergeCell ref="BZ2:BZ3"/>
    <mergeCell ref="BR2:BR3"/>
    <mergeCell ref="CN2:CN3"/>
    <mergeCell ref="AF2:AF3"/>
    <mergeCell ref="AG2:AG3"/>
    <mergeCell ref="AH2:AH3"/>
    <mergeCell ref="AI2:AI3"/>
    <mergeCell ref="AJ2:AJ3"/>
    <mergeCell ref="CA2:CA3"/>
    <mergeCell ref="CB2:CB3"/>
    <mergeCell ref="CC2:CC3"/>
    <mergeCell ref="CD2:CD3"/>
    <mergeCell ref="CE2:CF2"/>
    <mergeCell ref="BS2:BS3"/>
    <mergeCell ref="BT2:BW2"/>
    <mergeCell ref="AM2:AN2"/>
    <mergeCell ref="AO2:AO3"/>
    <mergeCell ref="AP2:AP3"/>
    <mergeCell ref="U2:U3"/>
    <mergeCell ref="V2:W2"/>
    <mergeCell ref="X2:X3"/>
    <mergeCell ref="AA2:AA3"/>
    <mergeCell ref="AB2:AE2"/>
    <mergeCell ref="Z2:Z3"/>
    <mergeCell ref="AQ1:BL1"/>
    <mergeCell ref="BM2:BM3"/>
    <mergeCell ref="BN2:BO2"/>
    <mergeCell ref="BP2:BP3"/>
    <mergeCell ref="BG2:BG3"/>
    <mergeCell ref="BH2:BH3"/>
    <mergeCell ref="BI2:BJ2"/>
    <mergeCell ref="BK2:BK3"/>
    <mergeCell ref="BL2:BL3"/>
    <mergeCell ref="BB2:BB3"/>
    <mergeCell ref="BC2:BC3"/>
    <mergeCell ref="BD2:BD3"/>
    <mergeCell ref="BE2:BE3"/>
    <mergeCell ref="BF2:BF3"/>
    <mergeCell ref="AQ2:AQ3"/>
    <mergeCell ref="BM1:C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1" sqref="H21"/>
    </sheetView>
  </sheetViews>
  <sheetFormatPr defaultRowHeight="15" x14ac:dyDescent="0.25"/>
  <cols>
    <col min="1" max="1" width="8.140625" customWidth="1"/>
    <col min="2" max="2" width="51.140625" customWidth="1"/>
    <col min="3" max="4" width="14.85546875" customWidth="1"/>
    <col min="5" max="6" width="14.85546875" style="261" hidden="1" customWidth="1"/>
    <col min="7" max="8" width="14.85546875" customWidth="1"/>
    <col min="9" max="10" width="14.85546875" style="261" hidden="1" customWidth="1"/>
    <col min="11" max="12" width="14.85546875" customWidth="1"/>
    <col min="13" max="14" width="14.85546875" style="261" hidden="1" customWidth="1"/>
  </cols>
  <sheetData>
    <row r="1" spans="1:14" x14ac:dyDescent="0.25">
      <c r="A1" s="810" t="s">
        <v>41</v>
      </c>
      <c r="B1" s="813" t="s">
        <v>42</v>
      </c>
      <c r="C1" s="809">
        <v>706</v>
      </c>
      <c r="D1" s="809"/>
      <c r="E1" s="809"/>
      <c r="F1" s="809"/>
      <c r="G1" s="809"/>
      <c r="H1" s="809"/>
      <c r="I1" s="809"/>
      <c r="J1" s="809"/>
      <c r="K1" s="809"/>
      <c r="L1" s="809"/>
      <c r="M1" s="271"/>
      <c r="N1" s="271"/>
    </row>
    <row r="2" spans="1:14" x14ac:dyDescent="0.25">
      <c r="A2" s="811"/>
      <c r="B2" s="813"/>
      <c r="C2" s="101"/>
      <c r="D2" s="101"/>
      <c r="E2" s="269"/>
      <c r="F2" s="269"/>
      <c r="G2" s="101"/>
      <c r="H2" s="101"/>
      <c r="I2" s="269"/>
      <c r="J2" s="269"/>
      <c r="K2" s="101"/>
      <c r="L2" s="101"/>
      <c r="M2" s="269"/>
      <c r="N2" s="269"/>
    </row>
    <row r="3" spans="1:14" ht="30" x14ac:dyDescent="0.25">
      <c r="A3" s="811"/>
      <c r="B3" s="813"/>
      <c r="C3" s="101" t="s">
        <v>188</v>
      </c>
      <c r="D3" s="101" t="s">
        <v>189</v>
      </c>
      <c r="E3" s="269" t="s">
        <v>239</v>
      </c>
      <c r="F3" s="269" t="s">
        <v>240</v>
      </c>
      <c r="G3" s="101" t="s">
        <v>188</v>
      </c>
      <c r="H3" s="101" t="s">
        <v>189</v>
      </c>
      <c r="I3" s="269" t="s">
        <v>239</v>
      </c>
      <c r="J3" s="269" t="s">
        <v>240</v>
      </c>
      <c r="K3" s="101" t="s">
        <v>188</v>
      </c>
      <c r="L3" s="101" t="s">
        <v>189</v>
      </c>
      <c r="M3" s="269" t="s">
        <v>239</v>
      </c>
      <c r="N3" s="269" t="s">
        <v>240</v>
      </c>
    </row>
    <row r="4" spans="1:14" x14ac:dyDescent="0.25">
      <c r="A4" s="812"/>
      <c r="B4" s="813"/>
      <c r="C4" s="814">
        <v>2019</v>
      </c>
      <c r="D4" s="815"/>
      <c r="E4" s="815"/>
      <c r="F4" s="816"/>
      <c r="G4" s="814">
        <v>2020</v>
      </c>
      <c r="H4" s="815"/>
      <c r="I4" s="815"/>
      <c r="J4" s="816"/>
      <c r="K4" s="814">
        <v>2021</v>
      </c>
      <c r="L4" s="815"/>
      <c r="M4" s="815"/>
      <c r="N4" s="816"/>
    </row>
    <row r="5" spans="1:14" ht="30" x14ac:dyDescent="0.25">
      <c r="A5" s="112">
        <v>1</v>
      </c>
      <c r="B5" s="7" t="s">
        <v>43</v>
      </c>
      <c r="C5" s="266">
        <f>'Свод 2020'!AI9</f>
        <v>1.061855</v>
      </c>
      <c r="D5" s="118">
        <f>'Свод 2020'!AB9</f>
        <v>4578.3</v>
      </c>
      <c r="E5" s="270">
        <f>SUMIFS(выравнивание!$AW:$AW,выравнивание!$A:$A,'Коэф. выравнивания'!$A5,выравнивание!$D:$D,2018,выравнивание!$C:$C,706)</f>
        <v>-25975.7</v>
      </c>
      <c r="F5" s="270">
        <f>E5-D5</f>
        <v>-30554</v>
      </c>
      <c r="G5" s="119">
        <f>'Свод 2021 '!AE11</f>
        <v>1.02956</v>
      </c>
      <c r="H5" s="118">
        <f>'Свод 2021 '!V9</f>
        <v>2187.9</v>
      </c>
      <c r="I5" s="270">
        <f>SUMIFS(выравнивание!$AW:$AW,выравнивание!$A:$A,'Коэф. выравнивания'!$A5,выравнивание!$D:$D,2019,выравнивание!$C:$C,706)</f>
        <v>-27027.599999999999</v>
      </c>
      <c r="J5" s="270">
        <f>I5-H5</f>
        <v>-29215.5</v>
      </c>
      <c r="K5" s="119">
        <f>'Свод 2022'!AE9</f>
        <v>1.0622799999999999</v>
      </c>
      <c r="L5" s="118">
        <f>'Свод 2022'!V9</f>
        <v>4609.8</v>
      </c>
      <c r="M5" s="270">
        <f>SUMIFS(выравнивание!$AW:$AW,выравнивание!$A:$A,'Коэф. выравнивания'!$A5,выравнивание!$D:$D,2020,выравнивание!$C:$C,706)</f>
        <v>-27646.9</v>
      </c>
      <c r="N5" s="270">
        <f>M5-L5</f>
        <v>-32256.7</v>
      </c>
    </row>
    <row r="6" spans="1:14" ht="30" x14ac:dyDescent="0.25">
      <c r="A6" s="112">
        <v>2</v>
      </c>
      <c r="B6" s="7" t="s">
        <v>44</v>
      </c>
      <c r="C6" s="266">
        <f>'Свод 2020'!AI10</f>
        <v>1.061855</v>
      </c>
      <c r="D6" s="118">
        <f>'Свод 2020'!AB10</f>
        <v>8245.6</v>
      </c>
      <c r="E6" s="270">
        <f>SUMIFS(выравнивание!$AW:$AW,выравнивание!$A:$A,'Коэф. выравнивания'!$A6,выравнивание!$D:$D,2018,выравнивание!$C:$C,706)</f>
        <v>-52442.3</v>
      </c>
      <c r="F6" s="270">
        <f t="shared" ref="F6:F20" si="0">E6-D6</f>
        <v>-60687.9</v>
      </c>
      <c r="G6" s="119">
        <f>'Свод 2021 '!AE12</f>
        <v>1.02956</v>
      </c>
      <c r="H6" s="118">
        <f>'Свод 2021 '!V10</f>
        <v>3940.6</v>
      </c>
      <c r="I6" s="270">
        <f>SUMIFS(выравнивание!$AW:$AW,выравнивание!$A:$A,'Коэф. выравнивания'!$A6,выравнивание!$D:$D,2019,выравнивание!$C:$C,706)</f>
        <v>-54573.2</v>
      </c>
      <c r="J6" s="270">
        <f t="shared" ref="J6:J20" si="1">I6-H6</f>
        <v>-58513.8</v>
      </c>
      <c r="K6" s="119">
        <f>'Свод 2022'!AE10</f>
        <v>1.0622799999999999</v>
      </c>
      <c r="L6" s="118">
        <f>'Свод 2022'!V10</f>
        <v>8302.5</v>
      </c>
      <c r="M6" s="270">
        <f>SUMIFS(выравнивание!$AW:$AW,выравнивание!$A:$A,'Коэф. выравнивания'!$A6,выравнивание!$D:$D,2020,выравнивание!$C:$C,706)</f>
        <v>-55850.5</v>
      </c>
      <c r="N6" s="270">
        <f t="shared" ref="N6:N20" si="2">M6-L6</f>
        <v>-64153</v>
      </c>
    </row>
    <row r="7" spans="1:14" ht="30" x14ac:dyDescent="0.25">
      <c r="A7" s="112">
        <v>3</v>
      </c>
      <c r="B7" s="7" t="s">
        <v>45</v>
      </c>
      <c r="C7" s="266">
        <f>'Свод 2020'!AI11</f>
        <v>1.061855</v>
      </c>
      <c r="D7" s="118">
        <f>'Свод 2020'!AB11</f>
        <v>4937.8999999999996</v>
      </c>
      <c r="E7" s="270">
        <f>SUMIFS(выравнивание!$AW:$AW,выравнивание!$A:$A,'Коэф. выравнивания'!$A7,выравнивание!$D:$D,2018,выравнивание!$C:$C,706)</f>
        <v>-28696.3</v>
      </c>
      <c r="F7" s="270">
        <f t="shared" si="0"/>
        <v>-33634.199999999997</v>
      </c>
      <c r="G7" s="119">
        <f>'Свод 2021 '!AE13</f>
        <v>1.02956</v>
      </c>
      <c r="H7" s="118">
        <f>'Свод 2021 '!V11</f>
        <v>2359.8000000000002</v>
      </c>
      <c r="I7" s="270">
        <f>SUMIFS(выравнивание!$AW:$AW,выравнивание!$A:$A,'Коэф. выравнивания'!$A7,выравнивание!$D:$D,2019,выравнивание!$C:$C,706)</f>
        <v>-29864.1</v>
      </c>
      <c r="J7" s="270">
        <f t="shared" si="1"/>
        <v>-32223.9</v>
      </c>
      <c r="K7" s="119">
        <f>'Свод 2022'!AE11</f>
        <v>1.0622799999999999</v>
      </c>
      <c r="L7" s="118">
        <f>'Свод 2022'!V11</f>
        <v>4971.8999999999996</v>
      </c>
      <c r="M7" s="270">
        <f>SUMIFS(выравнивание!$AW:$AW,выравнивание!$A:$A,'Коэф. выравнивания'!$A7,выравнивание!$D:$D,2020,выравнивание!$C:$C,706)</f>
        <v>-30570.6</v>
      </c>
      <c r="N7" s="270">
        <f t="shared" si="2"/>
        <v>-35542.5</v>
      </c>
    </row>
    <row r="8" spans="1:14" ht="30" x14ac:dyDescent="0.25">
      <c r="A8" s="112">
        <v>4</v>
      </c>
      <c r="B8" s="7" t="s">
        <v>46</v>
      </c>
      <c r="C8" s="266">
        <f>'Свод 2020'!AI12</f>
        <v>1.061855</v>
      </c>
      <c r="D8" s="118">
        <f>'Свод 2020'!AB12</f>
        <v>6956.3</v>
      </c>
      <c r="E8" s="270">
        <f>SUMIFS(выравнивание!$AW:$AW,выравнивание!$A:$A,'Коэф. выравнивания'!$A8,выравнивание!$D:$D,2018,выравнивание!$C:$C,706)</f>
        <v>-37225</v>
      </c>
      <c r="F8" s="270">
        <f t="shared" si="0"/>
        <v>-44181.3</v>
      </c>
      <c r="G8" s="119">
        <f>'Свод 2021 '!AE14</f>
        <v>1.02956</v>
      </c>
      <c r="H8" s="118">
        <f>'Свод 2021 '!V12</f>
        <v>3324.4</v>
      </c>
      <c r="I8" s="270">
        <f>SUMIFS(выравнивание!$AW:$AW,выравнивание!$A:$A,'Коэф. выравнивания'!$A8,выравнивание!$D:$D,2019,выравнивание!$C:$C,706)</f>
        <v>-38778.5</v>
      </c>
      <c r="J8" s="270">
        <f t="shared" si="1"/>
        <v>-42102.9</v>
      </c>
      <c r="K8" s="119">
        <f>'Свод 2022'!AE12</f>
        <v>1.0622799999999999</v>
      </c>
      <c r="L8" s="118">
        <f>'Свод 2022'!V12</f>
        <v>7004.2</v>
      </c>
      <c r="M8" s="270">
        <f>SUMIFS(выравнивание!$AW:$AW,выравнивание!$A:$A,'Коэф. выравнивания'!$A8,выравнивание!$D:$D,2020,выравнивание!$C:$C,706)</f>
        <v>-39848.800000000003</v>
      </c>
      <c r="N8" s="270">
        <f t="shared" si="2"/>
        <v>-46853</v>
      </c>
    </row>
    <row r="9" spans="1:14" ht="30" x14ac:dyDescent="0.25">
      <c r="A9" s="112">
        <v>5</v>
      </c>
      <c r="B9" s="7" t="s">
        <v>47</v>
      </c>
      <c r="C9" s="266">
        <f>'Свод 2020'!AI13</f>
        <v>1.061855</v>
      </c>
      <c r="D9" s="118">
        <f>'Свод 2020'!AB13</f>
        <v>18603.099999999999</v>
      </c>
      <c r="E9" s="270">
        <f>SUMIFS(выравнивание!$AW:$AW,выравнивание!$A:$A,'Коэф. выравнивания'!$A9,выравнивание!$D:$D,2018,выравнивание!$C:$C,706)</f>
        <v>-105281.5</v>
      </c>
      <c r="F9" s="270">
        <f t="shared" si="0"/>
        <v>-123884.6</v>
      </c>
      <c r="G9" s="119">
        <f>'Свод 2021 '!AE15</f>
        <v>1.02956</v>
      </c>
      <c r="H9" s="118">
        <f>'Свод 2021 '!V13</f>
        <v>8890.5</v>
      </c>
      <c r="I9" s="270">
        <f>SUMIFS(выравнивание!$AW:$AW,выравнивание!$A:$A,'Коэф. выравнивания'!$A9,выравнивание!$D:$D,2019,выравнивание!$C:$C,706)</f>
        <v>-109601</v>
      </c>
      <c r="J9" s="270">
        <f t="shared" si="1"/>
        <v>-118491.5</v>
      </c>
      <c r="K9" s="119">
        <f>'Свод 2022'!AE13</f>
        <v>1.0622799999999999</v>
      </c>
      <c r="L9" s="118">
        <f>'Свод 2022'!V13</f>
        <v>18731.3</v>
      </c>
      <c r="M9" s="270">
        <f>SUMIFS(выравнивание!$AW:$AW,выравнивание!$A:$A,'Коэф. выравнивания'!$A9,выравнивание!$D:$D,2020,выравнивание!$C:$C,706)</f>
        <v>-112333.2</v>
      </c>
      <c r="N9" s="270">
        <f t="shared" si="2"/>
        <v>-131064.5</v>
      </c>
    </row>
    <row r="10" spans="1:14" ht="45" x14ac:dyDescent="0.25">
      <c r="A10" s="112">
        <v>6</v>
      </c>
      <c r="B10" s="7" t="s">
        <v>48</v>
      </c>
      <c r="C10" s="266">
        <f>'Свод 2020'!AI14</f>
        <v>1.061855</v>
      </c>
      <c r="D10" s="118">
        <f>'Свод 2020'!AB14</f>
        <v>43868</v>
      </c>
      <c r="E10" s="270">
        <f>SUMIFS(выравнивание!$AW:$AW,выравнивание!$A:$A,'Коэф. выравнивания'!$A10,выравнивание!$D:$D,2018,выравнивание!$C:$C,706)</f>
        <v>-244362.6</v>
      </c>
      <c r="F10" s="270">
        <f t="shared" si="0"/>
        <v>-288230.59999999998</v>
      </c>
      <c r="G10" s="119">
        <f>'Свод 2021 '!AE16</f>
        <v>1.02956</v>
      </c>
      <c r="H10" s="118">
        <f>'Свод 2021 '!V14</f>
        <v>20964.3</v>
      </c>
      <c r="I10" s="270">
        <f>SUMIFS(выравнивание!$AW:$AW,выравнивание!$A:$A,'Коэф. выравнивания'!$A10,выравнивание!$D:$D,2019,выравнивание!$C:$C,706)</f>
        <v>-254644.2</v>
      </c>
      <c r="J10" s="270">
        <f t="shared" si="1"/>
        <v>-275608.5</v>
      </c>
      <c r="K10" s="119">
        <f>'Свод 2022'!AE14</f>
        <v>1.0622799999999999</v>
      </c>
      <c r="L10" s="118">
        <f>'Свод 2022'!V14</f>
        <v>44170.2</v>
      </c>
      <c r="M10" s="270">
        <f>SUMIFS(выравнивание!$AW:$AW,выравнивание!$A:$A,'Коэф. выравнивания'!$A10,выравнивание!$D:$D,2020,выравнивание!$C:$C,706)</f>
        <v>-262007.1</v>
      </c>
      <c r="N10" s="270">
        <f t="shared" si="2"/>
        <v>-306177.3</v>
      </c>
    </row>
    <row r="11" spans="1:14" ht="30" x14ac:dyDescent="0.25">
      <c r="A11" s="112">
        <v>7</v>
      </c>
      <c r="B11" s="7" t="s">
        <v>49</v>
      </c>
      <c r="C11" s="266">
        <f>'Свод 2020'!AI15</f>
        <v>1.061855</v>
      </c>
      <c r="D11" s="118">
        <f>'Свод 2020'!AB15</f>
        <v>12759.2</v>
      </c>
      <c r="E11" s="270">
        <f>SUMIFS(выравнивание!$AW:$AW,выравнивание!$A:$A,'Коэф. выравнивания'!$A11,выравнивание!$D:$D,2018,выравнивание!$C:$C,706)</f>
        <v>-72227</v>
      </c>
      <c r="F11" s="270">
        <f t="shared" si="0"/>
        <v>-84986.2</v>
      </c>
      <c r="G11" s="119">
        <f>'Свод 2021 '!AE17</f>
        <v>1.02956</v>
      </c>
      <c r="H11" s="118">
        <f>'Свод 2021 '!V15</f>
        <v>6097.6</v>
      </c>
      <c r="I11" s="270">
        <f>SUMIFS(выравнивание!$AW:$AW,выравнивание!$A:$A,'Коэф. выравнивания'!$A11,выравнивание!$D:$D,2019,выравнивание!$C:$C,706)</f>
        <v>-75252</v>
      </c>
      <c r="J11" s="270">
        <f t="shared" si="1"/>
        <v>-81349.600000000006</v>
      </c>
      <c r="K11" s="119">
        <f>'Свод 2022'!AE15</f>
        <v>1.0622799999999999</v>
      </c>
      <c r="L11" s="118">
        <f>'Свод 2022'!V15</f>
        <v>12847.1</v>
      </c>
      <c r="M11" s="270">
        <f>SUMIFS(выравнивание!$AW:$AW,выравнивание!$A:$A,'Коэф. выравнивания'!$A11,выравнивание!$D:$D,2020,выравнивание!$C:$C,706)</f>
        <v>-77372.5</v>
      </c>
      <c r="N11" s="270">
        <f t="shared" si="2"/>
        <v>-90219.6</v>
      </c>
    </row>
    <row r="12" spans="1:14" ht="30" x14ac:dyDescent="0.25">
      <c r="A12" s="112">
        <v>8</v>
      </c>
      <c r="B12" s="7" t="s">
        <v>50</v>
      </c>
      <c r="C12" s="266">
        <f>'Свод 2020'!AI16</f>
        <v>1.061855</v>
      </c>
      <c r="D12" s="118">
        <f>'Свод 2020'!AB16</f>
        <v>25410.6</v>
      </c>
      <c r="E12" s="270">
        <f>SUMIFS(выравнивание!$AW:$AW,выравнивание!$A:$A,'Коэф. выравнивания'!$A12,выравнивание!$D:$D,2018,выравнивание!$C:$C,706)</f>
        <v>-127174.3</v>
      </c>
      <c r="F12" s="270">
        <f t="shared" si="0"/>
        <v>-152584.9</v>
      </c>
      <c r="G12" s="119">
        <f>'Свод 2021 '!AE18</f>
        <v>1.02956</v>
      </c>
      <c r="H12" s="118">
        <f>'Свод 2021 '!V16</f>
        <v>12143.6</v>
      </c>
      <c r="I12" s="270">
        <f>SUMIFS(выравнивание!$AW:$AW,выравнивание!$A:$A,'Коэф. выравнивания'!$A12,выравнивание!$D:$D,2019,выравнивание!$C:$C,706)</f>
        <v>-132415.29999999999</v>
      </c>
      <c r="J12" s="270">
        <f t="shared" si="1"/>
        <v>-144558.9</v>
      </c>
      <c r="K12" s="119">
        <f>'Свод 2022'!AE16</f>
        <v>1.0622799999999999</v>
      </c>
      <c r="L12" s="118">
        <f>'Свод 2022'!V16</f>
        <v>25585.7</v>
      </c>
      <c r="M12" s="270">
        <f>SUMIFS(выравнивание!$AW:$AW,выравнивание!$A:$A,'Коэф. выравнивания'!$A12,выравнивание!$D:$D,2020,выравнивание!$C:$C,706)</f>
        <v>-135806.9</v>
      </c>
      <c r="N12" s="270">
        <f t="shared" si="2"/>
        <v>-161392.6</v>
      </c>
    </row>
    <row r="13" spans="1:14" ht="45" x14ac:dyDescent="0.25">
      <c r="A13" s="112">
        <v>9</v>
      </c>
      <c r="B13" s="7" t="s">
        <v>51</v>
      </c>
      <c r="C13" s="266">
        <f>'Свод 2020'!AI17</f>
        <v>1.061855</v>
      </c>
      <c r="D13" s="118">
        <f>'Свод 2020'!AB17</f>
        <v>48882.2</v>
      </c>
      <c r="E13" s="270">
        <f>SUMIFS(выравнивание!$AW:$AW,выравнивание!$A:$A,'Коэф. выравнивания'!$A13,выравнивание!$D:$D,2018,выравнивание!$C:$C,706)</f>
        <v>-250791.8</v>
      </c>
      <c r="F13" s="270">
        <f t="shared" si="0"/>
        <v>-299674</v>
      </c>
      <c r="G13" s="119">
        <f>'Свод 2021 '!AE19</f>
        <v>1.02956</v>
      </c>
      <c r="H13" s="118">
        <f>'Свод 2021 '!V17</f>
        <v>23360.6</v>
      </c>
      <c r="I13" s="270">
        <f>SUMIFS(выравнивание!$AW:$AW,выравнивание!$A:$A,'Коэф. выравнивания'!$A13,выравнивание!$D:$D,2019,выравнивание!$C:$C,706)</f>
        <v>-261530</v>
      </c>
      <c r="J13" s="270">
        <f t="shared" si="1"/>
        <v>-284890.59999999998</v>
      </c>
      <c r="K13" s="119">
        <f>'Свод 2022'!AE17</f>
        <v>1.0622799999999999</v>
      </c>
      <c r="L13" s="118">
        <f>'Свод 2022'!V17</f>
        <v>49219</v>
      </c>
      <c r="M13" s="270">
        <f>SUMIFS(выравнивание!$AW:$AW,выравнивание!$A:$A,'Коэф. выравнивания'!$A13,выравнивание!$D:$D,2020,выравнивание!$C:$C,706)</f>
        <v>-269832</v>
      </c>
      <c r="N13" s="270">
        <f t="shared" si="2"/>
        <v>-319051</v>
      </c>
    </row>
    <row r="14" spans="1:14" ht="30" x14ac:dyDescent="0.25">
      <c r="A14" s="112">
        <v>10</v>
      </c>
      <c r="B14" s="7" t="s">
        <v>52</v>
      </c>
      <c r="C14" s="266">
        <f>'Свод 2020'!AI18</f>
        <v>1.061855</v>
      </c>
      <c r="D14" s="118">
        <f>'Свод 2020'!AB18</f>
        <v>15469.3</v>
      </c>
      <c r="E14" s="270">
        <f>SUMIFS(выравнивание!$AW:$AW,выравнивание!$A:$A,'Коэф. выравнивания'!$A14,выравнивание!$D:$D,2018,выравнивание!$C:$C,706)</f>
        <v>-87149.5</v>
      </c>
      <c r="F14" s="270">
        <f t="shared" si="0"/>
        <v>-102618.8</v>
      </c>
      <c r="G14" s="119">
        <f>'Свод 2021 '!AE20</f>
        <v>1.02956</v>
      </c>
      <c r="H14" s="118">
        <f>'Свод 2021 '!V18</f>
        <v>7392.7</v>
      </c>
      <c r="I14" s="270">
        <f>SUMIFS(выравнивание!$AW:$AW,выравнивание!$A:$A,'Коэф. выравнивания'!$A14,выравнивание!$D:$D,2019,выравнивание!$C:$C,706)</f>
        <v>-90713.4</v>
      </c>
      <c r="J14" s="270">
        <f t="shared" si="1"/>
        <v>-98106.1</v>
      </c>
      <c r="K14" s="119">
        <f>'Свод 2022'!AE18</f>
        <v>1.0622799999999999</v>
      </c>
      <c r="L14" s="118">
        <f>'Свод 2022'!V18</f>
        <v>15575.8</v>
      </c>
      <c r="M14" s="270">
        <f>SUMIFS(выравнивание!$AW:$AW,выравнивание!$A:$A,'Коэф. выравнивания'!$A14,выравнивание!$D:$D,2020,выравнивание!$C:$C,706)</f>
        <v>-92928.2</v>
      </c>
      <c r="N14" s="270">
        <f t="shared" si="2"/>
        <v>-108504</v>
      </c>
    </row>
    <row r="15" spans="1:14" ht="30" x14ac:dyDescent="0.25">
      <c r="A15" s="112">
        <v>11</v>
      </c>
      <c r="B15" s="7" t="s">
        <v>53</v>
      </c>
      <c r="C15" s="266">
        <f>'Свод 2020'!AI19</f>
        <v>1.061855</v>
      </c>
      <c r="D15" s="118">
        <f>'Свод 2020'!AB19</f>
        <v>10584.6</v>
      </c>
      <c r="E15" s="270">
        <f>SUMIFS(выравнивание!$AW:$AW,выравнивание!$A:$A,'Коэф. выравнивания'!$A15,выравнивание!$D:$D,2018,выравнивание!$C:$C,706)</f>
        <v>-85855.5</v>
      </c>
      <c r="F15" s="270">
        <f t="shared" si="0"/>
        <v>-96440.1</v>
      </c>
      <c r="G15" s="119">
        <f>'Свод 2021 '!AE21</f>
        <v>1.02956</v>
      </c>
      <c r="H15" s="118">
        <f>'Свод 2021 '!V19</f>
        <v>5058.3</v>
      </c>
      <c r="I15" s="270">
        <f>SUMIFS(выравнивание!$AW:$AW,выравнивание!$A:$A,'Коэф. выравнивания'!$A15,выравнивание!$D:$D,2019,выравнивание!$C:$C,706)</f>
        <v>-89453.1</v>
      </c>
      <c r="J15" s="270">
        <f t="shared" si="1"/>
        <v>-94511.4</v>
      </c>
      <c r="K15" s="119">
        <f>'Свод 2022'!AE19</f>
        <v>1.0622799999999999</v>
      </c>
      <c r="L15" s="118">
        <f>'Свод 2022'!V19</f>
        <v>10657.6</v>
      </c>
      <c r="M15" s="270">
        <f>SUMIFS(выравнивание!$AW:$AW,выравнивание!$A:$A,'Коэф. выравнивания'!$A15,выравнивание!$D:$D,2020,выравнивание!$C:$C,706)</f>
        <v>-91965.6</v>
      </c>
      <c r="N15" s="270">
        <f t="shared" si="2"/>
        <v>-102623.2</v>
      </c>
    </row>
    <row r="16" spans="1:14" ht="30" x14ac:dyDescent="0.25">
      <c r="A16" s="112">
        <v>12</v>
      </c>
      <c r="B16" s="7" t="s">
        <v>54</v>
      </c>
      <c r="C16" s="266">
        <f>'Свод 2020'!AI20</f>
        <v>1.061855</v>
      </c>
      <c r="D16" s="118">
        <f>'Свод 2020'!AB20</f>
        <v>15920.7</v>
      </c>
      <c r="E16" s="270">
        <f>SUMIFS(выравнивание!$AW:$AW,выравнивание!$A:$A,'Коэф. выравнивания'!$A16,выравнивание!$D:$D,2018,выравнивание!$C:$C,706)</f>
        <v>-91503</v>
      </c>
      <c r="F16" s="270">
        <f t="shared" si="0"/>
        <v>-107423.7</v>
      </c>
      <c r="G16" s="119">
        <f>'Свод 2021 '!AE22</f>
        <v>1.02956</v>
      </c>
      <c r="H16" s="118">
        <f>'Свод 2021 '!V20</f>
        <v>7608.4</v>
      </c>
      <c r="I16" s="270">
        <f>SUMIFS(выравнивание!$AW:$AW,выравнивание!$A:$A,'Коэф. выравнивания'!$A16,выравнивание!$D:$D,2019,выравнивание!$C:$C,706)</f>
        <v>-95265.2</v>
      </c>
      <c r="J16" s="270">
        <f t="shared" si="1"/>
        <v>-102873.60000000001</v>
      </c>
      <c r="K16" s="119">
        <f>'Свод 2022'!AE20</f>
        <v>1.0622799999999999</v>
      </c>
      <c r="L16" s="118">
        <f>'Свод 2022'!V20</f>
        <v>16030.4</v>
      </c>
      <c r="M16" s="270">
        <f>SUMIFS(выравнивание!$AW:$AW,выравнивание!$A:$A,'Коэф. выравнивания'!$A16,выравнивание!$D:$D,2020,выравнивание!$C:$C,706)</f>
        <v>-97670.7</v>
      </c>
      <c r="N16" s="270">
        <f t="shared" si="2"/>
        <v>-113701.1</v>
      </c>
    </row>
    <row r="17" spans="1:14" ht="30" x14ac:dyDescent="0.25">
      <c r="A17" s="112">
        <v>13</v>
      </c>
      <c r="B17" s="7" t="s">
        <v>55</v>
      </c>
      <c r="C17" s="266">
        <f>'Свод 2020'!AI21</f>
        <v>1.061855</v>
      </c>
      <c r="D17" s="118">
        <f>'Свод 2020'!AB21</f>
        <v>6233.6</v>
      </c>
      <c r="E17" s="270">
        <f>SUMIFS(выравнивание!$AW:$AW,выравнивание!$A:$A,'Коэф. выравнивания'!$A17,выравнивание!$D:$D,2018,выравнивание!$C:$C,706)</f>
        <v>-30840.9</v>
      </c>
      <c r="F17" s="270">
        <f t="shared" si="0"/>
        <v>-37074.5</v>
      </c>
      <c r="G17" s="119">
        <f>'Свод 2021 '!AE23</f>
        <v>1.02955</v>
      </c>
      <c r="H17" s="118">
        <f>'Свод 2021 '!V21</f>
        <v>2979</v>
      </c>
      <c r="I17" s="270">
        <f>SUMIFS(выравнивание!$AW:$AW,выравнивание!$A:$A,'Коэф. выравнивания'!$A17,выравнивание!$D:$D,2019,выравнивание!$C:$C,706)</f>
        <v>-32105.4</v>
      </c>
      <c r="J17" s="270">
        <f t="shared" si="1"/>
        <v>-35084.400000000001</v>
      </c>
      <c r="K17" s="119">
        <f>'Свод 2022'!AE21</f>
        <v>1.0622799999999999</v>
      </c>
      <c r="L17" s="118">
        <f>'Свод 2022'!V21</f>
        <v>6276.6</v>
      </c>
      <c r="M17" s="270">
        <f>SUMIFS(выравнивание!$AW:$AW,выравнивание!$A:$A,'Коэф. выравнивания'!$A17,выравнивание!$D:$D,2020,выравнивание!$C:$C,706)</f>
        <v>-32902</v>
      </c>
      <c r="N17" s="270">
        <f t="shared" si="2"/>
        <v>-39178.6</v>
      </c>
    </row>
    <row r="18" spans="1:14" ht="30" x14ac:dyDescent="0.25">
      <c r="A18" s="112">
        <v>14</v>
      </c>
      <c r="B18" s="7" t="s">
        <v>56</v>
      </c>
      <c r="C18" s="266">
        <f>'Свод 2020'!AI22</f>
        <v>1.061855</v>
      </c>
      <c r="D18" s="118">
        <f>'Свод 2020'!AB22</f>
        <v>7332.6</v>
      </c>
      <c r="E18" s="270">
        <f>SUMIFS(выравнивание!$AW:$AW,выравнивание!$A:$A,'Коэф. выравнивания'!$A18,выравнивание!$D:$D,2018,выравнивание!$C:$C,706)</f>
        <v>-34801.4</v>
      </c>
      <c r="F18" s="270">
        <f t="shared" si="0"/>
        <v>-42134</v>
      </c>
      <c r="G18" s="119">
        <f>'Свод 2021 '!AE24</f>
        <v>1.0295700000000001</v>
      </c>
      <c r="H18" s="118">
        <f>'Свод 2021 '!V22</f>
        <v>3504.2</v>
      </c>
      <c r="I18" s="270">
        <f>SUMIFS(выравнивание!$AW:$AW,выравнивание!$A:$A,'Коэф. выравнивания'!$A18,выравнивание!$D:$D,2019,выравнивание!$C:$C,706)</f>
        <v>-36263.199999999997</v>
      </c>
      <c r="J18" s="270">
        <f t="shared" si="1"/>
        <v>-39767.4</v>
      </c>
      <c r="K18" s="119">
        <f>'Свод 2022'!AE22</f>
        <v>1.0622799999999999</v>
      </c>
      <c r="L18" s="118">
        <f>'Свод 2022'!V22</f>
        <v>7383.1</v>
      </c>
      <c r="M18" s="270">
        <f>SUMIFS(выравнивание!$AW:$AW,выравнивание!$A:$A,'Коэф. выравнивания'!$A18,выравнивание!$D:$D,2020,выравнивание!$C:$C,706)</f>
        <v>-37301.9</v>
      </c>
      <c r="N18" s="270">
        <f t="shared" si="2"/>
        <v>-44685</v>
      </c>
    </row>
    <row r="19" spans="1:14" ht="15.75" x14ac:dyDescent="0.25">
      <c r="A19" s="113">
        <v>100</v>
      </c>
      <c r="B19" s="29" t="s">
        <v>28</v>
      </c>
      <c r="C19" s="266">
        <f>'Свод 2020'!AI23</f>
        <v>1.0618540000000001</v>
      </c>
      <c r="D19" s="118">
        <f>'Свод 2020'!AB23</f>
        <v>421.1</v>
      </c>
      <c r="E19" s="270">
        <f>SUMIFS(выравнивание!$AW:$AW,выравнивание!$A:$A,'Коэф. выравнивания'!$A19,выравнивание!$D:$D,2018,выравнивание!$C:$C,706)</f>
        <v>-1135</v>
      </c>
      <c r="F19" s="270">
        <f t="shared" si="0"/>
        <v>-1556.1</v>
      </c>
      <c r="G19" s="119">
        <f>'Свод 2021 '!AE25</f>
        <v>1.02956</v>
      </c>
      <c r="H19" s="118">
        <f>'Свод 2021 '!V23</f>
        <v>201.2</v>
      </c>
      <c r="I19" s="270">
        <f>SUMIFS(выравнивание!$AW:$AW,выравнивание!$A:$A,'Коэф. выравнивания'!$A19,выравнивание!$D:$D,2019,выравнивание!$C:$C,706)</f>
        <v>-1184.3</v>
      </c>
      <c r="J19" s="270">
        <f t="shared" si="1"/>
        <v>-1385.5</v>
      </c>
      <c r="K19" s="119">
        <f>'Свод 2022'!AE23</f>
        <v>1.0622799999999999</v>
      </c>
      <c r="L19" s="118">
        <f>'Свод 2022'!V23</f>
        <v>424</v>
      </c>
      <c r="M19" s="270">
        <f>SUMIFS(выравнивание!$AW:$AW,выравнивание!$A:$A,'Коэф. выравнивания'!$A19,выравнивание!$D:$D,2020,выравнивание!$C:$C,706)</f>
        <v>-1224.8</v>
      </c>
      <c r="N19" s="270">
        <f t="shared" si="2"/>
        <v>-1648.8</v>
      </c>
    </row>
    <row r="20" spans="1:14" ht="15.75" x14ac:dyDescent="0.25">
      <c r="A20" s="113">
        <v>0</v>
      </c>
      <c r="B20" s="29" t="s">
        <v>24</v>
      </c>
      <c r="C20" s="266">
        <f>'Свод 2020'!AI24</f>
        <v>1.061863</v>
      </c>
      <c r="D20" s="118">
        <f>'Свод 2020'!AB24</f>
        <v>154.80000000000001</v>
      </c>
      <c r="E20" s="270">
        <f>SUMIFS(выравнивание!$AW:$AW,выравнивание!$A:$A,'Коэф. выравнивания'!$A20,выравнивание!$D:$D,2018,выравнивание!$C:$C,706)</f>
        <v>-677.2</v>
      </c>
      <c r="F20" s="270">
        <f t="shared" si="0"/>
        <v>-832</v>
      </c>
      <c r="G20" s="119">
        <f>'Свод 2021 '!AE26</f>
        <v>0</v>
      </c>
      <c r="H20" s="118">
        <f>'Свод 2021 '!V24</f>
        <v>74</v>
      </c>
      <c r="I20" s="270">
        <f>SUMIFS(выравнивание!$AW:$AW,выравнивание!$A:$A,'Коэф. выравнивания'!$A20,выравнивание!$D:$D,2019,выравнивание!$C:$C,706)</f>
        <v>-706.3</v>
      </c>
      <c r="J20" s="270">
        <f t="shared" si="1"/>
        <v>-780.3</v>
      </c>
      <c r="K20" s="119">
        <f>'Свод 2022'!AE24</f>
        <v>1.06226</v>
      </c>
      <c r="L20" s="118">
        <f>'Свод 2022'!V24</f>
        <v>155.80000000000001</v>
      </c>
      <c r="M20" s="270">
        <f>SUMIFS(выравнивание!$AW:$AW,выравнивание!$A:$A,'Коэф. выравнивания'!$A20,выравнивание!$D:$D,2020,выравнивание!$C:$C,706)</f>
        <v>-728.7</v>
      </c>
      <c r="N20" s="270">
        <f t="shared" si="2"/>
        <v>-884.5</v>
      </c>
    </row>
    <row r="21" spans="1:14" x14ac:dyDescent="0.25">
      <c r="A21" s="114"/>
      <c r="B21" s="9" t="s">
        <v>57</v>
      </c>
      <c r="C21" s="101"/>
      <c r="D21" s="118">
        <f>SUM(D5:D20)</f>
        <v>230357.9</v>
      </c>
      <c r="E21" s="274">
        <f>SUM(E5:E20)</f>
        <v>-1276139</v>
      </c>
      <c r="F21" s="270">
        <f>SUM(F5:F20)</f>
        <v>-1506496.9</v>
      </c>
      <c r="G21" s="101"/>
      <c r="H21" s="118">
        <f>SUM(H5:H20)</f>
        <v>110087.1</v>
      </c>
      <c r="I21" s="274">
        <f t="shared" ref="I21:J21" si="3">SUM(I5:I20)</f>
        <v>-1329376.8</v>
      </c>
      <c r="J21" s="269">
        <f t="shared" si="3"/>
        <v>-1439463.9</v>
      </c>
      <c r="K21" s="101"/>
      <c r="L21" s="118">
        <f>SUM(L5:L20)</f>
        <v>231945</v>
      </c>
      <c r="M21" s="274">
        <f t="shared" ref="M21:N21" si="4">SUM(M5:M20)</f>
        <v>-1365990.3999999999</v>
      </c>
      <c r="N21" s="269">
        <f t="shared" si="4"/>
        <v>-1597935.4</v>
      </c>
    </row>
    <row r="22" spans="1:14" x14ac:dyDescent="0.25">
      <c r="B22" s="101"/>
      <c r="C22" s="101"/>
      <c r="D22" s="101"/>
      <c r="E22" s="269"/>
      <c r="F22" s="269"/>
      <c r="G22" s="101"/>
      <c r="H22" s="101"/>
      <c r="I22" s="269"/>
      <c r="J22" s="269"/>
      <c r="K22" s="101"/>
      <c r="L22" s="101"/>
      <c r="M22" s="269"/>
      <c r="N22" s="269"/>
    </row>
    <row r="23" spans="1:14" hidden="1" x14ac:dyDescent="0.25">
      <c r="B23" s="101"/>
      <c r="C23" s="101"/>
      <c r="D23" s="101"/>
      <c r="E23" s="269"/>
      <c r="F23" s="269"/>
      <c r="G23" s="101"/>
      <c r="H23" s="101"/>
      <c r="I23" s="269"/>
      <c r="J23" s="269"/>
      <c r="K23" s="101"/>
      <c r="L23" s="101"/>
      <c r="M23" s="269"/>
      <c r="N23" s="269"/>
    </row>
    <row r="24" spans="1:14" hidden="1" x14ac:dyDescent="0.25">
      <c r="A24" s="77">
        <v>100</v>
      </c>
      <c r="B24" s="101" t="s">
        <v>28</v>
      </c>
      <c r="C24" s="101"/>
      <c r="D24" s="101"/>
      <c r="E24" s="269"/>
      <c r="F24" s="269"/>
      <c r="G24" s="101"/>
      <c r="H24" s="101"/>
      <c r="I24" s="269"/>
      <c r="J24" s="269"/>
      <c r="K24" s="101"/>
      <c r="L24" s="101"/>
      <c r="M24" s="269"/>
      <c r="N24" s="269"/>
    </row>
    <row r="25" spans="1:14" hidden="1" x14ac:dyDescent="0.25">
      <c r="A25" s="77">
        <v>0</v>
      </c>
      <c r="B25" s="101" t="s">
        <v>24</v>
      </c>
      <c r="C25" s="101"/>
      <c r="D25" s="101"/>
      <c r="E25" s="269"/>
      <c r="F25" s="269"/>
      <c r="G25" s="101"/>
      <c r="H25" s="101"/>
      <c r="I25" s="269"/>
      <c r="J25" s="269"/>
      <c r="K25" s="101"/>
      <c r="L25" s="101"/>
      <c r="M25" s="269"/>
      <c r="N25" s="269"/>
    </row>
    <row r="26" spans="1:14" hidden="1" x14ac:dyDescent="0.25">
      <c r="A26" s="115"/>
      <c r="B26" s="116" t="s">
        <v>57</v>
      </c>
      <c r="C26" s="101"/>
      <c r="D26" s="101"/>
      <c r="E26" s="269"/>
      <c r="F26" s="269"/>
      <c r="G26" s="101"/>
      <c r="H26" s="101"/>
      <c r="I26" s="269"/>
      <c r="J26" s="269"/>
      <c r="K26" s="101"/>
      <c r="L26" s="101"/>
      <c r="M26" s="269"/>
      <c r="N26" s="269"/>
    </row>
    <row r="27" spans="1:14" hidden="1" x14ac:dyDescent="0.25">
      <c r="B27" s="101"/>
      <c r="C27" s="101"/>
      <c r="D27" s="101"/>
      <c r="E27" s="269"/>
      <c r="F27" s="269"/>
      <c r="G27" s="101"/>
      <c r="H27" s="101"/>
      <c r="I27" s="269"/>
      <c r="J27" s="269"/>
      <c r="K27" s="101"/>
      <c r="L27" s="101"/>
      <c r="M27" s="269"/>
      <c r="N27" s="269"/>
    </row>
    <row r="28" spans="1:14" hidden="1" x14ac:dyDescent="0.25">
      <c r="B28" s="101"/>
      <c r="C28" s="101"/>
      <c r="D28" s="101"/>
      <c r="E28" s="269"/>
      <c r="F28" s="269"/>
      <c r="G28" s="101"/>
      <c r="H28" s="101"/>
      <c r="I28" s="269"/>
      <c r="J28" s="269"/>
      <c r="K28" s="101"/>
      <c r="L28" s="101"/>
      <c r="M28" s="269"/>
      <c r="N28" s="269"/>
    </row>
    <row r="29" spans="1:14" x14ac:dyDescent="0.25">
      <c r="B29" s="101"/>
      <c r="C29" s="101"/>
      <c r="D29" s="101"/>
      <c r="E29" s="269"/>
      <c r="F29" s="269"/>
      <c r="G29" s="101"/>
      <c r="H29" s="101"/>
      <c r="I29" s="269"/>
      <c r="J29" s="269"/>
      <c r="K29" s="101"/>
      <c r="L29" s="101"/>
      <c r="M29" s="269"/>
      <c r="N29" s="269"/>
    </row>
    <row r="30" spans="1:14" x14ac:dyDescent="0.25">
      <c r="A30" s="810" t="s">
        <v>41</v>
      </c>
      <c r="B30" s="813" t="s">
        <v>42</v>
      </c>
      <c r="C30" s="809">
        <v>704</v>
      </c>
      <c r="D30" s="809"/>
      <c r="E30" s="809"/>
      <c r="F30" s="809"/>
      <c r="G30" s="809"/>
      <c r="H30" s="809"/>
      <c r="I30" s="809"/>
      <c r="J30" s="809"/>
      <c r="K30" s="809"/>
      <c r="L30" s="809"/>
      <c r="M30" s="271"/>
      <c r="N30" s="271"/>
    </row>
    <row r="31" spans="1:14" ht="30" x14ac:dyDescent="0.25">
      <c r="A31" s="811"/>
      <c r="B31" s="813"/>
      <c r="C31" s="101" t="s">
        <v>188</v>
      </c>
      <c r="D31" s="101" t="s">
        <v>189</v>
      </c>
      <c r="E31" s="269"/>
      <c r="F31" s="269"/>
      <c r="G31" s="101" t="s">
        <v>188</v>
      </c>
      <c r="H31" s="101" t="s">
        <v>189</v>
      </c>
      <c r="I31" s="269"/>
      <c r="J31" s="269"/>
      <c r="K31" s="101" t="s">
        <v>188</v>
      </c>
      <c r="L31" s="101" t="s">
        <v>189</v>
      </c>
      <c r="M31" s="269"/>
      <c r="N31" s="269"/>
    </row>
    <row r="32" spans="1:14" x14ac:dyDescent="0.25">
      <c r="A32" s="811"/>
      <c r="B32" s="813"/>
      <c r="C32" s="809">
        <v>2018</v>
      </c>
      <c r="D32" s="809"/>
      <c r="E32" s="271"/>
      <c r="F32" s="271"/>
      <c r="G32" s="809">
        <v>2019</v>
      </c>
      <c r="H32" s="809"/>
      <c r="I32" s="271"/>
      <c r="J32" s="271"/>
      <c r="K32" s="809">
        <v>2020</v>
      </c>
      <c r="L32" s="809"/>
      <c r="M32" s="271"/>
      <c r="N32" s="271"/>
    </row>
    <row r="33" spans="1:14" ht="30" x14ac:dyDescent="0.25">
      <c r="A33" s="112">
        <v>3</v>
      </c>
      <c r="B33" s="7" t="s">
        <v>45</v>
      </c>
      <c r="C33" s="119">
        <f>'Свод 2020'!AI44</f>
        <v>0.72350000000000003</v>
      </c>
      <c r="D33" s="118">
        <f>'Свод 2020'!AB44</f>
        <v>-3965.2</v>
      </c>
      <c r="E33" s="270"/>
      <c r="F33" s="270"/>
      <c r="G33" s="119" t="e">
        <f>#REF!</f>
        <v>#REF!</v>
      </c>
      <c r="H33" s="118" t="e">
        <f>#REF!</f>
        <v>#REF!</v>
      </c>
      <c r="I33" s="270"/>
      <c r="J33" s="270"/>
      <c r="K33" s="119" t="e">
        <f>#REF!</f>
        <v>#REF!</v>
      </c>
      <c r="L33" s="118" t="e">
        <f>#REF!</f>
        <v>#REF!</v>
      </c>
      <c r="M33" s="270"/>
      <c r="N33" s="270"/>
    </row>
    <row r="34" spans="1:14" ht="30" x14ac:dyDescent="0.25">
      <c r="A34" s="112">
        <v>5</v>
      </c>
      <c r="B34" s="7" t="s">
        <v>47</v>
      </c>
      <c r="C34" s="119">
        <f>'Свод 2020'!AI45</f>
        <v>0.72350999999999999</v>
      </c>
      <c r="D34" s="118">
        <f>'Свод 2020'!AB45</f>
        <v>-10874.1</v>
      </c>
      <c r="E34" s="270"/>
      <c r="F34" s="270"/>
      <c r="G34" s="119" t="e">
        <f>#REF!</f>
        <v>#REF!</v>
      </c>
      <c r="H34" s="118" t="e">
        <f>#REF!</f>
        <v>#REF!</v>
      </c>
      <c r="I34" s="270"/>
      <c r="J34" s="270"/>
      <c r="K34" s="119" t="e">
        <f>#REF!</f>
        <v>#REF!</v>
      </c>
      <c r="L34" s="118" t="e">
        <f>#REF!</f>
        <v>#REF!</v>
      </c>
      <c r="M34" s="270"/>
      <c r="N34" s="270"/>
    </row>
    <row r="35" spans="1:14" ht="30" x14ac:dyDescent="0.25">
      <c r="A35" s="112">
        <v>8</v>
      </c>
      <c r="B35" s="7" t="s">
        <v>50</v>
      </c>
      <c r="C35" s="119" t="e">
        <f>'Свод 2020'!AI46</f>
        <v>#DIV/0!</v>
      </c>
      <c r="D35" s="118">
        <f>'Свод 2020'!AB46</f>
        <v>0</v>
      </c>
      <c r="E35" s="270"/>
      <c r="F35" s="270"/>
      <c r="G35" s="119" t="e">
        <f>#REF!</f>
        <v>#REF!</v>
      </c>
      <c r="H35" s="118" t="e">
        <f>#REF!</f>
        <v>#REF!</v>
      </c>
      <c r="I35" s="270"/>
      <c r="J35" s="270"/>
      <c r="K35" s="119" t="e">
        <f>#REF!</f>
        <v>#REF!</v>
      </c>
      <c r="L35" s="118" t="e">
        <f>#REF!</f>
        <v>#REF!</v>
      </c>
      <c r="M35" s="270"/>
      <c r="N35" s="270"/>
    </row>
    <row r="36" spans="1:14" ht="30" x14ac:dyDescent="0.25">
      <c r="A36" s="112">
        <v>12</v>
      </c>
      <c r="B36" s="7" t="s">
        <v>54</v>
      </c>
      <c r="C36" s="119">
        <f>'Свод 2020'!AI47</f>
        <v>0.72350999999999999</v>
      </c>
      <c r="D36" s="118">
        <f>'Свод 2020'!AB47</f>
        <v>-19472.8</v>
      </c>
      <c r="E36" s="270"/>
      <c r="F36" s="270"/>
      <c r="G36" s="119" t="e">
        <f>#REF!</f>
        <v>#REF!</v>
      </c>
      <c r="H36" s="118" t="e">
        <f>#REF!</f>
        <v>#REF!</v>
      </c>
      <c r="I36" s="270"/>
      <c r="J36" s="270"/>
      <c r="K36" s="119" t="e">
        <f>#REF!</f>
        <v>#REF!</v>
      </c>
      <c r="L36" s="118" t="e">
        <f>#REF!</f>
        <v>#REF!</v>
      </c>
      <c r="M36" s="270"/>
      <c r="N36" s="270"/>
    </row>
    <row r="37" spans="1:14" ht="30" x14ac:dyDescent="0.25">
      <c r="A37" s="57">
        <v>21</v>
      </c>
      <c r="B37" s="64" t="s">
        <v>158</v>
      </c>
      <c r="C37" s="119">
        <f>'Свод 2020'!AI48</f>
        <v>0.72350999999999999</v>
      </c>
      <c r="D37" s="118">
        <f>'Свод 2020'!AB48</f>
        <v>-10215.700000000001</v>
      </c>
      <c r="E37" s="270"/>
      <c r="F37" s="270"/>
      <c r="G37" s="119" t="e">
        <f>#REF!</f>
        <v>#REF!</v>
      </c>
      <c r="H37" s="118" t="e">
        <f>#REF!</f>
        <v>#REF!</v>
      </c>
      <c r="I37" s="270"/>
      <c r="J37" s="270"/>
      <c r="K37" s="119" t="e">
        <f>#REF!</f>
        <v>#REF!</v>
      </c>
      <c r="L37" s="118" t="e">
        <f>#REF!</f>
        <v>#REF!</v>
      </c>
      <c r="M37" s="270"/>
      <c r="N37" s="270"/>
    </row>
    <row r="38" spans="1:14" ht="30" x14ac:dyDescent="0.25">
      <c r="A38" s="57">
        <v>22</v>
      </c>
      <c r="B38" s="64" t="s">
        <v>167</v>
      </c>
      <c r="C38" s="119">
        <f>'Свод 2020'!AI49</f>
        <v>0.72350999999999999</v>
      </c>
      <c r="D38" s="118">
        <f>'Свод 2020'!AB49</f>
        <v>-13736.6</v>
      </c>
      <c r="E38" s="270"/>
      <c r="F38" s="270"/>
      <c r="G38" s="119" t="e">
        <f>#REF!</f>
        <v>#REF!</v>
      </c>
      <c r="H38" s="118" t="e">
        <f>#REF!</f>
        <v>#REF!</v>
      </c>
      <c r="I38" s="270"/>
      <c r="J38" s="270"/>
      <c r="K38" s="119" t="e">
        <f>#REF!</f>
        <v>#REF!</v>
      </c>
      <c r="L38" s="118" t="e">
        <f>#REF!</f>
        <v>#REF!</v>
      </c>
      <c r="M38" s="270"/>
      <c r="N38" s="270"/>
    </row>
    <row r="39" spans="1:14" ht="30" x14ac:dyDescent="0.25">
      <c r="A39" s="57">
        <v>23</v>
      </c>
      <c r="B39" s="64" t="s">
        <v>160</v>
      </c>
      <c r="C39" s="119">
        <f>'Свод 2020'!AI50</f>
        <v>0.72350000000000003</v>
      </c>
      <c r="D39" s="118">
        <f>'Свод 2020'!AB50</f>
        <v>-2961.9</v>
      </c>
      <c r="E39" s="270"/>
      <c r="F39" s="270"/>
      <c r="G39" s="119" t="e">
        <f>#REF!</f>
        <v>#REF!</v>
      </c>
      <c r="H39" s="118" t="e">
        <f>#REF!</f>
        <v>#REF!</v>
      </c>
      <c r="I39" s="270"/>
      <c r="J39" s="270"/>
      <c r="K39" s="119" t="e">
        <f>#REF!</f>
        <v>#REF!</v>
      </c>
      <c r="L39" s="118" t="e">
        <f>#REF!</f>
        <v>#REF!</v>
      </c>
      <c r="M39" s="270"/>
      <c r="N39" s="270"/>
    </row>
    <row r="40" spans="1:14" ht="45" x14ac:dyDescent="0.25">
      <c r="A40" s="57">
        <v>24</v>
      </c>
      <c r="B40" s="64" t="s">
        <v>164</v>
      </c>
      <c r="C40" s="119">
        <f>'Свод 2020'!AI51</f>
        <v>0.72350999999999999</v>
      </c>
      <c r="D40" s="118">
        <f>'Свод 2020'!AB51</f>
        <v>-4914.1000000000004</v>
      </c>
      <c r="E40" s="270"/>
      <c r="F40" s="270"/>
      <c r="G40" s="119" t="e">
        <f>#REF!</f>
        <v>#REF!</v>
      </c>
      <c r="H40" s="118" t="e">
        <f>#REF!</f>
        <v>#REF!</v>
      </c>
      <c r="I40" s="270"/>
      <c r="J40" s="270"/>
      <c r="K40" s="119" t="e">
        <f>#REF!</f>
        <v>#REF!</v>
      </c>
      <c r="L40" s="118" t="e">
        <f>#REF!</f>
        <v>#REF!</v>
      </c>
      <c r="M40" s="270"/>
      <c r="N40" s="270"/>
    </row>
    <row r="41" spans="1:14" ht="30" x14ac:dyDescent="0.25">
      <c r="A41" s="57">
        <v>25</v>
      </c>
      <c r="B41" s="64" t="s">
        <v>166</v>
      </c>
      <c r="C41" s="119">
        <f>'Свод 2020'!AI52</f>
        <v>0.72350999999999999</v>
      </c>
      <c r="D41" s="118">
        <f>'Свод 2020'!AB52</f>
        <v>-7227.1</v>
      </c>
      <c r="E41" s="270"/>
      <c r="F41" s="270"/>
      <c r="G41" s="119" t="e">
        <f>#REF!</f>
        <v>#REF!</v>
      </c>
      <c r="H41" s="118" t="e">
        <f>#REF!</f>
        <v>#REF!</v>
      </c>
      <c r="I41" s="270"/>
      <c r="J41" s="270"/>
      <c r="K41" s="119" t="e">
        <f>#REF!</f>
        <v>#REF!</v>
      </c>
      <c r="L41" s="118" t="e">
        <f>#REF!</f>
        <v>#REF!</v>
      </c>
      <c r="M41" s="270"/>
      <c r="N41" s="270"/>
    </row>
    <row r="42" spans="1:14" ht="30" x14ac:dyDescent="0.25">
      <c r="A42" s="57">
        <v>26</v>
      </c>
      <c r="B42" s="64" t="s">
        <v>161</v>
      </c>
      <c r="C42" s="119">
        <f>'Свод 2020'!AI53</f>
        <v>0.72350000000000003</v>
      </c>
      <c r="D42" s="118">
        <f>'Свод 2020'!AB53</f>
        <v>-1699.9</v>
      </c>
      <c r="E42" s="270"/>
      <c r="F42" s="270"/>
      <c r="G42" s="119" t="e">
        <f>#REF!</f>
        <v>#REF!</v>
      </c>
      <c r="H42" s="118" t="e">
        <f>#REF!</f>
        <v>#REF!</v>
      </c>
      <c r="I42" s="270"/>
      <c r="J42" s="270"/>
      <c r="K42" s="119" t="e">
        <f>#REF!</f>
        <v>#REF!</v>
      </c>
      <c r="L42" s="118" t="e">
        <f>#REF!</f>
        <v>#REF!</v>
      </c>
      <c r="M42" s="270"/>
      <c r="N42" s="270"/>
    </row>
    <row r="43" spans="1:14" ht="30" x14ac:dyDescent="0.25">
      <c r="A43" s="57">
        <v>27</v>
      </c>
      <c r="B43" s="64" t="s">
        <v>162</v>
      </c>
      <c r="C43" s="119">
        <f>'Свод 2020'!AI54</f>
        <v>0.72350999999999999</v>
      </c>
      <c r="D43" s="118">
        <f>'Свод 2020'!AB54</f>
        <v>-3452.5</v>
      </c>
      <c r="E43" s="270"/>
      <c r="F43" s="270"/>
      <c r="G43" s="119" t="e">
        <f>#REF!</f>
        <v>#REF!</v>
      </c>
      <c r="H43" s="118" t="e">
        <f>#REF!</f>
        <v>#REF!</v>
      </c>
      <c r="I43" s="270"/>
      <c r="J43" s="270"/>
      <c r="K43" s="119" t="e">
        <f>#REF!</f>
        <v>#REF!</v>
      </c>
      <c r="L43" s="118" t="e">
        <f>#REF!</f>
        <v>#REF!</v>
      </c>
      <c r="M43" s="270"/>
      <c r="N43" s="270"/>
    </row>
    <row r="44" spans="1:14" ht="30" x14ac:dyDescent="0.25">
      <c r="A44" s="57">
        <v>28</v>
      </c>
      <c r="B44" s="64" t="s">
        <v>165</v>
      </c>
      <c r="C44" s="119">
        <f>'Свод 2020'!AI55</f>
        <v>0.72350999999999999</v>
      </c>
      <c r="D44" s="118">
        <f>'Свод 2020'!AB55</f>
        <v>-3985.5</v>
      </c>
      <c r="E44" s="270"/>
      <c r="F44" s="270"/>
      <c r="G44" s="119" t="e">
        <f>#REF!</f>
        <v>#REF!</v>
      </c>
      <c r="H44" s="118" t="e">
        <f>#REF!</f>
        <v>#REF!</v>
      </c>
      <c r="I44" s="270"/>
      <c r="J44" s="270"/>
      <c r="K44" s="119" t="e">
        <f>#REF!</f>
        <v>#REF!</v>
      </c>
      <c r="L44" s="118" t="e">
        <f>#REF!</f>
        <v>#REF!</v>
      </c>
      <c r="M44" s="270"/>
      <c r="N44" s="270"/>
    </row>
    <row r="45" spans="1:14" ht="30" x14ac:dyDescent="0.25">
      <c r="A45" s="57">
        <v>29</v>
      </c>
      <c r="B45" s="64" t="s">
        <v>159</v>
      </c>
      <c r="C45" s="119">
        <f>'Свод 2020'!AI56</f>
        <v>0.72350999999999999</v>
      </c>
      <c r="D45" s="118">
        <f>'Свод 2020'!AB56</f>
        <v>-2919.3</v>
      </c>
      <c r="E45" s="270"/>
      <c r="F45" s="270"/>
      <c r="G45" s="119" t="e">
        <f>#REF!</f>
        <v>#REF!</v>
      </c>
      <c r="H45" s="118" t="e">
        <f>#REF!</f>
        <v>#REF!</v>
      </c>
      <c r="I45" s="270"/>
      <c r="J45" s="270"/>
      <c r="K45" s="119" t="e">
        <f>#REF!</f>
        <v>#REF!</v>
      </c>
      <c r="L45" s="118" t="e">
        <f>#REF!</f>
        <v>#REF!</v>
      </c>
      <c r="M45" s="270"/>
      <c r="N45" s="270"/>
    </row>
    <row r="46" spans="1:14" ht="45" x14ac:dyDescent="0.25">
      <c r="A46" s="57">
        <v>30</v>
      </c>
      <c r="B46" s="64" t="s">
        <v>163</v>
      </c>
      <c r="C46" s="119">
        <f>'Свод 2020'!AI57</f>
        <v>0.72350999999999999</v>
      </c>
      <c r="D46" s="118">
        <f>'Свод 2020'!AB57</f>
        <v>-6543.4</v>
      </c>
      <c r="E46" s="270"/>
      <c r="F46" s="270"/>
      <c r="G46" s="119" t="e">
        <f>#REF!</f>
        <v>#REF!</v>
      </c>
      <c r="H46" s="118" t="e">
        <f>#REF!</f>
        <v>#REF!</v>
      </c>
      <c r="I46" s="270"/>
      <c r="J46" s="270"/>
      <c r="K46" s="119" t="e">
        <f>#REF!</f>
        <v>#REF!</v>
      </c>
      <c r="L46" s="118" t="e">
        <f>#REF!</f>
        <v>#REF!</v>
      </c>
      <c r="M46" s="270"/>
      <c r="N46" s="270"/>
    </row>
    <row r="47" spans="1:14" x14ac:dyDescent="0.25">
      <c r="A47" s="44"/>
      <c r="B47" s="117" t="s">
        <v>168</v>
      </c>
      <c r="C47" s="101"/>
      <c r="D47" s="101"/>
      <c r="E47" s="269"/>
      <c r="F47" s="269"/>
      <c r="G47" s="101"/>
      <c r="H47" s="101"/>
      <c r="I47" s="269"/>
      <c r="J47" s="269"/>
      <c r="K47" s="101"/>
      <c r="L47" s="101"/>
      <c r="M47" s="269"/>
      <c r="N47" s="269"/>
    </row>
    <row r="48" spans="1:14" x14ac:dyDescent="0.25">
      <c r="A48" s="115"/>
      <c r="B48" s="117" t="s">
        <v>170</v>
      </c>
      <c r="C48" s="101"/>
      <c r="D48" s="101"/>
      <c r="E48" s="269"/>
      <c r="F48" s="269"/>
      <c r="G48" s="101"/>
      <c r="H48" s="101"/>
      <c r="I48" s="269"/>
      <c r="J48" s="269"/>
      <c r="K48" s="101"/>
      <c r="L48" s="101"/>
      <c r="M48" s="269"/>
      <c r="N48" s="269"/>
    </row>
    <row r="49" spans="1:14" x14ac:dyDescent="0.25">
      <c r="A49" s="115"/>
      <c r="B49" s="117" t="s">
        <v>169</v>
      </c>
      <c r="C49" s="101"/>
      <c r="D49" s="101"/>
      <c r="E49" s="269"/>
      <c r="F49" s="269"/>
      <c r="G49" s="101"/>
      <c r="H49" s="101"/>
      <c r="I49" s="269"/>
      <c r="J49" s="269"/>
      <c r="K49" s="101"/>
      <c r="L49" s="101"/>
      <c r="M49" s="269"/>
      <c r="N49" s="269"/>
    </row>
  </sheetData>
  <mergeCells count="12">
    <mergeCell ref="C32:D32"/>
    <mergeCell ref="G32:H32"/>
    <mergeCell ref="K32:L32"/>
    <mergeCell ref="A1:A4"/>
    <mergeCell ref="B1:B4"/>
    <mergeCell ref="A30:A32"/>
    <mergeCell ref="B30:B32"/>
    <mergeCell ref="C1:L1"/>
    <mergeCell ref="C30:L30"/>
    <mergeCell ref="C4:F4"/>
    <mergeCell ref="G4:J4"/>
    <mergeCell ref="K4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283"/>
  <sheetViews>
    <sheetView zoomScale="85" zoomScaleNormal="85" workbookViewId="0">
      <pane xSplit="5" ySplit="2" topLeftCell="R32" activePane="bottomRight" state="frozen"/>
      <selection pane="topRight" activeCell="F1" sqref="F1"/>
      <selection pane="bottomLeft" activeCell="A3" sqref="A3"/>
      <selection pane="bottomRight" activeCell="AM35" sqref="AM35"/>
    </sheetView>
  </sheetViews>
  <sheetFormatPr defaultRowHeight="15" x14ac:dyDescent="0.25"/>
  <cols>
    <col min="1" max="1" width="8.140625" customWidth="1"/>
    <col min="2" max="2" width="16.7109375" customWidth="1"/>
    <col min="3" max="3" width="7" customWidth="1"/>
    <col min="6" max="9" width="16.5703125" hidden="1" customWidth="1"/>
    <col min="10" max="10" width="17.42578125" hidden="1" customWidth="1"/>
    <col min="11" max="11" width="17.28515625" hidden="1" customWidth="1"/>
    <col min="12" max="12" width="16.42578125" hidden="1" customWidth="1"/>
    <col min="13" max="13" width="16.85546875" hidden="1" customWidth="1"/>
    <col min="14" max="14" width="17.7109375" hidden="1" customWidth="1"/>
    <col min="15" max="15" width="16.5703125" hidden="1" customWidth="1"/>
    <col min="16" max="19" width="14.28515625" hidden="1" customWidth="1"/>
    <col min="20" max="30" width="16.5703125" hidden="1" customWidth="1"/>
    <col min="31" max="31" width="17" hidden="1" customWidth="1"/>
    <col min="32" max="32" width="18.5703125" hidden="1" customWidth="1"/>
    <col min="33" max="35" width="16.5703125" customWidth="1"/>
    <col min="36" max="36" width="16.42578125" customWidth="1"/>
    <col min="37" max="38" width="16.140625" customWidth="1"/>
    <col min="39" max="47" width="16.5703125" customWidth="1"/>
    <col min="48" max="48" width="17" hidden="1" customWidth="1"/>
    <col min="49" max="49" width="15" customWidth="1"/>
  </cols>
  <sheetData>
    <row r="1" spans="1:49" ht="30" customHeight="1" x14ac:dyDescent="0.25">
      <c r="F1" s="817" t="s">
        <v>186</v>
      </c>
      <c r="G1" s="823" t="s">
        <v>69</v>
      </c>
      <c r="H1" s="823"/>
      <c r="I1" s="817" t="s">
        <v>68</v>
      </c>
      <c r="J1" s="823" t="s">
        <v>69</v>
      </c>
      <c r="K1" s="823"/>
      <c r="L1" s="817" t="s">
        <v>70</v>
      </c>
      <c r="M1" s="16" t="s">
        <v>69</v>
      </c>
      <c r="N1" s="817" t="s">
        <v>227</v>
      </c>
      <c r="O1" s="821" t="s">
        <v>71</v>
      </c>
      <c r="P1" s="823" t="s">
        <v>69</v>
      </c>
      <c r="Q1" s="823"/>
      <c r="R1" s="823"/>
      <c r="S1" s="823"/>
      <c r="T1" s="817" t="s">
        <v>72</v>
      </c>
      <c r="U1" s="817" t="s">
        <v>73</v>
      </c>
      <c r="V1" s="817" t="s">
        <v>74</v>
      </c>
      <c r="W1" s="817" t="s">
        <v>75</v>
      </c>
      <c r="X1" s="817" t="s">
        <v>76</v>
      </c>
      <c r="Y1" s="817" t="s">
        <v>77</v>
      </c>
      <c r="Z1" s="817" t="s">
        <v>78</v>
      </c>
      <c r="AA1" s="823" t="s">
        <v>69</v>
      </c>
      <c r="AB1" s="823"/>
      <c r="AC1" s="817" t="s">
        <v>79</v>
      </c>
      <c r="AD1" s="819" t="s">
        <v>126</v>
      </c>
      <c r="AE1" s="101" t="s">
        <v>138</v>
      </c>
      <c r="AF1" s="11" t="s">
        <v>183</v>
      </c>
      <c r="AG1" s="817" t="s">
        <v>186</v>
      </c>
      <c r="AH1" s="823" t="s">
        <v>69</v>
      </c>
      <c r="AI1" s="823"/>
      <c r="AJ1" s="817" t="s">
        <v>70</v>
      </c>
      <c r="AK1" s="16" t="s">
        <v>69</v>
      </c>
      <c r="AL1" s="817" t="s">
        <v>227</v>
      </c>
      <c r="AM1" s="821" t="s">
        <v>71</v>
      </c>
      <c r="AN1" s="817" t="s">
        <v>72</v>
      </c>
      <c r="AO1" s="817" t="s">
        <v>73</v>
      </c>
      <c r="AP1" s="817" t="s">
        <v>74</v>
      </c>
      <c r="AQ1" s="817" t="s">
        <v>75</v>
      </c>
      <c r="AR1" s="817" t="s">
        <v>76</v>
      </c>
      <c r="AS1" s="817" t="s">
        <v>77</v>
      </c>
      <c r="AT1" s="817" t="s">
        <v>79</v>
      </c>
      <c r="AU1" s="819" t="s">
        <v>126</v>
      </c>
      <c r="AV1" s="101" t="s">
        <v>138</v>
      </c>
    </row>
    <row r="2" spans="1:49" x14ac:dyDescent="0.25">
      <c r="D2" t="s">
        <v>172</v>
      </c>
      <c r="F2" s="818"/>
      <c r="G2" s="98" t="s">
        <v>187</v>
      </c>
      <c r="H2" s="98" t="s">
        <v>82</v>
      </c>
      <c r="I2" s="818"/>
      <c r="J2" s="98" t="s">
        <v>81</v>
      </c>
      <c r="K2" s="98" t="s">
        <v>82</v>
      </c>
      <c r="L2" s="818"/>
      <c r="M2" s="98" t="s">
        <v>83</v>
      </c>
      <c r="N2" s="818"/>
      <c r="O2" s="822"/>
      <c r="P2" s="99" t="s">
        <v>84</v>
      </c>
      <c r="Q2" s="99" t="s">
        <v>84</v>
      </c>
      <c r="R2" s="99" t="s">
        <v>84</v>
      </c>
      <c r="S2" s="99" t="s">
        <v>84</v>
      </c>
      <c r="T2" s="818"/>
      <c r="U2" s="818"/>
      <c r="V2" s="818"/>
      <c r="W2" s="818"/>
      <c r="X2" s="818"/>
      <c r="Y2" s="818"/>
      <c r="Z2" s="818"/>
      <c r="AA2" s="98" t="s">
        <v>85</v>
      </c>
      <c r="AB2" s="98" t="s">
        <v>82</v>
      </c>
      <c r="AC2" s="818"/>
      <c r="AD2" s="820"/>
      <c r="AE2" s="101"/>
      <c r="AF2" s="11"/>
      <c r="AG2" s="818"/>
      <c r="AH2" s="98" t="s">
        <v>187</v>
      </c>
      <c r="AI2" s="98" t="s">
        <v>82</v>
      </c>
      <c r="AJ2" s="818"/>
      <c r="AK2" s="98" t="s">
        <v>83</v>
      </c>
      <c r="AL2" s="818"/>
      <c r="AM2" s="822"/>
      <c r="AN2" s="818"/>
      <c r="AO2" s="818"/>
      <c r="AP2" s="818"/>
      <c r="AQ2" s="818"/>
      <c r="AR2" s="818"/>
      <c r="AS2" s="818"/>
      <c r="AT2" s="818"/>
      <c r="AU2" s="820"/>
      <c r="AV2" s="101"/>
    </row>
    <row r="3" spans="1:49" hidden="1" x14ac:dyDescent="0.25">
      <c r="A3" s="6">
        <v>1</v>
      </c>
      <c r="B3" s="92" t="s">
        <v>15</v>
      </c>
      <c r="C3" s="11">
        <v>706</v>
      </c>
      <c r="D3" s="11">
        <v>2018</v>
      </c>
      <c r="E3" s="11" t="s">
        <v>182</v>
      </c>
      <c r="F3" s="37"/>
      <c r="G3" s="37"/>
      <c r="H3" s="37"/>
      <c r="I3" s="37">
        <f>SUMIF('2020'!$B:$B,выравнивание!$A3,'2020'!BM:BM)-SUMIFS('2020'!BM:BM,'2020'!$B:$B,выравнивание!$A3,'2020'!$G:$G,4)</f>
        <v>38232461.520000003</v>
      </c>
      <c r="J3" s="37">
        <f>SUMIF('2020'!$B:$B,выравнивание!$A3,'2020'!BN:BN)-SUMIFS('2020'!BN:BN,'2020'!$B:$B,выравнивание!$A3,'2020'!$G:$G,4)</f>
        <v>29364409.899999999</v>
      </c>
      <c r="K3" s="37">
        <f>SUMIF('2020'!$B:$B,выравнивание!$A3,'2020'!BO:BO)-SUMIFS('2020'!BO:BO,'2020'!$B:$B,выравнивание!$A3,'2020'!$G:$G,4)</f>
        <v>8868051.6199999992</v>
      </c>
      <c r="L3" s="37">
        <f>SUMIF('2020'!$B:$B,выравнивание!$A3,'2020'!BP:BP)-SUMIFS('2020'!BP:BP,'2020'!$B:$B,выравнивание!$A3,'2020'!$G:$G,4)</f>
        <v>4014930</v>
      </c>
      <c r="M3" s="37">
        <f>SUMIF('2020'!$B:$B,выравнивание!$A3,'2020'!BQ:BQ)-SUMIFS('2020'!BQ:BQ,'2020'!$B:$B,выравнивание!$A3,'2020'!$G:$G,4)</f>
        <v>700250</v>
      </c>
      <c r="N3" s="37">
        <f>SUMIF('2020'!$B:$B,выравнивание!$A3,'2020'!BR:BR)-SUMIFS('2020'!BR:BR,'2020'!$B:$B,выравнивание!$A3,'2020'!$G:$G,4)</f>
        <v>3817426</v>
      </c>
      <c r="O3" s="37">
        <f>SUMIF('2020'!$B:$B,выравнивание!$A3,'2020'!BS:BS)-SUMIFS('2020'!BS:BS,'2020'!$B:$B,выравнивание!$A3,'2020'!$G:$G,4)</f>
        <v>9060510</v>
      </c>
      <c r="P3" s="37">
        <f>SUMIF('2020'!$B:$B,выравнивание!$A3,'2020'!BT:BT)-SUMIFS('2020'!BT:BT,'2020'!$B:$B,выравнивание!$A3,'2020'!$G:$G,4)</f>
        <v>272700</v>
      </c>
      <c r="Q3" s="37">
        <f>SUMIF('2020'!$B:$B,выравнивание!$A3,'2020'!BU:BU)-SUMIFS('2020'!BU:BU,'2020'!$B:$B,выравнивание!$A3,'2020'!$G:$G,4)</f>
        <v>8152136</v>
      </c>
      <c r="R3" s="37">
        <f>SUMIF('2020'!$B:$B,выравнивание!$A3,'2020'!BV:BV)-SUMIFS('2020'!BV:BV,'2020'!$B:$B,выравнивание!$A3,'2020'!$G:$G,4)</f>
        <v>186750</v>
      </c>
      <c r="S3" s="37">
        <f>SUMIF('2020'!$B:$B,выравнивание!$A3,'2020'!BW:BW)-SUMIFS('2020'!BW:BW,'2020'!$B:$B,выравнивание!$A3,'2020'!$G:$G,4)</f>
        <v>448924</v>
      </c>
      <c r="T3" s="37">
        <f>SUMIF('2020'!$B:$B,выравнивание!$A3,'2020'!BX:BX)-SUMIFS('2020'!BX:BX,'2020'!$B:$B,выравнивание!$A3,'2020'!$G:$G,4)</f>
        <v>3697096</v>
      </c>
      <c r="U3" s="37">
        <f>SUMIF('2020'!$B:$B,выравнивание!$A3,'2020'!BY:BY)-SUMIFS('2020'!BY:BY,'2020'!$B:$B,выравнивание!$A3,'2020'!$G:$G,4)</f>
        <v>2922016</v>
      </c>
      <c r="V3" s="37">
        <f>SUMIF('2020'!$B:$B,выравнивание!$A3,'2020'!BZ:BZ)-SUMIFS('2020'!BZ:BZ,'2020'!$B:$B,выравнивание!$A3,'2020'!$G:$G,4)</f>
        <v>275616</v>
      </c>
      <c r="W3" s="37">
        <f>SUMIF('2020'!$B:$B,выравнивание!$A3,'2020'!CA:CA)-SUMIFS('2020'!CA:CA,'2020'!$B:$B,выравнивание!$A3,'2020'!$G:$G,4)</f>
        <v>393008</v>
      </c>
      <c r="X3" s="37">
        <f>SUMIF('2020'!$B:$B,выравнивание!$A3,'2020'!CB:CB)-SUMIFS('2020'!CB:CB,'2020'!$B:$B,выравнивание!$A3,'2020'!$G:$G,4)</f>
        <v>41732</v>
      </c>
      <c r="Y3" s="37">
        <f>SUMIF('2020'!$B:$B,выравнивание!$A3,'2020'!CC:CC)-SUMIFS('2020'!CC:CC,'2020'!$B:$B,выравнивание!$A3,'2020'!$G:$G,4)</f>
        <v>445760</v>
      </c>
      <c r="Z3" s="37">
        <f>SUMIF('2020'!$B:$B,выравнивание!$A3,'2020'!CD:CD)-SUMIFS('2020'!CD:CD,'2020'!$B:$B,выравнивание!$A3,'2020'!$G:$G,4)</f>
        <v>9411892</v>
      </c>
      <c r="AA3" s="37">
        <f>SUMIF('2020'!$B:$B,выравнивание!$A3,'2020'!CE:CE)-SUMIFS('2020'!CE:CE,'2020'!$B:$B,выравнивание!$A3,'2020'!$G:$G,4)</f>
        <v>7228795.7000000002</v>
      </c>
      <c r="AB3" s="37">
        <f>SUMIF('2020'!$B:$B,выравнивание!$A3,'2020'!CF:CF)-SUMIFS('2020'!CF:CF,'2020'!$B:$B,выравнивание!$A3,'2020'!$G:$G,4)</f>
        <v>2183096.2999999998</v>
      </c>
      <c r="AC3" s="37">
        <f>SUMIF('2020'!$B:$B,выравнивание!$A3,'2020'!CG:CG)-SUMIFS('2020'!CG:CG,'2020'!$B:$B,выравнивание!$A3,'2020'!$G:$G,4)</f>
        <v>1703680</v>
      </c>
      <c r="AD3" s="37">
        <f>SUMIF('2020'!$B:$B,выравнивание!$A3,'2020'!CH:CH)-SUMIFS('2020'!CH:CH,'2020'!$B:$B,выравнивание!$A3,'2020'!$G:$G,4)</f>
        <v>74016127.519999996</v>
      </c>
      <c r="AE3" s="78">
        <f>SUMIF('Свод 2020'!$A$9:$A$22,выравнивание!$A3,'Свод 2020'!$AA$9:$AA$24)*1000-SUMIF('Свод 2020'!$A$9:$A$22,выравнивание!$A3,'Свод 2020'!$S$9:$S$24)*1000</f>
        <v>78594600</v>
      </c>
      <c r="AF3" s="105">
        <f>AD3-AE3</f>
        <v>-4578472.4800000004</v>
      </c>
    </row>
    <row r="4" spans="1:49" hidden="1" x14ac:dyDescent="0.25">
      <c r="A4" s="6">
        <v>1</v>
      </c>
      <c r="B4" s="92" t="s">
        <v>15</v>
      </c>
      <c r="C4" s="11">
        <v>706</v>
      </c>
      <c r="D4" s="11">
        <v>2018</v>
      </c>
      <c r="E4" s="11" t="s">
        <v>184</v>
      </c>
      <c r="F4" s="104"/>
      <c r="G4" s="104"/>
      <c r="H4" s="104"/>
      <c r="I4" s="104">
        <f>I3/$AD3</f>
        <v>0.51654199999999995</v>
      </c>
      <c r="J4" s="104">
        <f>J3/$AD3</f>
        <v>0.39673000000000003</v>
      </c>
      <c r="K4" s="104">
        <f>K3/$AD3</f>
        <v>0.119812</v>
      </c>
      <c r="L4" s="104">
        <f>L3/$AD3</f>
        <v>5.4244000000000001E-2</v>
      </c>
      <c r="M4" s="104">
        <f>M3/$AD3</f>
        <v>9.4610000000000007E-3</v>
      </c>
      <c r="N4" s="104">
        <f t="shared" ref="N4:AB4" si="0">N3/$AD3</f>
        <v>5.1575999999999997E-2</v>
      </c>
      <c r="O4" s="104">
        <f t="shared" si="0"/>
        <v>0.12241299999999999</v>
      </c>
      <c r="P4" s="104">
        <f t="shared" si="0"/>
        <v>3.6840000000000002E-3</v>
      </c>
      <c r="Q4" s="104">
        <f t="shared" si="0"/>
        <v>0.11014</v>
      </c>
      <c r="R4" s="104">
        <f t="shared" si="0"/>
        <v>2.5230000000000001E-3</v>
      </c>
      <c r="S4" s="104">
        <f t="shared" si="0"/>
        <v>6.0650000000000001E-3</v>
      </c>
      <c r="T4" s="104">
        <f t="shared" si="0"/>
        <v>4.9950000000000001E-2</v>
      </c>
      <c r="U4" s="104">
        <f t="shared" si="0"/>
        <v>3.9477999999999999E-2</v>
      </c>
      <c r="V4" s="104">
        <f t="shared" si="0"/>
        <v>3.7239999999999999E-3</v>
      </c>
      <c r="W4" s="104">
        <f t="shared" si="0"/>
        <v>5.3099999999999996E-3</v>
      </c>
      <c r="X4" s="104">
        <f t="shared" si="0"/>
        <v>5.6400000000000005E-4</v>
      </c>
      <c r="Y4" s="104">
        <f t="shared" si="0"/>
        <v>6.0219999999999996E-3</v>
      </c>
      <c r="Z4" s="104">
        <f t="shared" si="0"/>
        <v>0.12716</v>
      </c>
      <c r="AA4" s="104">
        <f t="shared" si="0"/>
        <v>9.7665000000000002E-2</v>
      </c>
      <c r="AB4" s="104">
        <f t="shared" si="0"/>
        <v>2.9495E-2</v>
      </c>
      <c r="AC4" s="106">
        <f>1-Z4-Y4-X4-W4-V4-U4-T4-O4-N4-L4-I4</f>
        <v>2.3016999999999999E-2</v>
      </c>
      <c r="AD4" s="106">
        <f>AD3/$AD3</f>
        <v>1</v>
      </c>
      <c r="AE4" s="81"/>
    </row>
    <row r="5" spans="1:49" x14ac:dyDescent="0.25">
      <c r="A5" s="6">
        <v>1</v>
      </c>
      <c r="B5" s="92" t="s">
        <v>15</v>
      </c>
      <c r="C5" s="11">
        <v>706</v>
      </c>
      <c r="D5" s="11">
        <v>2018</v>
      </c>
      <c r="E5" s="11" t="s">
        <v>185</v>
      </c>
      <c r="F5" s="37">
        <f>G5+H5</f>
        <v>-2947172</v>
      </c>
      <c r="G5" s="37">
        <f>J5+AA5</f>
        <v>-2263573</v>
      </c>
      <c r="H5" s="37">
        <f>K5+AB5</f>
        <v>-683599</v>
      </c>
      <c r="I5" s="37">
        <f>ROUND($AF3*I4,0)</f>
        <v>-2364973</v>
      </c>
      <c r="J5" s="37">
        <f>ROUND(I5/1.302,0)</f>
        <v>-1816416</v>
      </c>
      <c r="K5" s="37">
        <f>I5-J5</f>
        <v>-548557</v>
      </c>
      <c r="L5" s="37">
        <f>ROUND($AF3*L4,0)</f>
        <v>-248355</v>
      </c>
      <c r="M5" s="37">
        <f>ROUND($AF3*M4,0)</f>
        <v>-43317</v>
      </c>
      <c r="N5" s="37">
        <f>ROUND($AF3*N4,0)</f>
        <v>-236139</v>
      </c>
      <c r="O5" s="37">
        <f t="shared" ref="O5:Z5" si="1">ROUND($AF3*O4,0)</f>
        <v>-560465</v>
      </c>
      <c r="P5" s="37">
        <f t="shared" si="1"/>
        <v>-16867</v>
      </c>
      <c r="Q5" s="37">
        <f t="shared" si="1"/>
        <v>-504273</v>
      </c>
      <c r="R5" s="37">
        <f t="shared" si="1"/>
        <v>-11551</v>
      </c>
      <c r="S5" s="37">
        <f t="shared" si="1"/>
        <v>-27768</v>
      </c>
      <c r="T5" s="37">
        <f t="shared" si="1"/>
        <v>-228695</v>
      </c>
      <c r="U5" s="37">
        <f t="shared" si="1"/>
        <v>-180749</v>
      </c>
      <c r="V5" s="37">
        <f t="shared" si="1"/>
        <v>-17050</v>
      </c>
      <c r="W5" s="37">
        <f t="shared" si="1"/>
        <v>-24312</v>
      </c>
      <c r="X5" s="37">
        <f t="shared" si="1"/>
        <v>-2582</v>
      </c>
      <c r="Y5" s="37">
        <f t="shared" si="1"/>
        <v>-27572</v>
      </c>
      <c r="Z5" s="37">
        <f t="shared" si="1"/>
        <v>-582199</v>
      </c>
      <c r="AA5" s="37">
        <f>ROUND(Z5/1.302,0)</f>
        <v>-447157</v>
      </c>
      <c r="AB5" s="37">
        <f>Z5-AA5</f>
        <v>-135042</v>
      </c>
      <c r="AC5" s="37">
        <f>ROUND($AF3*AC4,0)</f>
        <v>-105383</v>
      </c>
      <c r="AD5" s="37">
        <f>I5+L5+N5+O5+T5+U5+V5+W5+X5+Y5+AC5+Z5</f>
        <v>-4578474</v>
      </c>
      <c r="AE5" s="78">
        <f>AF3</f>
        <v>-4578472.4800000004</v>
      </c>
      <c r="AF5" s="78">
        <f>AE5-AF3</f>
        <v>0</v>
      </c>
      <c r="AG5" s="107">
        <f>-ROUND(F5/1000,1)</f>
        <v>2947.2</v>
      </c>
      <c r="AH5" s="107">
        <f>ROUND(AG5/1.302,1)</f>
        <v>2263.6</v>
      </c>
      <c r="AI5" s="107">
        <f>AG5-AH5</f>
        <v>683.6</v>
      </c>
      <c r="AJ5" s="107">
        <f>-ROUND(L5/1000,1)</f>
        <v>248.4</v>
      </c>
      <c r="AK5" s="107">
        <f>-ROUND(M5/1000,1)</f>
        <v>43.3</v>
      </c>
      <c r="AL5" s="107">
        <f>-ROUND(N5/1000,1)</f>
        <v>236.1</v>
      </c>
      <c r="AM5" s="107">
        <f>-ROUND(O5/1000,1)</f>
        <v>560.5</v>
      </c>
      <c r="AN5" s="107">
        <f t="shared" ref="AN5:AS5" si="2">-ROUND(T5/1000,1)</f>
        <v>228.7</v>
      </c>
      <c r="AO5" s="107">
        <f t="shared" si="2"/>
        <v>180.7</v>
      </c>
      <c r="AP5" s="107">
        <f t="shared" si="2"/>
        <v>17.100000000000001</v>
      </c>
      <c r="AQ5" s="107">
        <f t="shared" si="2"/>
        <v>24.3</v>
      </c>
      <c r="AR5" s="107">
        <f t="shared" si="2"/>
        <v>2.6</v>
      </c>
      <c r="AS5" s="107">
        <f t="shared" si="2"/>
        <v>27.6</v>
      </c>
      <c r="AT5" s="107">
        <f>-ROUND(AC5/1000,1)</f>
        <v>105.4</v>
      </c>
      <c r="AU5" s="108">
        <f>AG5+AJ5+AL5+AM5+AN5+AO5+AP5+AQ5+AR5+AS5+AT5</f>
        <v>4578.6000000000004</v>
      </c>
      <c r="AW5" s="273">
        <v>-25975.7</v>
      </c>
    </row>
    <row r="6" spans="1:49" hidden="1" x14ac:dyDescent="0.25">
      <c r="A6" s="6">
        <v>1</v>
      </c>
      <c r="B6" s="92" t="s">
        <v>15</v>
      </c>
      <c r="C6" s="11">
        <v>706</v>
      </c>
      <c r="D6" s="11">
        <v>2019</v>
      </c>
      <c r="E6" s="11" t="s">
        <v>182</v>
      </c>
      <c r="F6" s="37"/>
      <c r="G6" s="37"/>
      <c r="H6" s="37"/>
      <c r="I6" s="37" t="e">
        <f>SUMIF(#REF!,выравнивание!$A6,#REF!)-SUMIFS(#REF!,#REF!,выравнивание!$A6,#REF!,4)</f>
        <v>#REF!</v>
      </c>
      <c r="J6" s="37" t="e">
        <f>ROUND(I6/1.302,0)</f>
        <v>#REF!</v>
      </c>
      <c r="K6" s="37" t="e">
        <f>I6-J6</f>
        <v>#REF!</v>
      </c>
      <c r="L6" s="37" t="e">
        <f>SUMIF(#REF!,выравнивание!$A6,#REF!)-SUMIFS(#REF!,#REF!,выравнивание!$A6,#REF!,4)</f>
        <v>#REF!</v>
      </c>
      <c r="M6" s="37" t="e">
        <f>SUMIF(#REF!,выравнивание!$A6,#REF!)-SUMIFS(#REF!,#REF!,выравнивание!$A6,#REF!,4)</f>
        <v>#REF!</v>
      </c>
      <c r="N6" s="37" t="e">
        <f>SUMIF(#REF!,выравнивание!$A6,#REF!)-SUMIFS(#REF!,#REF!,выравнивание!$A6,#REF!,4)</f>
        <v>#REF!</v>
      </c>
      <c r="O6" s="37" t="e">
        <f>SUMIF(#REF!,выравнивание!$A6,#REF!)-SUMIFS(#REF!,#REF!,выравнивание!$A6,#REF!,4)</f>
        <v>#REF!</v>
      </c>
      <c r="P6" s="37" t="e">
        <f>SUMIF(#REF!,выравнивание!$A6,#REF!)-SUMIFS(#REF!,#REF!,выравнивание!$A6,#REF!,4)</f>
        <v>#REF!</v>
      </c>
      <c r="Q6" s="37" t="e">
        <f>SUMIF(#REF!,выравнивание!$A6,#REF!)-SUMIFS(#REF!,#REF!,выравнивание!$A6,#REF!,4)</f>
        <v>#REF!</v>
      </c>
      <c r="R6" s="37" t="e">
        <f>SUMIF(#REF!,выравнивание!$A6,#REF!)-SUMIFS(#REF!,#REF!,выравнивание!$A6,#REF!,4)</f>
        <v>#REF!</v>
      </c>
      <c r="S6" s="37" t="e">
        <f>SUMIF(#REF!,выравнивание!$A6,#REF!)-SUMIFS(#REF!,#REF!,выравнивание!$A6,#REF!,4)</f>
        <v>#REF!</v>
      </c>
      <c r="T6" s="37" t="e">
        <f>SUMIF(#REF!,выравнивание!$A6,#REF!)-SUMIFS(#REF!,#REF!,выравнивание!$A6,#REF!,4)</f>
        <v>#REF!</v>
      </c>
      <c r="U6" s="37" t="e">
        <f>SUMIF(#REF!,выравнивание!$A6,#REF!)-SUMIFS(#REF!,#REF!,выравнивание!$A6,#REF!,4)</f>
        <v>#REF!</v>
      </c>
      <c r="V6" s="37" t="e">
        <f>SUMIF(#REF!,выравнивание!$A6,#REF!)-SUMIFS(#REF!,#REF!,выравнивание!$A6,#REF!,4)</f>
        <v>#REF!</v>
      </c>
      <c r="W6" s="37" t="e">
        <f>SUMIF(#REF!,выравнивание!$A6,#REF!)-SUMIFS(#REF!,#REF!,выравнивание!$A6,#REF!,4)</f>
        <v>#REF!</v>
      </c>
      <c r="X6" s="37" t="e">
        <f>SUMIF(#REF!,выравнивание!$A6,#REF!)-SUMIFS(#REF!,#REF!,выравнивание!$A6,#REF!,4)</f>
        <v>#REF!</v>
      </c>
      <c r="Y6" s="37" t="e">
        <f>SUMIF(#REF!,выравнивание!$A6,#REF!)-SUMIFS(#REF!,#REF!,выравнивание!$A6,#REF!,4)</f>
        <v>#REF!</v>
      </c>
      <c r="Z6" s="37" t="e">
        <f>SUMIF(#REF!,выравнивание!$A6,#REF!)-SUMIFS(#REF!,#REF!,выравнивание!$A6,#REF!,4)</f>
        <v>#REF!</v>
      </c>
      <c r="AA6" s="37" t="e">
        <f>ROUND(Z6/1.302,0)</f>
        <v>#REF!</v>
      </c>
      <c r="AB6" s="37" t="e">
        <f>Z6-AA6</f>
        <v>#REF!</v>
      </c>
      <c r="AC6" s="103" t="e">
        <f>SUMIF(#REF!,выравнивание!$A6,#REF!)-SUMIFS(#REF!,#REF!,выравнивание!$A6,#REF!,4)</f>
        <v>#REF!</v>
      </c>
      <c r="AD6" s="103" t="e">
        <f>SUMIF(#REF!,выравнивание!$A6,#REF!)-SUMIFS(#REF!,#REF!,выравнивание!$A6,#REF!,4)</f>
        <v>#REF!</v>
      </c>
      <c r="AE6" s="103" t="e">
        <f>SUMIF(#REF!,выравнивание!$A6,#REF!)*1000-SUMIF(#REF!,выравнивание!$A6,#REF!)*1000</f>
        <v>#REF!</v>
      </c>
      <c r="AF6" s="105" t="e">
        <f>AD6-AE6</f>
        <v>#REF!</v>
      </c>
      <c r="AU6" s="108"/>
    </row>
    <row r="7" spans="1:49" hidden="1" x14ac:dyDescent="0.25">
      <c r="A7" s="6">
        <v>1</v>
      </c>
      <c r="B7" s="92" t="s">
        <v>15</v>
      </c>
      <c r="C7" s="11">
        <v>706</v>
      </c>
      <c r="D7" s="11">
        <v>2019</v>
      </c>
      <c r="E7" s="11" t="s">
        <v>184</v>
      </c>
      <c r="F7" s="104"/>
      <c r="G7" s="104"/>
      <c r="H7" s="104"/>
      <c r="I7" s="104" t="e">
        <f t="shared" ref="I7:AB7" si="3">I6/$AD6</f>
        <v>#REF!</v>
      </c>
      <c r="J7" s="104" t="e">
        <f t="shared" si="3"/>
        <v>#REF!</v>
      </c>
      <c r="K7" s="104" t="e">
        <f t="shared" si="3"/>
        <v>#REF!</v>
      </c>
      <c r="L7" s="104" t="e">
        <f t="shared" si="3"/>
        <v>#REF!</v>
      </c>
      <c r="M7" s="104" t="e">
        <f t="shared" si="3"/>
        <v>#REF!</v>
      </c>
      <c r="N7" s="104" t="e">
        <f t="shared" si="3"/>
        <v>#REF!</v>
      </c>
      <c r="O7" s="104" t="e">
        <f t="shared" si="3"/>
        <v>#REF!</v>
      </c>
      <c r="P7" s="104" t="e">
        <f t="shared" si="3"/>
        <v>#REF!</v>
      </c>
      <c r="Q7" s="104" t="e">
        <f t="shared" si="3"/>
        <v>#REF!</v>
      </c>
      <c r="R7" s="104" t="e">
        <f t="shared" si="3"/>
        <v>#REF!</v>
      </c>
      <c r="S7" s="104" t="e">
        <f t="shared" si="3"/>
        <v>#REF!</v>
      </c>
      <c r="T7" s="104" t="e">
        <f t="shared" si="3"/>
        <v>#REF!</v>
      </c>
      <c r="U7" s="104" t="e">
        <f t="shared" si="3"/>
        <v>#REF!</v>
      </c>
      <c r="V7" s="104" t="e">
        <f t="shared" si="3"/>
        <v>#REF!</v>
      </c>
      <c r="W7" s="104" t="e">
        <f t="shared" si="3"/>
        <v>#REF!</v>
      </c>
      <c r="X7" s="104" t="e">
        <f t="shared" si="3"/>
        <v>#REF!</v>
      </c>
      <c r="Y7" s="104" t="e">
        <f t="shared" si="3"/>
        <v>#REF!</v>
      </c>
      <c r="Z7" s="104" t="e">
        <f t="shared" si="3"/>
        <v>#REF!</v>
      </c>
      <c r="AA7" s="104" t="e">
        <f t="shared" si="3"/>
        <v>#REF!</v>
      </c>
      <c r="AB7" s="104" t="e">
        <f t="shared" si="3"/>
        <v>#REF!</v>
      </c>
      <c r="AC7" s="106" t="e">
        <f>1-Z7-Y7-X7-W7-V7-U7-T7-O7-N7-L7-I7</f>
        <v>#REF!</v>
      </c>
      <c r="AD7" s="106" t="e">
        <f>AD6/$AD6</f>
        <v>#REF!</v>
      </c>
      <c r="AE7" s="81"/>
      <c r="AU7" s="108"/>
    </row>
    <row r="8" spans="1:49" x14ac:dyDescent="0.25">
      <c r="A8" s="6">
        <v>1</v>
      </c>
      <c r="B8" s="92" t="s">
        <v>15</v>
      </c>
      <c r="C8" s="11">
        <v>706</v>
      </c>
      <c r="D8" s="11">
        <v>2019</v>
      </c>
      <c r="E8" s="11" t="s">
        <v>185</v>
      </c>
      <c r="F8" s="37" t="e">
        <f>G8+H8</f>
        <v>#REF!</v>
      </c>
      <c r="G8" s="37" t="e">
        <f>J8+AA8</f>
        <v>#REF!</v>
      </c>
      <c r="H8" s="37" t="e">
        <f>K8+AB8</f>
        <v>#REF!</v>
      </c>
      <c r="I8" s="37" t="e">
        <f>ROUND($AF6*I7,0)</f>
        <v>#REF!</v>
      </c>
      <c r="J8" s="37" t="e">
        <f>ROUND(I8/1.302,0)</f>
        <v>#REF!</v>
      </c>
      <c r="K8" s="37" t="e">
        <f>I8-J8</f>
        <v>#REF!</v>
      </c>
      <c r="L8" s="37" t="e">
        <f>ROUND($AF6*L7,0)</f>
        <v>#REF!</v>
      </c>
      <c r="M8" s="37" t="e">
        <f>ROUND($AF6*M7,0)</f>
        <v>#REF!</v>
      </c>
      <c r="N8" s="37" t="e">
        <f>ROUND($AF6*N7,0)</f>
        <v>#REF!</v>
      </c>
      <c r="O8" s="37" t="e">
        <f>ROUND($AF6*O7,0)</f>
        <v>#REF!</v>
      </c>
      <c r="P8" s="37" t="e">
        <f>ROUND($AE6*P7,0)</f>
        <v>#REF!</v>
      </c>
      <c r="Q8" s="37" t="e">
        <f>ROUND($AE6*Q7,0)</f>
        <v>#REF!</v>
      </c>
      <c r="R8" s="37" t="e">
        <f>ROUND($AE6*R7,0)</f>
        <v>#REF!</v>
      </c>
      <c r="S8" s="37" t="e">
        <f>ROUND($AE6*S7,0)</f>
        <v>#REF!</v>
      </c>
      <c r="T8" s="37" t="e">
        <f t="shared" ref="T8:Z8" si="4">ROUND($AF6*T7,0)</f>
        <v>#REF!</v>
      </c>
      <c r="U8" s="37" t="e">
        <f t="shared" si="4"/>
        <v>#REF!</v>
      </c>
      <c r="V8" s="37" t="e">
        <f t="shared" si="4"/>
        <v>#REF!</v>
      </c>
      <c r="W8" s="37" t="e">
        <f t="shared" si="4"/>
        <v>#REF!</v>
      </c>
      <c r="X8" s="37" t="e">
        <f t="shared" si="4"/>
        <v>#REF!</v>
      </c>
      <c r="Y8" s="37" t="e">
        <f t="shared" si="4"/>
        <v>#REF!</v>
      </c>
      <c r="Z8" s="37" t="e">
        <f t="shared" si="4"/>
        <v>#REF!</v>
      </c>
      <c r="AA8" s="37" t="e">
        <f>ROUND(Z8/1.302,0)</f>
        <v>#REF!</v>
      </c>
      <c r="AB8" s="37" t="e">
        <f>Z8-AA8</f>
        <v>#REF!</v>
      </c>
      <c r="AC8" s="37" t="e">
        <f>ROUND($AF6*AC7,0)</f>
        <v>#REF!</v>
      </c>
      <c r="AD8" s="37" t="e">
        <f>I8+L8+N8+O8+T8+U8+V8+W8+X8+Y8+AC8+Z8</f>
        <v>#REF!</v>
      </c>
      <c r="AE8" s="78" t="e">
        <f>AF6</f>
        <v>#REF!</v>
      </c>
      <c r="AF8" s="78" t="e">
        <f>AE8-AF6</f>
        <v>#REF!</v>
      </c>
      <c r="AG8" s="107" t="e">
        <f>-ROUND(F8/1000,1)</f>
        <v>#REF!</v>
      </c>
      <c r="AH8" s="107" t="e">
        <f>ROUND(AG8/1.302,1)</f>
        <v>#REF!</v>
      </c>
      <c r="AI8" s="107" t="e">
        <f>AG8-AH8</f>
        <v>#REF!</v>
      </c>
      <c r="AJ8" s="107" t="e">
        <f>-ROUND(L8/1000,1)</f>
        <v>#REF!</v>
      </c>
      <c r="AK8" s="107" t="e">
        <f>-ROUND(M8/1000,1)</f>
        <v>#REF!</v>
      </c>
      <c r="AL8" s="107" t="e">
        <f>-ROUND(N8/1000,1)</f>
        <v>#REF!</v>
      </c>
      <c r="AM8" s="107" t="e">
        <f>-ROUND(O8/1000,1)</f>
        <v>#REF!</v>
      </c>
      <c r="AN8" s="107" t="e">
        <f t="shared" ref="AN8:AS8" si="5">-ROUND(T8/1000,1)</f>
        <v>#REF!</v>
      </c>
      <c r="AO8" s="107" t="e">
        <f t="shared" si="5"/>
        <v>#REF!</v>
      </c>
      <c r="AP8" s="107" t="e">
        <f t="shared" si="5"/>
        <v>#REF!</v>
      </c>
      <c r="AQ8" s="107" t="e">
        <f t="shared" si="5"/>
        <v>#REF!</v>
      </c>
      <c r="AR8" s="107" t="e">
        <f t="shared" si="5"/>
        <v>#REF!</v>
      </c>
      <c r="AS8" s="107" t="e">
        <f t="shared" si="5"/>
        <v>#REF!</v>
      </c>
      <c r="AT8" s="107" t="e">
        <f>-ROUND(AC8/1000,1)</f>
        <v>#REF!</v>
      </c>
      <c r="AU8" s="108" t="e">
        <f>AG8+AJ8+AL8+AM8+AN8+AO8+AP8+AQ8+AR8+AS8+AT8</f>
        <v>#REF!</v>
      </c>
      <c r="AW8" s="272">
        <v>-27027.599999999999</v>
      </c>
    </row>
    <row r="9" spans="1:49" hidden="1" x14ac:dyDescent="0.25">
      <c r="A9" s="6">
        <v>1</v>
      </c>
      <c r="B9" s="92" t="s">
        <v>15</v>
      </c>
      <c r="C9" s="11">
        <v>706</v>
      </c>
      <c r="D9" s="11">
        <v>2020</v>
      </c>
      <c r="E9" s="11" t="s">
        <v>182</v>
      </c>
      <c r="F9" s="37"/>
      <c r="G9" s="37"/>
      <c r="H9" s="37"/>
      <c r="I9" s="37" t="e">
        <f>SUMIF(#REF!,выравнивание!$A9,#REF!)-SUMIFS(#REF!,#REF!,выравнивание!$A9,#REF!,4)</f>
        <v>#REF!</v>
      </c>
      <c r="J9" s="37" t="e">
        <f>SUMIF(#REF!,выравнивание!$A9,#REF!)-SUMIFS(#REF!,#REF!,выравнивание!$A9,#REF!,4)</f>
        <v>#REF!</v>
      </c>
      <c r="K9" s="37" t="e">
        <f>SUMIF(#REF!,выравнивание!$A9,#REF!)-SUMIFS(#REF!,#REF!,выравнивание!$A9,#REF!,4)</f>
        <v>#REF!</v>
      </c>
      <c r="L9" s="37" t="e">
        <f>SUMIF(#REF!,выравнивание!$A9,#REF!)-SUMIFS(#REF!,#REF!,выравнивание!$A9,#REF!,4)</f>
        <v>#REF!</v>
      </c>
      <c r="M9" s="37" t="e">
        <f>SUMIF(#REF!,выравнивание!$A9,#REF!)-SUMIFS(#REF!,#REF!,выравнивание!$A9,#REF!,4)</f>
        <v>#REF!</v>
      </c>
      <c r="N9" s="37" t="e">
        <f>SUMIF(#REF!,выравнивание!$A9,#REF!)-SUMIFS(#REF!,#REF!,выравнивание!$A9,#REF!,4)</f>
        <v>#REF!</v>
      </c>
      <c r="O9" s="37" t="e">
        <f>SUMIF(#REF!,выравнивание!$A9,#REF!)-SUMIFS(#REF!,#REF!,выравнивание!$A9,#REF!,4)</f>
        <v>#REF!</v>
      </c>
      <c r="P9" s="37" t="e">
        <f>SUMIF(#REF!,выравнивание!$A9,#REF!)-SUMIFS(#REF!,#REF!,выравнивание!$A9,#REF!,4)</f>
        <v>#REF!</v>
      </c>
      <c r="Q9" s="37" t="e">
        <f>SUMIF(#REF!,выравнивание!$A9,#REF!)-SUMIFS(#REF!,#REF!,выравнивание!$A9,#REF!,4)</f>
        <v>#REF!</v>
      </c>
      <c r="R9" s="37" t="e">
        <f>SUMIF(#REF!,выравнивание!$A9,#REF!)-SUMIFS(#REF!,#REF!,выравнивание!$A9,#REF!,4)</f>
        <v>#REF!</v>
      </c>
      <c r="S9" s="37" t="e">
        <f>SUMIF(#REF!,выравнивание!$A9,#REF!)-SUMIFS(#REF!,#REF!,выравнивание!$A9,#REF!,4)</f>
        <v>#REF!</v>
      </c>
      <c r="T9" s="37" t="e">
        <f>SUMIF(#REF!,выравнивание!$A9,#REF!)-SUMIFS(#REF!,#REF!,выравнивание!$A9,#REF!,4)</f>
        <v>#REF!</v>
      </c>
      <c r="U9" s="37" t="e">
        <f>SUMIF(#REF!,выравнивание!$A9,#REF!)-SUMIFS(#REF!,#REF!,выравнивание!$A9,#REF!,4)</f>
        <v>#REF!</v>
      </c>
      <c r="V9" s="37" t="e">
        <f>SUMIF(#REF!,выравнивание!$A9,#REF!)-SUMIFS(#REF!,#REF!,выравнивание!$A9,#REF!,4)</f>
        <v>#REF!</v>
      </c>
      <c r="W9" s="37" t="e">
        <f>SUMIF(#REF!,выравнивание!$A9,#REF!)-SUMIFS(#REF!,#REF!,выравнивание!$A9,#REF!,4)</f>
        <v>#REF!</v>
      </c>
      <c r="X9" s="37" t="e">
        <f>SUMIF(#REF!,выравнивание!$A9,#REF!)-SUMIFS(#REF!,#REF!,выравнивание!$A9,#REF!,4)</f>
        <v>#REF!</v>
      </c>
      <c r="Y9" s="37" t="e">
        <f>SUMIF(#REF!,выравнивание!$A9,#REF!)-SUMIFS(#REF!,#REF!,выравнивание!$A9,#REF!,4)</f>
        <v>#REF!</v>
      </c>
      <c r="Z9" s="37" t="e">
        <f>SUMIF(#REF!,выравнивание!$A9,#REF!)-SUMIFS(#REF!,#REF!,выравнивание!$A9,#REF!,4)</f>
        <v>#REF!</v>
      </c>
      <c r="AA9" s="37" t="e">
        <f>SUMIF(#REF!,выравнивание!$A9,#REF!)-SUMIFS(#REF!,#REF!,выравнивание!$A9,#REF!,4)</f>
        <v>#REF!</v>
      </c>
      <c r="AB9" s="37" t="e">
        <f>SUMIF(#REF!,выравнивание!$A9,#REF!)-SUMIFS(#REF!,#REF!,выравнивание!$A9,#REF!,4)</f>
        <v>#REF!</v>
      </c>
      <c r="AC9" s="103" t="e">
        <f>SUMIF(#REF!,выравнивание!$A9,#REF!)-SUMIFS(#REF!,#REF!,выравнивание!$A9,#REF!,4)</f>
        <v>#REF!</v>
      </c>
      <c r="AD9" s="103" t="e">
        <f>SUMIF(#REF!,выравнивание!$A9,#REF!)-SUMIFS(#REF!,#REF!,выравнивание!$A9,#REF!,4)</f>
        <v>#REF!</v>
      </c>
      <c r="AE9" s="103" t="e">
        <f>SUMIF(#REF!,выравнивание!$A9,#REF!)*1000-SUMIF(#REF!,выравнивание!$A9,#REF!)*1000</f>
        <v>#REF!</v>
      </c>
      <c r="AF9" s="84" t="e">
        <f>AD9-AE9</f>
        <v>#REF!</v>
      </c>
      <c r="AU9" s="108"/>
    </row>
    <row r="10" spans="1:49" hidden="1" x14ac:dyDescent="0.25">
      <c r="A10" s="6">
        <v>1</v>
      </c>
      <c r="B10" s="92" t="s">
        <v>15</v>
      </c>
      <c r="C10" s="11">
        <v>706</v>
      </c>
      <c r="D10" s="11">
        <v>2020</v>
      </c>
      <c r="E10" s="11" t="s">
        <v>184</v>
      </c>
      <c r="F10" s="104"/>
      <c r="G10" s="104"/>
      <c r="H10" s="104"/>
      <c r="I10" s="104" t="e">
        <f t="shared" ref="I10:AB10" si="6">I9/$AD9</f>
        <v>#REF!</v>
      </c>
      <c r="J10" s="104" t="e">
        <f t="shared" si="6"/>
        <v>#REF!</v>
      </c>
      <c r="K10" s="104" t="e">
        <f t="shared" si="6"/>
        <v>#REF!</v>
      </c>
      <c r="L10" s="104" t="e">
        <f t="shared" si="6"/>
        <v>#REF!</v>
      </c>
      <c r="M10" s="104" t="e">
        <f t="shared" si="6"/>
        <v>#REF!</v>
      </c>
      <c r="N10" s="104" t="e">
        <f t="shared" si="6"/>
        <v>#REF!</v>
      </c>
      <c r="O10" s="104" t="e">
        <f t="shared" si="6"/>
        <v>#REF!</v>
      </c>
      <c r="P10" s="104" t="e">
        <f t="shared" si="6"/>
        <v>#REF!</v>
      </c>
      <c r="Q10" s="104" t="e">
        <f t="shared" si="6"/>
        <v>#REF!</v>
      </c>
      <c r="R10" s="104" t="e">
        <f t="shared" si="6"/>
        <v>#REF!</v>
      </c>
      <c r="S10" s="104" t="e">
        <f t="shared" si="6"/>
        <v>#REF!</v>
      </c>
      <c r="T10" s="104" t="e">
        <f t="shared" si="6"/>
        <v>#REF!</v>
      </c>
      <c r="U10" s="104" t="e">
        <f t="shared" si="6"/>
        <v>#REF!</v>
      </c>
      <c r="V10" s="104" t="e">
        <f t="shared" si="6"/>
        <v>#REF!</v>
      </c>
      <c r="W10" s="104" t="e">
        <f t="shared" si="6"/>
        <v>#REF!</v>
      </c>
      <c r="X10" s="104" t="e">
        <f t="shared" si="6"/>
        <v>#REF!</v>
      </c>
      <c r="Y10" s="104" t="e">
        <f t="shared" si="6"/>
        <v>#REF!</v>
      </c>
      <c r="Z10" s="104" t="e">
        <f t="shared" si="6"/>
        <v>#REF!</v>
      </c>
      <c r="AA10" s="104" t="e">
        <f t="shared" si="6"/>
        <v>#REF!</v>
      </c>
      <c r="AB10" s="104" t="e">
        <f t="shared" si="6"/>
        <v>#REF!</v>
      </c>
      <c r="AC10" s="106" t="e">
        <f>1-Z10-Y10-X10-W10-V10-U10-T10-O10-N10-L10-I10</f>
        <v>#REF!</v>
      </c>
      <c r="AD10" s="106" t="e">
        <f>AD9/$AD9</f>
        <v>#REF!</v>
      </c>
      <c r="AE10" s="81"/>
      <c r="AU10" s="108"/>
    </row>
    <row r="11" spans="1:49" x14ac:dyDescent="0.25">
      <c r="A11" s="6">
        <v>1</v>
      </c>
      <c r="B11" s="92" t="s">
        <v>15</v>
      </c>
      <c r="C11" s="11">
        <v>706</v>
      </c>
      <c r="D11" s="11">
        <v>2020</v>
      </c>
      <c r="E11" s="11" t="s">
        <v>185</v>
      </c>
      <c r="F11" s="37" t="e">
        <f>G11+H11</f>
        <v>#REF!</v>
      </c>
      <c r="G11" s="37" t="e">
        <f>J11+AA11</f>
        <v>#REF!</v>
      </c>
      <c r="H11" s="37" t="e">
        <f>K11+AB11</f>
        <v>#REF!</v>
      </c>
      <c r="I11" s="37" t="e">
        <f>ROUND($AF9*I10,0)</f>
        <v>#REF!</v>
      </c>
      <c r="J11" s="37" t="e">
        <f>ROUND(I11/1.302,0)</f>
        <v>#REF!</v>
      </c>
      <c r="K11" s="37" t="e">
        <f>I11-J11</f>
        <v>#REF!</v>
      </c>
      <c r="L11" s="37" t="e">
        <f>ROUND($AF9*L10,0)</f>
        <v>#REF!</v>
      </c>
      <c r="M11" s="37" t="e">
        <f>ROUND($AF9*M10,0)</f>
        <v>#REF!</v>
      </c>
      <c r="N11" s="37" t="e">
        <f>ROUND($AF9*N10,0)</f>
        <v>#REF!</v>
      </c>
      <c r="O11" s="37" t="e">
        <f>ROUND($AF9*O10,0)</f>
        <v>#REF!</v>
      </c>
      <c r="P11" s="37" t="e">
        <f>ROUND($AE9*P10,0)</f>
        <v>#REF!</v>
      </c>
      <c r="Q11" s="37" t="e">
        <f>ROUND($AE9*Q10,0)</f>
        <v>#REF!</v>
      </c>
      <c r="R11" s="37" t="e">
        <f>ROUND($AE9*R10,0)</f>
        <v>#REF!</v>
      </c>
      <c r="S11" s="37" t="e">
        <f>ROUND($AE9*S10,0)</f>
        <v>#REF!</v>
      </c>
      <c r="T11" s="37" t="e">
        <f t="shared" ref="T11:Z11" si="7">ROUND($AF9*T10,0)</f>
        <v>#REF!</v>
      </c>
      <c r="U11" s="37" t="e">
        <f t="shared" si="7"/>
        <v>#REF!</v>
      </c>
      <c r="V11" s="37" t="e">
        <f t="shared" si="7"/>
        <v>#REF!</v>
      </c>
      <c r="W11" s="37" t="e">
        <f t="shared" si="7"/>
        <v>#REF!</v>
      </c>
      <c r="X11" s="37" t="e">
        <f t="shared" si="7"/>
        <v>#REF!</v>
      </c>
      <c r="Y11" s="37" t="e">
        <f t="shared" si="7"/>
        <v>#REF!</v>
      </c>
      <c r="Z11" s="37" t="e">
        <f t="shared" si="7"/>
        <v>#REF!</v>
      </c>
      <c r="AA11" s="37" t="e">
        <f>ROUND(Z11/1.302,0)</f>
        <v>#REF!</v>
      </c>
      <c r="AB11" s="37" t="e">
        <f>Z11-AA11</f>
        <v>#REF!</v>
      </c>
      <c r="AC11" s="37" t="e">
        <f>ROUND($AF9*AC10,0)</f>
        <v>#REF!</v>
      </c>
      <c r="AD11" s="37" t="e">
        <f>I11+L11+N11+O11+T11+U11+V11+W11+X11+Y11+AC11+Z11</f>
        <v>#REF!</v>
      </c>
      <c r="AE11" s="78" t="e">
        <f>AF9</f>
        <v>#REF!</v>
      </c>
      <c r="AF11" s="78" t="e">
        <f>AE11-AF9</f>
        <v>#REF!</v>
      </c>
      <c r="AG11" s="107" t="e">
        <f>-ROUND(F11/1000,1)</f>
        <v>#REF!</v>
      </c>
      <c r="AH11" s="107" t="e">
        <f>ROUND(AG11/1.302,1)</f>
        <v>#REF!</v>
      </c>
      <c r="AI11" s="107" t="e">
        <f>AG11-AH11</f>
        <v>#REF!</v>
      </c>
      <c r="AJ11" s="107" t="e">
        <f>-ROUND(L11/1000,1)</f>
        <v>#REF!</v>
      </c>
      <c r="AK11" s="107" t="e">
        <f>-ROUND(M11/1000,1)</f>
        <v>#REF!</v>
      </c>
      <c r="AL11" s="107" t="e">
        <f>-ROUND(N11/1000,1)</f>
        <v>#REF!</v>
      </c>
      <c r="AM11" s="107" t="e">
        <f>-ROUND(O11/1000,1)</f>
        <v>#REF!</v>
      </c>
      <c r="AN11" s="107" t="e">
        <f t="shared" ref="AN11:AS11" si="8">-ROUND(T11/1000,1)</f>
        <v>#REF!</v>
      </c>
      <c r="AO11" s="107" t="e">
        <f t="shared" si="8"/>
        <v>#REF!</v>
      </c>
      <c r="AP11" s="107" t="e">
        <f t="shared" si="8"/>
        <v>#REF!</v>
      </c>
      <c r="AQ11" s="107" t="e">
        <f t="shared" si="8"/>
        <v>#REF!</v>
      </c>
      <c r="AR11" s="107" t="e">
        <f t="shared" si="8"/>
        <v>#REF!</v>
      </c>
      <c r="AS11" s="107" t="e">
        <f t="shared" si="8"/>
        <v>#REF!</v>
      </c>
      <c r="AT11" s="107" t="e">
        <f>-ROUND(AC11/1000,1)</f>
        <v>#REF!</v>
      </c>
      <c r="AU11" s="108" t="e">
        <f>AG11+AJ11+AL11+AM11+AN11+AO11+AP11+AQ11+AR11+AS11+AT11</f>
        <v>#REF!</v>
      </c>
      <c r="AW11" s="272">
        <v>-27646.9</v>
      </c>
    </row>
    <row r="12" spans="1:49" hidden="1" x14ac:dyDescent="0.25">
      <c r="A12" s="6">
        <v>2</v>
      </c>
      <c r="B12" s="92" t="s">
        <v>16</v>
      </c>
      <c r="C12" s="11">
        <v>706</v>
      </c>
      <c r="D12" s="11">
        <v>2018</v>
      </c>
      <c r="E12" s="11" t="s">
        <v>182</v>
      </c>
      <c r="F12" s="37"/>
      <c r="G12" s="37"/>
      <c r="H12" s="37"/>
      <c r="I12" s="37">
        <f>SUMIF('2020'!$B:$B,выравнивание!$A12,'2020'!BM:BM)-SUMIFS('2020'!BM:BM,'2020'!$B:$B,выравнивание!$A12,'2020'!$G:$G,4)</f>
        <v>70166785</v>
      </c>
      <c r="J12" s="37">
        <f>SUMIF('2020'!$B:$B,выравнивание!$A12,'2020'!BN:BN)-SUMIFS('2020'!BN:BN,'2020'!$B:$B,выравнивание!$A12,'2020'!$G:$G,4)</f>
        <v>53891540</v>
      </c>
      <c r="K12" s="37">
        <f>SUMIF('2020'!$B:$B,выравнивание!$A12,'2020'!BO:BO)-SUMIFS('2020'!BO:BO,'2020'!$B:$B,выравнивание!$A12,'2020'!$G:$G,4)</f>
        <v>16275245</v>
      </c>
      <c r="L12" s="37">
        <f>SUMIF('2020'!$B:$B,выравнивание!$A12,'2020'!BP:BP)-SUMIFS('2020'!BP:BP,'2020'!$B:$B,выравнивание!$A12,'2020'!$G:$G,4)</f>
        <v>7487171</v>
      </c>
      <c r="M12" s="37">
        <f>SUMIF('2020'!$B:$B,выравнивание!$A12,'2020'!BQ:BQ)-SUMIFS('2020'!BQ:BQ,'2020'!$B:$B,выравнивание!$A12,'2020'!$G:$G,4)</f>
        <v>1343289</v>
      </c>
      <c r="N12" s="37">
        <f>SUMIF('2020'!$B:$B,выравнивание!$A12,'2020'!BR:BR)-SUMIFS('2020'!BR:BR,'2020'!$B:$B,выравнивание!$A12,'2020'!$G:$G,4)</f>
        <v>6902473</v>
      </c>
      <c r="O12" s="37">
        <f>SUMIF('2020'!$B:$B,выравнивание!$A12,'2020'!BS:BS)-SUMIFS('2020'!BS:BS,'2020'!$B:$B,выравнивание!$A12,'2020'!$G:$G,4)</f>
        <v>16529787</v>
      </c>
      <c r="P12" s="37">
        <f>SUMIF('2020'!$B:$B,выравнивание!$A12,'2020'!BT:BT)-SUMIFS('2020'!BT:BT,'2020'!$B:$B,выравнивание!$A12,'2020'!$G:$G,4)</f>
        <v>451952</v>
      </c>
      <c r="Q12" s="37">
        <f>SUMIF('2020'!$B:$B,выравнивание!$A12,'2020'!BU:BU)-SUMIFS('2020'!BU:BU,'2020'!$B:$B,выравнивание!$A12,'2020'!$G:$G,4)</f>
        <v>14989749</v>
      </c>
      <c r="R12" s="37">
        <f>SUMIF('2020'!$B:$B,выравнивание!$A12,'2020'!BV:BV)-SUMIFS('2020'!BV:BV,'2020'!$B:$B,выравнивание!$A12,'2020'!$G:$G,4)</f>
        <v>316776</v>
      </c>
      <c r="S12" s="37">
        <f>SUMIF('2020'!$B:$B,выравнивание!$A12,'2020'!BW:BW)-SUMIFS('2020'!BW:BW,'2020'!$B:$B,выравнивание!$A12,'2020'!$G:$G,4)</f>
        <v>771310</v>
      </c>
      <c r="T12" s="37">
        <f>SUMIF('2020'!$B:$B,выравнивание!$A12,'2020'!BX:BX)-SUMIFS('2020'!BX:BX,'2020'!$B:$B,выравнивание!$A12,'2020'!$G:$G,4)</f>
        <v>5060030</v>
      </c>
      <c r="U12" s="37">
        <f>SUMIF('2020'!$B:$B,выравнивание!$A12,'2020'!BY:BY)-SUMIFS('2020'!BY:BY,'2020'!$B:$B,выравнивание!$A12,'2020'!$G:$G,4)</f>
        <v>4987756</v>
      </c>
      <c r="V12" s="37">
        <f>SUMIF('2020'!$B:$B,выравнивание!$A12,'2020'!BZ:BZ)-SUMIFS('2020'!BZ:BZ,'2020'!$B:$B,выравнивание!$A12,'2020'!$G:$G,4)</f>
        <v>464994</v>
      </c>
      <c r="W12" s="37">
        <f>SUMIF('2020'!$B:$B,выравнивание!$A12,'2020'!CA:CA)-SUMIFS('2020'!CA:CA,'2020'!$B:$B,выравнивание!$A12,'2020'!$G:$G,4)</f>
        <v>663047</v>
      </c>
      <c r="X12" s="37">
        <f>SUMIF('2020'!$B:$B,выравнивание!$A12,'2020'!CB:CB)-SUMIFS('2020'!CB:CB,'2020'!$B:$B,выравнивание!$A12,'2020'!$G:$G,4)</f>
        <v>69608</v>
      </c>
      <c r="Y12" s="37">
        <f>SUMIF('2020'!$B:$B,выравнивание!$A12,'2020'!CC:CC)-SUMIFS('2020'!CC:CC,'2020'!$B:$B,выравнивание!$A12,'2020'!$G:$G,4)</f>
        <v>823855</v>
      </c>
      <c r="Z12" s="37">
        <f>SUMIF('2020'!$B:$B,выравнивание!$A12,'2020'!CD:CD)-SUMIFS('2020'!CD:CD,'2020'!$B:$B,выравнивание!$A12,'2020'!$G:$G,4)</f>
        <v>17260670</v>
      </c>
      <c r="AA12" s="37">
        <f>SUMIF('2020'!$B:$B,выравнивание!$A12,'2020'!CE:CE)-SUMIFS('2020'!CE:CE,'2020'!$B:$B,выравнивание!$A12,'2020'!$G:$G,4)</f>
        <v>13257042.800000001</v>
      </c>
      <c r="AB12" s="37">
        <f>SUMIF('2020'!$B:$B,выравнивание!$A12,'2020'!CF:CF)-SUMIFS('2020'!CF:CF,'2020'!$B:$B,выравнивание!$A12,'2020'!$G:$G,4)</f>
        <v>4003627.2</v>
      </c>
      <c r="AC12" s="103">
        <f>SUMIF('2020'!$B:$B,выравнивание!$A12,'2020'!CG:CG)-SUMIFS('2020'!CG:CG,'2020'!$B:$B,выравнивание!$A12,'2020'!$G:$G,4)</f>
        <v>2889920</v>
      </c>
      <c r="AD12" s="103">
        <f>SUMIF('2020'!$B:$B,выравнивание!$A12,'2020'!CH:CH)-SUMIFS('2020'!CH:CH,'2020'!$B:$B,выравнивание!$A12,'2020'!$G:$G,4)</f>
        <v>133306096</v>
      </c>
      <c r="AE12" s="84">
        <f>SUMIF('Свод 2020'!$A$9:$A$22,выравнивание!$A12,'Свод 2020'!$AA$9:$AA$24)*1000-SUMIF('Свод 2020'!$A$9:$A$22,выравнивание!$A12,'Свод 2020'!$S$9:$S$24)*1000</f>
        <v>141551700</v>
      </c>
      <c r="AF12" s="105">
        <f>AD12-AE12</f>
        <v>-8245604</v>
      </c>
      <c r="AU12" s="108"/>
    </row>
    <row r="13" spans="1:49" hidden="1" x14ac:dyDescent="0.25">
      <c r="A13" s="6">
        <v>2</v>
      </c>
      <c r="B13" s="92" t="s">
        <v>16</v>
      </c>
      <c r="C13" s="11">
        <v>706</v>
      </c>
      <c r="D13" s="11">
        <v>2018</v>
      </c>
      <c r="E13" s="11" t="s">
        <v>184</v>
      </c>
      <c r="F13" s="104"/>
      <c r="G13" s="104"/>
      <c r="H13" s="104"/>
      <c r="I13" s="104">
        <f t="shared" ref="I13:AB13" si="9">I12/$AD12</f>
        <v>0.52635799999999999</v>
      </c>
      <c r="J13" s="104">
        <f t="shared" si="9"/>
        <v>0.40426899999999999</v>
      </c>
      <c r="K13" s="104">
        <f t="shared" si="9"/>
        <v>0.122089</v>
      </c>
      <c r="L13" s="104">
        <f t="shared" si="9"/>
        <v>5.6165E-2</v>
      </c>
      <c r="M13" s="104">
        <f t="shared" si="9"/>
        <v>1.0076999999999999E-2</v>
      </c>
      <c r="N13" s="104">
        <f t="shared" si="9"/>
        <v>5.1778999999999999E-2</v>
      </c>
      <c r="O13" s="104">
        <f t="shared" si="9"/>
        <v>0.123999</v>
      </c>
      <c r="P13" s="104">
        <f t="shared" si="9"/>
        <v>3.3899999999999998E-3</v>
      </c>
      <c r="Q13" s="104">
        <f t="shared" si="9"/>
        <v>0.112446</v>
      </c>
      <c r="R13" s="104">
        <f t="shared" si="9"/>
        <v>2.3760000000000001E-3</v>
      </c>
      <c r="S13" s="104">
        <f t="shared" si="9"/>
        <v>5.7860000000000003E-3</v>
      </c>
      <c r="T13" s="104">
        <f t="shared" si="9"/>
        <v>3.7957999999999999E-2</v>
      </c>
      <c r="U13" s="104">
        <f t="shared" si="9"/>
        <v>3.7415999999999998E-2</v>
      </c>
      <c r="V13" s="104">
        <f t="shared" si="9"/>
        <v>3.4880000000000002E-3</v>
      </c>
      <c r="W13" s="104">
        <f t="shared" si="9"/>
        <v>4.9740000000000001E-3</v>
      </c>
      <c r="X13" s="104">
        <f t="shared" si="9"/>
        <v>5.22E-4</v>
      </c>
      <c r="Y13" s="104">
        <f t="shared" si="9"/>
        <v>6.1799999999999997E-3</v>
      </c>
      <c r="Z13" s="104">
        <f t="shared" si="9"/>
        <v>0.12948100000000001</v>
      </c>
      <c r="AA13" s="104">
        <f t="shared" si="9"/>
        <v>9.9447999999999995E-2</v>
      </c>
      <c r="AB13" s="104">
        <f t="shared" si="9"/>
        <v>3.0033000000000001E-2</v>
      </c>
      <c r="AC13" s="106">
        <f>1-Z13-Y13-X13-W13-V13-U13-T13-O13-N13-L13-I13</f>
        <v>2.1680000000000001E-2</v>
      </c>
      <c r="AD13" s="106">
        <f>AD12/$AD12</f>
        <v>1</v>
      </c>
      <c r="AE13" s="81"/>
      <c r="AU13" s="108"/>
    </row>
    <row r="14" spans="1:49" x14ac:dyDescent="0.25">
      <c r="A14" s="6">
        <v>2</v>
      </c>
      <c r="B14" s="92" t="s">
        <v>16</v>
      </c>
      <c r="C14" s="11">
        <v>706</v>
      </c>
      <c r="D14" s="11">
        <v>2018</v>
      </c>
      <c r="E14" s="11" t="s">
        <v>185</v>
      </c>
      <c r="F14" s="37">
        <f>G14+H14</f>
        <v>-5407789</v>
      </c>
      <c r="G14" s="37">
        <f>J14+AA14</f>
        <v>-4153448</v>
      </c>
      <c r="H14" s="37">
        <f>K14+AB14</f>
        <v>-1254341</v>
      </c>
      <c r="I14" s="37">
        <f>ROUND($AF12*I13,0)</f>
        <v>-4340140</v>
      </c>
      <c r="J14" s="37">
        <f>ROUND(I14/1.302,0)</f>
        <v>-3333441</v>
      </c>
      <c r="K14" s="37">
        <f>I14-J14</f>
        <v>-1006699</v>
      </c>
      <c r="L14" s="37">
        <f>ROUND($AF12*L13,0)</f>
        <v>-463114</v>
      </c>
      <c r="M14" s="37">
        <f>ROUND($AF12*M13,0)</f>
        <v>-83091</v>
      </c>
      <c r="N14" s="37">
        <f>ROUND($AF12*N13,0)</f>
        <v>-426949</v>
      </c>
      <c r="O14" s="37">
        <f>ROUND($AF12*O13,0)</f>
        <v>-1022447</v>
      </c>
      <c r="P14" s="37">
        <f>ROUND($AE12*P13,0)</f>
        <v>479860</v>
      </c>
      <c r="Q14" s="37">
        <f>ROUND($AE12*Q13,0)</f>
        <v>15916922</v>
      </c>
      <c r="R14" s="37">
        <f>ROUND($AE12*R13,0)</f>
        <v>336327</v>
      </c>
      <c r="S14" s="37">
        <f>ROUND($AE12*S13,0)</f>
        <v>819018</v>
      </c>
      <c r="T14" s="37">
        <f t="shared" ref="T14:Z14" si="10">ROUND($AF12*T13,0)</f>
        <v>-312987</v>
      </c>
      <c r="U14" s="37">
        <f t="shared" si="10"/>
        <v>-308518</v>
      </c>
      <c r="V14" s="37">
        <f t="shared" si="10"/>
        <v>-28761</v>
      </c>
      <c r="W14" s="37">
        <f t="shared" si="10"/>
        <v>-41014</v>
      </c>
      <c r="X14" s="37">
        <f t="shared" si="10"/>
        <v>-4304</v>
      </c>
      <c r="Y14" s="37">
        <f t="shared" si="10"/>
        <v>-50958</v>
      </c>
      <c r="Z14" s="37">
        <f t="shared" si="10"/>
        <v>-1067649</v>
      </c>
      <c r="AA14" s="37">
        <f>ROUND(Z14/1.302,0)</f>
        <v>-820007</v>
      </c>
      <c r="AB14" s="37">
        <f>Z14-AA14</f>
        <v>-247642</v>
      </c>
      <c r="AC14" s="37">
        <f>ROUND($AF12*AC13,0)</f>
        <v>-178765</v>
      </c>
      <c r="AD14" s="37">
        <f>I14+L14+N14+O14+T14+U14+V14+W14+X14+Y14+AC14+Z14</f>
        <v>-8245606</v>
      </c>
      <c r="AE14" s="78">
        <f>AF12</f>
        <v>-8245604</v>
      </c>
      <c r="AF14" s="78">
        <f>AE14-AF12</f>
        <v>0</v>
      </c>
      <c r="AG14" s="107">
        <f>-ROUND(F14/1000,1)</f>
        <v>5407.8</v>
      </c>
      <c r="AH14" s="107">
        <f>ROUND(AG14/1.302,1)</f>
        <v>4153.5</v>
      </c>
      <c r="AI14" s="107">
        <f>AG14-AH14</f>
        <v>1254.3</v>
      </c>
      <c r="AJ14" s="107">
        <f>-ROUND(L14/1000,1)</f>
        <v>463.1</v>
      </c>
      <c r="AK14" s="107">
        <f>-ROUND(M14/1000,1)</f>
        <v>83.1</v>
      </c>
      <c r="AL14" s="107">
        <f>-ROUND(N14/1000,1)</f>
        <v>426.9</v>
      </c>
      <c r="AM14" s="107">
        <f>-ROUND(O14/1000,1)</f>
        <v>1022.4</v>
      </c>
      <c r="AN14" s="107">
        <f t="shared" ref="AN14:AS14" si="11">-ROUND(T14/1000,1)</f>
        <v>313</v>
      </c>
      <c r="AO14" s="107">
        <f t="shared" si="11"/>
        <v>308.5</v>
      </c>
      <c r="AP14" s="107">
        <f t="shared" si="11"/>
        <v>28.8</v>
      </c>
      <c r="AQ14" s="107">
        <f t="shared" si="11"/>
        <v>41</v>
      </c>
      <c r="AR14" s="107">
        <f t="shared" si="11"/>
        <v>4.3</v>
      </c>
      <c r="AS14" s="107">
        <f t="shared" si="11"/>
        <v>51</v>
      </c>
      <c r="AT14" s="107">
        <f>-ROUND(AC14/1000,1)</f>
        <v>178.8</v>
      </c>
      <c r="AU14" s="108">
        <f>AG14+AJ14+AL14+AM14+AN14+AO14+AP14+AQ14+AR14+AS14+AT14</f>
        <v>8245.6</v>
      </c>
      <c r="AW14" s="272">
        <v>-52442.3</v>
      </c>
    </row>
    <row r="15" spans="1:49" hidden="1" x14ac:dyDescent="0.25">
      <c r="A15" s="6">
        <v>2</v>
      </c>
      <c r="B15" s="92" t="s">
        <v>16</v>
      </c>
      <c r="C15" s="11">
        <v>706</v>
      </c>
      <c r="D15" s="11">
        <v>2019</v>
      </c>
      <c r="E15" s="11" t="s">
        <v>182</v>
      </c>
      <c r="F15" s="37"/>
      <c r="G15" s="37"/>
      <c r="H15" s="37"/>
      <c r="I15" s="37" t="e">
        <f>SUMIF(#REF!,выравнивание!$A15,#REF!)-SUMIFS(#REF!,#REF!,выравнивание!$A15,#REF!,4)</f>
        <v>#REF!</v>
      </c>
      <c r="J15" s="37" t="e">
        <f>SUMIF(#REF!,выравнивание!$A15,#REF!)-SUMIFS(#REF!,#REF!,выравнивание!$A15,#REF!,4)</f>
        <v>#REF!</v>
      </c>
      <c r="K15" s="37" t="e">
        <f>SUMIF(#REF!,выравнивание!$A15,#REF!)-SUMIFS(#REF!,#REF!,выравнивание!$A15,#REF!,4)</f>
        <v>#REF!</v>
      </c>
      <c r="L15" s="37" t="e">
        <f>SUMIF(#REF!,выравнивание!$A15,#REF!)-SUMIFS(#REF!,#REF!,выравнивание!$A15,#REF!,4)</f>
        <v>#REF!</v>
      </c>
      <c r="M15" s="37" t="e">
        <f>SUMIF(#REF!,выравнивание!$A15,#REF!)-SUMIFS(#REF!,#REF!,выравнивание!$A15,#REF!,4)</f>
        <v>#REF!</v>
      </c>
      <c r="N15" s="37" t="e">
        <f>SUMIF(#REF!,выравнивание!$A15,#REF!)-SUMIFS(#REF!,#REF!,выравнивание!$A15,#REF!,4)</f>
        <v>#REF!</v>
      </c>
      <c r="O15" s="37" t="e">
        <f>SUMIF(#REF!,выравнивание!$A15,#REF!)-SUMIFS(#REF!,#REF!,выравнивание!$A15,#REF!,4)</f>
        <v>#REF!</v>
      </c>
      <c r="P15" s="37" t="e">
        <f>SUMIF(#REF!,выравнивание!$A15,#REF!)-SUMIFS(#REF!,#REF!,выравнивание!$A15,#REF!,4)</f>
        <v>#REF!</v>
      </c>
      <c r="Q15" s="37" t="e">
        <f>SUMIF(#REF!,выравнивание!$A15,#REF!)-SUMIFS(#REF!,#REF!,выравнивание!$A15,#REF!,4)</f>
        <v>#REF!</v>
      </c>
      <c r="R15" s="37" t="e">
        <f>SUMIF(#REF!,выравнивание!$A15,#REF!)-SUMIFS(#REF!,#REF!,выравнивание!$A15,#REF!,4)</f>
        <v>#REF!</v>
      </c>
      <c r="S15" s="37" t="e">
        <f>SUMIF(#REF!,выравнивание!$A15,#REF!)-SUMIFS(#REF!,#REF!,выравнивание!$A15,#REF!,4)</f>
        <v>#REF!</v>
      </c>
      <c r="T15" s="37" t="e">
        <f>SUMIF(#REF!,выравнивание!$A15,#REF!)-SUMIFS(#REF!,#REF!,выравнивание!$A15,#REF!,4)</f>
        <v>#REF!</v>
      </c>
      <c r="U15" s="37" t="e">
        <f>SUMIF(#REF!,выравнивание!$A15,#REF!)-SUMIFS(#REF!,#REF!,выравнивание!$A15,#REF!,4)</f>
        <v>#REF!</v>
      </c>
      <c r="V15" s="37" t="e">
        <f>SUMIF(#REF!,выравнивание!$A15,#REF!)-SUMIFS(#REF!,#REF!,выравнивание!$A15,#REF!,4)</f>
        <v>#REF!</v>
      </c>
      <c r="W15" s="37" t="e">
        <f>SUMIF(#REF!,выравнивание!$A15,#REF!)-SUMIFS(#REF!,#REF!,выравнивание!$A15,#REF!,4)</f>
        <v>#REF!</v>
      </c>
      <c r="X15" s="37" t="e">
        <f>SUMIF(#REF!,выравнивание!$A15,#REF!)-SUMIFS(#REF!,#REF!,выравнивание!$A15,#REF!,4)</f>
        <v>#REF!</v>
      </c>
      <c r="Y15" s="37" t="e">
        <f>SUMIF(#REF!,выравнивание!$A15,#REF!)-SUMIFS(#REF!,#REF!,выравнивание!$A15,#REF!,4)</f>
        <v>#REF!</v>
      </c>
      <c r="Z15" s="37" t="e">
        <f>SUMIF(#REF!,выравнивание!$A15,#REF!)-SUMIFS(#REF!,#REF!,выравнивание!$A15,#REF!,4)</f>
        <v>#REF!</v>
      </c>
      <c r="AA15" s="37" t="e">
        <f>SUMIF(#REF!,выравнивание!$A15,#REF!)-SUMIFS(#REF!,#REF!,выравнивание!$A15,#REF!,4)</f>
        <v>#REF!</v>
      </c>
      <c r="AB15" s="37" t="e">
        <f>SUMIF(#REF!,выравнивание!$A15,#REF!)-SUMIFS(#REF!,#REF!,выравнивание!$A15,#REF!,4)</f>
        <v>#REF!</v>
      </c>
      <c r="AC15" s="103" t="e">
        <f>SUMIF(#REF!,выравнивание!$A15,#REF!)-SUMIFS(#REF!,#REF!,выравнивание!$A15,#REF!,4)</f>
        <v>#REF!</v>
      </c>
      <c r="AD15" s="103" t="e">
        <f>SUMIF(#REF!,выравнивание!$A15,#REF!)-SUMIFS(#REF!,#REF!,выравнивание!$A15,#REF!,4)</f>
        <v>#REF!</v>
      </c>
      <c r="AE15" s="103" t="e">
        <f>SUMIF(#REF!,выравнивание!$A15,#REF!)*1000-SUMIF(#REF!,выравнивание!$A15,#REF!)*1000</f>
        <v>#REF!</v>
      </c>
      <c r="AF15" s="105" t="e">
        <f>AD15-AE15</f>
        <v>#REF!</v>
      </c>
      <c r="AU15" s="108"/>
    </row>
    <row r="16" spans="1:49" hidden="1" x14ac:dyDescent="0.25">
      <c r="A16" s="6">
        <v>2</v>
      </c>
      <c r="B16" s="92" t="s">
        <v>16</v>
      </c>
      <c r="C16" s="11">
        <v>706</v>
      </c>
      <c r="D16" s="11">
        <v>2019</v>
      </c>
      <c r="E16" s="11" t="s">
        <v>184</v>
      </c>
      <c r="F16" s="104"/>
      <c r="G16" s="104"/>
      <c r="H16" s="104"/>
      <c r="I16" s="104" t="e">
        <f t="shared" ref="I16:AB16" si="12">I15/$AD15</f>
        <v>#REF!</v>
      </c>
      <c r="J16" s="104" t="e">
        <f t="shared" si="12"/>
        <v>#REF!</v>
      </c>
      <c r="K16" s="104" t="e">
        <f t="shared" si="12"/>
        <v>#REF!</v>
      </c>
      <c r="L16" s="104" t="e">
        <f t="shared" si="12"/>
        <v>#REF!</v>
      </c>
      <c r="M16" s="104" t="e">
        <f t="shared" si="12"/>
        <v>#REF!</v>
      </c>
      <c r="N16" s="104" t="e">
        <f t="shared" si="12"/>
        <v>#REF!</v>
      </c>
      <c r="O16" s="104" t="e">
        <f t="shared" si="12"/>
        <v>#REF!</v>
      </c>
      <c r="P16" s="104" t="e">
        <f t="shared" si="12"/>
        <v>#REF!</v>
      </c>
      <c r="Q16" s="104" t="e">
        <f t="shared" si="12"/>
        <v>#REF!</v>
      </c>
      <c r="R16" s="104" t="e">
        <f t="shared" si="12"/>
        <v>#REF!</v>
      </c>
      <c r="S16" s="104" t="e">
        <f t="shared" si="12"/>
        <v>#REF!</v>
      </c>
      <c r="T16" s="104" t="e">
        <f t="shared" si="12"/>
        <v>#REF!</v>
      </c>
      <c r="U16" s="104" t="e">
        <f t="shared" si="12"/>
        <v>#REF!</v>
      </c>
      <c r="V16" s="104" t="e">
        <f t="shared" si="12"/>
        <v>#REF!</v>
      </c>
      <c r="W16" s="104" t="e">
        <f t="shared" si="12"/>
        <v>#REF!</v>
      </c>
      <c r="X16" s="104" t="e">
        <f t="shared" si="12"/>
        <v>#REF!</v>
      </c>
      <c r="Y16" s="104" t="e">
        <f t="shared" si="12"/>
        <v>#REF!</v>
      </c>
      <c r="Z16" s="104" t="e">
        <f t="shared" si="12"/>
        <v>#REF!</v>
      </c>
      <c r="AA16" s="104" t="e">
        <f t="shared" si="12"/>
        <v>#REF!</v>
      </c>
      <c r="AB16" s="104" t="e">
        <f t="shared" si="12"/>
        <v>#REF!</v>
      </c>
      <c r="AC16" s="106" t="e">
        <f>1-Z16-Y16-X16-W16-V16-U16-T16-O16-N16-L16-I16</f>
        <v>#REF!</v>
      </c>
      <c r="AD16" s="106" t="e">
        <f>AD15/$AD15</f>
        <v>#REF!</v>
      </c>
      <c r="AE16" s="81"/>
      <c r="AU16" s="108"/>
    </row>
    <row r="17" spans="1:49" x14ac:dyDescent="0.25">
      <c r="A17" s="6">
        <v>2</v>
      </c>
      <c r="B17" s="92" t="s">
        <v>16</v>
      </c>
      <c r="C17" s="11">
        <v>706</v>
      </c>
      <c r="D17" s="11">
        <v>2019</v>
      </c>
      <c r="E17" s="11" t="s">
        <v>185</v>
      </c>
      <c r="F17" s="37" t="e">
        <f>G17+H17</f>
        <v>#REF!</v>
      </c>
      <c r="G17" s="37" t="e">
        <f>J17+AA17</f>
        <v>#REF!</v>
      </c>
      <c r="H17" s="37" t="e">
        <f>K17+AB17</f>
        <v>#REF!</v>
      </c>
      <c r="I17" s="37" t="e">
        <f>ROUND($AF15*I16,0)</f>
        <v>#REF!</v>
      </c>
      <c r="J17" s="37" t="e">
        <f>ROUND(I17/1.302,0)</f>
        <v>#REF!</v>
      </c>
      <c r="K17" s="37" t="e">
        <f>I17-J17</f>
        <v>#REF!</v>
      </c>
      <c r="L17" s="37" t="e">
        <f>ROUND($AF15*L16,0)</f>
        <v>#REF!</v>
      </c>
      <c r="M17" s="37" t="e">
        <f>ROUND($AF15*M16,0)</f>
        <v>#REF!</v>
      </c>
      <c r="N17" s="37" t="e">
        <f>ROUND($AF15*N16,0)</f>
        <v>#REF!</v>
      </c>
      <c r="O17" s="37" t="e">
        <f>ROUND($AF15*O16,0)</f>
        <v>#REF!</v>
      </c>
      <c r="P17" s="37" t="e">
        <f>ROUND($AE15*P16,0)</f>
        <v>#REF!</v>
      </c>
      <c r="Q17" s="37" t="e">
        <f>ROUND($AE15*Q16,0)</f>
        <v>#REF!</v>
      </c>
      <c r="R17" s="37" t="e">
        <f>ROUND($AE15*R16,0)</f>
        <v>#REF!</v>
      </c>
      <c r="S17" s="37" t="e">
        <f>ROUND($AE15*S16,0)</f>
        <v>#REF!</v>
      </c>
      <c r="T17" s="37" t="e">
        <f t="shared" ref="T17:Z17" si="13">ROUND($AF15*T16,0)</f>
        <v>#REF!</v>
      </c>
      <c r="U17" s="37" t="e">
        <f t="shared" si="13"/>
        <v>#REF!</v>
      </c>
      <c r="V17" s="37" t="e">
        <f t="shared" si="13"/>
        <v>#REF!</v>
      </c>
      <c r="W17" s="37" t="e">
        <f t="shared" si="13"/>
        <v>#REF!</v>
      </c>
      <c r="X17" s="37" t="e">
        <f t="shared" si="13"/>
        <v>#REF!</v>
      </c>
      <c r="Y17" s="37" t="e">
        <f t="shared" si="13"/>
        <v>#REF!</v>
      </c>
      <c r="Z17" s="37" t="e">
        <f t="shared" si="13"/>
        <v>#REF!</v>
      </c>
      <c r="AA17" s="37" t="e">
        <f>ROUND(Z17/1.302,0)</f>
        <v>#REF!</v>
      </c>
      <c r="AB17" s="37" t="e">
        <f>Z17-AA17</f>
        <v>#REF!</v>
      </c>
      <c r="AC17" s="37" t="e">
        <f>ROUND($AF15*AC16,0)</f>
        <v>#REF!</v>
      </c>
      <c r="AD17" s="37" t="e">
        <f>I17+L17+N17+O17+T17+U17+V17+W17+X17+Y17+AC17+Z17</f>
        <v>#REF!</v>
      </c>
      <c r="AE17" s="78" t="e">
        <f>AF15</f>
        <v>#REF!</v>
      </c>
      <c r="AF17" s="78" t="e">
        <f>AE17-AF15</f>
        <v>#REF!</v>
      </c>
      <c r="AG17" s="107" t="e">
        <f>-ROUND(F17/1000,1)</f>
        <v>#REF!</v>
      </c>
      <c r="AH17" s="107" t="e">
        <f>ROUND(AG17/1.302,1)</f>
        <v>#REF!</v>
      </c>
      <c r="AI17" s="107" t="e">
        <f>AG17-AH17</f>
        <v>#REF!</v>
      </c>
      <c r="AJ17" s="107" t="e">
        <f>-ROUND(L17/1000,1)</f>
        <v>#REF!</v>
      </c>
      <c r="AK17" s="107" t="e">
        <f>-ROUND(M17/1000,1)</f>
        <v>#REF!</v>
      </c>
      <c r="AL17" s="107" t="e">
        <f>-ROUND(N17/1000,1)</f>
        <v>#REF!</v>
      </c>
      <c r="AM17" s="107" t="e">
        <f>-ROUND(O17/1000,1)</f>
        <v>#REF!</v>
      </c>
      <c r="AN17" s="107" t="e">
        <f t="shared" ref="AN17:AS17" si="14">-ROUND(T17/1000,1)</f>
        <v>#REF!</v>
      </c>
      <c r="AO17" s="107" t="e">
        <f t="shared" si="14"/>
        <v>#REF!</v>
      </c>
      <c r="AP17" s="107" t="e">
        <f t="shared" si="14"/>
        <v>#REF!</v>
      </c>
      <c r="AQ17" s="107" t="e">
        <f t="shared" si="14"/>
        <v>#REF!</v>
      </c>
      <c r="AR17" s="107" t="e">
        <f t="shared" si="14"/>
        <v>#REF!</v>
      </c>
      <c r="AS17" s="107" t="e">
        <f t="shared" si="14"/>
        <v>#REF!</v>
      </c>
      <c r="AT17" s="107" t="e">
        <f>-ROUND(AC17/1000,1)</f>
        <v>#REF!</v>
      </c>
      <c r="AU17" s="108" t="e">
        <f>AG17+AJ17+AL17+AM17+AN17+AO17+AP17+AQ17+AR17+AS17+AT17</f>
        <v>#REF!</v>
      </c>
      <c r="AW17" s="272">
        <v>-54573.2</v>
      </c>
    </row>
    <row r="18" spans="1:49" hidden="1" x14ac:dyDescent="0.25">
      <c r="A18" s="6">
        <v>2</v>
      </c>
      <c r="B18" s="92" t="s">
        <v>16</v>
      </c>
      <c r="C18" s="11">
        <v>706</v>
      </c>
      <c r="D18" s="11">
        <v>2020</v>
      </c>
      <c r="E18" s="11" t="s">
        <v>182</v>
      </c>
      <c r="F18" s="37"/>
      <c r="G18" s="37"/>
      <c r="H18" s="37"/>
      <c r="I18" s="37" t="e">
        <f>SUMIF(#REF!,выравнивание!$A18,#REF!)-SUMIFS(#REF!,#REF!,выравнивание!$A18,#REF!,4)</f>
        <v>#REF!</v>
      </c>
      <c r="J18" s="37" t="e">
        <f>SUMIF(#REF!,выравнивание!$A18,#REF!)-SUMIFS(#REF!,#REF!,выравнивание!$A18,#REF!,4)</f>
        <v>#REF!</v>
      </c>
      <c r="K18" s="37" t="e">
        <f>SUMIF(#REF!,выравнивание!$A18,#REF!)-SUMIFS(#REF!,#REF!,выравнивание!$A18,#REF!,4)</f>
        <v>#REF!</v>
      </c>
      <c r="L18" s="37" t="e">
        <f>SUMIF(#REF!,выравнивание!$A18,#REF!)-SUMIFS(#REF!,#REF!,выравнивание!$A18,#REF!,4)</f>
        <v>#REF!</v>
      </c>
      <c r="M18" s="37" t="e">
        <f>SUMIF(#REF!,выравнивание!$A18,#REF!)-SUMIFS(#REF!,#REF!,выравнивание!$A18,#REF!,4)</f>
        <v>#REF!</v>
      </c>
      <c r="N18" s="37" t="e">
        <f>SUMIF(#REF!,выравнивание!$A18,#REF!)-SUMIFS(#REF!,#REF!,выравнивание!$A18,#REF!,4)</f>
        <v>#REF!</v>
      </c>
      <c r="O18" s="37" t="e">
        <f>SUMIF(#REF!,выравнивание!$A18,#REF!)-SUMIFS(#REF!,#REF!,выравнивание!$A18,#REF!,4)</f>
        <v>#REF!</v>
      </c>
      <c r="P18" s="37" t="e">
        <f>SUMIF(#REF!,выравнивание!$A18,#REF!)-SUMIFS(#REF!,#REF!,выравнивание!$A18,#REF!,4)</f>
        <v>#REF!</v>
      </c>
      <c r="Q18" s="37" t="e">
        <f>SUMIF(#REF!,выравнивание!$A18,#REF!)-SUMIFS(#REF!,#REF!,выравнивание!$A18,#REF!,4)</f>
        <v>#REF!</v>
      </c>
      <c r="R18" s="37" t="e">
        <f>SUMIF(#REF!,выравнивание!$A18,#REF!)-SUMIFS(#REF!,#REF!,выравнивание!$A18,#REF!,4)</f>
        <v>#REF!</v>
      </c>
      <c r="S18" s="37" t="e">
        <f>SUMIF(#REF!,выравнивание!$A18,#REF!)-SUMIFS(#REF!,#REF!,выравнивание!$A18,#REF!,4)</f>
        <v>#REF!</v>
      </c>
      <c r="T18" s="37" t="e">
        <f>SUMIF(#REF!,выравнивание!$A18,#REF!)-SUMIFS(#REF!,#REF!,выравнивание!$A18,#REF!,4)</f>
        <v>#REF!</v>
      </c>
      <c r="U18" s="37" t="e">
        <f>SUMIF(#REF!,выравнивание!$A18,#REF!)-SUMIFS(#REF!,#REF!,выравнивание!$A18,#REF!,4)</f>
        <v>#REF!</v>
      </c>
      <c r="V18" s="37" t="e">
        <f>SUMIF(#REF!,выравнивание!$A18,#REF!)-SUMIFS(#REF!,#REF!,выравнивание!$A18,#REF!,4)</f>
        <v>#REF!</v>
      </c>
      <c r="W18" s="37" t="e">
        <f>SUMIF(#REF!,выравнивание!$A18,#REF!)-SUMIFS(#REF!,#REF!,выравнивание!$A18,#REF!,4)</f>
        <v>#REF!</v>
      </c>
      <c r="X18" s="37" t="e">
        <f>SUMIF(#REF!,выравнивание!$A18,#REF!)-SUMIFS(#REF!,#REF!,выравнивание!$A18,#REF!,4)</f>
        <v>#REF!</v>
      </c>
      <c r="Y18" s="37" t="e">
        <f>SUMIF(#REF!,выравнивание!$A18,#REF!)-SUMIFS(#REF!,#REF!,выравнивание!$A18,#REF!,4)</f>
        <v>#REF!</v>
      </c>
      <c r="Z18" s="37" t="e">
        <f>SUMIF(#REF!,выравнивание!$A18,#REF!)-SUMIFS(#REF!,#REF!,выравнивание!$A18,#REF!,4)</f>
        <v>#REF!</v>
      </c>
      <c r="AA18" s="37" t="e">
        <f>SUMIF(#REF!,выравнивание!$A18,#REF!)-SUMIFS(#REF!,#REF!,выравнивание!$A18,#REF!,4)</f>
        <v>#REF!</v>
      </c>
      <c r="AB18" s="37" t="e">
        <f>SUMIF(#REF!,выравнивание!$A18,#REF!)-SUMIFS(#REF!,#REF!,выравнивание!$A18,#REF!,4)</f>
        <v>#REF!</v>
      </c>
      <c r="AC18" s="103" t="e">
        <f>SUMIF(#REF!,выравнивание!$A18,#REF!)-SUMIFS(#REF!,#REF!,выравнивание!$A18,#REF!,4)</f>
        <v>#REF!</v>
      </c>
      <c r="AD18" s="103" t="e">
        <f>SUMIF(#REF!,выравнивание!$A18,#REF!)-SUMIFS(#REF!,#REF!,выравнивание!$A18,#REF!,4)</f>
        <v>#REF!</v>
      </c>
      <c r="AE18" s="103" t="e">
        <f>SUMIF(#REF!,выравнивание!$A18,#REF!)*1000-SUMIF(#REF!,выравнивание!$A18,#REF!)*1000</f>
        <v>#REF!</v>
      </c>
      <c r="AF18" s="84" t="e">
        <f>AD18-AE18</f>
        <v>#REF!</v>
      </c>
      <c r="AU18" s="108"/>
    </row>
    <row r="19" spans="1:49" hidden="1" x14ac:dyDescent="0.25">
      <c r="A19" s="6">
        <v>2</v>
      </c>
      <c r="B19" s="92" t="s">
        <v>16</v>
      </c>
      <c r="C19" s="11">
        <v>706</v>
      </c>
      <c r="D19" s="11">
        <v>2020</v>
      </c>
      <c r="E19" s="11" t="s">
        <v>184</v>
      </c>
      <c r="F19" s="104"/>
      <c r="G19" s="104"/>
      <c r="H19" s="104"/>
      <c r="I19" s="104" t="e">
        <f t="shared" ref="I19:AB19" si="15">I18/$AD18</f>
        <v>#REF!</v>
      </c>
      <c r="J19" s="104" t="e">
        <f t="shared" si="15"/>
        <v>#REF!</v>
      </c>
      <c r="K19" s="104" t="e">
        <f t="shared" si="15"/>
        <v>#REF!</v>
      </c>
      <c r="L19" s="104" t="e">
        <f t="shared" si="15"/>
        <v>#REF!</v>
      </c>
      <c r="M19" s="104" t="e">
        <f t="shared" si="15"/>
        <v>#REF!</v>
      </c>
      <c r="N19" s="104" t="e">
        <f t="shared" si="15"/>
        <v>#REF!</v>
      </c>
      <c r="O19" s="104" t="e">
        <f t="shared" si="15"/>
        <v>#REF!</v>
      </c>
      <c r="P19" s="104" t="e">
        <f t="shared" si="15"/>
        <v>#REF!</v>
      </c>
      <c r="Q19" s="104" t="e">
        <f t="shared" si="15"/>
        <v>#REF!</v>
      </c>
      <c r="R19" s="104" t="e">
        <f t="shared" si="15"/>
        <v>#REF!</v>
      </c>
      <c r="S19" s="104" t="e">
        <f t="shared" si="15"/>
        <v>#REF!</v>
      </c>
      <c r="T19" s="104" t="e">
        <f t="shared" si="15"/>
        <v>#REF!</v>
      </c>
      <c r="U19" s="104" t="e">
        <f t="shared" si="15"/>
        <v>#REF!</v>
      </c>
      <c r="V19" s="104" t="e">
        <f t="shared" si="15"/>
        <v>#REF!</v>
      </c>
      <c r="W19" s="104" t="e">
        <f t="shared" si="15"/>
        <v>#REF!</v>
      </c>
      <c r="X19" s="104" t="e">
        <f t="shared" si="15"/>
        <v>#REF!</v>
      </c>
      <c r="Y19" s="104" t="e">
        <f t="shared" si="15"/>
        <v>#REF!</v>
      </c>
      <c r="Z19" s="104" t="e">
        <f t="shared" si="15"/>
        <v>#REF!</v>
      </c>
      <c r="AA19" s="104" t="e">
        <f t="shared" si="15"/>
        <v>#REF!</v>
      </c>
      <c r="AB19" s="104" t="e">
        <f t="shared" si="15"/>
        <v>#REF!</v>
      </c>
      <c r="AC19" s="106" t="e">
        <f>1-Z19-Y19-X19-W19-V19-U19-T19-O19-N19-L19-I19</f>
        <v>#REF!</v>
      </c>
      <c r="AD19" s="106" t="e">
        <f>AD18/$AD18</f>
        <v>#REF!</v>
      </c>
      <c r="AE19" s="81"/>
      <c r="AU19" s="108"/>
    </row>
    <row r="20" spans="1:49" x14ac:dyDescent="0.25">
      <c r="A20" s="6">
        <v>2</v>
      </c>
      <c r="B20" s="92" t="s">
        <v>16</v>
      </c>
      <c r="C20" s="11">
        <v>706</v>
      </c>
      <c r="D20" s="11">
        <v>2020</v>
      </c>
      <c r="E20" s="11" t="s">
        <v>185</v>
      </c>
      <c r="F20" s="37" t="e">
        <f>G20+H20</f>
        <v>#REF!</v>
      </c>
      <c r="G20" s="37" t="e">
        <f>J20+AA20</f>
        <v>#REF!</v>
      </c>
      <c r="H20" s="37" t="e">
        <f>K20+AB20</f>
        <v>#REF!</v>
      </c>
      <c r="I20" s="37" t="e">
        <f>ROUND($AF18*I19,0)</f>
        <v>#REF!</v>
      </c>
      <c r="J20" s="37" t="e">
        <f>ROUND(I20/1.302,0)</f>
        <v>#REF!</v>
      </c>
      <c r="K20" s="37" t="e">
        <f>I20-J20</f>
        <v>#REF!</v>
      </c>
      <c r="L20" s="37" t="e">
        <f>ROUND($AF18*L19,0)</f>
        <v>#REF!</v>
      </c>
      <c r="M20" s="37" t="e">
        <f>ROUND($AF18*M19,0)</f>
        <v>#REF!</v>
      </c>
      <c r="N20" s="37" t="e">
        <f>ROUND($AF18*N19,0)</f>
        <v>#REF!</v>
      </c>
      <c r="O20" s="37" t="e">
        <f>ROUND($AF18*O19,0)</f>
        <v>#REF!</v>
      </c>
      <c r="P20" s="37" t="e">
        <f>ROUND($AE18*P19,0)</f>
        <v>#REF!</v>
      </c>
      <c r="Q20" s="37" t="e">
        <f>ROUND($AE18*Q19,0)</f>
        <v>#REF!</v>
      </c>
      <c r="R20" s="37" t="e">
        <f>ROUND($AE18*R19,0)</f>
        <v>#REF!</v>
      </c>
      <c r="S20" s="37" t="e">
        <f>ROUND($AE18*S19,0)</f>
        <v>#REF!</v>
      </c>
      <c r="T20" s="37" t="e">
        <f t="shared" ref="T20:Z20" si="16">ROUND($AF18*T19,0)</f>
        <v>#REF!</v>
      </c>
      <c r="U20" s="37" t="e">
        <f t="shared" si="16"/>
        <v>#REF!</v>
      </c>
      <c r="V20" s="37" t="e">
        <f t="shared" si="16"/>
        <v>#REF!</v>
      </c>
      <c r="W20" s="37" t="e">
        <f t="shared" si="16"/>
        <v>#REF!</v>
      </c>
      <c r="X20" s="37" t="e">
        <f t="shared" si="16"/>
        <v>#REF!</v>
      </c>
      <c r="Y20" s="37" t="e">
        <f t="shared" si="16"/>
        <v>#REF!</v>
      </c>
      <c r="Z20" s="37" t="e">
        <f t="shared" si="16"/>
        <v>#REF!</v>
      </c>
      <c r="AA20" s="37" t="e">
        <f>ROUND(Z20/1.302,0)</f>
        <v>#REF!</v>
      </c>
      <c r="AB20" s="37" t="e">
        <f>Z20-AA20</f>
        <v>#REF!</v>
      </c>
      <c r="AC20" s="37" t="e">
        <f>ROUND($AF18*AC19,0)</f>
        <v>#REF!</v>
      </c>
      <c r="AD20" s="37" t="e">
        <f>I20+L20+N20+O20+T20+U20+V20+W20+X20+Y20+AC20+Z20</f>
        <v>#REF!</v>
      </c>
      <c r="AE20" s="78" t="e">
        <f>AF18</f>
        <v>#REF!</v>
      </c>
      <c r="AF20" s="78" t="e">
        <f>AE20-AF18</f>
        <v>#REF!</v>
      </c>
      <c r="AG20" s="107" t="e">
        <f>-ROUND(F20/1000,1)</f>
        <v>#REF!</v>
      </c>
      <c r="AH20" s="107" t="e">
        <f>ROUND(AG20/1.302,1)</f>
        <v>#REF!</v>
      </c>
      <c r="AI20" s="107" t="e">
        <f>AG20-AH20</f>
        <v>#REF!</v>
      </c>
      <c r="AJ20" s="107" t="e">
        <f>-ROUND(L20/1000,1)</f>
        <v>#REF!</v>
      </c>
      <c r="AK20" s="107" t="e">
        <f>-ROUND(M20/1000,1)</f>
        <v>#REF!</v>
      </c>
      <c r="AL20" s="107" t="e">
        <f>-ROUND(N20/1000,1)</f>
        <v>#REF!</v>
      </c>
      <c r="AM20" s="107" t="e">
        <f>-ROUND(O20/1000,1)</f>
        <v>#REF!</v>
      </c>
      <c r="AN20" s="107" t="e">
        <f t="shared" ref="AN20:AS20" si="17">-ROUND(T20/1000,1)</f>
        <v>#REF!</v>
      </c>
      <c r="AO20" s="107" t="e">
        <f t="shared" si="17"/>
        <v>#REF!</v>
      </c>
      <c r="AP20" s="107" t="e">
        <f t="shared" si="17"/>
        <v>#REF!</v>
      </c>
      <c r="AQ20" s="107" t="e">
        <f t="shared" si="17"/>
        <v>#REF!</v>
      </c>
      <c r="AR20" s="107" t="e">
        <f t="shared" si="17"/>
        <v>#REF!</v>
      </c>
      <c r="AS20" s="107" t="e">
        <f t="shared" si="17"/>
        <v>#REF!</v>
      </c>
      <c r="AT20" s="107" t="e">
        <f>-ROUND(AC20/1000,1)</f>
        <v>#REF!</v>
      </c>
      <c r="AU20" s="108" t="e">
        <f>AG20+AJ20+AL20+AM20+AN20+AO20+AP20+AQ20+AR20+AS20+AT20</f>
        <v>#REF!</v>
      </c>
      <c r="AW20" s="272">
        <v>-55850.5</v>
      </c>
    </row>
    <row r="21" spans="1:49" hidden="1" x14ac:dyDescent="0.25">
      <c r="A21" s="6">
        <v>3</v>
      </c>
      <c r="B21" s="92" t="s">
        <v>17</v>
      </c>
      <c r="C21" s="11">
        <v>706</v>
      </c>
      <c r="D21" s="11">
        <v>2018</v>
      </c>
      <c r="E21" s="11" t="s">
        <v>182</v>
      </c>
      <c r="F21" s="37"/>
      <c r="G21" s="37"/>
      <c r="H21" s="37"/>
      <c r="I21" s="37">
        <f>SUMIF('2020'!$B:$B,выравнивание!$A21,'2020'!BM:BM)-SUMIFS('2020'!BM:BM,'2020'!$B:$B,выравнивание!$A21,'2020'!$G:$G,4)</f>
        <v>42278470</v>
      </c>
      <c r="J21" s="37">
        <f>SUMIF('2020'!$B:$B,выравнивание!$A21,'2020'!BN:BN)-SUMIFS('2020'!BN:BN,'2020'!$B:$B,выравнивание!$A21,'2020'!$G:$G,4)</f>
        <v>32471943.399999999</v>
      </c>
      <c r="K21" s="37">
        <f>SUMIF('2020'!$B:$B,выравнивание!$A21,'2020'!BO:BO)-SUMIFS('2020'!BO:BO,'2020'!$B:$B,выравнивание!$A21,'2020'!$G:$G,4)</f>
        <v>9806526.5999999996</v>
      </c>
      <c r="L21" s="37">
        <f>SUMIF('2020'!$B:$B,выравнивание!$A21,'2020'!BP:BP)-SUMIFS('2020'!BP:BP,'2020'!$B:$B,выравнивание!$A21,'2020'!$G:$G,4)</f>
        <v>4467501</v>
      </c>
      <c r="M21" s="37">
        <f>SUMIF('2020'!$B:$B,выравнивание!$A21,'2020'!BQ:BQ)-SUMIFS('2020'!BQ:BQ,'2020'!$B:$B,выравнивание!$A21,'2020'!$G:$G,4)</f>
        <v>870587</v>
      </c>
      <c r="N21" s="37">
        <f>SUMIF('2020'!$B:$B,выравнивание!$A21,'2020'!BR:BR)-SUMIFS('2020'!BR:BR,'2020'!$B:$B,выравнивание!$A21,'2020'!$G:$G,4)</f>
        <v>4098927</v>
      </c>
      <c r="O21" s="37">
        <f>SUMIF('2020'!$B:$B,выравнивание!$A21,'2020'!BS:BS)-SUMIFS('2020'!BS:BS,'2020'!$B:$B,выравнивание!$A21,'2020'!$G:$G,4)</f>
        <v>9710621</v>
      </c>
      <c r="P21" s="37">
        <f>SUMIF('2020'!$B:$B,выравнивание!$A21,'2020'!BT:BT)-SUMIFS('2020'!BT:BT,'2020'!$B:$B,выравнивание!$A21,'2020'!$G:$G,4)</f>
        <v>264368</v>
      </c>
      <c r="Q21" s="37">
        <f>SUMIF('2020'!$B:$B,выравнивание!$A21,'2020'!BU:BU)-SUMIFS('2020'!BU:BU,'2020'!$B:$B,выравнивание!$A21,'2020'!$G:$G,4)</f>
        <v>8809683</v>
      </c>
      <c r="R21" s="37">
        <f>SUMIF('2020'!$B:$B,выравнивание!$A21,'2020'!BV:BV)-SUMIFS('2020'!BV:BV,'2020'!$B:$B,выравнивание!$A21,'2020'!$G:$G,4)</f>
        <v>185024</v>
      </c>
      <c r="S21" s="37">
        <f>SUMIF('2020'!$B:$B,выравнивание!$A21,'2020'!BW:BW)-SUMIFS('2020'!BW:BW,'2020'!$B:$B,выравнивание!$A21,'2020'!$G:$G,4)</f>
        <v>451546</v>
      </c>
      <c r="T21" s="37">
        <f>SUMIF('2020'!$B:$B,выравнивание!$A21,'2020'!BX:BX)-SUMIFS('2020'!BX:BX,'2020'!$B:$B,выравнивание!$A21,'2020'!$G:$G,4)</f>
        <v>2938219</v>
      </c>
      <c r="U21" s="37">
        <f>SUMIF('2020'!$B:$B,выравнивание!$A21,'2020'!BY:BY)-SUMIFS('2020'!BY:BY,'2020'!$B:$B,выравнивание!$A21,'2020'!$G:$G,4)</f>
        <v>2944660</v>
      </c>
      <c r="V21" s="37">
        <f>SUMIF('2020'!$B:$B,выравнивание!$A21,'2020'!BZ:BZ)-SUMIFS('2020'!BZ:BZ,'2020'!$B:$B,выравнивание!$A21,'2020'!$G:$G,4)</f>
        <v>274158</v>
      </c>
      <c r="W21" s="37">
        <f>SUMIF('2020'!$B:$B,выравнивание!$A21,'2020'!CA:CA)-SUMIFS('2020'!CA:CA,'2020'!$B:$B,выравнивание!$A21,'2020'!$G:$G,4)</f>
        <v>390929</v>
      </c>
      <c r="X21" s="37">
        <f>SUMIF('2020'!$B:$B,выравнивание!$A21,'2020'!CB:CB)-SUMIFS('2020'!CB:CB,'2020'!$B:$B,выравнивание!$A21,'2020'!$G:$G,4)</f>
        <v>40616</v>
      </c>
      <c r="Y21" s="37">
        <f>SUMIF('2020'!$B:$B,выравнивание!$A21,'2020'!CC:CC)-SUMIFS('2020'!CC:CC,'2020'!$B:$B,выравнивание!$A21,'2020'!$G:$G,4)</f>
        <v>521085</v>
      </c>
      <c r="Z21" s="37">
        <f>SUMIF('2020'!$B:$B,выравнивание!$A21,'2020'!CD:CD)-SUMIFS('2020'!CD:CD,'2020'!$B:$B,выравнивание!$A21,'2020'!$G:$G,4)</f>
        <v>10506513</v>
      </c>
      <c r="AA21" s="37">
        <f>SUMIF('2020'!$B:$B,выравнивание!$A21,'2020'!CE:CE)-SUMIFS('2020'!CE:CE,'2020'!$B:$B,выравнивание!$A21,'2020'!$G:$G,4)</f>
        <v>8069518.4000000004</v>
      </c>
      <c r="AB21" s="37">
        <f>SUMIF('2020'!$B:$B,выравнивание!$A21,'2020'!CF:CF)-SUMIFS('2020'!CF:CF,'2020'!$B:$B,выравнивание!$A21,'2020'!$G:$G,4)</f>
        <v>2436994.6</v>
      </c>
      <c r="AC21" s="103">
        <f>SUMIF('2020'!$B:$B,выравнивание!$A21,'2020'!CG:CG)-SUMIFS('2020'!CG:CG,'2020'!$B:$B,выравнивание!$A21,'2020'!$G:$G,4)</f>
        <v>1657920</v>
      </c>
      <c r="AD21" s="103">
        <f>SUMIF('2020'!$B:$B,выравнивание!$A21,'2020'!CH:CH)-SUMIFS('2020'!CH:CH,'2020'!$B:$B,выравнивание!$A21,'2020'!$G:$G,4)</f>
        <v>79829619</v>
      </c>
      <c r="AE21" s="84">
        <f>SUMIF('Свод 2020'!$A$9:$A$22,выравнивание!$A21,'Свод 2020'!$AA$9:$AA$24)*1000-SUMIF('Свод 2020'!$A$9:$A$22,выравнивание!$A21,'Свод 2020'!$S$9:$S$24)*1000</f>
        <v>84767600</v>
      </c>
      <c r="AF21" s="105">
        <f>AD21-AE21</f>
        <v>-4937981</v>
      </c>
      <c r="AU21" s="108"/>
    </row>
    <row r="22" spans="1:49" hidden="1" x14ac:dyDescent="0.25">
      <c r="A22" s="6">
        <v>3</v>
      </c>
      <c r="B22" s="92" t="s">
        <v>17</v>
      </c>
      <c r="C22" s="11">
        <v>706</v>
      </c>
      <c r="D22" s="11">
        <v>2018</v>
      </c>
      <c r="E22" s="11" t="s">
        <v>184</v>
      </c>
      <c r="F22" s="104"/>
      <c r="G22" s="104"/>
      <c r="H22" s="104"/>
      <c r="I22" s="104">
        <f t="shared" ref="I22:AB22" si="18">I21/$AD21</f>
        <v>0.529609</v>
      </c>
      <c r="J22" s="104">
        <f t="shared" si="18"/>
        <v>0.40676600000000002</v>
      </c>
      <c r="K22" s="104">
        <f t="shared" si="18"/>
        <v>0.12284299999999999</v>
      </c>
      <c r="L22" s="104">
        <f t="shared" si="18"/>
        <v>5.5962999999999999E-2</v>
      </c>
      <c r="M22" s="104">
        <f t="shared" si="18"/>
        <v>1.0906000000000001E-2</v>
      </c>
      <c r="N22" s="104">
        <f t="shared" si="18"/>
        <v>5.1346000000000003E-2</v>
      </c>
      <c r="O22" s="104">
        <f t="shared" si="18"/>
        <v>0.121642</v>
      </c>
      <c r="P22" s="104">
        <f t="shared" si="18"/>
        <v>3.3119999999999998E-3</v>
      </c>
      <c r="Q22" s="104">
        <f t="shared" si="18"/>
        <v>0.110356</v>
      </c>
      <c r="R22" s="104">
        <f t="shared" si="18"/>
        <v>2.3180000000000002E-3</v>
      </c>
      <c r="S22" s="104">
        <f t="shared" si="18"/>
        <v>5.6559999999999996E-3</v>
      </c>
      <c r="T22" s="104">
        <f t="shared" si="18"/>
        <v>3.6805999999999998E-2</v>
      </c>
      <c r="U22" s="104">
        <f t="shared" si="18"/>
        <v>3.6887000000000003E-2</v>
      </c>
      <c r="V22" s="104">
        <f t="shared" si="18"/>
        <v>3.434E-3</v>
      </c>
      <c r="W22" s="104">
        <f t="shared" si="18"/>
        <v>4.8970000000000003E-3</v>
      </c>
      <c r="X22" s="104">
        <f t="shared" si="18"/>
        <v>5.0900000000000001E-4</v>
      </c>
      <c r="Y22" s="104">
        <f t="shared" si="18"/>
        <v>6.5269999999999998E-3</v>
      </c>
      <c r="Z22" s="104">
        <f t="shared" si="18"/>
        <v>0.13161200000000001</v>
      </c>
      <c r="AA22" s="104">
        <f t="shared" si="18"/>
        <v>0.10108399999999999</v>
      </c>
      <c r="AB22" s="104">
        <f t="shared" si="18"/>
        <v>3.0526999999999999E-2</v>
      </c>
      <c r="AC22" s="106">
        <f>1-Z22-Y22-X22-W22-V22-U22-T22-O22-N22-L22-I22</f>
        <v>2.0767999999999998E-2</v>
      </c>
      <c r="AD22" s="106">
        <f>AD21/$AD21</f>
        <v>1</v>
      </c>
      <c r="AE22" s="81"/>
      <c r="AU22" s="108"/>
    </row>
    <row r="23" spans="1:49" x14ac:dyDescent="0.25">
      <c r="A23" s="6">
        <v>3</v>
      </c>
      <c r="B23" s="92" t="s">
        <v>17</v>
      </c>
      <c r="C23" s="11">
        <v>706</v>
      </c>
      <c r="D23" s="11">
        <v>2018</v>
      </c>
      <c r="E23" s="11" t="s">
        <v>185</v>
      </c>
      <c r="F23" s="37">
        <f>G23+H23</f>
        <v>-3265097</v>
      </c>
      <c r="G23" s="37">
        <f>J23+AA23</f>
        <v>-2507755</v>
      </c>
      <c r="H23" s="37">
        <f>K23+AB23</f>
        <v>-757342</v>
      </c>
      <c r="I23" s="37">
        <f>ROUND($AF21*I22,0)</f>
        <v>-2615199</v>
      </c>
      <c r="J23" s="37">
        <f>ROUND(I23/1.302,0)</f>
        <v>-2008601</v>
      </c>
      <c r="K23" s="37">
        <f>I23-J23</f>
        <v>-606598</v>
      </c>
      <c r="L23" s="37">
        <f>ROUND($AF21*L22,0)</f>
        <v>-276344</v>
      </c>
      <c r="M23" s="37">
        <f>ROUND($AF21*M22,0)</f>
        <v>-53854</v>
      </c>
      <c r="N23" s="37">
        <f>ROUND($AF21*N22,0)</f>
        <v>-253546</v>
      </c>
      <c r="O23" s="37">
        <f>ROUND($AF21*O22,0)</f>
        <v>-600666</v>
      </c>
      <c r="P23" s="37">
        <f>ROUND($AE21*P22,0)</f>
        <v>280750</v>
      </c>
      <c r="Q23" s="37">
        <f>ROUND($AE21*Q22,0)</f>
        <v>9354613</v>
      </c>
      <c r="R23" s="37">
        <f>ROUND($AE21*R22,0)</f>
        <v>196491</v>
      </c>
      <c r="S23" s="37">
        <f>ROUND($AE21*S22,0)</f>
        <v>479446</v>
      </c>
      <c r="T23" s="37">
        <f t="shared" ref="T23:Z23" si="19">ROUND($AF21*T22,0)</f>
        <v>-181747</v>
      </c>
      <c r="U23" s="37">
        <f t="shared" si="19"/>
        <v>-182147</v>
      </c>
      <c r="V23" s="37">
        <f t="shared" si="19"/>
        <v>-16957</v>
      </c>
      <c r="W23" s="37">
        <f t="shared" si="19"/>
        <v>-24181</v>
      </c>
      <c r="X23" s="37">
        <f t="shared" si="19"/>
        <v>-2513</v>
      </c>
      <c r="Y23" s="37">
        <f t="shared" si="19"/>
        <v>-32230</v>
      </c>
      <c r="Z23" s="37">
        <f t="shared" si="19"/>
        <v>-649898</v>
      </c>
      <c r="AA23" s="37">
        <f>ROUND(Z23/1.302,0)</f>
        <v>-499154</v>
      </c>
      <c r="AB23" s="37">
        <f>Z23-AA23</f>
        <v>-150744</v>
      </c>
      <c r="AC23" s="37">
        <f>ROUND($AF21*AC22,0)</f>
        <v>-102552</v>
      </c>
      <c r="AD23" s="37">
        <f>I23+L23+N23+O23+T23+U23+V23+W23+X23+Y23+AC23+Z23</f>
        <v>-4937980</v>
      </c>
      <c r="AE23" s="78">
        <f>AF21</f>
        <v>-4937981</v>
      </c>
      <c r="AF23" s="78">
        <f>AE23-AF21</f>
        <v>0</v>
      </c>
      <c r="AG23" s="107">
        <f>-ROUND(F23/1000,1)</f>
        <v>3265.1</v>
      </c>
      <c r="AH23" s="107">
        <f>ROUND(AG23/1.302,1)</f>
        <v>2507.8000000000002</v>
      </c>
      <c r="AI23" s="107">
        <f>AG23-AH23</f>
        <v>757.3</v>
      </c>
      <c r="AJ23" s="107">
        <f>-ROUND(L23/1000,1)</f>
        <v>276.3</v>
      </c>
      <c r="AK23" s="107">
        <f>-ROUND(M23/1000,1)</f>
        <v>53.9</v>
      </c>
      <c r="AL23" s="107">
        <f>-ROUND(N23/1000,1)</f>
        <v>253.5</v>
      </c>
      <c r="AM23" s="107">
        <f>-ROUND(O23/1000,1)</f>
        <v>600.70000000000005</v>
      </c>
      <c r="AN23" s="107">
        <f t="shared" ref="AN23:AS23" si="20">-ROUND(T23/1000,1)</f>
        <v>181.7</v>
      </c>
      <c r="AO23" s="107">
        <f t="shared" si="20"/>
        <v>182.1</v>
      </c>
      <c r="AP23" s="107">
        <f t="shared" si="20"/>
        <v>17</v>
      </c>
      <c r="AQ23" s="107">
        <f t="shared" si="20"/>
        <v>24.2</v>
      </c>
      <c r="AR23" s="107">
        <f t="shared" si="20"/>
        <v>2.5</v>
      </c>
      <c r="AS23" s="107">
        <f t="shared" si="20"/>
        <v>32.200000000000003</v>
      </c>
      <c r="AT23" s="107">
        <f>-ROUND(AC23/1000,1)</f>
        <v>102.6</v>
      </c>
      <c r="AU23" s="108">
        <f>AG23+AJ23+AL23+AM23+AN23+AO23+AP23+AQ23+AR23+AS23+AT23</f>
        <v>4937.8999999999996</v>
      </c>
      <c r="AW23" s="272">
        <v>-28696.3</v>
      </c>
    </row>
    <row r="24" spans="1:49" hidden="1" x14ac:dyDescent="0.25">
      <c r="A24" s="6">
        <v>3</v>
      </c>
      <c r="B24" s="92" t="s">
        <v>17</v>
      </c>
      <c r="C24" s="11">
        <v>706</v>
      </c>
      <c r="D24" s="11">
        <v>2019</v>
      </c>
      <c r="E24" s="11" t="s">
        <v>182</v>
      </c>
      <c r="F24" s="37"/>
      <c r="G24" s="37"/>
      <c r="H24" s="37"/>
      <c r="I24" s="37" t="e">
        <f>SUMIF(#REF!,выравнивание!$A24,#REF!)-SUMIFS(#REF!,#REF!,выравнивание!$A24,#REF!,4)</f>
        <v>#REF!</v>
      </c>
      <c r="J24" s="37" t="e">
        <f>SUMIF(#REF!,выравнивание!$A24,#REF!)-SUMIFS(#REF!,#REF!,выравнивание!$A24,#REF!,4)</f>
        <v>#REF!</v>
      </c>
      <c r="K24" s="37" t="e">
        <f>SUMIF(#REF!,выравнивание!$A24,#REF!)-SUMIFS(#REF!,#REF!,выравнивание!$A24,#REF!,4)</f>
        <v>#REF!</v>
      </c>
      <c r="L24" s="37" t="e">
        <f>SUMIF(#REF!,выравнивание!$A24,#REF!)-SUMIFS(#REF!,#REF!,выравнивание!$A24,#REF!,4)</f>
        <v>#REF!</v>
      </c>
      <c r="M24" s="37" t="e">
        <f>SUMIF(#REF!,выравнивание!$A24,#REF!)-SUMIFS(#REF!,#REF!,выравнивание!$A24,#REF!,4)</f>
        <v>#REF!</v>
      </c>
      <c r="N24" s="37" t="e">
        <f>SUMIF(#REF!,выравнивание!$A24,#REF!)-SUMIFS(#REF!,#REF!,выравнивание!$A24,#REF!,4)</f>
        <v>#REF!</v>
      </c>
      <c r="O24" s="37" t="e">
        <f>SUMIF(#REF!,выравнивание!$A24,#REF!)-SUMIFS(#REF!,#REF!,выравнивание!$A24,#REF!,4)</f>
        <v>#REF!</v>
      </c>
      <c r="P24" s="37" t="e">
        <f>SUMIF(#REF!,выравнивание!$A24,#REF!)-SUMIFS(#REF!,#REF!,выравнивание!$A24,#REF!,4)</f>
        <v>#REF!</v>
      </c>
      <c r="Q24" s="37" t="e">
        <f>SUMIF(#REF!,выравнивание!$A24,#REF!)-SUMIFS(#REF!,#REF!,выравнивание!$A24,#REF!,4)</f>
        <v>#REF!</v>
      </c>
      <c r="R24" s="37" t="e">
        <f>SUMIF(#REF!,выравнивание!$A24,#REF!)-SUMIFS(#REF!,#REF!,выравнивание!$A24,#REF!,4)</f>
        <v>#REF!</v>
      </c>
      <c r="S24" s="37" t="e">
        <f>SUMIF(#REF!,выравнивание!$A24,#REF!)-SUMIFS(#REF!,#REF!,выравнивание!$A24,#REF!,4)</f>
        <v>#REF!</v>
      </c>
      <c r="T24" s="37" t="e">
        <f>SUMIF(#REF!,выравнивание!$A24,#REF!)-SUMIFS(#REF!,#REF!,выравнивание!$A24,#REF!,4)</f>
        <v>#REF!</v>
      </c>
      <c r="U24" s="37" t="e">
        <f>SUMIF(#REF!,выравнивание!$A24,#REF!)-SUMIFS(#REF!,#REF!,выравнивание!$A24,#REF!,4)</f>
        <v>#REF!</v>
      </c>
      <c r="V24" s="37" t="e">
        <f>SUMIF(#REF!,выравнивание!$A24,#REF!)-SUMIFS(#REF!,#REF!,выравнивание!$A24,#REF!,4)</f>
        <v>#REF!</v>
      </c>
      <c r="W24" s="37" t="e">
        <f>SUMIF(#REF!,выравнивание!$A24,#REF!)-SUMIFS(#REF!,#REF!,выравнивание!$A24,#REF!,4)</f>
        <v>#REF!</v>
      </c>
      <c r="X24" s="37" t="e">
        <f>SUMIF(#REF!,выравнивание!$A24,#REF!)-SUMIFS(#REF!,#REF!,выравнивание!$A24,#REF!,4)</f>
        <v>#REF!</v>
      </c>
      <c r="Y24" s="37" t="e">
        <f>SUMIF(#REF!,выравнивание!$A24,#REF!)-SUMIFS(#REF!,#REF!,выравнивание!$A24,#REF!,4)</f>
        <v>#REF!</v>
      </c>
      <c r="Z24" s="37" t="e">
        <f>SUMIF(#REF!,выравнивание!$A24,#REF!)-SUMIFS(#REF!,#REF!,выравнивание!$A24,#REF!,4)</f>
        <v>#REF!</v>
      </c>
      <c r="AA24" s="37" t="e">
        <f>SUMIF(#REF!,выравнивание!$A24,#REF!)-SUMIFS(#REF!,#REF!,выравнивание!$A24,#REF!,4)</f>
        <v>#REF!</v>
      </c>
      <c r="AB24" s="37" t="e">
        <f>SUMIF(#REF!,выравнивание!$A24,#REF!)-SUMIFS(#REF!,#REF!,выравнивание!$A24,#REF!,4)</f>
        <v>#REF!</v>
      </c>
      <c r="AC24" s="103" t="e">
        <f>SUMIF(#REF!,выравнивание!$A24,#REF!)-SUMIFS(#REF!,#REF!,выравнивание!$A24,#REF!,4)</f>
        <v>#REF!</v>
      </c>
      <c r="AD24" s="103" t="e">
        <f>SUMIF(#REF!,выравнивание!$A24,#REF!)-SUMIFS(#REF!,#REF!,выравнивание!$A24,#REF!,4)</f>
        <v>#REF!</v>
      </c>
      <c r="AE24" s="103" t="e">
        <f>SUMIF(#REF!,выравнивание!$A24,#REF!)*1000-SUMIF(#REF!,выравнивание!$A24,#REF!)*1000</f>
        <v>#REF!</v>
      </c>
      <c r="AF24" s="105" t="e">
        <f>AD24-AE24</f>
        <v>#REF!</v>
      </c>
      <c r="AU24" s="108"/>
    </row>
    <row r="25" spans="1:49" hidden="1" x14ac:dyDescent="0.25">
      <c r="A25" s="6">
        <v>3</v>
      </c>
      <c r="B25" s="92" t="s">
        <v>17</v>
      </c>
      <c r="C25" s="11">
        <v>706</v>
      </c>
      <c r="D25" s="11">
        <v>2019</v>
      </c>
      <c r="E25" s="11" t="s">
        <v>184</v>
      </c>
      <c r="F25" s="104"/>
      <c r="G25" s="104"/>
      <c r="H25" s="104"/>
      <c r="I25" s="104" t="e">
        <f t="shared" ref="I25:AB25" si="21">I24/$AD24</f>
        <v>#REF!</v>
      </c>
      <c r="J25" s="104" t="e">
        <f t="shared" si="21"/>
        <v>#REF!</v>
      </c>
      <c r="K25" s="104" t="e">
        <f t="shared" si="21"/>
        <v>#REF!</v>
      </c>
      <c r="L25" s="104" t="e">
        <f t="shared" si="21"/>
        <v>#REF!</v>
      </c>
      <c r="M25" s="104" t="e">
        <f t="shared" si="21"/>
        <v>#REF!</v>
      </c>
      <c r="N25" s="104" t="e">
        <f t="shared" si="21"/>
        <v>#REF!</v>
      </c>
      <c r="O25" s="104" t="e">
        <f t="shared" si="21"/>
        <v>#REF!</v>
      </c>
      <c r="P25" s="104" t="e">
        <f t="shared" si="21"/>
        <v>#REF!</v>
      </c>
      <c r="Q25" s="104" t="e">
        <f t="shared" si="21"/>
        <v>#REF!</v>
      </c>
      <c r="R25" s="104" t="e">
        <f t="shared" si="21"/>
        <v>#REF!</v>
      </c>
      <c r="S25" s="104" t="e">
        <f t="shared" si="21"/>
        <v>#REF!</v>
      </c>
      <c r="T25" s="104" t="e">
        <f t="shared" si="21"/>
        <v>#REF!</v>
      </c>
      <c r="U25" s="104" t="e">
        <f t="shared" si="21"/>
        <v>#REF!</v>
      </c>
      <c r="V25" s="104" t="e">
        <f t="shared" si="21"/>
        <v>#REF!</v>
      </c>
      <c r="W25" s="104" t="e">
        <f t="shared" si="21"/>
        <v>#REF!</v>
      </c>
      <c r="X25" s="104" t="e">
        <f t="shared" si="21"/>
        <v>#REF!</v>
      </c>
      <c r="Y25" s="104" t="e">
        <f t="shared" si="21"/>
        <v>#REF!</v>
      </c>
      <c r="Z25" s="104" t="e">
        <f t="shared" si="21"/>
        <v>#REF!</v>
      </c>
      <c r="AA25" s="104" t="e">
        <f t="shared" si="21"/>
        <v>#REF!</v>
      </c>
      <c r="AB25" s="104" t="e">
        <f t="shared" si="21"/>
        <v>#REF!</v>
      </c>
      <c r="AC25" s="106" t="e">
        <f>1-Z25-Y25-X25-W25-V25-U25-T25-O25-N25-L25-I25</f>
        <v>#REF!</v>
      </c>
      <c r="AD25" s="106" t="e">
        <f>AD24/$AD24</f>
        <v>#REF!</v>
      </c>
      <c r="AE25" s="81"/>
      <c r="AU25" s="108"/>
    </row>
    <row r="26" spans="1:49" x14ac:dyDescent="0.25">
      <c r="A26" s="6">
        <v>3</v>
      </c>
      <c r="B26" s="92" t="s">
        <v>17</v>
      </c>
      <c r="C26" s="11">
        <v>706</v>
      </c>
      <c r="D26" s="11">
        <v>2019</v>
      </c>
      <c r="E26" s="11" t="s">
        <v>185</v>
      </c>
      <c r="F26" s="37" t="e">
        <f>G26+H26</f>
        <v>#REF!</v>
      </c>
      <c r="G26" s="37" t="e">
        <f>J26+AA26</f>
        <v>#REF!</v>
      </c>
      <c r="H26" s="37" t="e">
        <f>K26+AB26</f>
        <v>#REF!</v>
      </c>
      <c r="I26" s="37" t="e">
        <f>ROUND($AF24*I25,0)</f>
        <v>#REF!</v>
      </c>
      <c r="J26" s="37" t="e">
        <f>ROUND(I26/1.302,0)</f>
        <v>#REF!</v>
      </c>
      <c r="K26" s="37" t="e">
        <f>I26-J26</f>
        <v>#REF!</v>
      </c>
      <c r="L26" s="37" t="e">
        <f>ROUND($AF24*L25,0)</f>
        <v>#REF!</v>
      </c>
      <c r="M26" s="37" t="e">
        <f>ROUND($AF24*M25,0)</f>
        <v>#REF!</v>
      </c>
      <c r="N26" s="37" t="e">
        <f>ROUND($AF24*N25,0)</f>
        <v>#REF!</v>
      </c>
      <c r="O26" s="37" t="e">
        <f>ROUND($AF24*O25,0)</f>
        <v>#REF!</v>
      </c>
      <c r="P26" s="37" t="e">
        <f>ROUND($AE24*P25,0)</f>
        <v>#REF!</v>
      </c>
      <c r="Q26" s="37" t="e">
        <f>ROUND($AE24*Q25,0)</f>
        <v>#REF!</v>
      </c>
      <c r="R26" s="37" t="e">
        <f>ROUND($AE24*R25,0)</f>
        <v>#REF!</v>
      </c>
      <c r="S26" s="37" t="e">
        <f>ROUND($AE24*S25,0)</f>
        <v>#REF!</v>
      </c>
      <c r="T26" s="37" t="e">
        <f t="shared" ref="T26:Z26" si="22">ROUND($AF24*T25,0)</f>
        <v>#REF!</v>
      </c>
      <c r="U26" s="37" t="e">
        <f t="shared" si="22"/>
        <v>#REF!</v>
      </c>
      <c r="V26" s="37" t="e">
        <f t="shared" si="22"/>
        <v>#REF!</v>
      </c>
      <c r="W26" s="37" t="e">
        <f t="shared" si="22"/>
        <v>#REF!</v>
      </c>
      <c r="X26" s="37" t="e">
        <f t="shared" si="22"/>
        <v>#REF!</v>
      </c>
      <c r="Y26" s="37" t="e">
        <f t="shared" si="22"/>
        <v>#REF!</v>
      </c>
      <c r="Z26" s="37" t="e">
        <f t="shared" si="22"/>
        <v>#REF!</v>
      </c>
      <c r="AA26" s="37" t="e">
        <f>ROUND(Z26/1.302,0)</f>
        <v>#REF!</v>
      </c>
      <c r="AB26" s="37" t="e">
        <f>Z26-AA26</f>
        <v>#REF!</v>
      </c>
      <c r="AC26" s="37" t="e">
        <f>ROUND($AF24*AC25,0)</f>
        <v>#REF!</v>
      </c>
      <c r="AD26" s="37" t="e">
        <f>I26+L26+N26+O26+T26+U26+V26+W26+X26+Y26+AC26+Z26</f>
        <v>#REF!</v>
      </c>
      <c r="AE26" s="78" t="e">
        <f>AF24</f>
        <v>#REF!</v>
      </c>
      <c r="AF26" s="78" t="e">
        <f>AE26-AF24</f>
        <v>#REF!</v>
      </c>
      <c r="AG26" s="107" t="e">
        <f>-ROUND(F26/1000,1)</f>
        <v>#REF!</v>
      </c>
      <c r="AH26" s="107" t="e">
        <f>ROUND(AG26/1.302,1)</f>
        <v>#REF!</v>
      </c>
      <c r="AI26" s="107" t="e">
        <f>AG26-AH26</f>
        <v>#REF!</v>
      </c>
      <c r="AJ26" s="107" t="e">
        <f>-ROUND(L26/1000,1)</f>
        <v>#REF!</v>
      </c>
      <c r="AK26" s="107" t="e">
        <f>-ROUND(M26/1000,1)</f>
        <v>#REF!</v>
      </c>
      <c r="AL26" s="107" t="e">
        <f>-ROUND(N26/1000,1)</f>
        <v>#REF!</v>
      </c>
      <c r="AM26" s="107" t="e">
        <f>-ROUND(O26/1000,1)</f>
        <v>#REF!</v>
      </c>
      <c r="AN26" s="107" t="e">
        <f t="shared" ref="AN26:AS26" si="23">-ROUND(T26/1000,1)</f>
        <v>#REF!</v>
      </c>
      <c r="AO26" s="107" t="e">
        <f t="shared" si="23"/>
        <v>#REF!</v>
      </c>
      <c r="AP26" s="107" t="e">
        <f t="shared" si="23"/>
        <v>#REF!</v>
      </c>
      <c r="AQ26" s="107" t="e">
        <f t="shared" si="23"/>
        <v>#REF!</v>
      </c>
      <c r="AR26" s="107" t="e">
        <f t="shared" si="23"/>
        <v>#REF!</v>
      </c>
      <c r="AS26" s="107" t="e">
        <f t="shared" si="23"/>
        <v>#REF!</v>
      </c>
      <c r="AT26" s="107" t="e">
        <f>-ROUND(AC26/1000,1)</f>
        <v>#REF!</v>
      </c>
      <c r="AU26" s="108" t="e">
        <f>AG26+AJ26+AL26+AM26+AN26+AO26+AP26+AQ26+AR26+AS26+AT26</f>
        <v>#REF!</v>
      </c>
      <c r="AW26" s="272">
        <v>-29864.1</v>
      </c>
    </row>
    <row r="27" spans="1:49" hidden="1" x14ac:dyDescent="0.25">
      <c r="A27" s="6">
        <v>3</v>
      </c>
      <c r="B27" s="92" t="s">
        <v>17</v>
      </c>
      <c r="C27" s="11">
        <v>706</v>
      </c>
      <c r="D27" s="11">
        <v>2020</v>
      </c>
      <c r="E27" s="11" t="s">
        <v>182</v>
      </c>
      <c r="F27" s="37"/>
      <c r="G27" s="37"/>
      <c r="H27" s="37"/>
      <c r="I27" s="37" t="e">
        <f>SUMIF(#REF!,выравнивание!$A27,#REF!)-SUMIFS(#REF!,#REF!,выравнивание!$A27,#REF!,4)</f>
        <v>#REF!</v>
      </c>
      <c r="J27" s="37" t="e">
        <f>SUMIF(#REF!,выравнивание!$A27,#REF!)-SUMIFS(#REF!,#REF!,выравнивание!$A27,#REF!,4)</f>
        <v>#REF!</v>
      </c>
      <c r="K27" s="37" t="e">
        <f>SUMIF(#REF!,выравнивание!$A27,#REF!)-SUMIFS(#REF!,#REF!,выравнивание!$A27,#REF!,4)</f>
        <v>#REF!</v>
      </c>
      <c r="L27" s="37" t="e">
        <f>SUMIF(#REF!,выравнивание!$A27,#REF!)-SUMIFS(#REF!,#REF!,выравнивание!$A27,#REF!,4)</f>
        <v>#REF!</v>
      </c>
      <c r="M27" s="37" t="e">
        <f>SUMIF(#REF!,выравнивание!$A27,#REF!)-SUMIFS(#REF!,#REF!,выравнивание!$A27,#REF!,4)</f>
        <v>#REF!</v>
      </c>
      <c r="N27" s="37" t="e">
        <f>SUMIF(#REF!,выравнивание!$A27,#REF!)-SUMIFS(#REF!,#REF!,выравнивание!$A27,#REF!,4)</f>
        <v>#REF!</v>
      </c>
      <c r="O27" s="37" t="e">
        <f>SUMIF(#REF!,выравнивание!$A27,#REF!)-SUMIFS(#REF!,#REF!,выравнивание!$A27,#REF!,4)</f>
        <v>#REF!</v>
      </c>
      <c r="P27" s="37" t="e">
        <f>SUMIF(#REF!,выравнивание!$A27,#REF!)-SUMIFS(#REF!,#REF!,выравнивание!$A27,#REF!,4)</f>
        <v>#REF!</v>
      </c>
      <c r="Q27" s="37" t="e">
        <f>SUMIF(#REF!,выравнивание!$A27,#REF!)-SUMIFS(#REF!,#REF!,выравнивание!$A27,#REF!,4)</f>
        <v>#REF!</v>
      </c>
      <c r="R27" s="37" t="e">
        <f>SUMIF(#REF!,выравнивание!$A27,#REF!)-SUMIFS(#REF!,#REF!,выравнивание!$A27,#REF!,4)</f>
        <v>#REF!</v>
      </c>
      <c r="S27" s="37" t="e">
        <f>SUMIF(#REF!,выравнивание!$A27,#REF!)-SUMIFS(#REF!,#REF!,выравнивание!$A27,#REF!,4)</f>
        <v>#REF!</v>
      </c>
      <c r="T27" s="37" t="e">
        <f>SUMIF(#REF!,выравнивание!$A27,#REF!)-SUMIFS(#REF!,#REF!,выравнивание!$A27,#REF!,4)</f>
        <v>#REF!</v>
      </c>
      <c r="U27" s="37" t="e">
        <f>SUMIF(#REF!,выравнивание!$A27,#REF!)-SUMIFS(#REF!,#REF!,выравнивание!$A27,#REF!,4)</f>
        <v>#REF!</v>
      </c>
      <c r="V27" s="37" t="e">
        <f>SUMIF(#REF!,выравнивание!$A27,#REF!)-SUMIFS(#REF!,#REF!,выравнивание!$A27,#REF!,4)</f>
        <v>#REF!</v>
      </c>
      <c r="W27" s="37" t="e">
        <f>SUMIF(#REF!,выравнивание!$A27,#REF!)-SUMIFS(#REF!,#REF!,выравнивание!$A27,#REF!,4)</f>
        <v>#REF!</v>
      </c>
      <c r="X27" s="37" t="e">
        <f>SUMIF(#REF!,выравнивание!$A27,#REF!)-SUMIFS(#REF!,#REF!,выравнивание!$A27,#REF!,4)</f>
        <v>#REF!</v>
      </c>
      <c r="Y27" s="37" t="e">
        <f>SUMIF(#REF!,выравнивание!$A27,#REF!)-SUMIFS(#REF!,#REF!,выравнивание!$A27,#REF!,4)</f>
        <v>#REF!</v>
      </c>
      <c r="Z27" s="37" t="e">
        <f>SUMIF(#REF!,выравнивание!$A27,#REF!)-SUMIFS(#REF!,#REF!,выравнивание!$A27,#REF!,4)</f>
        <v>#REF!</v>
      </c>
      <c r="AA27" s="37" t="e">
        <f>SUMIF(#REF!,выравнивание!$A27,#REF!)-SUMIFS(#REF!,#REF!,выравнивание!$A27,#REF!,4)</f>
        <v>#REF!</v>
      </c>
      <c r="AB27" s="37" t="e">
        <f>SUMIF(#REF!,выравнивание!$A27,#REF!)-SUMIFS(#REF!,#REF!,выравнивание!$A27,#REF!,4)</f>
        <v>#REF!</v>
      </c>
      <c r="AC27" s="103" t="e">
        <f>SUMIF(#REF!,выравнивание!$A27,#REF!)-SUMIFS(#REF!,#REF!,выравнивание!$A27,#REF!,4)</f>
        <v>#REF!</v>
      </c>
      <c r="AD27" s="103" t="e">
        <f>SUMIF(#REF!,выравнивание!$A27,#REF!)-SUMIFS(#REF!,#REF!,выравнивание!$A27,#REF!,4)</f>
        <v>#REF!</v>
      </c>
      <c r="AE27" s="103" t="e">
        <f>SUMIF(#REF!,выравнивание!$A27,#REF!)*1000-SUMIF(#REF!,выравнивание!$A27,#REF!)*1000</f>
        <v>#REF!</v>
      </c>
      <c r="AF27" s="84" t="e">
        <f>AD27-AE27</f>
        <v>#REF!</v>
      </c>
      <c r="AU27" s="108"/>
    </row>
    <row r="28" spans="1:49" hidden="1" x14ac:dyDescent="0.25">
      <c r="A28" s="6">
        <v>3</v>
      </c>
      <c r="B28" s="92" t="s">
        <v>17</v>
      </c>
      <c r="C28" s="11">
        <v>706</v>
      </c>
      <c r="D28" s="11">
        <v>2020</v>
      </c>
      <c r="E28" s="11" t="s">
        <v>184</v>
      </c>
      <c r="F28" s="104"/>
      <c r="G28" s="104"/>
      <c r="H28" s="104"/>
      <c r="I28" s="104" t="e">
        <f t="shared" ref="I28:AB28" si="24">I27/$AD27</f>
        <v>#REF!</v>
      </c>
      <c r="J28" s="104" t="e">
        <f t="shared" si="24"/>
        <v>#REF!</v>
      </c>
      <c r="K28" s="104" t="e">
        <f t="shared" si="24"/>
        <v>#REF!</v>
      </c>
      <c r="L28" s="104" t="e">
        <f t="shared" si="24"/>
        <v>#REF!</v>
      </c>
      <c r="M28" s="104" t="e">
        <f t="shared" si="24"/>
        <v>#REF!</v>
      </c>
      <c r="N28" s="104" t="e">
        <f t="shared" si="24"/>
        <v>#REF!</v>
      </c>
      <c r="O28" s="104" t="e">
        <f t="shared" si="24"/>
        <v>#REF!</v>
      </c>
      <c r="P28" s="104" t="e">
        <f t="shared" si="24"/>
        <v>#REF!</v>
      </c>
      <c r="Q28" s="104" t="e">
        <f t="shared" si="24"/>
        <v>#REF!</v>
      </c>
      <c r="R28" s="104" t="e">
        <f t="shared" si="24"/>
        <v>#REF!</v>
      </c>
      <c r="S28" s="104" t="e">
        <f t="shared" si="24"/>
        <v>#REF!</v>
      </c>
      <c r="T28" s="104" t="e">
        <f t="shared" si="24"/>
        <v>#REF!</v>
      </c>
      <c r="U28" s="104" t="e">
        <f t="shared" si="24"/>
        <v>#REF!</v>
      </c>
      <c r="V28" s="104" t="e">
        <f t="shared" si="24"/>
        <v>#REF!</v>
      </c>
      <c r="W28" s="104" t="e">
        <f t="shared" si="24"/>
        <v>#REF!</v>
      </c>
      <c r="X28" s="104" t="e">
        <f t="shared" si="24"/>
        <v>#REF!</v>
      </c>
      <c r="Y28" s="104" t="e">
        <f t="shared" si="24"/>
        <v>#REF!</v>
      </c>
      <c r="Z28" s="104" t="e">
        <f t="shared" si="24"/>
        <v>#REF!</v>
      </c>
      <c r="AA28" s="104" t="e">
        <f t="shared" si="24"/>
        <v>#REF!</v>
      </c>
      <c r="AB28" s="104" t="e">
        <f t="shared" si="24"/>
        <v>#REF!</v>
      </c>
      <c r="AC28" s="106" t="e">
        <f>1-Z28-Y28-X28-W28-V28-U28-T28-O28-N28-L28-I28</f>
        <v>#REF!</v>
      </c>
      <c r="AD28" s="106" t="e">
        <f>AD27/$AD27</f>
        <v>#REF!</v>
      </c>
      <c r="AE28" s="81"/>
      <c r="AU28" s="108"/>
    </row>
    <row r="29" spans="1:49" x14ac:dyDescent="0.25">
      <c r="A29" s="6">
        <v>3</v>
      </c>
      <c r="B29" s="92" t="s">
        <v>17</v>
      </c>
      <c r="C29" s="11">
        <v>706</v>
      </c>
      <c r="D29" s="11">
        <v>2020</v>
      </c>
      <c r="E29" s="11" t="s">
        <v>185</v>
      </c>
      <c r="F29" s="37" t="e">
        <f>G29+H29</f>
        <v>#REF!</v>
      </c>
      <c r="G29" s="37" t="e">
        <f>J29+AA29</f>
        <v>#REF!</v>
      </c>
      <c r="H29" s="37" t="e">
        <f>K29+AB29</f>
        <v>#REF!</v>
      </c>
      <c r="I29" s="37" t="e">
        <f>ROUND($AF27*I28,0)</f>
        <v>#REF!</v>
      </c>
      <c r="J29" s="37" t="e">
        <f>ROUND(I29/1.302,0)</f>
        <v>#REF!</v>
      </c>
      <c r="K29" s="37" t="e">
        <f>I29-J29</f>
        <v>#REF!</v>
      </c>
      <c r="L29" s="37" t="e">
        <f>ROUND($AF27*L28,0)</f>
        <v>#REF!</v>
      </c>
      <c r="M29" s="37" t="e">
        <f>ROUND($AF27*M28,0)</f>
        <v>#REF!</v>
      </c>
      <c r="N29" s="37" t="e">
        <f>ROUND($AF27*N28,0)</f>
        <v>#REF!</v>
      </c>
      <c r="O29" s="37" t="e">
        <f>ROUND($AF27*O28,0)</f>
        <v>#REF!</v>
      </c>
      <c r="P29" s="37" t="e">
        <f>ROUND($AE27*P28,0)</f>
        <v>#REF!</v>
      </c>
      <c r="Q29" s="37" t="e">
        <f>ROUND($AE27*Q28,0)</f>
        <v>#REF!</v>
      </c>
      <c r="R29" s="37" t="e">
        <f>ROUND($AE27*R28,0)</f>
        <v>#REF!</v>
      </c>
      <c r="S29" s="37" t="e">
        <f>ROUND($AE27*S28,0)</f>
        <v>#REF!</v>
      </c>
      <c r="T29" s="37" t="e">
        <f t="shared" ref="T29:Z29" si="25">ROUND($AF27*T28,0)</f>
        <v>#REF!</v>
      </c>
      <c r="U29" s="37" t="e">
        <f t="shared" si="25"/>
        <v>#REF!</v>
      </c>
      <c r="V29" s="37" t="e">
        <f t="shared" si="25"/>
        <v>#REF!</v>
      </c>
      <c r="W29" s="37" t="e">
        <f t="shared" si="25"/>
        <v>#REF!</v>
      </c>
      <c r="X29" s="37" t="e">
        <f t="shared" si="25"/>
        <v>#REF!</v>
      </c>
      <c r="Y29" s="37" t="e">
        <f t="shared" si="25"/>
        <v>#REF!</v>
      </c>
      <c r="Z29" s="37" t="e">
        <f t="shared" si="25"/>
        <v>#REF!</v>
      </c>
      <c r="AA29" s="37" t="e">
        <f>ROUND(Z29/1.302,0)</f>
        <v>#REF!</v>
      </c>
      <c r="AB29" s="37" t="e">
        <f>Z29-AA29</f>
        <v>#REF!</v>
      </c>
      <c r="AC29" s="37" t="e">
        <f>ROUND($AF27*AC28,0)</f>
        <v>#REF!</v>
      </c>
      <c r="AD29" s="37" t="e">
        <f>I29+L29+N29+O29+T29+U29+V29+W29+X29+Y29+AC29+Z29</f>
        <v>#REF!</v>
      </c>
      <c r="AE29" s="78" t="e">
        <f>AF27</f>
        <v>#REF!</v>
      </c>
      <c r="AF29" s="78" t="e">
        <f>AE29-AF27</f>
        <v>#REF!</v>
      </c>
      <c r="AG29" s="107" t="e">
        <f>-ROUND(F29/1000,1)</f>
        <v>#REF!</v>
      </c>
      <c r="AH29" s="107" t="e">
        <f>ROUND(AG29/1.302,1)</f>
        <v>#REF!</v>
      </c>
      <c r="AI29" s="107" t="e">
        <f>AG29-AH29</f>
        <v>#REF!</v>
      </c>
      <c r="AJ29" s="107" t="e">
        <f>-ROUND(L29/1000,1)</f>
        <v>#REF!</v>
      </c>
      <c r="AK29" s="107" t="e">
        <f>-ROUND(M29/1000,1)</f>
        <v>#REF!</v>
      </c>
      <c r="AL29" s="107" t="e">
        <f>-ROUND(N29/1000,1)</f>
        <v>#REF!</v>
      </c>
      <c r="AM29" s="107" t="e">
        <f>-ROUND(O29/1000,1)</f>
        <v>#REF!</v>
      </c>
      <c r="AN29" s="107" t="e">
        <f t="shared" ref="AN29:AS29" si="26">-ROUND(T29/1000,1)</f>
        <v>#REF!</v>
      </c>
      <c r="AO29" s="107" t="e">
        <f t="shared" si="26"/>
        <v>#REF!</v>
      </c>
      <c r="AP29" s="107" t="e">
        <f t="shared" si="26"/>
        <v>#REF!</v>
      </c>
      <c r="AQ29" s="107" t="e">
        <f t="shared" si="26"/>
        <v>#REF!</v>
      </c>
      <c r="AR29" s="107" t="e">
        <f t="shared" si="26"/>
        <v>#REF!</v>
      </c>
      <c r="AS29" s="107" t="e">
        <f t="shared" si="26"/>
        <v>#REF!</v>
      </c>
      <c r="AT29" s="107" t="e">
        <f>-ROUND(AC29/1000,1)</f>
        <v>#REF!</v>
      </c>
      <c r="AU29" s="108" t="e">
        <f>AG29+AJ29+AL29+AM29+AN29+AO29+AP29+AQ29+AR29+AS29+AT29</f>
        <v>#REF!</v>
      </c>
      <c r="AW29" s="272">
        <v>-30570.6</v>
      </c>
    </row>
    <row r="30" spans="1:49" hidden="1" x14ac:dyDescent="0.25">
      <c r="A30" s="6">
        <v>4</v>
      </c>
      <c r="B30" s="92" t="s">
        <v>18</v>
      </c>
      <c r="C30" s="11">
        <v>706</v>
      </c>
      <c r="D30" s="11">
        <v>2018</v>
      </c>
      <c r="E30" s="11" t="s">
        <v>182</v>
      </c>
      <c r="F30" s="37"/>
      <c r="G30" s="37"/>
      <c r="H30" s="37"/>
      <c r="I30" s="37">
        <f>SUMIF('2020'!$B:$B,выравнивание!$A30,'2020'!BM:BM)-SUMIFS('2020'!BM:BM,'2020'!$B:$B,выравнивание!$A30,'2020'!$G:$G,4)</f>
        <v>67491117</v>
      </c>
      <c r="J30" s="37">
        <f>SUMIF('2020'!$B:$B,выравнивание!$A30,'2020'!BN:BN)-SUMIFS('2020'!BN:BN,'2020'!$B:$B,выравнивание!$A30,'2020'!$G:$G,4)</f>
        <v>51836495.299999997</v>
      </c>
      <c r="K30" s="37">
        <f>SUMIF('2020'!$B:$B,выравнивание!$A30,'2020'!BO:BO)-SUMIFS('2020'!BO:BO,'2020'!$B:$B,выравнивание!$A30,'2020'!$G:$G,4)</f>
        <v>15654621.699999999</v>
      </c>
      <c r="L30" s="37">
        <f>SUMIF('2020'!$B:$B,выравнивание!$A30,'2020'!BP:BP)-SUMIFS('2020'!BP:BP,'2020'!$B:$B,выравнивание!$A30,'2020'!$G:$G,4)</f>
        <v>4395565</v>
      </c>
      <c r="M30" s="37">
        <f>SUMIF('2020'!$B:$B,выравнивание!$A30,'2020'!BQ:BQ)-SUMIFS('2020'!BQ:BQ,'2020'!$B:$B,выравнивание!$A30,'2020'!$G:$G,4)</f>
        <v>826029</v>
      </c>
      <c r="N30" s="37">
        <f>SUMIF('2020'!$B:$B,выравнивание!$A30,'2020'!BR:BR)-SUMIFS('2020'!BR:BR,'2020'!$B:$B,выравнивание!$A30,'2020'!$G:$G,4)</f>
        <v>4055595</v>
      </c>
      <c r="O30" s="37">
        <f>SUMIF('2020'!$B:$B,выравнивание!$A30,'2020'!BS:BS)-SUMIFS('2020'!BS:BS,'2020'!$B:$B,выравнивание!$A30,'2020'!$G:$G,4)</f>
        <v>9692627</v>
      </c>
      <c r="P30" s="37">
        <f>SUMIF('2020'!$B:$B,выравнивание!$A30,'2020'!BT:BT)-SUMIFS('2020'!BT:BT,'2020'!$B:$B,выравнивание!$A30,'2020'!$G:$G,4)</f>
        <v>269468</v>
      </c>
      <c r="Q30" s="37">
        <f>SUMIF('2020'!$B:$B,выравнивание!$A30,'2020'!BU:BU)-SUMIFS('2020'!BU:BU,'2020'!$B:$B,выравнивание!$A30,'2020'!$G:$G,4)</f>
        <v>8786285</v>
      </c>
      <c r="R30" s="37">
        <f>SUMIF('2020'!$B:$B,выравнивание!$A30,'2020'!BV:BV)-SUMIFS('2020'!BV:BV,'2020'!$B:$B,выравнивание!$A30,'2020'!$G:$G,4)</f>
        <v>186874</v>
      </c>
      <c r="S30" s="37">
        <f>SUMIF('2020'!$B:$B,выравнивание!$A30,'2020'!BW:BW)-SUMIFS('2020'!BW:BW,'2020'!$B:$B,выравнивание!$A30,'2020'!$G:$G,4)</f>
        <v>450000</v>
      </c>
      <c r="T30" s="37">
        <f>SUMIF('2020'!$B:$B,выравнивание!$A30,'2020'!BX:BX)-SUMIFS('2020'!BX:BX,'2020'!$B:$B,выравнивание!$A30,'2020'!$G:$G,4)</f>
        <v>4479923</v>
      </c>
      <c r="U30" s="37">
        <f>SUMIF('2020'!$B:$B,выравнивание!$A30,'2020'!BY:BY)-SUMIFS('2020'!BY:BY,'2020'!$B:$B,выравнивание!$A30,'2020'!$G:$G,4)</f>
        <v>2913780</v>
      </c>
      <c r="V30" s="37">
        <f>SUMIF('2020'!$B:$B,выравнивание!$A30,'2020'!BZ:BZ)-SUMIFS('2020'!BZ:BZ,'2020'!$B:$B,выравнивание!$A30,'2020'!$G:$G,4)</f>
        <v>271350</v>
      </c>
      <c r="W30" s="37">
        <f>SUMIF('2020'!$B:$B,выравнивание!$A30,'2020'!CA:CA)-SUMIFS('2020'!CA:CA,'2020'!$B:$B,выравнивание!$A30,'2020'!$G:$G,4)</f>
        <v>386925</v>
      </c>
      <c r="X30" s="37">
        <f>SUMIF('2020'!$B:$B,выравнивание!$A30,'2020'!CB:CB)-SUMIFS('2020'!CB:CB,'2020'!$B:$B,выравнивание!$A30,'2020'!$G:$G,4)</f>
        <v>41280</v>
      </c>
      <c r="Y30" s="37">
        <f>SUMIF('2020'!$B:$B,выравнивание!$A30,'2020'!CC:CC)-SUMIFS('2020'!CC:CC,'2020'!$B:$B,выравнивание!$A30,'2020'!$G:$G,4)</f>
        <v>493775</v>
      </c>
      <c r="Z30" s="37">
        <f>SUMIF('2020'!$B:$B,выравнивание!$A30,'2020'!CD:CD)-SUMIFS('2020'!CD:CD,'2020'!$B:$B,выравнивание!$A30,'2020'!$G:$G,4)</f>
        <v>16595916</v>
      </c>
      <c r="AA30" s="37">
        <f>SUMIF('2020'!$B:$B,выравнивание!$A30,'2020'!CE:CE)-SUMIFS('2020'!CE:CE,'2020'!$B:$B,выравнивание!$A30,'2020'!$G:$G,4)</f>
        <v>12746479.300000001</v>
      </c>
      <c r="AB30" s="37">
        <f>SUMIF('2020'!$B:$B,выравнивание!$A30,'2020'!CF:CF)-SUMIFS('2020'!CF:CF,'2020'!$B:$B,выравнивание!$A30,'2020'!$G:$G,4)</f>
        <v>3849436.7</v>
      </c>
      <c r="AC30" s="103">
        <f>SUMIF('2020'!$B:$B,выравнивание!$A30,'2020'!CG:CG)-SUMIFS('2020'!CG:CG,'2020'!$B:$B,выравнивание!$A30,'2020'!$G:$G,4)</f>
        <v>1643840</v>
      </c>
      <c r="AD30" s="103">
        <f>SUMIF('2020'!$B:$B,выравнивание!$A30,'2020'!CH:CH)-SUMIFS('2020'!CH:CH,'2020'!$B:$B,выравнивание!$A30,'2020'!$G:$G,4)</f>
        <v>112461693</v>
      </c>
      <c r="AE30" s="84">
        <f>SUMIF('Свод 2020'!$A$9:$A$22,выравнивание!$A30,'Свод 2020'!$AA$9:$AA$24)*1000-SUMIF('Свод 2020'!$A$9:$A$22,выравнивание!$A30,'Свод 2020'!$S$9:$S$24)*1000</f>
        <v>119418000</v>
      </c>
      <c r="AF30" s="105">
        <f>AD30-AE30</f>
        <v>-6956307</v>
      </c>
      <c r="AU30" s="108"/>
    </row>
    <row r="31" spans="1:49" hidden="1" x14ac:dyDescent="0.25">
      <c r="A31" s="6">
        <v>4</v>
      </c>
      <c r="B31" s="92" t="s">
        <v>18</v>
      </c>
      <c r="C31" s="11">
        <v>706</v>
      </c>
      <c r="D31" s="11">
        <v>2018</v>
      </c>
      <c r="E31" s="11" t="s">
        <v>184</v>
      </c>
      <c r="F31" s="104"/>
      <c r="G31" s="104"/>
      <c r="H31" s="104"/>
      <c r="I31" s="104">
        <f t="shared" ref="I31:AB31" si="27">I30/$AD30</f>
        <v>0.60012500000000002</v>
      </c>
      <c r="J31" s="104">
        <f t="shared" si="27"/>
        <v>0.460926</v>
      </c>
      <c r="K31" s="104">
        <f t="shared" si="27"/>
        <v>0.13919999999999999</v>
      </c>
      <c r="L31" s="104">
        <f t="shared" si="27"/>
        <v>3.9085000000000002E-2</v>
      </c>
      <c r="M31" s="104">
        <f t="shared" si="27"/>
        <v>7.345E-3</v>
      </c>
      <c r="N31" s="104">
        <f t="shared" si="27"/>
        <v>3.6061999999999997E-2</v>
      </c>
      <c r="O31" s="104">
        <f t="shared" si="27"/>
        <v>8.6185999999999999E-2</v>
      </c>
      <c r="P31" s="104">
        <f t="shared" si="27"/>
        <v>2.3960000000000001E-3</v>
      </c>
      <c r="Q31" s="104">
        <f t="shared" si="27"/>
        <v>7.8127000000000002E-2</v>
      </c>
      <c r="R31" s="104">
        <f t="shared" si="27"/>
        <v>1.6620000000000001E-3</v>
      </c>
      <c r="S31" s="104">
        <f t="shared" si="27"/>
        <v>4.0010000000000002E-3</v>
      </c>
      <c r="T31" s="104">
        <f t="shared" si="27"/>
        <v>3.9835000000000002E-2</v>
      </c>
      <c r="U31" s="104">
        <f t="shared" si="27"/>
        <v>2.5909000000000001E-2</v>
      </c>
      <c r="V31" s="104">
        <f t="shared" si="27"/>
        <v>2.4130000000000002E-3</v>
      </c>
      <c r="W31" s="104">
        <f t="shared" si="27"/>
        <v>3.441E-3</v>
      </c>
      <c r="X31" s="104">
        <f t="shared" si="27"/>
        <v>3.6699999999999998E-4</v>
      </c>
      <c r="Y31" s="104">
        <f t="shared" si="27"/>
        <v>4.3909999999999999E-3</v>
      </c>
      <c r="Z31" s="104">
        <f t="shared" si="27"/>
        <v>0.14757000000000001</v>
      </c>
      <c r="AA31" s="104">
        <f t="shared" si="27"/>
        <v>0.113341</v>
      </c>
      <c r="AB31" s="104">
        <f t="shared" si="27"/>
        <v>3.4229000000000002E-2</v>
      </c>
      <c r="AC31" s="106">
        <f>1-Z31-Y31-X31-W31-V31-U31-T31-O31-N31-L31-I31</f>
        <v>1.4616000000000001E-2</v>
      </c>
      <c r="AD31" s="106">
        <f>AD30/$AD30</f>
        <v>1</v>
      </c>
      <c r="AE31" s="81"/>
      <c r="AU31" s="108"/>
    </row>
    <row r="32" spans="1:49" x14ac:dyDescent="0.25">
      <c r="A32" s="6">
        <v>4</v>
      </c>
      <c r="B32" s="92" t="s">
        <v>18</v>
      </c>
      <c r="C32" s="11">
        <v>706</v>
      </c>
      <c r="D32" s="11">
        <v>2018</v>
      </c>
      <c r="E32" s="11" t="s">
        <v>185</v>
      </c>
      <c r="F32" s="37">
        <f>G32+H32</f>
        <v>-5201196</v>
      </c>
      <c r="G32" s="37">
        <f>J32+AA32</f>
        <v>-3994774</v>
      </c>
      <c r="H32" s="37">
        <f>K32+AB32</f>
        <v>-1206422</v>
      </c>
      <c r="I32" s="37">
        <f>ROUND($AF30*I31,0)</f>
        <v>-4174654</v>
      </c>
      <c r="J32" s="37">
        <f>ROUND(I32/1.302,0)</f>
        <v>-3206339</v>
      </c>
      <c r="K32" s="37">
        <f>I32-J32</f>
        <v>-968315</v>
      </c>
      <c r="L32" s="37">
        <f>ROUND($AF30*L31,0)</f>
        <v>-271887</v>
      </c>
      <c r="M32" s="37">
        <f>ROUND($AF30*M31,0)</f>
        <v>-51094</v>
      </c>
      <c r="N32" s="37">
        <f>ROUND($AF30*N31,0)</f>
        <v>-250858</v>
      </c>
      <c r="O32" s="37">
        <f>ROUND($AF30*O31,0)</f>
        <v>-599536</v>
      </c>
      <c r="P32" s="37">
        <f>ROUND($AE30*P31,0)</f>
        <v>286126</v>
      </c>
      <c r="Q32" s="37">
        <f>ROUND($AE30*Q31,0)</f>
        <v>9329770</v>
      </c>
      <c r="R32" s="37">
        <f>ROUND($AE30*R31,0)</f>
        <v>198473</v>
      </c>
      <c r="S32" s="37">
        <f>ROUND($AE30*S31,0)</f>
        <v>477791</v>
      </c>
      <c r="T32" s="37">
        <f t="shared" ref="T32:Z32" si="28">ROUND($AF30*T31,0)</f>
        <v>-277104</v>
      </c>
      <c r="U32" s="37">
        <f t="shared" si="28"/>
        <v>-180231</v>
      </c>
      <c r="V32" s="37">
        <f t="shared" si="28"/>
        <v>-16786</v>
      </c>
      <c r="W32" s="37">
        <f t="shared" si="28"/>
        <v>-23937</v>
      </c>
      <c r="X32" s="37">
        <f t="shared" si="28"/>
        <v>-2553</v>
      </c>
      <c r="Y32" s="37">
        <f t="shared" si="28"/>
        <v>-30545</v>
      </c>
      <c r="Z32" s="37">
        <f t="shared" si="28"/>
        <v>-1026542</v>
      </c>
      <c r="AA32" s="37">
        <f>ROUND(Z32/1.302,0)</f>
        <v>-788435</v>
      </c>
      <c r="AB32" s="37">
        <f>Z32-AA32</f>
        <v>-238107</v>
      </c>
      <c r="AC32" s="37">
        <f>ROUND($AF30*AC31,0)</f>
        <v>-101673</v>
      </c>
      <c r="AD32" s="37">
        <f>I32+L32+N32+O32+T32+U32+V32+W32+X32+Y32+AC32+Z32</f>
        <v>-6956306</v>
      </c>
      <c r="AE32" s="78">
        <f>AF30</f>
        <v>-6956307</v>
      </c>
      <c r="AF32" s="78">
        <f>AE32-AF30</f>
        <v>0</v>
      </c>
      <c r="AG32" s="107">
        <f>-ROUND(F32/1000,1)</f>
        <v>5201.2</v>
      </c>
      <c r="AH32" s="107">
        <f>ROUND(AG32/1.302,1)</f>
        <v>3994.8</v>
      </c>
      <c r="AI32" s="107">
        <f>AG32-AH32</f>
        <v>1206.4000000000001</v>
      </c>
      <c r="AJ32" s="107">
        <f>-ROUND(L32/1000,1)</f>
        <v>271.89999999999998</v>
      </c>
      <c r="AK32" s="107">
        <f>-ROUND(M32/1000,1)</f>
        <v>51.1</v>
      </c>
      <c r="AL32" s="107">
        <f>-ROUND(N32/1000,1)</f>
        <v>250.9</v>
      </c>
      <c r="AM32" s="107">
        <f>-ROUND(O32/1000,1)</f>
        <v>599.5</v>
      </c>
      <c r="AN32" s="107">
        <f t="shared" ref="AN32:AS32" si="29">-ROUND(T32/1000,1)</f>
        <v>277.10000000000002</v>
      </c>
      <c r="AO32" s="107">
        <f t="shared" si="29"/>
        <v>180.2</v>
      </c>
      <c r="AP32" s="107">
        <f t="shared" si="29"/>
        <v>16.8</v>
      </c>
      <c r="AQ32" s="107">
        <f t="shared" si="29"/>
        <v>23.9</v>
      </c>
      <c r="AR32" s="107">
        <f t="shared" si="29"/>
        <v>2.6</v>
      </c>
      <c r="AS32" s="107">
        <f t="shared" si="29"/>
        <v>30.5</v>
      </c>
      <c r="AT32" s="107">
        <f>-ROUND(AC32/1000,1)</f>
        <v>101.7</v>
      </c>
      <c r="AU32" s="108">
        <f>AG32+AJ32+AL32+AM32+AN32+AO32+AP32+AQ32+AR32+AS32+AT32</f>
        <v>6956.3</v>
      </c>
      <c r="AW32" s="272">
        <v>-37225</v>
      </c>
    </row>
    <row r="33" spans="1:49" hidden="1" x14ac:dyDescent="0.25">
      <c r="A33" s="6">
        <v>4</v>
      </c>
      <c r="B33" s="92" t="s">
        <v>18</v>
      </c>
      <c r="C33" s="11">
        <v>706</v>
      </c>
      <c r="D33" s="11">
        <v>2019</v>
      </c>
      <c r="E33" s="11" t="s">
        <v>182</v>
      </c>
      <c r="F33" s="37"/>
      <c r="G33" s="37"/>
      <c r="H33" s="37"/>
      <c r="I33" s="37" t="e">
        <f>SUMIF(#REF!,выравнивание!$A33,#REF!)-SUMIFS(#REF!,#REF!,выравнивание!$A33,#REF!,4)</f>
        <v>#REF!</v>
      </c>
      <c r="J33" s="37" t="e">
        <f>SUMIF(#REF!,выравнивание!$A33,#REF!)-SUMIFS(#REF!,#REF!,выравнивание!$A33,#REF!,4)</f>
        <v>#REF!</v>
      </c>
      <c r="K33" s="37" t="e">
        <f>SUMIF(#REF!,выравнивание!$A33,#REF!)-SUMIFS(#REF!,#REF!,выравнивание!$A33,#REF!,4)</f>
        <v>#REF!</v>
      </c>
      <c r="L33" s="37" t="e">
        <f>SUMIF(#REF!,выравнивание!$A33,#REF!)-SUMIFS(#REF!,#REF!,выравнивание!$A33,#REF!,4)</f>
        <v>#REF!</v>
      </c>
      <c r="M33" s="37" t="e">
        <f>SUMIF(#REF!,выравнивание!$A33,#REF!)-SUMIFS(#REF!,#REF!,выравнивание!$A33,#REF!,4)</f>
        <v>#REF!</v>
      </c>
      <c r="N33" s="37" t="e">
        <f>SUMIF(#REF!,выравнивание!$A33,#REF!)-SUMIFS(#REF!,#REF!,выравнивание!$A33,#REF!,4)</f>
        <v>#REF!</v>
      </c>
      <c r="O33" s="37" t="e">
        <f>SUMIF(#REF!,выравнивание!$A33,#REF!)-SUMIFS(#REF!,#REF!,выравнивание!$A33,#REF!,4)</f>
        <v>#REF!</v>
      </c>
      <c r="P33" s="37" t="e">
        <f>SUMIF(#REF!,выравнивание!$A33,#REF!)-SUMIFS(#REF!,#REF!,выравнивание!$A33,#REF!,4)</f>
        <v>#REF!</v>
      </c>
      <c r="Q33" s="37" t="e">
        <f>SUMIF(#REF!,выравнивание!$A33,#REF!)-SUMIFS(#REF!,#REF!,выравнивание!$A33,#REF!,4)</f>
        <v>#REF!</v>
      </c>
      <c r="R33" s="37" t="e">
        <f>SUMIF(#REF!,выравнивание!$A33,#REF!)-SUMIFS(#REF!,#REF!,выравнивание!$A33,#REF!,4)</f>
        <v>#REF!</v>
      </c>
      <c r="S33" s="37" t="e">
        <f>SUMIF(#REF!,выравнивание!$A33,#REF!)-SUMIFS(#REF!,#REF!,выравнивание!$A33,#REF!,4)</f>
        <v>#REF!</v>
      </c>
      <c r="T33" s="37" t="e">
        <f>SUMIF(#REF!,выравнивание!$A33,#REF!)-SUMIFS(#REF!,#REF!,выравнивание!$A33,#REF!,4)</f>
        <v>#REF!</v>
      </c>
      <c r="U33" s="37" t="e">
        <f>SUMIF(#REF!,выравнивание!$A33,#REF!)-SUMIFS(#REF!,#REF!,выравнивание!$A33,#REF!,4)</f>
        <v>#REF!</v>
      </c>
      <c r="V33" s="37" t="e">
        <f>SUMIF(#REF!,выравнивание!$A33,#REF!)-SUMIFS(#REF!,#REF!,выравнивание!$A33,#REF!,4)</f>
        <v>#REF!</v>
      </c>
      <c r="W33" s="37" t="e">
        <f>SUMIF(#REF!,выравнивание!$A33,#REF!)-SUMIFS(#REF!,#REF!,выравнивание!$A33,#REF!,4)</f>
        <v>#REF!</v>
      </c>
      <c r="X33" s="37" t="e">
        <f>SUMIF(#REF!,выравнивание!$A33,#REF!)-SUMIFS(#REF!,#REF!,выравнивание!$A33,#REF!,4)</f>
        <v>#REF!</v>
      </c>
      <c r="Y33" s="37" t="e">
        <f>SUMIF(#REF!,выравнивание!$A33,#REF!)-SUMIFS(#REF!,#REF!,выравнивание!$A33,#REF!,4)</f>
        <v>#REF!</v>
      </c>
      <c r="Z33" s="37" t="e">
        <f>SUMIF(#REF!,выравнивание!$A33,#REF!)-SUMIFS(#REF!,#REF!,выравнивание!$A33,#REF!,4)</f>
        <v>#REF!</v>
      </c>
      <c r="AA33" s="37" t="e">
        <f>SUMIF(#REF!,выравнивание!$A33,#REF!)-SUMIFS(#REF!,#REF!,выравнивание!$A33,#REF!,4)</f>
        <v>#REF!</v>
      </c>
      <c r="AB33" s="37" t="e">
        <f>SUMIF(#REF!,выравнивание!$A33,#REF!)-SUMIFS(#REF!,#REF!,выравнивание!$A33,#REF!,4)</f>
        <v>#REF!</v>
      </c>
      <c r="AC33" s="103" t="e">
        <f>SUMIF(#REF!,выравнивание!$A33,#REF!)-SUMIFS(#REF!,#REF!,выравнивание!$A33,#REF!,4)</f>
        <v>#REF!</v>
      </c>
      <c r="AD33" s="103" t="e">
        <f>SUMIF(#REF!,выравнивание!$A33,#REF!)-SUMIFS(#REF!,#REF!,выравнивание!$A33,#REF!,4)</f>
        <v>#REF!</v>
      </c>
      <c r="AE33" s="103" t="e">
        <f>SUMIF(#REF!,выравнивание!$A33,#REF!)*1000-SUMIF(#REF!,выравнивание!$A33,#REF!)*1000</f>
        <v>#REF!</v>
      </c>
      <c r="AF33" s="105" t="e">
        <f>AD33-AE33</f>
        <v>#REF!</v>
      </c>
      <c r="AU33" s="108"/>
    </row>
    <row r="34" spans="1:49" hidden="1" x14ac:dyDescent="0.25">
      <c r="A34" s="6">
        <v>4</v>
      </c>
      <c r="B34" s="92" t="s">
        <v>18</v>
      </c>
      <c r="C34" s="11">
        <v>706</v>
      </c>
      <c r="D34" s="11">
        <v>2019</v>
      </c>
      <c r="E34" s="11" t="s">
        <v>184</v>
      </c>
      <c r="F34" s="104"/>
      <c r="G34" s="104"/>
      <c r="H34" s="104"/>
      <c r="I34" s="104" t="e">
        <f t="shared" ref="I34:AB34" si="30">I33/$AD33</f>
        <v>#REF!</v>
      </c>
      <c r="J34" s="104" t="e">
        <f t="shared" si="30"/>
        <v>#REF!</v>
      </c>
      <c r="K34" s="104" t="e">
        <f t="shared" si="30"/>
        <v>#REF!</v>
      </c>
      <c r="L34" s="104" t="e">
        <f t="shared" si="30"/>
        <v>#REF!</v>
      </c>
      <c r="M34" s="104" t="e">
        <f t="shared" si="30"/>
        <v>#REF!</v>
      </c>
      <c r="N34" s="104" t="e">
        <f t="shared" si="30"/>
        <v>#REF!</v>
      </c>
      <c r="O34" s="104" t="e">
        <f t="shared" si="30"/>
        <v>#REF!</v>
      </c>
      <c r="P34" s="104" t="e">
        <f t="shared" si="30"/>
        <v>#REF!</v>
      </c>
      <c r="Q34" s="104" t="e">
        <f t="shared" si="30"/>
        <v>#REF!</v>
      </c>
      <c r="R34" s="104" t="e">
        <f t="shared" si="30"/>
        <v>#REF!</v>
      </c>
      <c r="S34" s="104" t="e">
        <f t="shared" si="30"/>
        <v>#REF!</v>
      </c>
      <c r="T34" s="104" t="e">
        <f t="shared" si="30"/>
        <v>#REF!</v>
      </c>
      <c r="U34" s="104" t="e">
        <f t="shared" si="30"/>
        <v>#REF!</v>
      </c>
      <c r="V34" s="104" t="e">
        <f t="shared" si="30"/>
        <v>#REF!</v>
      </c>
      <c r="W34" s="104" t="e">
        <f t="shared" si="30"/>
        <v>#REF!</v>
      </c>
      <c r="X34" s="104" t="e">
        <f t="shared" si="30"/>
        <v>#REF!</v>
      </c>
      <c r="Y34" s="104" t="e">
        <f t="shared" si="30"/>
        <v>#REF!</v>
      </c>
      <c r="Z34" s="104" t="e">
        <f t="shared" si="30"/>
        <v>#REF!</v>
      </c>
      <c r="AA34" s="104" t="e">
        <f t="shared" si="30"/>
        <v>#REF!</v>
      </c>
      <c r="AB34" s="104" t="e">
        <f t="shared" si="30"/>
        <v>#REF!</v>
      </c>
      <c r="AC34" s="106" t="e">
        <f>1-Z34-Y34-X34-W34-V34-U34-T34-O34-N34-L34-I34</f>
        <v>#REF!</v>
      </c>
      <c r="AD34" s="106" t="e">
        <f>AD33/$AD33</f>
        <v>#REF!</v>
      </c>
      <c r="AE34" s="81"/>
      <c r="AU34" s="108"/>
    </row>
    <row r="35" spans="1:49" x14ac:dyDescent="0.25">
      <c r="A35" s="6">
        <v>4</v>
      </c>
      <c r="B35" s="92" t="s">
        <v>18</v>
      </c>
      <c r="C35" s="11">
        <v>706</v>
      </c>
      <c r="D35" s="11">
        <v>2019</v>
      </c>
      <c r="E35" s="11" t="s">
        <v>185</v>
      </c>
      <c r="F35" s="37" t="e">
        <f>G35+H35</f>
        <v>#REF!</v>
      </c>
      <c r="G35" s="37" t="e">
        <f>J35+AA35</f>
        <v>#REF!</v>
      </c>
      <c r="H35" s="37" t="e">
        <f>K35+AB35</f>
        <v>#REF!</v>
      </c>
      <c r="I35" s="37" t="e">
        <f>ROUND($AF33*I34,0)</f>
        <v>#REF!</v>
      </c>
      <c r="J35" s="37" t="e">
        <f>ROUND(I35/1.302,0)</f>
        <v>#REF!</v>
      </c>
      <c r="K35" s="37" t="e">
        <f>I35-J35</f>
        <v>#REF!</v>
      </c>
      <c r="L35" s="37" t="e">
        <f>ROUND($AF33*L34,0)</f>
        <v>#REF!</v>
      </c>
      <c r="M35" s="37" t="e">
        <f>ROUND($AF33*M34,0)</f>
        <v>#REF!</v>
      </c>
      <c r="N35" s="37" t="e">
        <f>ROUND($AF33*N34,0)</f>
        <v>#REF!</v>
      </c>
      <c r="O35" s="37" t="e">
        <f>ROUND($AF33*O34,0)</f>
        <v>#REF!</v>
      </c>
      <c r="P35" s="37" t="e">
        <f>ROUND($AE33*P34,0)</f>
        <v>#REF!</v>
      </c>
      <c r="Q35" s="37" t="e">
        <f>ROUND($AE33*Q34,0)</f>
        <v>#REF!</v>
      </c>
      <c r="R35" s="37" t="e">
        <f>ROUND($AE33*R34,0)</f>
        <v>#REF!</v>
      </c>
      <c r="S35" s="37" t="e">
        <f>ROUND($AE33*S34,0)</f>
        <v>#REF!</v>
      </c>
      <c r="T35" s="37" t="e">
        <f t="shared" ref="T35:Z35" si="31">ROUND($AF33*T34,0)</f>
        <v>#REF!</v>
      </c>
      <c r="U35" s="37" t="e">
        <f t="shared" si="31"/>
        <v>#REF!</v>
      </c>
      <c r="V35" s="37" t="e">
        <f t="shared" si="31"/>
        <v>#REF!</v>
      </c>
      <c r="W35" s="37" t="e">
        <f t="shared" si="31"/>
        <v>#REF!</v>
      </c>
      <c r="X35" s="37" t="e">
        <f t="shared" si="31"/>
        <v>#REF!</v>
      </c>
      <c r="Y35" s="37" t="e">
        <f t="shared" si="31"/>
        <v>#REF!</v>
      </c>
      <c r="Z35" s="37" t="e">
        <f t="shared" si="31"/>
        <v>#REF!</v>
      </c>
      <c r="AA35" s="37" t="e">
        <f>ROUND(Z35/1.302,0)</f>
        <v>#REF!</v>
      </c>
      <c r="AB35" s="37" t="e">
        <f>Z35-AA35</f>
        <v>#REF!</v>
      </c>
      <c r="AC35" s="37" t="e">
        <f>ROUND($AF33*AC34,0)</f>
        <v>#REF!</v>
      </c>
      <c r="AD35" s="37" t="e">
        <f>I35+L35+N35+O35+T35+U35+V35+W35+X35+Y35+AC35+Z35</f>
        <v>#REF!</v>
      </c>
      <c r="AE35" s="78" t="e">
        <f>AF33</f>
        <v>#REF!</v>
      </c>
      <c r="AF35" s="78" t="e">
        <f>AE35-AF33</f>
        <v>#REF!</v>
      </c>
      <c r="AG35" s="107" t="e">
        <f>-ROUND(F35/1000,1)</f>
        <v>#REF!</v>
      </c>
      <c r="AH35" s="107" t="e">
        <f>ROUND(AG35/1.302,1)</f>
        <v>#REF!</v>
      </c>
      <c r="AI35" s="107" t="e">
        <f>AG35-AH35</f>
        <v>#REF!</v>
      </c>
      <c r="AJ35" s="107" t="e">
        <f>-ROUND(L35/1000,1)</f>
        <v>#REF!</v>
      </c>
      <c r="AK35" s="107" t="e">
        <f>-ROUND(M35/1000,1)</f>
        <v>#REF!</v>
      </c>
      <c r="AL35" s="107" t="e">
        <f>-ROUND(N35/1000,1)</f>
        <v>#REF!</v>
      </c>
      <c r="AM35" s="107" t="e">
        <f>-ROUND(O35/1000,1)</f>
        <v>#REF!</v>
      </c>
      <c r="AN35" s="107" t="e">
        <f t="shared" ref="AN35:AS35" si="32">-ROUND(T35/1000,1)</f>
        <v>#REF!</v>
      </c>
      <c r="AO35" s="107" t="e">
        <f t="shared" si="32"/>
        <v>#REF!</v>
      </c>
      <c r="AP35" s="107" t="e">
        <f t="shared" si="32"/>
        <v>#REF!</v>
      </c>
      <c r="AQ35" s="107" t="e">
        <f t="shared" si="32"/>
        <v>#REF!</v>
      </c>
      <c r="AR35" s="107" t="e">
        <f t="shared" si="32"/>
        <v>#REF!</v>
      </c>
      <c r="AS35" s="107" t="e">
        <f t="shared" si="32"/>
        <v>#REF!</v>
      </c>
      <c r="AT35" s="107" t="e">
        <f>-ROUND(AC35/1000,1)</f>
        <v>#REF!</v>
      </c>
      <c r="AU35" s="108" t="e">
        <f>AG35+AJ35+AL35+AM35+AN35+AO35+AP35+AQ35+AR35+AS35+AT35</f>
        <v>#REF!</v>
      </c>
      <c r="AW35" s="272">
        <v>-38778.5</v>
      </c>
    </row>
    <row r="36" spans="1:49" hidden="1" x14ac:dyDescent="0.25">
      <c r="A36" s="6">
        <v>4</v>
      </c>
      <c r="B36" s="92" t="s">
        <v>18</v>
      </c>
      <c r="C36" s="11">
        <v>706</v>
      </c>
      <c r="D36" s="11">
        <v>2020</v>
      </c>
      <c r="E36" s="11" t="s">
        <v>182</v>
      </c>
      <c r="F36" s="37"/>
      <c r="G36" s="37"/>
      <c r="H36" s="37"/>
      <c r="I36" s="37" t="e">
        <f>SUMIF(#REF!,выравнивание!$A36,#REF!)-SUMIFS(#REF!,#REF!,выравнивание!$A36,#REF!,4)</f>
        <v>#REF!</v>
      </c>
      <c r="J36" s="37" t="e">
        <f>SUMIF(#REF!,выравнивание!$A36,#REF!)-SUMIFS(#REF!,#REF!,выравнивание!$A36,#REF!,4)</f>
        <v>#REF!</v>
      </c>
      <c r="K36" s="37" t="e">
        <f>SUMIF(#REF!,выравнивание!$A36,#REF!)-SUMIFS(#REF!,#REF!,выравнивание!$A36,#REF!,4)</f>
        <v>#REF!</v>
      </c>
      <c r="L36" s="37" t="e">
        <f>SUMIF(#REF!,выравнивание!$A36,#REF!)-SUMIFS(#REF!,#REF!,выравнивание!$A36,#REF!,4)</f>
        <v>#REF!</v>
      </c>
      <c r="M36" s="37" t="e">
        <f>SUMIF(#REF!,выравнивание!$A36,#REF!)-SUMIFS(#REF!,#REF!,выравнивание!$A36,#REF!,4)</f>
        <v>#REF!</v>
      </c>
      <c r="N36" s="37" t="e">
        <f>SUMIF(#REF!,выравнивание!$A36,#REF!)-SUMIFS(#REF!,#REF!,выравнивание!$A36,#REF!,4)</f>
        <v>#REF!</v>
      </c>
      <c r="O36" s="37" t="e">
        <f>SUMIF(#REF!,выравнивание!$A36,#REF!)-SUMIFS(#REF!,#REF!,выравнивание!$A36,#REF!,4)</f>
        <v>#REF!</v>
      </c>
      <c r="P36" s="37" t="e">
        <f>SUMIF(#REF!,выравнивание!$A36,#REF!)-SUMIFS(#REF!,#REF!,выравнивание!$A36,#REF!,4)</f>
        <v>#REF!</v>
      </c>
      <c r="Q36" s="37" t="e">
        <f>SUMIF(#REF!,выравнивание!$A36,#REF!)-SUMIFS(#REF!,#REF!,выравнивание!$A36,#REF!,4)</f>
        <v>#REF!</v>
      </c>
      <c r="R36" s="37" t="e">
        <f>SUMIF(#REF!,выравнивание!$A36,#REF!)-SUMIFS(#REF!,#REF!,выравнивание!$A36,#REF!,4)</f>
        <v>#REF!</v>
      </c>
      <c r="S36" s="37" t="e">
        <f>SUMIF(#REF!,выравнивание!$A36,#REF!)-SUMIFS(#REF!,#REF!,выравнивание!$A36,#REF!,4)</f>
        <v>#REF!</v>
      </c>
      <c r="T36" s="37" t="e">
        <f>SUMIF(#REF!,выравнивание!$A36,#REF!)-SUMIFS(#REF!,#REF!,выравнивание!$A36,#REF!,4)</f>
        <v>#REF!</v>
      </c>
      <c r="U36" s="37" t="e">
        <f>SUMIF(#REF!,выравнивание!$A36,#REF!)-SUMIFS(#REF!,#REF!,выравнивание!$A36,#REF!,4)</f>
        <v>#REF!</v>
      </c>
      <c r="V36" s="37" t="e">
        <f>SUMIF(#REF!,выравнивание!$A36,#REF!)-SUMIFS(#REF!,#REF!,выравнивание!$A36,#REF!,4)</f>
        <v>#REF!</v>
      </c>
      <c r="W36" s="37" t="e">
        <f>SUMIF(#REF!,выравнивание!$A36,#REF!)-SUMIFS(#REF!,#REF!,выравнивание!$A36,#REF!,4)</f>
        <v>#REF!</v>
      </c>
      <c r="X36" s="37" t="e">
        <f>SUMIF(#REF!,выравнивание!$A36,#REF!)-SUMIFS(#REF!,#REF!,выравнивание!$A36,#REF!,4)</f>
        <v>#REF!</v>
      </c>
      <c r="Y36" s="37" t="e">
        <f>SUMIF(#REF!,выравнивание!$A36,#REF!)-SUMIFS(#REF!,#REF!,выравнивание!$A36,#REF!,4)</f>
        <v>#REF!</v>
      </c>
      <c r="Z36" s="37" t="e">
        <f>SUMIF(#REF!,выравнивание!$A36,#REF!)-SUMIFS(#REF!,#REF!,выравнивание!$A36,#REF!,4)</f>
        <v>#REF!</v>
      </c>
      <c r="AA36" s="37" t="e">
        <f>SUMIF(#REF!,выравнивание!$A36,#REF!)-SUMIFS(#REF!,#REF!,выравнивание!$A36,#REF!,4)</f>
        <v>#REF!</v>
      </c>
      <c r="AB36" s="37" t="e">
        <f>SUMIF(#REF!,выравнивание!$A36,#REF!)-SUMIFS(#REF!,#REF!,выравнивание!$A36,#REF!,4)</f>
        <v>#REF!</v>
      </c>
      <c r="AC36" s="103" t="e">
        <f>SUMIF(#REF!,выравнивание!$A36,#REF!)-SUMIFS(#REF!,#REF!,выравнивание!$A36,#REF!,4)</f>
        <v>#REF!</v>
      </c>
      <c r="AD36" s="103" t="e">
        <f>SUMIF(#REF!,выравнивание!$A36,#REF!)-SUMIFS(#REF!,#REF!,выравнивание!$A36,#REF!,4)</f>
        <v>#REF!</v>
      </c>
      <c r="AE36" s="103" t="e">
        <f>SUMIF(#REF!,выравнивание!$A36,#REF!)*1000-SUMIF(#REF!,выравнивание!$A36,#REF!)*1000</f>
        <v>#REF!</v>
      </c>
      <c r="AF36" s="84" t="e">
        <f>AD36-AE36</f>
        <v>#REF!</v>
      </c>
      <c r="AU36" s="108"/>
    </row>
    <row r="37" spans="1:49" hidden="1" x14ac:dyDescent="0.25">
      <c r="A37" s="6">
        <v>4</v>
      </c>
      <c r="B37" s="92" t="s">
        <v>18</v>
      </c>
      <c r="C37" s="11">
        <v>706</v>
      </c>
      <c r="D37" s="11">
        <v>2020</v>
      </c>
      <c r="E37" s="11" t="s">
        <v>184</v>
      </c>
      <c r="F37" s="104"/>
      <c r="G37" s="104"/>
      <c r="H37" s="104"/>
      <c r="I37" s="104" t="e">
        <f t="shared" ref="I37:AB37" si="33">I36/$AD36</f>
        <v>#REF!</v>
      </c>
      <c r="J37" s="104" t="e">
        <f t="shared" si="33"/>
        <v>#REF!</v>
      </c>
      <c r="K37" s="104" t="e">
        <f t="shared" si="33"/>
        <v>#REF!</v>
      </c>
      <c r="L37" s="104" t="e">
        <f t="shared" si="33"/>
        <v>#REF!</v>
      </c>
      <c r="M37" s="104" t="e">
        <f t="shared" si="33"/>
        <v>#REF!</v>
      </c>
      <c r="N37" s="104" t="e">
        <f t="shared" si="33"/>
        <v>#REF!</v>
      </c>
      <c r="O37" s="104" t="e">
        <f t="shared" si="33"/>
        <v>#REF!</v>
      </c>
      <c r="P37" s="104" t="e">
        <f t="shared" si="33"/>
        <v>#REF!</v>
      </c>
      <c r="Q37" s="104" t="e">
        <f t="shared" si="33"/>
        <v>#REF!</v>
      </c>
      <c r="R37" s="104" t="e">
        <f t="shared" si="33"/>
        <v>#REF!</v>
      </c>
      <c r="S37" s="104" t="e">
        <f t="shared" si="33"/>
        <v>#REF!</v>
      </c>
      <c r="T37" s="104" t="e">
        <f t="shared" si="33"/>
        <v>#REF!</v>
      </c>
      <c r="U37" s="104" t="e">
        <f t="shared" si="33"/>
        <v>#REF!</v>
      </c>
      <c r="V37" s="104" t="e">
        <f t="shared" si="33"/>
        <v>#REF!</v>
      </c>
      <c r="W37" s="104" t="e">
        <f t="shared" si="33"/>
        <v>#REF!</v>
      </c>
      <c r="X37" s="104" t="e">
        <f t="shared" si="33"/>
        <v>#REF!</v>
      </c>
      <c r="Y37" s="104" t="e">
        <f t="shared" si="33"/>
        <v>#REF!</v>
      </c>
      <c r="Z37" s="104" t="e">
        <f t="shared" si="33"/>
        <v>#REF!</v>
      </c>
      <c r="AA37" s="104" t="e">
        <f t="shared" si="33"/>
        <v>#REF!</v>
      </c>
      <c r="AB37" s="104" t="e">
        <f t="shared" si="33"/>
        <v>#REF!</v>
      </c>
      <c r="AC37" s="106" t="e">
        <f>1-Z37-Y37-X37-W37-V37-U37-T37-O37-N37-L37-I37</f>
        <v>#REF!</v>
      </c>
      <c r="AD37" s="106" t="e">
        <f>AD36/$AD36</f>
        <v>#REF!</v>
      </c>
      <c r="AE37" s="81"/>
      <c r="AU37" s="108"/>
    </row>
    <row r="38" spans="1:49" x14ac:dyDescent="0.25">
      <c r="A38" s="6">
        <v>4</v>
      </c>
      <c r="B38" s="92" t="s">
        <v>18</v>
      </c>
      <c r="C38" s="11">
        <v>706</v>
      </c>
      <c r="D38" s="11">
        <v>2020</v>
      </c>
      <c r="E38" s="11" t="s">
        <v>185</v>
      </c>
      <c r="F38" s="37" t="e">
        <f>G38+H38</f>
        <v>#REF!</v>
      </c>
      <c r="G38" s="37" t="e">
        <f>J38+AA38</f>
        <v>#REF!</v>
      </c>
      <c r="H38" s="37" t="e">
        <f>K38+AB38</f>
        <v>#REF!</v>
      </c>
      <c r="I38" s="37" t="e">
        <f>ROUND($AF36*I37,0)</f>
        <v>#REF!</v>
      </c>
      <c r="J38" s="37" t="e">
        <f>ROUND(I38/1.302,0)</f>
        <v>#REF!</v>
      </c>
      <c r="K38" s="37" t="e">
        <f>I38-J38</f>
        <v>#REF!</v>
      </c>
      <c r="L38" s="37" t="e">
        <f>ROUND($AF36*L37,0)</f>
        <v>#REF!</v>
      </c>
      <c r="M38" s="37" t="e">
        <f>ROUND($AF36*M37,0)</f>
        <v>#REF!</v>
      </c>
      <c r="N38" s="37" t="e">
        <f>ROUND($AF36*N37,0)</f>
        <v>#REF!</v>
      </c>
      <c r="O38" s="37" t="e">
        <f>ROUND($AF36*O37,0)</f>
        <v>#REF!</v>
      </c>
      <c r="P38" s="37" t="e">
        <f>ROUND($AE36*P37,0)</f>
        <v>#REF!</v>
      </c>
      <c r="Q38" s="37" t="e">
        <f>ROUND($AE36*Q37,0)</f>
        <v>#REF!</v>
      </c>
      <c r="R38" s="37" t="e">
        <f>ROUND($AE36*R37,0)</f>
        <v>#REF!</v>
      </c>
      <c r="S38" s="37" t="e">
        <f>ROUND($AE36*S37,0)</f>
        <v>#REF!</v>
      </c>
      <c r="T38" s="37" t="e">
        <f t="shared" ref="T38:Z38" si="34">ROUND($AF36*T37,0)</f>
        <v>#REF!</v>
      </c>
      <c r="U38" s="37" t="e">
        <f t="shared" si="34"/>
        <v>#REF!</v>
      </c>
      <c r="V38" s="37" t="e">
        <f t="shared" si="34"/>
        <v>#REF!</v>
      </c>
      <c r="W38" s="37" t="e">
        <f t="shared" si="34"/>
        <v>#REF!</v>
      </c>
      <c r="X38" s="37" t="e">
        <f t="shared" si="34"/>
        <v>#REF!</v>
      </c>
      <c r="Y38" s="37" t="e">
        <f t="shared" si="34"/>
        <v>#REF!</v>
      </c>
      <c r="Z38" s="37" t="e">
        <f t="shared" si="34"/>
        <v>#REF!</v>
      </c>
      <c r="AA38" s="37" t="e">
        <f>ROUND(Z38/1.302,0)</f>
        <v>#REF!</v>
      </c>
      <c r="AB38" s="37" t="e">
        <f>Z38-AA38</f>
        <v>#REF!</v>
      </c>
      <c r="AC38" s="37" t="e">
        <f>ROUND($AF36*AC37,0)</f>
        <v>#REF!</v>
      </c>
      <c r="AD38" s="37" t="e">
        <f>I38+L38+N38+O38+T38+U38+V38+W38+X38+Y38+AC38+Z38</f>
        <v>#REF!</v>
      </c>
      <c r="AE38" s="78" t="e">
        <f>AF36</f>
        <v>#REF!</v>
      </c>
      <c r="AF38" s="78" t="e">
        <f>AE38-AF36</f>
        <v>#REF!</v>
      </c>
      <c r="AG38" s="107" t="e">
        <f>-ROUND(F38/1000,1)</f>
        <v>#REF!</v>
      </c>
      <c r="AH38" s="107" t="e">
        <f>ROUND(AG38/1.302,1)</f>
        <v>#REF!</v>
      </c>
      <c r="AI38" s="107" t="e">
        <f>AG38-AH38</f>
        <v>#REF!</v>
      </c>
      <c r="AJ38" s="107" t="e">
        <f>-ROUND(L38/1000,1)</f>
        <v>#REF!</v>
      </c>
      <c r="AK38" s="107" t="e">
        <f>-ROUND(M38/1000,1)</f>
        <v>#REF!</v>
      </c>
      <c r="AL38" s="107" t="e">
        <f>-ROUND(N38/1000,1)</f>
        <v>#REF!</v>
      </c>
      <c r="AM38" s="107" t="e">
        <f>-ROUND(O38/1000,1)</f>
        <v>#REF!</v>
      </c>
      <c r="AN38" s="107" t="e">
        <f t="shared" ref="AN38:AS38" si="35">-ROUND(T38/1000,1)</f>
        <v>#REF!</v>
      </c>
      <c r="AO38" s="107" t="e">
        <f t="shared" si="35"/>
        <v>#REF!</v>
      </c>
      <c r="AP38" s="107" t="e">
        <f t="shared" si="35"/>
        <v>#REF!</v>
      </c>
      <c r="AQ38" s="107" t="e">
        <f t="shared" si="35"/>
        <v>#REF!</v>
      </c>
      <c r="AR38" s="107" t="e">
        <f t="shared" si="35"/>
        <v>#REF!</v>
      </c>
      <c r="AS38" s="107" t="e">
        <f t="shared" si="35"/>
        <v>#REF!</v>
      </c>
      <c r="AT38" s="107" t="e">
        <f>-ROUND(AC38/1000,1)</f>
        <v>#REF!</v>
      </c>
      <c r="AU38" s="108" t="e">
        <f>AG38+AJ38+AL38+AM38+AN38+AO38+AP38+AQ38+AR38+AS38+AT38</f>
        <v>#REF!</v>
      </c>
      <c r="AW38" s="272">
        <v>-39848.800000000003</v>
      </c>
    </row>
    <row r="39" spans="1:49" hidden="1" x14ac:dyDescent="0.25">
      <c r="A39" s="6">
        <v>5</v>
      </c>
      <c r="B39" s="92" t="s">
        <v>19</v>
      </c>
      <c r="C39" s="11">
        <v>706</v>
      </c>
      <c r="D39" s="11">
        <v>2018</v>
      </c>
      <c r="E39" s="11" t="s">
        <v>182</v>
      </c>
      <c r="F39" s="37"/>
      <c r="G39" s="37"/>
      <c r="H39" s="37"/>
      <c r="I39" s="37">
        <f>SUMIF('2020'!$B:$B,выравнивание!$A39,'2020'!BM:BM)-SUMIFS('2020'!BM:BM,'2020'!$B:$B,выравнивание!$A39,'2020'!$G:$G,4)</f>
        <v>167128842</v>
      </c>
      <c r="J39" s="37">
        <f>SUMIF('2020'!$B:$B,выравнивание!$A39,'2020'!BN:BN)-SUMIFS('2020'!BN:BN,'2020'!$B:$B,выравнивание!$A39,'2020'!$G:$G,4)</f>
        <v>128363165.8</v>
      </c>
      <c r="K39" s="37">
        <f>SUMIF('2020'!$B:$B,выравнивание!$A39,'2020'!BO:BO)-SUMIFS('2020'!BO:BO,'2020'!$B:$B,выравнивание!$A39,'2020'!$G:$G,4)</f>
        <v>38765676.200000003</v>
      </c>
      <c r="L39" s="37">
        <f>SUMIF('2020'!$B:$B,выравнивание!$A39,'2020'!BP:BP)-SUMIFS('2020'!BP:BP,'2020'!$B:$B,выравнивание!$A39,'2020'!$G:$G,4)</f>
        <v>14754069</v>
      </c>
      <c r="M39" s="37">
        <f>SUMIF('2020'!$B:$B,выравнивание!$A39,'2020'!BQ:BQ)-SUMIFS('2020'!BQ:BQ,'2020'!$B:$B,выравнивание!$A39,'2020'!$G:$G,4)</f>
        <v>2686999</v>
      </c>
      <c r="N39" s="37">
        <f>SUMIF('2020'!$B:$B,выравнивание!$A39,'2020'!BR:BR)-SUMIFS('2020'!BR:BR,'2020'!$B:$B,выравнивание!$A39,'2020'!$G:$G,4)</f>
        <v>13960259</v>
      </c>
      <c r="O39" s="37">
        <f>SUMIF('2020'!$B:$B,выравнивание!$A39,'2020'!BS:BS)-SUMIFS('2020'!BS:BS,'2020'!$B:$B,выравнивание!$A39,'2020'!$G:$G,4)</f>
        <v>33088650</v>
      </c>
      <c r="P39" s="37">
        <f>SUMIF('2020'!$B:$B,выравнивание!$A39,'2020'!BT:BT)-SUMIFS('2020'!BT:BT,'2020'!$B:$B,выравнивание!$A39,'2020'!$G:$G,4)</f>
        <v>982204</v>
      </c>
      <c r="Q39" s="37">
        <f>SUMIF('2020'!$B:$B,выравнивание!$A39,'2020'!BU:BU)-SUMIFS('2020'!BU:BU,'2020'!$B:$B,выравнивание!$A39,'2020'!$G:$G,4)</f>
        <v>29806871</v>
      </c>
      <c r="R39" s="37">
        <f>SUMIF('2020'!$B:$B,выравнивание!$A39,'2020'!BV:BV)-SUMIFS('2020'!BV:BV,'2020'!$B:$B,выравнивание!$A39,'2020'!$G:$G,4)</f>
        <v>673761</v>
      </c>
      <c r="S39" s="37">
        <f>SUMIF('2020'!$B:$B,выравнивание!$A39,'2020'!BW:BW)-SUMIFS('2020'!BW:BW,'2020'!$B:$B,выравнивание!$A39,'2020'!$G:$G,4)</f>
        <v>1625814</v>
      </c>
      <c r="T39" s="37">
        <f>SUMIF('2020'!$B:$B,выравнивание!$A39,'2020'!BX:BX)-SUMIFS('2020'!BX:BX,'2020'!$B:$B,выравнивание!$A39,'2020'!$G:$G,4)</f>
        <v>9721607</v>
      </c>
      <c r="U39" s="37">
        <f>SUMIF('2020'!$B:$B,выравнивание!$A39,'2020'!BY:BY)-SUMIFS('2020'!BY:BY,'2020'!$B:$B,выравнивание!$A39,'2020'!$G:$G,4)</f>
        <v>10588604</v>
      </c>
      <c r="V39" s="37">
        <f>SUMIF('2020'!$B:$B,выравнивание!$A39,'2020'!BZ:BZ)-SUMIFS('2020'!BZ:BZ,'2020'!$B:$B,выравнивание!$A39,'2020'!$G:$G,4)</f>
        <v>997218</v>
      </c>
      <c r="W39" s="37">
        <f>SUMIF('2020'!$B:$B,выравнивание!$A39,'2020'!CA:CA)-SUMIFS('2020'!CA:CA,'2020'!$B:$B,выравнивание!$A39,'2020'!$G:$G,4)</f>
        <v>1421959</v>
      </c>
      <c r="X39" s="37">
        <f>SUMIF('2020'!$B:$B,выравнивание!$A39,'2020'!CB:CB)-SUMIFS('2020'!CB:CB,'2020'!$B:$B,выравнивание!$A39,'2020'!$G:$G,4)</f>
        <v>150616</v>
      </c>
      <c r="Y39" s="37">
        <f>SUMIF('2020'!$B:$B,выравнивание!$A39,'2020'!CC:CC)-SUMIFS('2020'!CC:CC,'2020'!$B:$B,выравнивание!$A39,'2020'!$G:$G,4)</f>
        <v>1673773</v>
      </c>
      <c r="Z39" s="37">
        <f>SUMIF('2020'!$B:$B,выравнивание!$A39,'2020'!CD:CD)-SUMIFS('2020'!CD:CD,'2020'!$B:$B,выравнивание!$A39,'2020'!$G:$G,4)</f>
        <v>41207454</v>
      </c>
      <c r="AA39" s="37">
        <f>SUMIF('2020'!$B:$B,выравнивание!$A39,'2020'!CE:CE)-SUMIFS('2020'!CE:CE,'2020'!$B:$B,выравнивание!$A39,'2020'!$G:$G,4)</f>
        <v>31649350.199999999</v>
      </c>
      <c r="AB39" s="37">
        <f>SUMIF('2020'!$B:$B,выравнивание!$A39,'2020'!CF:CF)-SUMIFS('2020'!CF:CF,'2020'!$B:$B,выравнивание!$A39,'2020'!$G:$G,4)</f>
        <v>9558103.8000000007</v>
      </c>
      <c r="AC39" s="103">
        <f>SUMIF('2020'!$B:$B,выравнивание!$A39,'2020'!CG:CG)-SUMIFS('2020'!CG:CG,'2020'!$B:$B,выравнивание!$A39,'2020'!$G:$G,4)</f>
        <v>6061440</v>
      </c>
      <c r="AD39" s="103">
        <f>SUMIF('2020'!$B:$B,выравнивание!$A39,'2020'!CH:CH)-SUMIFS('2020'!CH:CH,'2020'!$B:$B,выравнивание!$A39,'2020'!$G:$G,4)</f>
        <v>300748920</v>
      </c>
      <c r="AE39" s="84">
        <f>SUMIF('Свод 2020'!$A$9:$A$22,выравнивание!$A39,'Свод 2020'!$AA$9:$AA$24)*1000-SUMIF('Свод 2020'!$A$9:$A$22,выравнивание!$A39,'Свод 2020'!$S$9:$S$24)*1000</f>
        <v>319357600</v>
      </c>
      <c r="AF39" s="105">
        <f>AD39-AE39</f>
        <v>-18608680</v>
      </c>
      <c r="AU39" s="108"/>
    </row>
    <row r="40" spans="1:49" hidden="1" x14ac:dyDescent="0.25">
      <c r="A40" s="6">
        <v>5</v>
      </c>
      <c r="B40" s="92" t="s">
        <v>19</v>
      </c>
      <c r="C40" s="11">
        <v>706</v>
      </c>
      <c r="D40" s="11">
        <v>2018</v>
      </c>
      <c r="E40" s="11" t="s">
        <v>184</v>
      </c>
      <c r="F40" s="104"/>
      <c r="G40" s="104"/>
      <c r="H40" s="104"/>
      <c r="I40" s="104">
        <f t="shared" ref="I40:AB40" si="36">I39/$AD39</f>
        <v>0.55570900000000001</v>
      </c>
      <c r="J40" s="104">
        <f t="shared" si="36"/>
        <v>0.42681200000000002</v>
      </c>
      <c r="K40" s="104">
        <f t="shared" si="36"/>
        <v>0.12889700000000001</v>
      </c>
      <c r="L40" s="104">
        <f t="shared" si="36"/>
        <v>4.9057999999999997E-2</v>
      </c>
      <c r="M40" s="104">
        <f t="shared" si="36"/>
        <v>8.9339999999999992E-3</v>
      </c>
      <c r="N40" s="104">
        <f t="shared" si="36"/>
        <v>4.6418000000000001E-2</v>
      </c>
      <c r="O40" s="104">
        <f t="shared" si="36"/>
        <v>0.11002099999999999</v>
      </c>
      <c r="P40" s="104">
        <f t="shared" si="36"/>
        <v>3.2659999999999998E-3</v>
      </c>
      <c r="Q40" s="104">
        <f t="shared" si="36"/>
        <v>9.9109000000000003E-2</v>
      </c>
      <c r="R40" s="104">
        <f t="shared" si="36"/>
        <v>2.2399999999999998E-3</v>
      </c>
      <c r="S40" s="104">
        <f t="shared" si="36"/>
        <v>5.4060000000000002E-3</v>
      </c>
      <c r="T40" s="104">
        <f t="shared" si="36"/>
        <v>3.2325E-2</v>
      </c>
      <c r="U40" s="104">
        <f t="shared" si="36"/>
        <v>3.5207000000000002E-2</v>
      </c>
      <c r="V40" s="104">
        <f t="shared" si="36"/>
        <v>3.3159999999999999E-3</v>
      </c>
      <c r="W40" s="104">
        <f t="shared" si="36"/>
        <v>4.7280000000000004E-3</v>
      </c>
      <c r="X40" s="104">
        <f t="shared" si="36"/>
        <v>5.0100000000000003E-4</v>
      </c>
      <c r="Y40" s="104">
        <f t="shared" si="36"/>
        <v>5.5649999999999996E-3</v>
      </c>
      <c r="Z40" s="104">
        <f t="shared" si="36"/>
        <v>0.137016</v>
      </c>
      <c r="AA40" s="104">
        <f t="shared" si="36"/>
        <v>0.105235</v>
      </c>
      <c r="AB40" s="104">
        <f t="shared" si="36"/>
        <v>3.1780999999999997E-2</v>
      </c>
      <c r="AC40" s="106">
        <f>1-Z40-Y40-X40-W40-V40-U40-T40-O40-N40-L40-I40</f>
        <v>2.0136000000000001E-2</v>
      </c>
      <c r="AD40" s="106">
        <f>AD39/$AD39</f>
        <v>1</v>
      </c>
      <c r="AE40" s="81"/>
      <c r="AU40" s="108"/>
    </row>
    <row r="41" spans="1:49" x14ac:dyDescent="0.25">
      <c r="A41" s="6">
        <v>5</v>
      </c>
      <c r="B41" s="92" t="s">
        <v>19</v>
      </c>
      <c r="C41" s="11">
        <v>706</v>
      </c>
      <c r="D41" s="11">
        <v>2018</v>
      </c>
      <c r="E41" s="11" t="s">
        <v>185</v>
      </c>
      <c r="F41" s="37">
        <f>G41+H41</f>
        <v>-12890698</v>
      </c>
      <c r="G41" s="37">
        <f>J41+AA41</f>
        <v>-9900690</v>
      </c>
      <c r="H41" s="37">
        <f>K41+AB41</f>
        <v>-2990008</v>
      </c>
      <c r="I41" s="37">
        <f>ROUND($AF39*I40,0)</f>
        <v>-10341011</v>
      </c>
      <c r="J41" s="37">
        <f>ROUND(I41/1.302,0)</f>
        <v>-7942405</v>
      </c>
      <c r="K41" s="37">
        <f>I41-J41</f>
        <v>-2398606</v>
      </c>
      <c r="L41" s="37">
        <f>ROUND($AF39*L40,0)</f>
        <v>-912905</v>
      </c>
      <c r="M41" s="37">
        <f>ROUND($AF39*M40,0)</f>
        <v>-166250</v>
      </c>
      <c r="N41" s="37">
        <f>ROUND($AF39*N40,0)</f>
        <v>-863778</v>
      </c>
      <c r="O41" s="37">
        <f>ROUND($AF39*O40,0)</f>
        <v>-2047346</v>
      </c>
      <c r="P41" s="37">
        <f>ROUND($AE39*P40,0)</f>
        <v>1043022</v>
      </c>
      <c r="Q41" s="37">
        <f>ROUND($AE39*Q40,0)</f>
        <v>31651212</v>
      </c>
      <c r="R41" s="37">
        <f>ROUND($AE39*R40,0)</f>
        <v>715361</v>
      </c>
      <c r="S41" s="37">
        <f>ROUND($AE39*S40,0)</f>
        <v>1726447</v>
      </c>
      <c r="T41" s="37">
        <f t="shared" ref="T41:Z41" si="37">ROUND($AF39*T40,0)</f>
        <v>-601526</v>
      </c>
      <c r="U41" s="37">
        <f t="shared" si="37"/>
        <v>-655156</v>
      </c>
      <c r="V41" s="37">
        <f t="shared" si="37"/>
        <v>-61706</v>
      </c>
      <c r="W41" s="37">
        <f t="shared" si="37"/>
        <v>-87982</v>
      </c>
      <c r="X41" s="37">
        <f t="shared" si="37"/>
        <v>-9323</v>
      </c>
      <c r="Y41" s="37">
        <f t="shared" si="37"/>
        <v>-103557</v>
      </c>
      <c r="Z41" s="37">
        <f t="shared" si="37"/>
        <v>-2549687</v>
      </c>
      <c r="AA41" s="37">
        <f>ROUND(Z41/1.302,0)</f>
        <v>-1958285</v>
      </c>
      <c r="AB41" s="37">
        <f>Z41-AA41</f>
        <v>-591402</v>
      </c>
      <c r="AC41" s="37">
        <f>ROUND($AF39*AC40,0)</f>
        <v>-374704</v>
      </c>
      <c r="AD41" s="37">
        <f>I41+L41+N41+O41+T41+U41+V41+W41+X41+Y41+AC41+Z41</f>
        <v>-18608681</v>
      </c>
      <c r="AE41" s="78">
        <f>AF39</f>
        <v>-18608680</v>
      </c>
      <c r="AF41" s="78">
        <f>AE41-AF39</f>
        <v>0</v>
      </c>
      <c r="AG41" s="107">
        <f>-ROUND(F41/1000,1)</f>
        <v>12890.7</v>
      </c>
      <c r="AH41" s="107">
        <f>ROUND(AG41/1.302,1)</f>
        <v>9900.7000000000007</v>
      </c>
      <c r="AI41" s="107">
        <f>AG41-AH41</f>
        <v>2990</v>
      </c>
      <c r="AJ41" s="107">
        <f>-ROUND(L41/1000,1)</f>
        <v>912.9</v>
      </c>
      <c r="AK41" s="107">
        <f>-ROUND(M41/1000,1)</f>
        <v>166.3</v>
      </c>
      <c r="AL41" s="107">
        <f>-ROUND(N41/1000,1)</f>
        <v>863.8</v>
      </c>
      <c r="AM41" s="107">
        <f>-ROUND(O41/1000,1)</f>
        <v>2047.3</v>
      </c>
      <c r="AN41" s="107">
        <f t="shared" ref="AN41:AS41" si="38">-ROUND(T41/1000,1)</f>
        <v>601.5</v>
      </c>
      <c r="AO41" s="107">
        <f t="shared" si="38"/>
        <v>655.20000000000005</v>
      </c>
      <c r="AP41" s="107">
        <f t="shared" si="38"/>
        <v>61.7</v>
      </c>
      <c r="AQ41" s="107">
        <f t="shared" si="38"/>
        <v>88</v>
      </c>
      <c r="AR41" s="107">
        <f t="shared" si="38"/>
        <v>9.3000000000000007</v>
      </c>
      <c r="AS41" s="107">
        <f t="shared" si="38"/>
        <v>103.6</v>
      </c>
      <c r="AT41" s="107">
        <f>-ROUND(AC41/1000,1)</f>
        <v>374.7</v>
      </c>
      <c r="AU41" s="108">
        <f>AG41+AJ41+AL41+AM41+AN41+AO41+AP41+AQ41+AR41+AS41+AT41</f>
        <v>18608.7</v>
      </c>
      <c r="AW41" s="272">
        <v>-105281.5</v>
      </c>
    </row>
    <row r="42" spans="1:49" hidden="1" x14ac:dyDescent="0.25">
      <c r="A42" s="6">
        <v>5</v>
      </c>
      <c r="B42" s="92" t="s">
        <v>19</v>
      </c>
      <c r="C42" s="11">
        <v>706</v>
      </c>
      <c r="D42" s="11">
        <v>2019</v>
      </c>
      <c r="E42" s="11" t="s">
        <v>182</v>
      </c>
      <c r="F42" s="37"/>
      <c r="G42" s="37"/>
      <c r="H42" s="37"/>
      <c r="I42" s="37" t="e">
        <f>SUMIF(#REF!,выравнивание!$A42,#REF!)-SUMIFS(#REF!,#REF!,выравнивание!$A42,#REF!,4)</f>
        <v>#REF!</v>
      </c>
      <c r="J42" s="37" t="e">
        <f>SUMIF(#REF!,выравнивание!$A42,#REF!)-SUMIFS(#REF!,#REF!,выравнивание!$A42,#REF!,4)</f>
        <v>#REF!</v>
      </c>
      <c r="K42" s="37" t="e">
        <f>SUMIF(#REF!,выравнивание!$A42,#REF!)-SUMIFS(#REF!,#REF!,выравнивание!$A42,#REF!,4)</f>
        <v>#REF!</v>
      </c>
      <c r="L42" s="37" t="e">
        <f>SUMIF(#REF!,выравнивание!$A42,#REF!)-SUMIFS(#REF!,#REF!,выравнивание!$A42,#REF!,4)</f>
        <v>#REF!</v>
      </c>
      <c r="M42" s="37" t="e">
        <f>SUMIF(#REF!,выравнивание!$A42,#REF!)-SUMIFS(#REF!,#REF!,выравнивание!$A42,#REF!,4)</f>
        <v>#REF!</v>
      </c>
      <c r="N42" s="37" t="e">
        <f>SUMIF(#REF!,выравнивание!$A42,#REF!)-SUMIFS(#REF!,#REF!,выравнивание!$A42,#REF!,4)</f>
        <v>#REF!</v>
      </c>
      <c r="O42" s="37" t="e">
        <f>SUMIF(#REF!,выравнивание!$A42,#REF!)-SUMIFS(#REF!,#REF!,выравнивание!$A42,#REF!,4)</f>
        <v>#REF!</v>
      </c>
      <c r="P42" s="37" t="e">
        <f>SUMIF(#REF!,выравнивание!$A42,#REF!)-SUMIFS(#REF!,#REF!,выравнивание!$A42,#REF!,4)</f>
        <v>#REF!</v>
      </c>
      <c r="Q42" s="37" t="e">
        <f>SUMIF(#REF!,выравнивание!$A42,#REF!)-SUMIFS(#REF!,#REF!,выравнивание!$A42,#REF!,4)</f>
        <v>#REF!</v>
      </c>
      <c r="R42" s="37" t="e">
        <f>SUMIF(#REF!,выравнивание!$A42,#REF!)-SUMIFS(#REF!,#REF!,выравнивание!$A42,#REF!,4)</f>
        <v>#REF!</v>
      </c>
      <c r="S42" s="37" t="e">
        <f>SUMIF(#REF!,выравнивание!$A42,#REF!)-SUMIFS(#REF!,#REF!,выравнивание!$A42,#REF!,4)</f>
        <v>#REF!</v>
      </c>
      <c r="T42" s="37" t="e">
        <f>SUMIF(#REF!,выравнивание!$A42,#REF!)-SUMIFS(#REF!,#REF!,выравнивание!$A42,#REF!,4)</f>
        <v>#REF!</v>
      </c>
      <c r="U42" s="37" t="e">
        <f>SUMIF(#REF!,выравнивание!$A42,#REF!)-SUMIFS(#REF!,#REF!,выравнивание!$A42,#REF!,4)</f>
        <v>#REF!</v>
      </c>
      <c r="V42" s="37" t="e">
        <f>SUMIF(#REF!,выравнивание!$A42,#REF!)-SUMIFS(#REF!,#REF!,выравнивание!$A42,#REF!,4)</f>
        <v>#REF!</v>
      </c>
      <c r="W42" s="37" t="e">
        <f>SUMIF(#REF!,выравнивание!$A42,#REF!)-SUMIFS(#REF!,#REF!,выравнивание!$A42,#REF!,4)</f>
        <v>#REF!</v>
      </c>
      <c r="X42" s="37" t="e">
        <f>SUMIF(#REF!,выравнивание!$A42,#REF!)-SUMIFS(#REF!,#REF!,выравнивание!$A42,#REF!,4)</f>
        <v>#REF!</v>
      </c>
      <c r="Y42" s="37" t="e">
        <f>SUMIF(#REF!,выравнивание!$A42,#REF!)-SUMIFS(#REF!,#REF!,выравнивание!$A42,#REF!,4)</f>
        <v>#REF!</v>
      </c>
      <c r="Z42" s="37" t="e">
        <f>SUMIF(#REF!,выравнивание!$A42,#REF!)-SUMIFS(#REF!,#REF!,выравнивание!$A42,#REF!,4)</f>
        <v>#REF!</v>
      </c>
      <c r="AA42" s="37" t="e">
        <f>SUMIF(#REF!,выравнивание!$A42,#REF!)-SUMIFS(#REF!,#REF!,выравнивание!$A42,#REF!,4)</f>
        <v>#REF!</v>
      </c>
      <c r="AB42" s="37" t="e">
        <f>SUMIF(#REF!,выравнивание!$A42,#REF!)-SUMIFS(#REF!,#REF!,выравнивание!$A42,#REF!,4)</f>
        <v>#REF!</v>
      </c>
      <c r="AC42" s="103" t="e">
        <f>SUMIF(#REF!,выравнивание!$A42,#REF!)-SUMIFS(#REF!,#REF!,выравнивание!$A42,#REF!,4)</f>
        <v>#REF!</v>
      </c>
      <c r="AD42" s="103" t="e">
        <f>SUMIF(#REF!,выравнивание!$A42,#REF!)-SUMIFS(#REF!,#REF!,выравнивание!$A42,#REF!,4)</f>
        <v>#REF!</v>
      </c>
      <c r="AE42" s="103" t="e">
        <f>SUMIF(#REF!,выравнивание!$A42,#REF!)*1000-SUMIF(#REF!,выравнивание!$A42,#REF!)*1000</f>
        <v>#REF!</v>
      </c>
      <c r="AF42" s="105" t="e">
        <f>AD42-AE42</f>
        <v>#REF!</v>
      </c>
      <c r="AU42" s="108"/>
    </row>
    <row r="43" spans="1:49" hidden="1" x14ac:dyDescent="0.25">
      <c r="A43" s="6">
        <v>5</v>
      </c>
      <c r="B43" s="92" t="s">
        <v>19</v>
      </c>
      <c r="C43" s="11">
        <v>706</v>
      </c>
      <c r="D43" s="11">
        <v>2019</v>
      </c>
      <c r="E43" s="11" t="s">
        <v>184</v>
      </c>
      <c r="F43" s="104"/>
      <c r="G43" s="104"/>
      <c r="H43" s="104"/>
      <c r="I43" s="104" t="e">
        <f t="shared" ref="I43:AB43" si="39">I42/$AD42</f>
        <v>#REF!</v>
      </c>
      <c r="J43" s="104" t="e">
        <f t="shared" si="39"/>
        <v>#REF!</v>
      </c>
      <c r="K43" s="104" t="e">
        <f t="shared" si="39"/>
        <v>#REF!</v>
      </c>
      <c r="L43" s="104" t="e">
        <f t="shared" si="39"/>
        <v>#REF!</v>
      </c>
      <c r="M43" s="104" t="e">
        <f t="shared" si="39"/>
        <v>#REF!</v>
      </c>
      <c r="N43" s="104" t="e">
        <f t="shared" si="39"/>
        <v>#REF!</v>
      </c>
      <c r="O43" s="104" t="e">
        <f t="shared" si="39"/>
        <v>#REF!</v>
      </c>
      <c r="P43" s="104" t="e">
        <f t="shared" si="39"/>
        <v>#REF!</v>
      </c>
      <c r="Q43" s="104" t="e">
        <f t="shared" si="39"/>
        <v>#REF!</v>
      </c>
      <c r="R43" s="104" t="e">
        <f t="shared" si="39"/>
        <v>#REF!</v>
      </c>
      <c r="S43" s="104" t="e">
        <f t="shared" si="39"/>
        <v>#REF!</v>
      </c>
      <c r="T43" s="104" t="e">
        <f t="shared" si="39"/>
        <v>#REF!</v>
      </c>
      <c r="U43" s="104" t="e">
        <f t="shared" si="39"/>
        <v>#REF!</v>
      </c>
      <c r="V43" s="104" t="e">
        <f t="shared" si="39"/>
        <v>#REF!</v>
      </c>
      <c r="W43" s="104" t="e">
        <f t="shared" si="39"/>
        <v>#REF!</v>
      </c>
      <c r="X43" s="104" t="e">
        <f t="shared" si="39"/>
        <v>#REF!</v>
      </c>
      <c r="Y43" s="104" t="e">
        <f t="shared" si="39"/>
        <v>#REF!</v>
      </c>
      <c r="Z43" s="104" t="e">
        <f t="shared" si="39"/>
        <v>#REF!</v>
      </c>
      <c r="AA43" s="104" t="e">
        <f t="shared" si="39"/>
        <v>#REF!</v>
      </c>
      <c r="AB43" s="104" t="e">
        <f t="shared" si="39"/>
        <v>#REF!</v>
      </c>
      <c r="AC43" s="106" t="e">
        <f>1-Z43-Y43-X43-W43-V43-U43-T43-O43-N43-L43-I43</f>
        <v>#REF!</v>
      </c>
      <c r="AD43" s="106" t="e">
        <f>AD42/$AD42</f>
        <v>#REF!</v>
      </c>
      <c r="AE43" s="81"/>
      <c r="AU43" s="108"/>
    </row>
    <row r="44" spans="1:49" x14ac:dyDescent="0.25">
      <c r="A44" s="6">
        <v>5</v>
      </c>
      <c r="B44" s="92" t="s">
        <v>19</v>
      </c>
      <c r="C44" s="11">
        <v>706</v>
      </c>
      <c r="D44" s="11">
        <v>2019</v>
      </c>
      <c r="E44" s="11" t="s">
        <v>185</v>
      </c>
      <c r="F44" s="37" t="e">
        <f>G44+H44</f>
        <v>#REF!</v>
      </c>
      <c r="G44" s="37" t="e">
        <f>J44+AA44</f>
        <v>#REF!</v>
      </c>
      <c r="H44" s="37" t="e">
        <f>K44+AB44</f>
        <v>#REF!</v>
      </c>
      <c r="I44" s="37" t="e">
        <f>ROUND($AF42*I43,0)</f>
        <v>#REF!</v>
      </c>
      <c r="J44" s="37" t="e">
        <f>ROUND(I44/1.302,0)</f>
        <v>#REF!</v>
      </c>
      <c r="K44" s="37" t="e">
        <f>I44-J44</f>
        <v>#REF!</v>
      </c>
      <c r="L44" s="37" t="e">
        <f>ROUND($AF42*L43,0)</f>
        <v>#REF!</v>
      </c>
      <c r="M44" s="37" t="e">
        <f>ROUND($AF42*M43,0)</f>
        <v>#REF!</v>
      </c>
      <c r="N44" s="37" t="e">
        <f>ROUND($AF42*N43,0)</f>
        <v>#REF!</v>
      </c>
      <c r="O44" s="37" t="e">
        <f>ROUND($AF42*O43,0)</f>
        <v>#REF!</v>
      </c>
      <c r="P44" s="37" t="e">
        <f>ROUND($AE42*P43,0)</f>
        <v>#REF!</v>
      </c>
      <c r="Q44" s="37" t="e">
        <f>ROUND($AE42*Q43,0)</f>
        <v>#REF!</v>
      </c>
      <c r="R44" s="37" t="e">
        <f>ROUND($AE42*R43,0)</f>
        <v>#REF!</v>
      </c>
      <c r="S44" s="37" t="e">
        <f>ROUND($AE42*S43,0)</f>
        <v>#REF!</v>
      </c>
      <c r="T44" s="37" t="e">
        <f t="shared" ref="T44:Z44" si="40">ROUND($AF42*T43,0)</f>
        <v>#REF!</v>
      </c>
      <c r="U44" s="37" t="e">
        <f t="shared" si="40"/>
        <v>#REF!</v>
      </c>
      <c r="V44" s="37" t="e">
        <f t="shared" si="40"/>
        <v>#REF!</v>
      </c>
      <c r="W44" s="37" t="e">
        <f t="shared" si="40"/>
        <v>#REF!</v>
      </c>
      <c r="X44" s="37" t="e">
        <f t="shared" si="40"/>
        <v>#REF!</v>
      </c>
      <c r="Y44" s="37" t="e">
        <f t="shared" si="40"/>
        <v>#REF!</v>
      </c>
      <c r="Z44" s="37" t="e">
        <f t="shared" si="40"/>
        <v>#REF!</v>
      </c>
      <c r="AA44" s="37" t="e">
        <f>ROUND(Z44/1.302,0)</f>
        <v>#REF!</v>
      </c>
      <c r="AB44" s="37" t="e">
        <f>Z44-AA44</f>
        <v>#REF!</v>
      </c>
      <c r="AC44" s="37" t="e">
        <f>ROUND($AF42*AC43,0)</f>
        <v>#REF!</v>
      </c>
      <c r="AD44" s="37" t="e">
        <f>I44+L44+N44+O44+T44+U44+V44+W44+X44+Y44+AC44+Z44</f>
        <v>#REF!</v>
      </c>
      <c r="AE44" s="78" t="e">
        <f>AF42</f>
        <v>#REF!</v>
      </c>
      <c r="AF44" s="78" t="e">
        <f>AE44-AF42</f>
        <v>#REF!</v>
      </c>
      <c r="AG44" s="107" t="e">
        <f>-ROUND(F44/1000,1)</f>
        <v>#REF!</v>
      </c>
      <c r="AH44" s="107" t="e">
        <f>ROUND(AG44/1.302,1)</f>
        <v>#REF!</v>
      </c>
      <c r="AI44" s="107" t="e">
        <f>AG44-AH44</f>
        <v>#REF!</v>
      </c>
      <c r="AJ44" s="107" t="e">
        <f>-ROUND(L44/1000,1)</f>
        <v>#REF!</v>
      </c>
      <c r="AK44" s="107" t="e">
        <f>-ROUND(M44/1000,1)</f>
        <v>#REF!</v>
      </c>
      <c r="AL44" s="107" t="e">
        <f>-ROUND(N44/1000,1)</f>
        <v>#REF!</v>
      </c>
      <c r="AM44" s="107" t="e">
        <f>-ROUND(O44/1000,1)</f>
        <v>#REF!</v>
      </c>
      <c r="AN44" s="107" t="e">
        <f t="shared" ref="AN44:AS44" si="41">-ROUND(T44/1000,1)</f>
        <v>#REF!</v>
      </c>
      <c r="AO44" s="107" t="e">
        <f t="shared" si="41"/>
        <v>#REF!</v>
      </c>
      <c r="AP44" s="107" t="e">
        <f t="shared" si="41"/>
        <v>#REF!</v>
      </c>
      <c r="AQ44" s="107" t="e">
        <f t="shared" si="41"/>
        <v>#REF!</v>
      </c>
      <c r="AR44" s="107" t="e">
        <f t="shared" si="41"/>
        <v>#REF!</v>
      </c>
      <c r="AS44" s="107" t="e">
        <f t="shared" si="41"/>
        <v>#REF!</v>
      </c>
      <c r="AT44" s="107" t="e">
        <f>-ROUND(AC44/1000,1)</f>
        <v>#REF!</v>
      </c>
      <c r="AU44" s="108" t="e">
        <f>AG44+AJ44+AL44+AM44+AN44+AO44+AP44+AQ44+AR44+AS44+AT44</f>
        <v>#REF!</v>
      </c>
      <c r="AW44" s="272">
        <v>-109601</v>
      </c>
    </row>
    <row r="45" spans="1:49" hidden="1" x14ac:dyDescent="0.25">
      <c r="A45" s="6">
        <v>5</v>
      </c>
      <c r="B45" s="92" t="s">
        <v>19</v>
      </c>
      <c r="C45" s="11">
        <v>706</v>
      </c>
      <c r="D45" s="11">
        <v>2020</v>
      </c>
      <c r="E45" s="11" t="s">
        <v>182</v>
      </c>
      <c r="F45" s="37"/>
      <c r="G45" s="37"/>
      <c r="H45" s="37"/>
      <c r="I45" s="37" t="e">
        <f>SUMIF(#REF!,выравнивание!$A45,#REF!)-SUMIFS(#REF!,#REF!,выравнивание!$A45,#REF!,4)</f>
        <v>#REF!</v>
      </c>
      <c r="J45" s="37" t="e">
        <f>SUMIF(#REF!,выравнивание!$A45,#REF!)-SUMIFS(#REF!,#REF!,выравнивание!$A45,#REF!,4)</f>
        <v>#REF!</v>
      </c>
      <c r="K45" s="37" t="e">
        <f>SUMIF(#REF!,выравнивание!$A45,#REF!)-SUMIFS(#REF!,#REF!,выравнивание!$A45,#REF!,4)</f>
        <v>#REF!</v>
      </c>
      <c r="L45" s="37" t="e">
        <f>SUMIF(#REF!,выравнивание!$A45,#REF!)-SUMIFS(#REF!,#REF!,выравнивание!$A45,#REF!,4)</f>
        <v>#REF!</v>
      </c>
      <c r="M45" s="37" t="e">
        <f>SUMIF(#REF!,выравнивание!$A45,#REF!)-SUMIFS(#REF!,#REF!,выравнивание!$A45,#REF!,4)</f>
        <v>#REF!</v>
      </c>
      <c r="N45" s="37" t="e">
        <f>SUMIF(#REF!,выравнивание!$A45,#REF!)-SUMIFS(#REF!,#REF!,выравнивание!$A45,#REF!,4)</f>
        <v>#REF!</v>
      </c>
      <c r="O45" s="37" t="e">
        <f>SUMIF(#REF!,выравнивание!$A45,#REF!)-SUMIFS(#REF!,#REF!,выравнивание!$A45,#REF!,4)</f>
        <v>#REF!</v>
      </c>
      <c r="P45" s="37" t="e">
        <f>SUMIF(#REF!,выравнивание!$A45,#REF!)-SUMIFS(#REF!,#REF!,выравнивание!$A45,#REF!,4)</f>
        <v>#REF!</v>
      </c>
      <c r="Q45" s="37" t="e">
        <f>SUMIF(#REF!,выравнивание!$A45,#REF!)-SUMIFS(#REF!,#REF!,выравнивание!$A45,#REF!,4)</f>
        <v>#REF!</v>
      </c>
      <c r="R45" s="37" t="e">
        <f>SUMIF(#REF!,выравнивание!$A45,#REF!)-SUMIFS(#REF!,#REF!,выравнивание!$A45,#REF!,4)</f>
        <v>#REF!</v>
      </c>
      <c r="S45" s="37" t="e">
        <f>SUMIF(#REF!,выравнивание!$A45,#REF!)-SUMIFS(#REF!,#REF!,выравнивание!$A45,#REF!,4)</f>
        <v>#REF!</v>
      </c>
      <c r="T45" s="37" t="e">
        <f>SUMIF(#REF!,выравнивание!$A45,#REF!)-SUMIFS(#REF!,#REF!,выравнивание!$A45,#REF!,4)</f>
        <v>#REF!</v>
      </c>
      <c r="U45" s="37" t="e">
        <f>SUMIF(#REF!,выравнивание!$A45,#REF!)-SUMIFS(#REF!,#REF!,выравнивание!$A45,#REF!,4)</f>
        <v>#REF!</v>
      </c>
      <c r="V45" s="37" t="e">
        <f>SUMIF(#REF!,выравнивание!$A45,#REF!)-SUMIFS(#REF!,#REF!,выравнивание!$A45,#REF!,4)</f>
        <v>#REF!</v>
      </c>
      <c r="W45" s="37" t="e">
        <f>SUMIF(#REF!,выравнивание!$A45,#REF!)-SUMIFS(#REF!,#REF!,выравнивание!$A45,#REF!,4)</f>
        <v>#REF!</v>
      </c>
      <c r="X45" s="37" t="e">
        <f>SUMIF(#REF!,выравнивание!$A45,#REF!)-SUMIFS(#REF!,#REF!,выравнивание!$A45,#REF!,4)</f>
        <v>#REF!</v>
      </c>
      <c r="Y45" s="37" t="e">
        <f>SUMIF(#REF!,выравнивание!$A45,#REF!)-SUMIFS(#REF!,#REF!,выравнивание!$A45,#REF!,4)</f>
        <v>#REF!</v>
      </c>
      <c r="Z45" s="37" t="e">
        <f>SUMIF(#REF!,выравнивание!$A45,#REF!)-SUMIFS(#REF!,#REF!,выравнивание!$A45,#REF!,4)</f>
        <v>#REF!</v>
      </c>
      <c r="AA45" s="37" t="e">
        <f>SUMIF(#REF!,выравнивание!$A45,#REF!)-SUMIFS(#REF!,#REF!,выравнивание!$A45,#REF!,4)</f>
        <v>#REF!</v>
      </c>
      <c r="AB45" s="37" t="e">
        <f>SUMIF(#REF!,выравнивание!$A45,#REF!)-SUMIFS(#REF!,#REF!,выравнивание!$A45,#REF!,4)</f>
        <v>#REF!</v>
      </c>
      <c r="AC45" s="103" t="e">
        <f>SUMIF(#REF!,выравнивание!$A45,#REF!)-SUMIFS(#REF!,#REF!,выравнивание!$A45,#REF!,4)</f>
        <v>#REF!</v>
      </c>
      <c r="AD45" s="103" t="e">
        <f>SUMIF(#REF!,выравнивание!$A45,#REF!)-SUMIFS(#REF!,#REF!,выравнивание!$A45,#REF!,4)</f>
        <v>#REF!</v>
      </c>
      <c r="AE45" s="103" t="e">
        <f>SUMIF(#REF!,выравнивание!$A45,#REF!)*1000-SUMIF(#REF!,выравнивание!$A45,#REF!)*1000</f>
        <v>#REF!</v>
      </c>
      <c r="AF45" s="84" t="e">
        <f>AD45-AE45</f>
        <v>#REF!</v>
      </c>
      <c r="AU45" s="108"/>
    </row>
    <row r="46" spans="1:49" hidden="1" x14ac:dyDescent="0.25">
      <c r="A46" s="6">
        <v>5</v>
      </c>
      <c r="B46" s="92" t="s">
        <v>19</v>
      </c>
      <c r="C46" s="11">
        <v>706</v>
      </c>
      <c r="D46" s="11">
        <v>2020</v>
      </c>
      <c r="E46" s="11" t="s">
        <v>184</v>
      </c>
      <c r="F46" s="104"/>
      <c r="G46" s="104"/>
      <c r="H46" s="104"/>
      <c r="I46" s="104" t="e">
        <f t="shared" ref="I46:AB46" si="42">I45/$AD45</f>
        <v>#REF!</v>
      </c>
      <c r="J46" s="104" t="e">
        <f t="shared" si="42"/>
        <v>#REF!</v>
      </c>
      <c r="K46" s="104" t="e">
        <f t="shared" si="42"/>
        <v>#REF!</v>
      </c>
      <c r="L46" s="104" t="e">
        <f t="shared" si="42"/>
        <v>#REF!</v>
      </c>
      <c r="M46" s="104" t="e">
        <f t="shared" si="42"/>
        <v>#REF!</v>
      </c>
      <c r="N46" s="104" t="e">
        <f t="shared" si="42"/>
        <v>#REF!</v>
      </c>
      <c r="O46" s="104" t="e">
        <f t="shared" si="42"/>
        <v>#REF!</v>
      </c>
      <c r="P46" s="104" t="e">
        <f t="shared" si="42"/>
        <v>#REF!</v>
      </c>
      <c r="Q46" s="104" t="e">
        <f t="shared" si="42"/>
        <v>#REF!</v>
      </c>
      <c r="R46" s="104" t="e">
        <f t="shared" si="42"/>
        <v>#REF!</v>
      </c>
      <c r="S46" s="104" t="e">
        <f t="shared" si="42"/>
        <v>#REF!</v>
      </c>
      <c r="T46" s="104" t="e">
        <f t="shared" si="42"/>
        <v>#REF!</v>
      </c>
      <c r="U46" s="104" t="e">
        <f t="shared" si="42"/>
        <v>#REF!</v>
      </c>
      <c r="V46" s="104" t="e">
        <f t="shared" si="42"/>
        <v>#REF!</v>
      </c>
      <c r="W46" s="104" t="e">
        <f t="shared" si="42"/>
        <v>#REF!</v>
      </c>
      <c r="X46" s="104" t="e">
        <f t="shared" si="42"/>
        <v>#REF!</v>
      </c>
      <c r="Y46" s="104" t="e">
        <f t="shared" si="42"/>
        <v>#REF!</v>
      </c>
      <c r="Z46" s="104" t="e">
        <f t="shared" si="42"/>
        <v>#REF!</v>
      </c>
      <c r="AA46" s="104" t="e">
        <f t="shared" si="42"/>
        <v>#REF!</v>
      </c>
      <c r="AB46" s="104" t="e">
        <f t="shared" si="42"/>
        <v>#REF!</v>
      </c>
      <c r="AC46" s="106" t="e">
        <f>1-Z46-Y46-X46-W46-V46-U46-T46-O46-N46-L46-I46</f>
        <v>#REF!</v>
      </c>
      <c r="AD46" s="106" t="e">
        <f>AD45/$AD45</f>
        <v>#REF!</v>
      </c>
      <c r="AE46" s="81"/>
      <c r="AU46" s="108"/>
    </row>
    <row r="47" spans="1:49" x14ac:dyDescent="0.25">
      <c r="A47" s="6">
        <v>5</v>
      </c>
      <c r="B47" s="92" t="s">
        <v>19</v>
      </c>
      <c r="C47" s="11">
        <v>706</v>
      </c>
      <c r="D47" s="11">
        <v>2020</v>
      </c>
      <c r="E47" s="11" t="s">
        <v>185</v>
      </c>
      <c r="F47" s="37" t="e">
        <f>G47+H47</f>
        <v>#REF!</v>
      </c>
      <c r="G47" s="37" t="e">
        <f>J47+AA47</f>
        <v>#REF!</v>
      </c>
      <c r="H47" s="37" t="e">
        <f>K47+AB47</f>
        <v>#REF!</v>
      </c>
      <c r="I47" s="37" t="e">
        <f>ROUND($AF45*I46,0)</f>
        <v>#REF!</v>
      </c>
      <c r="J47" s="37" t="e">
        <f>ROUND(I47/1.302,0)</f>
        <v>#REF!</v>
      </c>
      <c r="K47" s="37" t="e">
        <f>I47-J47</f>
        <v>#REF!</v>
      </c>
      <c r="L47" s="37" t="e">
        <f>ROUND($AF45*L46,0)</f>
        <v>#REF!</v>
      </c>
      <c r="M47" s="37" t="e">
        <f>ROUND($AF45*M46,0)</f>
        <v>#REF!</v>
      </c>
      <c r="N47" s="37" t="e">
        <f>ROUND($AF45*N46,0)</f>
        <v>#REF!</v>
      </c>
      <c r="O47" s="37" t="e">
        <f>ROUND($AF45*O46,0)</f>
        <v>#REF!</v>
      </c>
      <c r="P47" s="37" t="e">
        <f>ROUND($AE45*P46,0)</f>
        <v>#REF!</v>
      </c>
      <c r="Q47" s="37" t="e">
        <f>ROUND($AE45*Q46,0)</f>
        <v>#REF!</v>
      </c>
      <c r="R47" s="37" t="e">
        <f>ROUND($AE45*R46,0)</f>
        <v>#REF!</v>
      </c>
      <c r="S47" s="37" t="e">
        <f>ROUND($AE45*S46,0)</f>
        <v>#REF!</v>
      </c>
      <c r="T47" s="37" t="e">
        <f t="shared" ref="T47:Z47" si="43">ROUND($AF45*T46,0)</f>
        <v>#REF!</v>
      </c>
      <c r="U47" s="37" t="e">
        <f t="shared" si="43"/>
        <v>#REF!</v>
      </c>
      <c r="V47" s="37" t="e">
        <f t="shared" si="43"/>
        <v>#REF!</v>
      </c>
      <c r="W47" s="37" t="e">
        <f t="shared" si="43"/>
        <v>#REF!</v>
      </c>
      <c r="X47" s="37" t="e">
        <f t="shared" si="43"/>
        <v>#REF!</v>
      </c>
      <c r="Y47" s="37" t="e">
        <f t="shared" si="43"/>
        <v>#REF!</v>
      </c>
      <c r="Z47" s="37" t="e">
        <f t="shared" si="43"/>
        <v>#REF!</v>
      </c>
      <c r="AA47" s="37" t="e">
        <f>ROUND(Z47/1.302,0)</f>
        <v>#REF!</v>
      </c>
      <c r="AB47" s="37" t="e">
        <f>Z47-AA47</f>
        <v>#REF!</v>
      </c>
      <c r="AC47" s="37" t="e">
        <f>ROUND($AF45*AC46,0)</f>
        <v>#REF!</v>
      </c>
      <c r="AD47" s="37" t="e">
        <f>I47+L47+N47+O47+T47+U47+V47+W47+X47+Y47+AC47+Z47</f>
        <v>#REF!</v>
      </c>
      <c r="AE47" s="78" t="e">
        <f>AF45</f>
        <v>#REF!</v>
      </c>
      <c r="AF47" s="78" t="e">
        <f>AE47-AF45</f>
        <v>#REF!</v>
      </c>
      <c r="AG47" s="107" t="e">
        <f>-ROUND(F47/1000,1)</f>
        <v>#REF!</v>
      </c>
      <c r="AH47" s="107" t="e">
        <f>ROUND(AG47/1.302,1)</f>
        <v>#REF!</v>
      </c>
      <c r="AI47" s="107" t="e">
        <f>AG47-AH47</f>
        <v>#REF!</v>
      </c>
      <c r="AJ47" s="107" t="e">
        <f>-ROUND(L47/1000,1)</f>
        <v>#REF!</v>
      </c>
      <c r="AK47" s="107" t="e">
        <f>-ROUND(M47/1000,1)</f>
        <v>#REF!</v>
      </c>
      <c r="AL47" s="107" t="e">
        <f>-ROUND(N47/1000,1)</f>
        <v>#REF!</v>
      </c>
      <c r="AM47" s="107" t="e">
        <f>-ROUND(O47/1000,1)</f>
        <v>#REF!</v>
      </c>
      <c r="AN47" s="107" t="e">
        <f t="shared" ref="AN47:AS47" si="44">-ROUND(T47/1000,1)</f>
        <v>#REF!</v>
      </c>
      <c r="AO47" s="107" t="e">
        <f t="shared" si="44"/>
        <v>#REF!</v>
      </c>
      <c r="AP47" s="107" t="e">
        <f t="shared" si="44"/>
        <v>#REF!</v>
      </c>
      <c r="AQ47" s="107" t="e">
        <f t="shared" si="44"/>
        <v>#REF!</v>
      </c>
      <c r="AR47" s="107" t="e">
        <f t="shared" si="44"/>
        <v>#REF!</v>
      </c>
      <c r="AS47" s="107" t="e">
        <f t="shared" si="44"/>
        <v>#REF!</v>
      </c>
      <c r="AT47" s="107" t="e">
        <f>-ROUND(AC47/1000,1)</f>
        <v>#REF!</v>
      </c>
      <c r="AU47" s="108" t="e">
        <f>AG47+AJ47+AL47+AM47+AN47+AO47+AP47+AQ47+AR47+AS47+AT47</f>
        <v>#REF!</v>
      </c>
      <c r="AW47" s="272">
        <v>-112333.2</v>
      </c>
    </row>
    <row r="48" spans="1:49" hidden="1" x14ac:dyDescent="0.25">
      <c r="A48" s="6">
        <v>6</v>
      </c>
      <c r="B48" s="92" t="s">
        <v>21</v>
      </c>
      <c r="C48" s="11">
        <v>706</v>
      </c>
      <c r="D48" s="11">
        <v>2018</v>
      </c>
      <c r="E48" s="11" t="s">
        <v>182</v>
      </c>
      <c r="F48" s="37"/>
      <c r="G48" s="37"/>
      <c r="H48" s="37"/>
      <c r="I48" s="37">
        <f>SUMIF('2020'!$B:$B,выравнивание!$A48,'2020'!BM:BM)-SUMIFS('2020'!BM:BM,'2020'!$B:$B,выравнивание!$A48,'2020'!$G:$G,4)</f>
        <v>446985640</v>
      </c>
      <c r="J48" s="37">
        <f>SUMIF('2020'!$B:$B,выравнивание!$A48,'2020'!BN:BN)-SUMIFS('2020'!BN:BN,'2020'!$B:$B,выравнивание!$A48,'2020'!$G:$G,4)</f>
        <v>343306943.5</v>
      </c>
      <c r="K48" s="37">
        <f>SUMIF('2020'!$B:$B,выравнивание!$A48,'2020'!BO:BO)-SUMIFS('2020'!BO:BO,'2020'!$B:$B,выравнивание!$A48,'2020'!$G:$G,4)</f>
        <v>103678696.5</v>
      </c>
      <c r="L48" s="37">
        <f>SUMIF('2020'!$B:$B,выравнивание!$A48,'2020'!BP:BP)-SUMIFS('2020'!BP:BP,'2020'!$B:$B,выравнивание!$A48,'2020'!$G:$G,4)</f>
        <v>24296997</v>
      </c>
      <c r="M48" s="37">
        <f>SUMIF('2020'!$B:$B,выравнивание!$A48,'2020'!BQ:BQ)-SUMIFS('2020'!BQ:BQ,'2020'!$B:$B,выравнивание!$A48,'2020'!$G:$G,4)</f>
        <v>4459235</v>
      </c>
      <c r="N48" s="37">
        <f>SUMIF('2020'!$B:$B,выравнивание!$A48,'2020'!BR:BR)-SUMIFS('2020'!BR:BR,'2020'!$B:$B,выравнивание!$A48,'2020'!$G:$G,4)</f>
        <v>22450607</v>
      </c>
      <c r="O48" s="37">
        <f>SUMIF('2020'!$B:$B,выравнивание!$A48,'2020'!BS:BS)-SUMIFS('2020'!BS:BS,'2020'!$B:$B,выравнивание!$A48,'2020'!$G:$G,4)</f>
        <v>53570741</v>
      </c>
      <c r="P48" s="37">
        <f>SUMIF('2020'!$B:$B,выравнивание!$A48,'2020'!BT:BT)-SUMIFS('2020'!BT:BT,'2020'!$B:$B,выравнивание!$A48,'2020'!$G:$G,4)</f>
        <v>1477104</v>
      </c>
      <c r="Q48" s="37">
        <f>SUMIF('2020'!$B:$B,выравнивание!$A48,'2020'!BU:BU)-SUMIFS('2020'!BU:BU,'2020'!$B:$B,выравнивание!$A48,'2020'!$G:$G,4)</f>
        <v>48565598</v>
      </c>
      <c r="R48" s="37">
        <f>SUMIF('2020'!$B:$B,выравнивание!$A48,'2020'!BV:BV)-SUMIFS('2020'!BV:BV,'2020'!$B:$B,выравнивание!$A48,'2020'!$G:$G,4)</f>
        <v>1027691</v>
      </c>
      <c r="S48" s="37">
        <f>SUMIF('2020'!$B:$B,выравнивание!$A48,'2020'!BW:BW)-SUMIFS('2020'!BW:BW,'2020'!$B:$B,выравнивание!$A48,'2020'!$G:$G,4)</f>
        <v>2500348</v>
      </c>
      <c r="T48" s="37">
        <f>SUMIF('2020'!$B:$B,выравнивание!$A48,'2020'!BX:BX)-SUMIFS('2020'!BX:BX,'2020'!$B:$B,выравнивание!$A48,'2020'!$G:$G,4)</f>
        <v>19500015</v>
      </c>
      <c r="U48" s="37">
        <f>SUMIF('2020'!$B:$B,выравнивание!$A48,'2020'!BY:BY)-SUMIFS('2020'!BY:BY,'2020'!$B:$B,выравнивание!$A48,'2020'!$G:$G,4)</f>
        <v>16220748</v>
      </c>
      <c r="V48" s="37">
        <f>SUMIF('2020'!$B:$B,выравнивание!$A48,'2020'!BZ:BZ)-SUMIFS('2020'!BZ:BZ,'2020'!$B:$B,выравнивание!$A48,'2020'!$G:$G,4)</f>
        <v>1512594</v>
      </c>
      <c r="W48" s="37">
        <f>SUMIF('2020'!$B:$B,выравнивание!$A48,'2020'!CA:CA)-SUMIFS('2020'!CA:CA,'2020'!$B:$B,выравнивание!$A48,'2020'!$G:$G,4)</f>
        <v>2156847</v>
      </c>
      <c r="X48" s="37">
        <f>SUMIF('2020'!$B:$B,выравнивание!$A48,'2020'!CB:CB)-SUMIFS('2020'!CB:CB,'2020'!$B:$B,выравнивание!$A48,'2020'!$G:$G,4)</f>
        <v>227778</v>
      </c>
      <c r="Y48" s="37">
        <f>SUMIF('2020'!$B:$B,выравнивание!$A48,'2020'!CC:CC)-SUMIFS('2020'!CC:CC,'2020'!$B:$B,выравнивание!$A48,'2020'!$G:$G,4)</f>
        <v>2703931</v>
      </c>
      <c r="Z48" s="37">
        <f>SUMIF('2020'!$B:$B,выравнивание!$A48,'2020'!CD:CD)-SUMIFS('2020'!CD:CD,'2020'!$B:$B,выравнивание!$A48,'2020'!$G:$G,4)</f>
        <v>110201051</v>
      </c>
      <c r="AA48" s="37">
        <f>SUMIF('2020'!$B:$B,выравнивание!$A48,'2020'!CE:CE)-SUMIFS('2020'!CE:CE,'2020'!$B:$B,выравнивание!$A48,'2020'!$G:$G,4)</f>
        <v>84639824.200000003</v>
      </c>
      <c r="AB48" s="37">
        <f>SUMIF('2020'!$B:$B,выравнивание!$A48,'2020'!CF:CF)-SUMIFS('2020'!CF:CF,'2020'!$B:$B,выравнивание!$A48,'2020'!$G:$G,4)</f>
        <v>25561226.800000001</v>
      </c>
      <c r="AC48" s="103">
        <f>SUMIF('2020'!$B:$B,выравнивание!$A48,'2020'!CG:CG)-SUMIFS('2020'!CG:CG,'2020'!$B:$B,выравнивание!$A48,'2020'!$G:$G,4)</f>
        <v>9380800</v>
      </c>
      <c r="AD48" s="103">
        <f>SUMIF('2020'!$B:$B,выравнивание!$A48,'2020'!CH:CH)-SUMIFS('2020'!CH:CH,'2020'!$B:$B,выравнивание!$A48,'2020'!$G:$G,4)</f>
        <v>709207749</v>
      </c>
      <c r="AE48" s="84">
        <f>SUMIF('Свод 2020'!$A$9:$A$22,выравнивание!$A48,'Свод 2020'!$AA$9:$AA$24)*1000-SUMIF('Свод 2020'!$A$9:$A$22,выравнивание!$A48,'Свод 2020'!$S$9:$S$24)*1000</f>
        <v>753075700</v>
      </c>
      <c r="AF48" s="105">
        <f>AD48-AE48</f>
        <v>-43867951</v>
      </c>
      <c r="AU48" s="108"/>
    </row>
    <row r="49" spans="1:49" hidden="1" x14ac:dyDescent="0.25">
      <c r="A49" s="6">
        <v>6</v>
      </c>
      <c r="B49" s="92" t="s">
        <v>21</v>
      </c>
      <c r="C49" s="11">
        <v>706</v>
      </c>
      <c r="D49" s="11">
        <v>2018</v>
      </c>
      <c r="E49" s="11" t="s">
        <v>184</v>
      </c>
      <c r="F49" s="104"/>
      <c r="G49" s="104"/>
      <c r="H49" s="104"/>
      <c r="I49" s="104">
        <f t="shared" ref="I49:AB49" si="45">I48/$AD48</f>
        <v>0.63026099999999996</v>
      </c>
      <c r="J49" s="104">
        <f t="shared" si="45"/>
        <v>0.48407099999999997</v>
      </c>
      <c r="K49" s="104">
        <f t="shared" si="45"/>
        <v>0.14618900000000001</v>
      </c>
      <c r="L49" s="104">
        <f t="shared" si="45"/>
        <v>3.4258999999999998E-2</v>
      </c>
      <c r="M49" s="104">
        <f t="shared" si="45"/>
        <v>6.2880000000000002E-3</v>
      </c>
      <c r="N49" s="104">
        <f t="shared" si="45"/>
        <v>3.1655999999999997E-2</v>
      </c>
      <c r="O49" s="104">
        <f t="shared" si="45"/>
        <v>7.5536000000000006E-2</v>
      </c>
      <c r="P49" s="104">
        <f t="shared" si="45"/>
        <v>2.0830000000000002E-3</v>
      </c>
      <c r="Q49" s="104">
        <f t="shared" si="45"/>
        <v>6.8478999999999998E-2</v>
      </c>
      <c r="R49" s="104">
        <f t="shared" si="45"/>
        <v>1.449E-3</v>
      </c>
      <c r="S49" s="104">
        <f t="shared" si="45"/>
        <v>3.5260000000000001E-3</v>
      </c>
      <c r="T49" s="104">
        <f t="shared" si="45"/>
        <v>2.7494999999999999E-2</v>
      </c>
      <c r="U49" s="104">
        <f t="shared" si="45"/>
        <v>2.2872E-2</v>
      </c>
      <c r="V49" s="104">
        <f t="shared" si="45"/>
        <v>2.1329999999999999E-3</v>
      </c>
      <c r="W49" s="104">
        <f t="shared" si="45"/>
        <v>3.0409999999999999E-3</v>
      </c>
      <c r="X49" s="104">
        <f t="shared" si="45"/>
        <v>3.21E-4</v>
      </c>
      <c r="Y49" s="104">
        <f t="shared" si="45"/>
        <v>3.813E-3</v>
      </c>
      <c r="Z49" s="104">
        <f t="shared" si="45"/>
        <v>0.155386</v>
      </c>
      <c r="AA49" s="104">
        <f t="shared" si="45"/>
        <v>0.11934400000000001</v>
      </c>
      <c r="AB49" s="104">
        <f t="shared" si="45"/>
        <v>3.6041999999999998E-2</v>
      </c>
      <c r="AC49" s="106">
        <f>1-Z49-Y49-X49-W49-V49-U49-T49-O49-N49-L49-I49</f>
        <v>1.3226999999999999E-2</v>
      </c>
      <c r="AD49" s="106">
        <f>AD48/$AD48</f>
        <v>1</v>
      </c>
      <c r="AE49" s="81"/>
      <c r="AU49" s="108"/>
    </row>
    <row r="50" spans="1:49" x14ac:dyDescent="0.25">
      <c r="A50" s="6">
        <v>6</v>
      </c>
      <c r="B50" s="92" t="s">
        <v>21</v>
      </c>
      <c r="C50" s="11">
        <v>706</v>
      </c>
      <c r="D50" s="11">
        <v>2018</v>
      </c>
      <c r="E50" s="11" t="s">
        <v>185</v>
      </c>
      <c r="F50" s="37">
        <f>G50+H50</f>
        <v>-34464724</v>
      </c>
      <c r="G50" s="37">
        <f>J50+AA50</f>
        <v>-26470602</v>
      </c>
      <c r="H50" s="37">
        <f>K50+AB50</f>
        <v>-7994122</v>
      </c>
      <c r="I50" s="37">
        <f>ROUND($AF48*I49,0)</f>
        <v>-27648259</v>
      </c>
      <c r="J50" s="37">
        <f>ROUND(I50/1.302,0)</f>
        <v>-21235222</v>
      </c>
      <c r="K50" s="37">
        <f>I50-J50</f>
        <v>-6413037</v>
      </c>
      <c r="L50" s="37">
        <f>ROUND($AF48*L49,0)</f>
        <v>-1502872</v>
      </c>
      <c r="M50" s="37">
        <f>ROUND($AF48*M49,0)</f>
        <v>-275842</v>
      </c>
      <c r="N50" s="37">
        <f>ROUND($AF48*N49,0)</f>
        <v>-1388684</v>
      </c>
      <c r="O50" s="37">
        <f>ROUND($AF48*O49,0)</f>
        <v>-3313610</v>
      </c>
      <c r="P50" s="37">
        <f>ROUND($AE48*P49,0)</f>
        <v>1568657</v>
      </c>
      <c r="Q50" s="37">
        <f>ROUND($AE48*Q49,0)</f>
        <v>51569871</v>
      </c>
      <c r="R50" s="37">
        <f>ROUND($AE48*R49,0)</f>
        <v>1091207</v>
      </c>
      <c r="S50" s="37">
        <f>ROUND($AE48*S49,0)</f>
        <v>2655345</v>
      </c>
      <c r="T50" s="37">
        <f t="shared" ref="T50:Z50" si="46">ROUND($AF48*T49,0)</f>
        <v>-1206149</v>
      </c>
      <c r="U50" s="37">
        <f t="shared" si="46"/>
        <v>-1003348</v>
      </c>
      <c r="V50" s="37">
        <f t="shared" si="46"/>
        <v>-93570</v>
      </c>
      <c r="W50" s="37">
        <f t="shared" si="46"/>
        <v>-133402</v>
      </c>
      <c r="X50" s="37">
        <f t="shared" si="46"/>
        <v>-14082</v>
      </c>
      <c r="Y50" s="37">
        <f t="shared" si="46"/>
        <v>-167268</v>
      </c>
      <c r="Z50" s="37">
        <f t="shared" si="46"/>
        <v>-6816465</v>
      </c>
      <c r="AA50" s="37">
        <f>ROUND(Z50/1.302,0)</f>
        <v>-5235380</v>
      </c>
      <c r="AB50" s="37">
        <f>Z50-AA50</f>
        <v>-1581085</v>
      </c>
      <c r="AC50" s="37">
        <f>ROUND($AF48*AC49,0)</f>
        <v>-580241</v>
      </c>
      <c r="AD50" s="37">
        <f>I50+L50+N50+O50+T50+U50+V50+W50+X50+Y50+AC50+Z50</f>
        <v>-43867950</v>
      </c>
      <c r="AE50" s="78">
        <f>AF48</f>
        <v>-43867951</v>
      </c>
      <c r="AF50" s="78">
        <f>AE50-AF48</f>
        <v>0</v>
      </c>
      <c r="AG50" s="107">
        <f>-ROUND(F50/1000,1)</f>
        <v>34464.699999999997</v>
      </c>
      <c r="AH50" s="107">
        <f>ROUND(AG50/1.302,1)</f>
        <v>26470.6</v>
      </c>
      <c r="AI50" s="107">
        <f>AG50-AH50</f>
        <v>7994.1</v>
      </c>
      <c r="AJ50" s="107">
        <f>-ROUND(L50/1000,1)</f>
        <v>1502.9</v>
      </c>
      <c r="AK50" s="107">
        <f>-ROUND(M50/1000,1)</f>
        <v>275.8</v>
      </c>
      <c r="AL50" s="107">
        <f>-ROUND(N50/1000,1)</f>
        <v>1388.7</v>
      </c>
      <c r="AM50" s="107">
        <f>-ROUND(O50/1000,1)</f>
        <v>3313.6</v>
      </c>
      <c r="AN50" s="107">
        <f t="shared" ref="AN50:AS50" si="47">-ROUND(T50/1000,1)</f>
        <v>1206.0999999999999</v>
      </c>
      <c r="AO50" s="107">
        <f t="shared" si="47"/>
        <v>1003.3</v>
      </c>
      <c r="AP50" s="107">
        <f t="shared" si="47"/>
        <v>93.6</v>
      </c>
      <c r="AQ50" s="107">
        <f t="shared" si="47"/>
        <v>133.4</v>
      </c>
      <c r="AR50" s="107">
        <f t="shared" si="47"/>
        <v>14.1</v>
      </c>
      <c r="AS50" s="107">
        <f t="shared" si="47"/>
        <v>167.3</v>
      </c>
      <c r="AT50" s="107">
        <f>-ROUND(AC50/1000,1)</f>
        <v>580.20000000000005</v>
      </c>
      <c r="AU50" s="108">
        <f>AG50+AJ50+AL50+AM50+AN50+AO50+AP50+AQ50+AR50+AS50+AT50</f>
        <v>43867.9</v>
      </c>
      <c r="AW50" s="272">
        <v>-244362.6</v>
      </c>
    </row>
    <row r="51" spans="1:49" hidden="1" x14ac:dyDescent="0.25">
      <c r="A51" s="6">
        <v>6</v>
      </c>
      <c r="B51" s="92" t="s">
        <v>21</v>
      </c>
      <c r="C51" s="11">
        <v>706</v>
      </c>
      <c r="D51" s="11">
        <v>2019</v>
      </c>
      <c r="E51" s="11" t="s">
        <v>182</v>
      </c>
      <c r="F51" s="37"/>
      <c r="G51" s="37"/>
      <c r="H51" s="37"/>
      <c r="I51" s="37" t="e">
        <f>SUMIF(#REF!,выравнивание!$A51,#REF!)-SUMIFS(#REF!,#REF!,выравнивание!$A51,#REF!,4)</f>
        <v>#REF!</v>
      </c>
      <c r="J51" s="37" t="e">
        <f>SUMIF(#REF!,выравнивание!$A51,#REF!)-SUMIFS(#REF!,#REF!,выравнивание!$A51,#REF!,4)</f>
        <v>#REF!</v>
      </c>
      <c r="K51" s="37" t="e">
        <f>SUMIF(#REF!,выравнивание!$A51,#REF!)-SUMIFS(#REF!,#REF!,выравнивание!$A51,#REF!,4)</f>
        <v>#REF!</v>
      </c>
      <c r="L51" s="37" t="e">
        <f>SUMIF(#REF!,выравнивание!$A51,#REF!)-SUMIFS(#REF!,#REF!,выравнивание!$A51,#REF!,4)</f>
        <v>#REF!</v>
      </c>
      <c r="M51" s="37" t="e">
        <f>SUMIF(#REF!,выравнивание!$A51,#REF!)-SUMIFS(#REF!,#REF!,выравнивание!$A51,#REF!,4)</f>
        <v>#REF!</v>
      </c>
      <c r="N51" s="37" t="e">
        <f>SUMIF(#REF!,выравнивание!$A51,#REF!)-SUMIFS(#REF!,#REF!,выравнивание!$A51,#REF!,4)</f>
        <v>#REF!</v>
      </c>
      <c r="O51" s="37" t="e">
        <f>SUMIF(#REF!,выравнивание!$A51,#REF!)-SUMIFS(#REF!,#REF!,выравнивание!$A51,#REF!,4)</f>
        <v>#REF!</v>
      </c>
      <c r="P51" s="37" t="e">
        <f>SUMIF(#REF!,выравнивание!$A51,#REF!)-SUMIFS(#REF!,#REF!,выравнивание!$A51,#REF!,4)</f>
        <v>#REF!</v>
      </c>
      <c r="Q51" s="37" t="e">
        <f>SUMIF(#REF!,выравнивание!$A51,#REF!)-SUMIFS(#REF!,#REF!,выравнивание!$A51,#REF!,4)</f>
        <v>#REF!</v>
      </c>
      <c r="R51" s="37" t="e">
        <f>SUMIF(#REF!,выравнивание!$A51,#REF!)-SUMIFS(#REF!,#REF!,выравнивание!$A51,#REF!,4)</f>
        <v>#REF!</v>
      </c>
      <c r="S51" s="37" t="e">
        <f>SUMIF(#REF!,выравнивание!$A51,#REF!)-SUMIFS(#REF!,#REF!,выравнивание!$A51,#REF!,4)</f>
        <v>#REF!</v>
      </c>
      <c r="T51" s="37" t="e">
        <f>SUMIF(#REF!,выравнивание!$A51,#REF!)-SUMIFS(#REF!,#REF!,выравнивание!$A51,#REF!,4)</f>
        <v>#REF!</v>
      </c>
      <c r="U51" s="37" t="e">
        <f>SUMIF(#REF!,выравнивание!$A51,#REF!)-SUMIFS(#REF!,#REF!,выравнивание!$A51,#REF!,4)</f>
        <v>#REF!</v>
      </c>
      <c r="V51" s="37" t="e">
        <f>SUMIF(#REF!,выравнивание!$A51,#REF!)-SUMIFS(#REF!,#REF!,выравнивание!$A51,#REF!,4)</f>
        <v>#REF!</v>
      </c>
      <c r="W51" s="37" t="e">
        <f>SUMIF(#REF!,выравнивание!$A51,#REF!)-SUMIFS(#REF!,#REF!,выравнивание!$A51,#REF!,4)</f>
        <v>#REF!</v>
      </c>
      <c r="X51" s="37" t="e">
        <f>SUMIF(#REF!,выравнивание!$A51,#REF!)-SUMIFS(#REF!,#REF!,выравнивание!$A51,#REF!,4)</f>
        <v>#REF!</v>
      </c>
      <c r="Y51" s="37" t="e">
        <f>SUMIF(#REF!,выравнивание!$A51,#REF!)-SUMIFS(#REF!,#REF!,выравнивание!$A51,#REF!,4)</f>
        <v>#REF!</v>
      </c>
      <c r="Z51" s="37" t="e">
        <f>SUMIF(#REF!,выравнивание!$A51,#REF!)-SUMIFS(#REF!,#REF!,выравнивание!$A51,#REF!,4)</f>
        <v>#REF!</v>
      </c>
      <c r="AA51" s="37" t="e">
        <f>SUMIF(#REF!,выравнивание!$A51,#REF!)-SUMIFS(#REF!,#REF!,выравнивание!$A51,#REF!,4)</f>
        <v>#REF!</v>
      </c>
      <c r="AB51" s="37" t="e">
        <f>SUMIF(#REF!,выравнивание!$A51,#REF!)-SUMIFS(#REF!,#REF!,выравнивание!$A51,#REF!,4)</f>
        <v>#REF!</v>
      </c>
      <c r="AC51" s="103" t="e">
        <f>SUMIF(#REF!,выравнивание!$A51,#REF!)-SUMIFS(#REF!,#REF!,выравнивание!$A51,#REF!,4)</f>
        <v>#REF!</v>
      </c>
      <c r="AD51" s="103" t="e">
        <f>SUMIF(#REF!,выравнивание!$A51,#REF!)-SUMIFS(#REF!,#REF!,выравнивание!$A51,#REF!,4)</f>
        <v>#REF!</v>
      </c>
      <c r="AE51" s="103" t="e">
        <f>SUMIF(#REF!,выравнивание!$A51,#REF!)*1000-SUMIF(#REF!,выравнивание!$A51,#REF!)*1000</f>
        <v>#REF!</v>
      </c>
      <c r="AF51" s="105" t="e">
        <f>AD51-AE51</f>
        <v>#REF!</v>
      </c>
      <c r="AU51" s="108"/>
    </row>
    <row r="52" spans="1:49" hidden="1" x14ac:dyDescent="0.25">
      <c r="A52" s="6">
        <v>6</v>
      </c>
      <c r="B52" s="92" t="s">
        <v>21</v>
      </c>
      <c r="C52" s="11">
        <v>706</v>
      </c>
      <c r="D52" s="11">
        <v>2019</v>
      </c>
      <c r="E52" s="11" t="s">
        <v>184</v>
      </c>
      <c r="F52" s="104"/>
      <c r="G52" s="104"/>
      <c r="H52" s="104"/>
      <c r="I52" s="104" t="e">
        <f t="shared" ref="I52:AB52" si="48">I51/$AD51</f>
        <v>#REF!</v>
      </c>
      <c r="J52" s="104" t="e">
        <f t="shared" si="48"/>
        <v>#REF!</v>
      </c>
      <c r="K52" s="104" t="e">
        <f t="shared" si="48"/>
        <v>#REF!</v>
      </c>
      <c r="L52" s="104" t="e">
        <f t="shared" si="48"/>
        <v>#REF!</v>
      </c>
      <c r="M52" s="104" t="e">
        <f t="shared" si="48"/>
        <v>#REF!</v>
      </c>
      <c r="N52" s="104" t="e">
        <f t="shared" si="48"/>
        <v>#REF!</v>
      </c>
      <c r="O52" s="104" t="e">
        <f t="shared" si="48"/>
        <v>#REF!</v>
      </c>
      <c r="P52" s="104" t="e">
        <f t="shared" si="48"/>
        <v>#REF!</v>
      </c>
      <c r="Q52" s="104" t="e">
        <f t="shared" si="48"/>
        <v>#REF!</v>
      </c>
      <c r="R52" s="104" t="e">
        <f t="shared" si="48"/>
        <v>#REF!</v>
      </c>
      <c r="S52" s="104" t="e">
        <f t="shared" si="48"/>
        <v>#REF!</v>
      </c>
      <c r="T52" s="104" t="e">
        <f t="shared" si="48"/>
        <v>#REF!</v>
      </c>
      <c r="U52" s="104" t="e">
        <f t="shared" si="48"/>
        <v>#REF!</v>
      </c>
      <c r="V52" s="104" t="e">
        <f t="shared" si="48"/>
        <v>#REF!</v>
      </c>
      <c r="W52" s="104" t="e">
        <f t="shared" si="48"/>
        <v>#REF!</v>
      </c>
      <c r="X52" s="104" t="e">
        <f t="shared" si="48"/>
        <v>#REF!</v>
      </c>
      <c r="Y52" s="104" t="e">
        <f t="shared" si="48"/>
        <v>#REF!</v>
      </c>
      <c r="Z52" s="104" t="e">
        <f t="shared" si="48"/>
        <v>#REF!</v>
      </c>
      <c r="AA52" s="104" t="e">
        <f t="shared" si="48"/>
        <v>#REF!</v>
      </c>
      <c r="AB52" s="104" t="e">
        <f t="shared" si="48"/>
        <v>#REF!</v>
      </c>
      <c r="AC52" s="106" t="e">
        <f>1-Z52-Y52-X52-W52-V52-U52-T52-O52-N52-L52-I52</f>
        <v>#REF!</v>
      </c>
      <c r="AD52" s="106" t="e">
        <f>AD51/$AD51</f>
        <v>#REF!</v>
      </c>
      <c r="AE52" s="81"/>
      <c r="AU52" s="108"/>
    </row>
    <row r="53" spans="1:49" x14ac:dyDescent="0.25">
      <c r="A53" s="6">
        <v>6</v>
      </c>
      <c r="B53" s="92" t="s">
        <v>21</v>
      </c>
      <c r="C53" s="11">
        <v>706</v>
      </c>
      <c r="D53" s="11">
        <v>2019</v>
      </c>
      <c r="E53" s="11" t="s">
        <v>185</v>
      </c>
      <c r="F53" s="37" t="e">
        <f>G53+H53</f>
        <v>#REF!</v>
      </c>
      <c r="G53" s="37" t="e">
        <f>J53+AA53</f>
        <v>#REF!</v>
      </c>
      <c r="H53" s="37" t="e">
        <f>K53+AB53</f>
        <v>#REF!</v>
      </c>
      <c r="I53" s="37" t="e">
        <f>ROUND($AF51*I52,0)</f>
        <v>#REF!</v>
      </c>
      <c r="J53" s="37" t="e">
        <f>ROUND(I53/1.302,0)</f>
        <v>#REF!</v>
      </c>
      <c r="K53" s="37" t="e">
        <f>I53-J53</f>
        <v>#REF!</v>
      </c>
      <c r="L53" s="37" t="e">
        <f>ROUND($AF51*L52,0)</f>
        <v>#REF!</v>
      </c>
      <c r="M53" s="37" t="e">
        <f>ROUND($AF51*M52,0)</f>
        <v>#REF!</v>
      </c>
      <c r="N53" s="37" t="e">
        <f>ROUND($AF51*N52,0)</f>
        <v>#REF!</v>
      </c>
      <c r="O53" s="37" t="e">
        <f>ROUND($AF51*O52,0)</f>
        <v>#REF!</v>
      </c>
      <c r="P53" s="37" t="e">
        <f>ROUND($AE51*P52,0)</f>
        <v>#REF!</v>
      </c>
      <c r="Q53" s="37" t="e">
        <f>ROUND($AE51*Q52,0)</f>
        <v>#REF!</v>
      </c>
      <c r="R53" s="37" t="e">
        <f>ROUND($AE51*R52,0)</f>
        <v>#REF!</v>
      </c>
      <c r="S53" s="37" t="e">
        <f>ROUND($AE51*S52,0)</f>
        <v>#REF!</v>
      </c>
      <c r="T53" s="37" t="e">
        <f t="shared" ref="T53:Z53" si="49">ROUND($AF51*T52,0)</f>
        <v>#REF!</v>
      </c>
      <c r="U53" s="37" t="e">
        <f t="shared" si="49"/>
        <v>#REF!</v>
      </c>
      <c r="V53" s="37" t="e">
        <f t="shared" si="49"/>
        <v>#REF!</v>
      </c>
      <c r="W53" s="37" t="e">
        <f t="shared" si="49"/>
        <v>#REF!</v>
      </c>
      <c r="X53" s="37" t="e">
        <f t="shared" si="49"/>
        <v>#REF!</v>
      </c>
      <c r="Y53" s="37" t="e">
        <f t="shared" si="49"/>
        <v>#REF!</v>
      </c>
      <c r="Z53" s="37" t="e">
        <f t="shared" si="49"/>
        <v>#REF!</v>
      </c>
      <c r="AA53" s="37" t="e">
        <f>ROUND(Z53/1.302,0)</f>
        <v>#REF!</v>
      </c>
      <c r="AB53" s="37" t="e">
        <f>Z53-AA53</f>
        <v>#REF!</v>
      </c>
      <c r="AC53" s="37" t="e">
        <f>ROUND($AF51*AC52,0)</f>
        <v>#REF!</v>
      </c>
      <c r="AD53" s="37" t="e">
        <f>I53+L53+N53+O53+T53+U53+V53+W53+X53+Y53+AC53+Z53</f>
        <v>#REF!</v>
      </c>
      <c r="AE53" s="78" t="e">
        <f>AF51</f>
        <v>#REF!</v>
      </c>
      <c r="AF53" s="78" t="e">
        <f>AE53-AF51</f>
        <v>#REF!</v>
      </c>
      <c r="AG53" s="107" t="e">
        <f>-ROUND(F53/1000,1)</f>
        <v>#REF!</v>
      </c>
      <c r="AH53" s="107" t="e">
        <f>ROUND(AG53/1.302,1)</f>
        <v>#REF!</v>
      </c>
      <c r="AI53" s="107" t="e">
        <f>AG53-AH53</f>
        <v>#REF!</v>
      </c>
      <c r="AJ53" s="107" t="e">
        <f>-ROUND(L53/1000,1)</f>
        <v>#REF!</v>
      </c>
      <c r="AK53" s="107" t="e">
        <f>-ROUND(M53/1000,1)</f>
        <v>#REF!</v>
      </c>
      <c r="AL53" s="107" t="e">
        <f>-ROUND(N53/1000,1)</f>
        <v>#REF!</v>
      </c>
      <c r="AM53" s="107" t="e">
        <f>-ROUND(O53/1000,1)</f>
        <v>#REF!</v>
      </c>
      <c r="AN53" s="107" t="e">
        <f t="shared" ref="AN53:AS53" si="50">-ROUND(T53/1000,1)</f>
        <v>#REF!</v>
      </c>
      <c r="AO53" s="107" t="e">
        <f t="shared" si="50"/>
        <v>#REF!</v>
      </c>
      <c r="AP53" s="107" t="e">
        <f t="shared" si="50"/>
        <v>#REF!</v>
      </c>
      <c r="AQ53" s="107" t="e">
        <f t="shared" si="50"/>
        <v>#REF!</v>
      </c>
      <c r="AR53" s="107" t="e">
        <f t="shared" si="50"/>
        <v>#REF!</v>
      </c>
      <c r="AS53" s="107" t="e">
        <f t="shared" si="50"/>
        <v>#REF!</v>
      </c>
      <c r="AT53" s="107" t="e">
        <f>-ROUND(AC53/1000,1)</f>
        <v>#REF!</v>
      </c>
      <c r="AU53" s="108" t="e">
        <f>AG53+AJ53+AL53+AM53+AN53+AO53+AP53+AQ53+AR53+AS53+AT53</f>
        <v>#REF!</v>
      </c>
      <c r="AW53" s="272">
        <v>-254644.2</v>
      </c>
    </row>
    <row r="54" spans="1:49" hidden="1" x14ac:dyDescent="0.25">
      <c r="A54" s="6">
        <v>6</v>
      </c>
      <c r="B54" s="92" t="s">
        <v>21</v>
      </c>
      <c r="C54" s="11">
        <v>706</v>
      </c>
      <c r="D54" s="11">
        <v>2020</v>
      </c>
      <c r="E54" s="11" t="s">
        <v>182</v>
      </c>
      <c r="F54" s="37"/>
      <c r="G54" s="37"/>
      <c r="H54" s="37"/>
      <c r="I54" s="37" t="e">
        <f>SUMIF(#REF!,выравнивание!$A54,#REF!)-SUMIFS(#REF!,#REF!,выравнивание!$A54,#REF!,4)</f>
        <v>#REF!</v>
      </c>
      <c r="J54" s="37" t="e">
        <f>SUMIF(#REF!,выравнивание!$A54,#REF!)-SUMIFS(#REF!,#REF!,выравнивание!$A54,#REF!,4)</f>
        <v>#REF!</v>
      </c>
      <c r="K54" s="37" t="e">
        <f>SUMIF(#REF!,выравнивание!$A54,#REF!)-SUMIFS(#REF!,#REF!,выравнивание!$A54,#REF!,4)</f>
        <v>#REF!</v>
      </c>
      <c r="L54" s="37" t="e">
        <f>SUMIF(#REF!,выравнивание!$A54,#REF!)-SUMIFS(#REF!,#REF!,выравнивание!$A54,#REF!,4)</f>
        <v>#REF!</v>
      </c>
      <c r="M54" s="37" t="e">
        <f>SUMIF(#REF!,выравнивание!$A54,#REF!)-SUMIFS(#REF!,#REF!,выравнивание!$A54,#REF!,4)</f>
        <v>#REF!</v>
      </c>
      <c r="N54" s="37" t="e">
        <f>SUMIF(#REF!,выравнивание!$A54,#REF!)-SUMIFS(#REF!,#REF!,выравнивание!$A54,#REF!,4)</f>
        <v>#REF!</v>
      </c>
      <c r="O54" s="37" t="e">
        <f>SUMIF(#REF!,выравнивание!$A54,#REF!)-SUMIFS(#REF!,#REF!,выравнивание!$A54,#REF!,4)</f>
        <v>#REF!</v>
      </c>
      <c r="P54" s="37" t="e">
        <f>SUMIF(#REF!,выравнивание!$A54,#REF!)-SUMIFS(#REF!,#REF!,выравнивание!$A54,#REF!,4)</f>
        <v>#REF!</v>
      </c>
      <c r="Q54" s="37" t="e">
        <f>SUMIF(#REF!,выравнивание!$A54,#REF!)-SUMIFS(#REF!,#REF!,выравнивание!$A54,#REF!,4)</f>
        <v>#REF!</v>
      </c>
      <c r="R54" s="37" t="e">
        <f>SUMIF(#REF!,выравнивание!$A54,#REF!)-SUMIFS(#REF!,#REF!,выравнивание!$A54,#REF!,4)</f>
        <v>#REF!</v>
      </c>
      <c r="S54" s="37" t="e">
        <f>SUMIF(#REF!,выравнивание!$A54,#REF!)-SUMIFS(#REF!,#REF!,выравнивание!$A54,#REF!,4)</f>
        <v>#REF!</v>
      </c>
      <c r="T54" s="37" t="e">
        <f>SUMIF(#REF!,выравнивание!$A54,#REF!)-SUMIFS(#REF!,#REF!,выравнивание!$A54,#REF!,4)</f>
        <v>#REF!</v>
      </c>
      <c r="U54" s="37" t="e">
        <f>SUMIF(#REF!,выравнивание!$A54,#REF!)-SUMIFS(#REF!,#REF!,выравнивание!$A54,#REF!,4)</f>
        <v>#REF!</v>
      </c>
      <c r="V54" s="37" t="e">
        <f>SUMIF(#REF!,выравнивание!$A54,#REF!)-SUMIFS(#REF!,#REF!,выравнивание!$A54,#REF!,4)</f>
        <v>#REF!</v>
      </c>
      <c r="W54" s="37" t="e">
        <f>SUMIF(#REF!,выравнивание!$A54,#REF!)-SUMIFS(#REF!,#REF!,выравнивание!$A54,#REF!,4)</f>
        <v>#REF!</v>
      </c>
      <c r="X54" s="37" t="e">
        <f>SUMIF(#REF!,выравнивание!$A54,#REF!)-SUMIFS(#REF!,#REF!,выравнивание!$A54,#REF!,4)</f>
        <v>#REF!</v>
      </c>
      <c r="Y54" s="37" t="e">
        <f>SUMIF(#REF!,выравнивание!$A54,#REF!)-SUMIFS(#REF!,#REF!,выравнивание!$A54,#REF!,4)</f>
        <v>#REF!</v>
      </c>
      <c r="Z54" s="37" t="e">
        <f>SUMIF(#REF!,выравнивание!$A54,#REF!)-SUMIFS(#REF!,#REF!,выравнивание!$A54,#REF!,4)</f>
        <v>#REF!</v>
      </c>
      <c r="AA54" s="37" t="e">
        <f>SUMIF(#REF!,выравнивание!$A54,#REF!)-SUMIFS(#REF!,#REF!,выравнивание!$A54,#REF!,4)</f>
        <v>#REF!</v>
      </c>
      <c r="AB54" s="37" t="e">
        <f>SUMIF(#REF!,выравнивание!$A54,#REF!)-SUMIFS(#REF!,#REF!,выравнивание!$A54,#REF!,4)</f>
        <v>#REF!</v>
      </c>
      <c r="AC54" s="103" t="e">
        <f>SUMIF(#REF!,выравнивание!$A54,#REF!)-SUMIFS(#REF!,#REF!,выравнивание!$A54,#REF!,4)</f>
        <v>#REF!</v>
      </c>
      <c r="AD54" s="103" t="e">
        <f>SUMIF(#REF!,выравнивание!$A54,#REF!)-SUMIFS(#REF!,#REF!,выравнивание!$A54,#REF!,4)</f>
        <v>#REF!</v>
      </c>
      <c r="AE54" s="103" t="e">
        <f>SUMIF(#REF!,выравнивание!$A54,#REF!)*1000-SUMIF(#REF!,выравнивание!$A54,#REF!)*1000</f>
        <v>#REF!</v>
      </c>
      <c r="AF54" s="84" t="e">
        <f>AD54-AE54</f>
        <v>#REF!</v>
      </c>
      <c r="AU54" s="108"/>
    </row>
    <row r="55" spans="1:49" hidden="1" x14ac:dyDescent="0.25">
      <c r="A55" s="6">
        <v>6</v>
      </c>
      <c r="B55" s="92" t="s">
        <v>21</v>
      </c>
      <c r="C55" s="11">
        <v>706</v>
      </c>
      <c r="D55" s="11">
        <v>2020</v>
      </c>
      <c r="E55" s="11" t="s">
        <v>184</v>
      </c>
      <c r="F55" s="104"/>
      <c r="G55" s="104"/>
      <c r="H55" s="104"/>
      <c r="I55" s="104" t="e">
        <f t="shared" ref="I55:AB55" si="51">I54/$AD54</f>
        <v>#REF!</v>
      </c>
      <c r="J55" s="104" t="e">
        <f t="shared" si="51"/>
        <v>#REF!</v>
      </c>
      <c r="K55" s="104" t="e">
        <f t="shared" si="51"/>
        <v>#REF!</v>
      </c>
      <c r="L55" s="104" t="e">
        <f t="shared" si="51"/>
        <v>#REF!</v>
      </c>
      <c r="M55" s="104" t="e">
        <f t="shared" si="51"/>
        <v>#REF!</v>
      </c>
      <c r="N55" s="104" t="e">
        <f t="shared" si="51"/>
        <v>#REF!</v>
      </c>
      <c r="O55" s="104" t="e">
        <f t="shared" si="51"/>
        <v>#REF!</v>
      </c>
      <c r="P55" s="104" t="e">
        <f t="shared" si="51"/>
        <v>#REF!</v>
      </c>
      <c r="Q55" s="104" t="e">
        <f t="shared" si="51"/>
        <v>#REF!</v>
      </c>
      <c r="R55" s="104" t="e">
        <f t="shared" si="51"/>
        <v>#REF!</v>
      </c>
      <c r="S55" s="104" t="e">
        <f t="shared" si="51"/>
        <v>#REF!</v>
      </c>
      <c r="T55" s="104" t="e">
        <f t="shared" si="51"/>
        <v>#REF!</v>
      </c>
      <c r="U55" s="104" t="e">
        <f t="shared" si="51"/>
        <v>#REF!</v>
      </c>
      <c r="V55" s="104" t="e">
        <f t="shared" si="51"/>
        <v>#REF!</v>
      </c>
      <c r="W55" s="104" t="e">
        <f t="shared" si="51"/>
        <v>#REF!</v>
      </c>
      <c r="X55" s="104" t="e">
        <f t="shared" si="51"/>
        <v>#REF!</v>
      </c>
      <c r="Y55" s="104" t="e">
        <f t="shared" si="51"/>
        <v>#REF!</v>
      </c>
      <c r="Z55" s="104" t="e">
        <f t="shared" si="51"/>
        <v>#REF!</v>
      </c>
      <c r="AA55" s="104" t="e">
        <f t="shared" si="51"/>
        <v>#REF!</v>
      </c>
      <c r="AB55" s="104" t="e">
        <f t="shared" si="51"/>
        <v>#REF!</v>
      </c>
      <c r="AC55" s="106" t="e">
        <f>1-Z55-Y55-X55-W55-V55-U55-T55-O55-N55-L55-I55</f>
        <v>#REF!</v>
      </c>
      <c r="AD55" s="106" t="e">
        <f>AD54/$AD54</f>
        <v>#REF!</v>
      </c>
      <c r="AE55" s="81"/>
      <c r="AU55" s="108"/>
    </row>
    <row r="56" spans="1:49" x14ac:dyDescent="0.25">
      <c r="A56" s="6">
        <v>6</v>
      </c>
      <c r="B56" s="92" t="s">
        <v>21</v>
      </c>
      <c r="C56" s="11">
        <v>706</v>
      </c>
      <c r="D56" s="11">
        <v>2020</v>
      </c>
      <c r="E56" s="11" t="s">
        <v>185</v>
      </c>
      <c r="F56" s="37" t="e">
        <f>G56+H56</f>
        <v>#REF!</v>
      </c>
      <c r="G56" s="37" t="e">
        <f>J56+AA56</f>
        <v>#REF!</v>
      </c>
      <c r="H56" s="37" t="e">
        <f>K56+AB56</f>
        <v>#REF!</v>
      </c>
      <c r="I56" s="37" t="e">
        <f>ROUND($AF54*I55,0)</f>
        <v>#REF!</v>
      </c>
      <c r="J56" s="37" t="e">
        <f>ROUND(I56/1.302,0)</f>
        <v>#REF!</v>
      </c>
      <c r="K56" s="37" t="e">
        <f>I56-J56</f>
        <v>#REF!</v>
      </c>
      <c r="L56" s="37" t="e">
        <f>ROUND($AF54*L55,0)</f>
        <v>#REF!</v>
      </c>
      <c r="M56" s="37" t="e">
        <f>ROUND($AF54*M55,0)</f>
        <v>#REF!</v>
      </c>
      <c r="N56" s="37" t="e">
        <f>ROUND($AF54*N55,0)</f>
        <v>#REF!</v>
      </c>
      <c r="O56" s="37" t="e">
        <f>ROUND($AF54*O55,0)</f>
        <v>#REF!</v>
      </c>
      <c r="P56" s="37" t="e">
        <f>ROUND($AE54*P55,0)</f>
        <v>#REF!</v>
      </c>
      <c r="Q56" s="37" t="e">
        <f>ROUND($AE54*Q55,0)</f>
        <v>#REF!</v>
      </c>
      <c r="R56" s="37" t="e">
        <f>ROUND($AE54*R55,0)</f>
        <v>#REF!</v>
      </c>
      <c r="S56" s="37" t="e">
        <f>ROUND($AE54*S55,0)</f>
        <v>#REF!</v>
      </c>
      <c r="T56" s="37" t="e">
        <f t="shared" ref="T56:Z56" si="52">ROUND($AF54*T55,0)</f>
        <v>#REF!</v>
      </c>
      <c r="U56" s="37" t="e">
        <f t="shared" si="52"/>
        <v>#REF!</v>
      </c>
      <c r="V56" s="37" t="e">
        <f t="shared" si="52"/>
        <v>#REF!</v>
      </c>
      <c r="W56" s="37" t="e">
        <f t="shared" si="52"/>
        <v>#REF!</v>
      </c>
      <c r="X56" s="37" t="e">
        <f t="shared" si="52"/>
        <v>#REF!</v>
      </c>
      <c r="Y56" s="37" t="e">
        <f t="shared" si="52"/>
        <v>#REF!</v>
      </c>
      <c r="Z56" s="37" t="e">
        <f t="shared" si="52"/>
        <v>#REF!</v>
      </c>
      <c r="AA56" s="37" t="e">
        <f>ROUND(Z56/1.302,0)</f>
        <v>#REF!</v>
      </c>
      <c r="AB56" s="37" t="e">
        <f>Z56-AA56</f>
        <v>#REF!</v>
      </c>
      <c r="AC56" s="37" t="e">
        <f>ROUND($AF54*AC55,0)</f>
        <v>#REF!</v>
      </c>
      <c r="AD56" s="37" t="e">
        <f>I56+L56+N56+O56+T56+U56+V56+W56+X56+Y56+AC56+Z56</f>
        <v>#REF!</v>
      </c>
      <c r="AE56" s="78" t="e">
        <f>AF54</f>
        <v>#REF!</v>
      </c>
      <c r="AF56" s="78" t="e">
        <f>AE56-AF54</f>
        <v>#REF!</v>
      </c>
      <c r="AG56" s="107" t="e">
        <f>-ROUND(F56/1000,1)</f>
        <v>#REF!</v>
      </c>
      <c r="AH56" s="107" t="e">
        <f>ROUND(AG56/1.302,1)</f>
        <v>#REF!</v>
      </c>
      <c r="AI56" s="107" t="e">
        <f>AG56-AH56</f>
        <v>#REF!</v>
      </c>
      <c r="AJ56" s="107" t="e">
        <f>-ROUND(L56/1000,1)</f>
        <v>#REF!</v>
      </c>
      <c r="AK56" s="107" t="e">
        <f>-ROUND(M56/1000,1)</f>
        <v>#REF!</v>
      </c>
      <c r="AL56" s="107" t="e">
        <f>-ROUND(N56/1000,1)</f>
        <v>#REF!</v>
      </c>
      <c r="AM56" s="107" t="e">
        <f>-ROUND(O56/1000,1)</f>
        <v>#REF!</v>
      </c>
      <c r="AN56" s="107" t="e">
        <f t="shared" ref="AN56:AS56" si="53">-ROUND(T56/1000,1)</f>
        <v>#REF!</v>
      </c>
      <c r="AO56" s="107" t="e">
        <f t="shared" si="53"/>
        <v>#REF!</v>
      </c>
      <c r="AP56" s="107" t="e">
        <f t="shared" si="53"/>
        <v>#REF!</v>
      </c>
      <c r="AQ56" s="107" t="e">
        <f t="shared" si="53"/>
        <v>#REF!</v>
      </c>
      <c r="AR56" s="107" t="e">
        <f t="shared" si="53"/>
        <v>#REF!</v>
      </c>
      <c r="AS56" s="107" t="e">
        <f t="shared" si="53"/>
        <v>#REF!</v>
      </c>
      <c r="AT56" s="107" t="e">
        <f>-ROUND(AC56/1000,1)</f>
        <v>#REF!</v>
      </c>
      <c r="AU56" s="108" t="e">
        <f>AG56+AJ56+AL56+AM56+AN56+AO56+AP56+AQ56+AR56+AS56+AT56</f>
        <v>#REF!</v>
      </c>
      <c r="AW56" s="272">
        <v>-262007.1</v>
      </c>
    </row>
    <row r="57" spans="1:49" hidden="1" x14ac:dyDescent="0.25">
      <c r="A57" s="6">
        <v>7</v>
      </c>
      <c r="B57" s="92" t="s">
        <v>20</v>
      </c>
      <c r="C57" s="11">
        <v>706</v>
      </c>
      <c r="D57" s="11">
        <v>2018</v>
      </c>
      <c r="E57" s="11" t="s">
        <v>182</v>
      </c>
      <c r="F57" s="37"/>
      <c r="G57" s="37"/>
      <c r="H57" s="37"/>
      <c r="I57" s="37">
        <f>SUMIF('2020'!$B:$B,выравнивание!$A57,'2020'!BM:BM)-SUMIFS('2020'!BM:BM,'2020'!$B:$B,выравнивание!$A57,'2020'!$G:$G,4)</f>
        <v>126559375</v>
      </c>
      <c r="J57" s="37">
        <f>SUMIF('2020'!$B:$B,выравнивание!$A57,'2020'!BN:BN)-SUMIFS('2020'!BN:BN,'2020'!$B:$B,выравнивание!$A57,'2020'!$G:$G,4)</f>
        <v>97203821</v>
      </c>
      <c r="K57" s="37">
        <f>SUMIF('2020'!$B:$B,выравнивание!$A57,'2020'!BO:BO)-SUMIFS('2020'!BO:BO,'2020'!$B:$B,выравнивание!$A57,'2020'!$G:$G,4)</f>
        <v>29355554</v>
      </c>
      <c r="L57" s="37">
        <f>SUMIF('2020'!$B:$B,выравнивание!$A57,'2020'!BP:BP)-SUMIFS('2020'!BP:BP,'2020'!$B:$B,выравнивание!$A57,'2020'!$G:$G,4)</f>
        <v>7617350</v>
      </c>
      <c r="M57" s="37">
        <f>SUMIF('2020'!$B:$B,выравнивание!$A57,'2020'!BQ:BQ)-SUMIFS('2020'!BQ:BQ,'2020'!$B:$B,выравнивание!$A57,'2020'!$G:$G,4)</f>
        <v>1360596</v>
      </c>
      <c r="N57" s="37">
        <f>SUMIF('2020'!$B:$B,выравнивание!$A57,'2020'!BR:BR)-SUMIFS('2020'!BR:BR,'2020'!$B:$B,выравнивание!$A57,'2020'!$G:$G,4)</f>
        <v>7065982</v>
      </c>
      <c r="O57" s="37">
        <f>SUMIF('2020'!$B:$B,выравнивание!$A57,'2020'!BS:BS)-SUMIFS('2020'!BS:BS,'2020'!$B:$B,выравнивание!$A57,'2020'!$G:$G,4)</f>
        <v>16907559</v>
      </c>
      <c r="P57" s="37">
        <f>SUMIF('2020'!$B:$B,выравнивание!$A57,'2020'!BT:BT)-SUMIFS('2020'!BT:BT,'2020'!$B:$B,выравнивание!$A57,'2020'!$G:$G,4)</f>
        <v>471116</v>
      </c>
      <c r="Q57" s="37">
        <f>SUMIF('2020'!$B:$B,выравнивание!$A57,'2020'!BU:BU)-SUMIFS('2020'!BU:BU,'2020'!$B:$B,выравнивание!$A57,'2020'!$G:$G,4)</f>
        <v>15313230</v>
      </c>
      <c r="R57" s="37">
        <f>SUMIF('2020'!$B:$B,выравнивание!$A57,'2020'!BV:BV)-SUMIFS('2020'!BV:BV,'2020'!$B:$B,выравнивание!$A57,'2020'!$G:$G,4)</f>
        <v>327809</v>
      </c>
      <c r="S57" s="37">
        <f>SUMIF('2020'!$B:$B,выравнивание!$A57,'2020'!BW:BW)-SUMIFS('2020'!BW:BW,'2020'!$B:$B,выравнивание!$A57,'2020'!$G:$G,4)</f>
        <v>795404</v>
      </c>
      <c r="T57" s="37">
        <f>SUMIF('2020'!$B:$B,выравнивание!$A57,'2020'!BX:BX)-SUMIFS('2020'!BX:BX,'2020'!$B:$B,выравнивание!$A57,'2020'!$G:$G,4)</f>
        <v>7162212</v>
      </c>
      <c r="U57" s="37">
        <f>SUMIF('2020'!$B:$B,выравнивание!$A57,'2020'!BY:BY)-SUMIFS('2020'!BY:BY,'2020'!$B:$B,выравнивание!$A57,'2020'!$G:$G,4)</f>
        <v>5149360</v>
      </c>
      <c r="V57" s="37">
        <f>SUMIF('2020'!$B:$B,выравнивание!$A57,'2020'!BZ:BZ)-SUMIFS('2020'!BZ:BZ,'2020'!$B:$B,выравнивание!$A57,'2020'!$G:$G,4)</f>
        <v>481032</v>
      </c>
      <c r="W57" s="37">
        <f>SUMIF('2020'!$B:$B,выравнивание!$A57,'2020'!CA:CA)-SUMIFS('2020'!CA:CA,'2020'!$B:$B,выравнивание!$A57,'2020'!$G:$G,4)</f>
        <v>685916</v>
      </c>
      <c r="X57" s="37">
        <f>SUMIF('2020'!$B:$B,выравнивание!$A57,'2020'!CB:CB)-SUMIFS('2020'!CB:CB,'2020'!$B:$B,выравнивание!$A57,'2020'!$G:$G,4)</f>
        <v>72524</v>
      </c>
      <c r="Y57" s="37">
        <f>SUMIF('2020'!$B:$B,выравнивание!$A57,'2020'!CC:CC)-SUMIFS('2020'!CC:CC,'2020'!$B:$B,выравнивание!$A57,'2020'!$G:$G,4)</f>
        <v>836428</v>
      </c>
      <c r="Z57" s="37">
        <f>SUMIF('2020'!$B:$B,выравнивание!$A57,'2020'!CD:CD)-SUMIFS('2020'!CD:CD,'2020'!$B:$B,выравнивание!$A57,'2020'!$G:$G,4)</f>
        <v>30806504</v>
      </c>
      <c r="AA57" s="37">
        <f>SUMIF('2020'!$B:$B,выравнивание!$A57,'2020'!CE:CE)-SUMIFS('2020'!CE:CE,'2020'!$B:$B,выравнивание!$A57,'2020'!$G:$G,4)</f>
        <v>23660909.100000001</v>
      </c>
      <c r="AB57" s="37">
        <f>SUMIF('2020'!$B:$B,выравнивание!$A57,'2020'!CF:CF)-SUMIFS('2020'!CF:CF,'2020'!$B:$B,выравнивание!$A57,'2020'!$G:$G,4)</f>
        <v>7145594.9000000004</v>
      </c>
      <c r="AC57" s="103">
        <f>SUMIF('2020'!$B:$B,выравнивание!$A57,'2020'!CG:CG)-SUMIFS('2020'!CG:CG,'2020'!$B:$B,выравнивание!$A57,'2020'!$G:$G,4)</f>
        <v>2932160</v>
      </c>
      <c r="AD57" s="103">
        <f>SUMIF('2020'!$B:$B,выравнивание!$A57,'2020'!CH:CH)-SUMIFS('2020'!CH:CH,'2020'!$B:$B,выравнивание!$A57,'2020'!$G:$G,4)</f>
        <v>206276402</v>
      </c>
      <c r="AE57" s="84">
        <f>SUMIF('Свод 2020'!$A$9:$A$22,выравнивание!$A57,'Свод 2020'!$AA$9:$AA$24)*1000-SUMIF('Свод 2020'!$A$9:$A$22,выравнивание!$A57,'Свод 2020'!$S$9:$S$24)*1000</f>
        <v>219035700</v>
      </c>
      <c r="AF57" s="105">
        <f>AD57-AE57</f>
        <v>-12759298</v>
      </c>
      <c r="AU57" s="108"/>
    </row>
    <row r="58" spans="1:49" hidden="1" x14ac:dyDescent="0.25">
      <c r="A58" s="6">
        <v>7</v>
      </c>
      <c r="B58" s="92" t="s">
        <v>20</v>
      </c>
      <c r="C58" s="11">
        <v>706</v>
      </c>
      <c r="D58" s="11">
        <v>2018</v>
      </c>
      <c r="E58" s="11" t="s">
        <v>184</v>
      </c>
      <c r="F58" s="104"/>
      <c r="G58" s="104"/>
      <c r="H58" s="104"/>
      <c r="I58" s="104">
        <f t="shared" ref="I58:AB58" si="54">I57/$AD57</f>
        <v>0.61354299999999995</v>
      </c>
      <c r="J58" s="104">
        <f t="shared" si="54"/>
        <v>0.47123100000000001</v>
      </c>
      <c r="K58" s="104">
        <f t="shared" si="54"/>
        <v>0.14231199999999999</v>
      </c>
      <c r="L58" s="104">
        <f t="shared" si="54"/>
        <v>3.6928000000000002E-2</v>
      </c>
      <c r="M58" s="104">
        <f t="shared" si="54"/>
        <v>6.5960000000000003E-3</v>
      </c>
      <c r="N58" s="104">
        <f t="shared" si="54"/>
        <v>3.4255000000000001E-2</v>
      </c>
      <c r="O58" s="104">
        <f t="shared" si="54"/>
        <v>8.1965999999999997E-2</v>
      </c>
      <c r="P58" s="104">
        <f t="shared" si="54"/>
        <v>2.284E-3</v>
      </c>
      <c r="Q58" s="104">
        <f t="shared" si="54"/>
        <v>7.4235999999999996E-2</v>
      </c>
      <c r="R58" s="104">
        <f t="shared" si="54"/>
        <v>1.5889999999999999E-3</v>
      </c>
      <c r="S58" s="104">
        <f t="shared" si="54"/>
        <v>3.8560000000000001E-3</v>
      </c>
      <c r="T58" s="104">
        <f t="shared" si="54"/>
        <v>3.4721000000000002E-2</v>
      </c>
      <c r="U58" s="104">
        <f t="shared" si="54"/>
        <v>2.4962999999999999E-2</v>
      </c>
      <c r="V58" s="104">
        <f t="shared" si="54"/>
        <v>2.3319999999999999E-3</v>
      </c>
      <c r="W58" s="104">
        <f t="shared" si="54"/>
        <v>3.3249999999999998E-3</v>
      </c>
      <c r="X58" s="104">
        <f t="shared" si="54"/>
        <v>3.5199999999999999E-4</v>
      </c>
      <c r="Y58" s="104">
        <f t="shared" si="54"/>
        <v>4.0549999999999996E-3</v>
      </c>
      <c r="Z58" s="104">
        <f t="shared" si="54"/>
        <v>0.14934600000000001</v>
      </c>
      <c r="AA58" s="104">
        <f t="shared" si="54"/>
        <v>0.114705</v>
      </c>
      <c r="AB58" s="104">
        <f t="shared" si="54"/>
        <v>3.4640999999999998E-2</v>
      </c>
      <c r="AC58" s="106">
        <f>1-Z58-Y58-X58-W58-V58-U58-T58-O58-N58-L58-I58</f>
        <v>1.4213999999999999E-2</v>
      </c>
      <c r="AD58" s="106">
        <f>AD57/$AD57</f>
        <v>1</v>
      </c>
      <c r="AE58" s="81"/>
      <c r="AU58" s="108"/>
    </row>
    <row r="59" spans="1:49" x14ac:dyDescent="0.25">
      <c r="A59" s="6">
        <v>7</v>
      </c>
      <c r="B59" s="92" t="s">
        <v>20</v>
      </c>
      <c r="C59" s="11">
        <v>706</v>
      </c>
      <c r="D59" s="11">
        <v>2018</v>
      </c>
      <c r="E59" s="11" t="s">
        <v>185</v>
      </c>
      <c r="F59" s="37">
        <f>G59+H59</f>
        <v>-9733928</v>
      </c>
      <c r="G59" s="37">
        <f>J59+AA59</f>
        <v>-7476135</v>
      </c>
      <c r="H59" s="37">
        <f>K59+AB59</f>
        <v>-2257793</v>
      </c>
      <c r="I59" s="37">
        <f>ROUND($AF57*I58,0)</f>
        <v>-7828378</v>
      </c>
      <c r="J59" s="37">
        <f>ROUND(I59/1.302,0)</f>
        <v>-6012579</v>
      </c>
      <c r="K59" s="37">
        <f>I59-J59</f>
        <v>-1815799</v>
      </c>
      <c r="L59" s="37">
        <f>ROUND($AF57*L58,0)</f>
        <v>-471175</v>
      </c>
      <c r="M59" s="37">
        <f>ROUND($AF57*M58,0)</f>
        <v>-84160</v>
      </c>
      <c r="N59" s="37">
        <f>ROUND($AF57*N58,0)</f>
        <v>-437070</v>
      </c>
      <c r="O59" s="37">
        <f>ROUND($AF57*O58,0)</f>
        <v>-1045829</v>
      </c>
      <c r="P59" s="37">
        <f>ROUND($AE57*P58,0)</f>
        <v>500278</v>
      </c>
      <c r="Q59" s="37">
        <f>ROUND($AE57*Q58,0)</f>
        <v>16260334</v>
      </c>
      <c r="R59" s="37">
        <f>ROUND($AE57*R58,0)</f>
        <v>348048</v>
      </c>
      <c r="S59" s="37">
        <f>ROUND($AE57*S58,0)</f>
        <v>844602</v>
      </c>
      <c r="T59" s="37">
        <f t="shared" ref="T59:Z59" si="55">ROUND($AF57*T58,0)</f>
        <v>-443016</v>
      </c>
      <c r="U59" s="37">
        <f t="shared" si="55"/>
        <v>-318510</v>
      </c>
      <c r="V59" s="37">
        <f t="shared" si="55"/>
        <v>-29755</v>
      </c>
      <c r="W59" s="37">
        <f t="shared" si="55"/>
        <v>-42425</v>
      </c>
      <c r="X59" s="37">
        <f t="shared" si="55"/>
        <v>-4491</v>
      </c>
      <c r="Y59" s="37">
        <f t="shared" si="55"/>
        <v>-51739</v>
      </c>
      <c r="Z59" s="37">
        <f t="shared" si="55"/>
        <v>-1905550</v>
      </c>
      <c r="AA59" s="37">
        <f>ROUND(Z59/1.302,0)</f>
        <v>-1463556</v>
      </c>
      <c r="AB59" s="37">
        <f>Z59-AA59</f>
        <v>-441994</v>
      </c>
      <c r="AC59" s="37">
        <f>ROUND($AF57*AC58,0)</f>
        <v>-181361</v>
      </c>
      <c r="AD59" s="37">
        <f>I59+L59+N59+O59+T59+U59+V59+W59+X59+Y59+AC59+Z59</f>
        <v>-12759299</v>
      </c>
      <c r="AE59" s="78">
        <f>AF57</f>
        <v>-12759298</v>
      </c>
      <c r="AF59" s="78">
        <f>AE59-AF57</f>
        <v>0</v>
      </c>
      <c r="AG59" s="107">
        <f>-ROUND(F59/1000,1)</f>
        <v>9733.9</v>
      </c>
      <c r="AH59" s="107">
        <f>ROUND(AG59/1.302,1)</f>
        <v>7476.1</v>
      </c>
      <c r="AI59" s="107">
        <f>AG59-AH59</f>
        <v>2257.8000000000002</v>
      </c>
      <c r="AJ59" s="107">
        <f>-ROUND(L59/1000,1)</f>
        <v>471.2</v>
      </c>
      <c r="AK59" s="107">
        <f>-ROUND(M59/1000,1)</f>
        <v>84.2</v>
      </c>
      <c r="AL59" s="107">
        <f>-ROUND(N59/1000,1)</f>
        <v>437.1</v>
      </c>
      <c r="AM59" s="107">
        <f>-ROUND(O59/1000,1)</f>
        <v>1045.8</v>
      </c>
      <c r="AN59" s="107">
        <f t="shared" ref="AN59:AS59" si="56">-ROUND(T59/1000,1)</f>
        <v>443</v>
      </c>
      <c r="AO59" s="107">
        <f t="shared" si="56"/>
        <v>318.5</v>
      </c>
      <c r="AP59" s="107">
        <f t="shared" si="56"/>
        <v>29.8</v>
      </c>
      <c r="AQ59" s="107">
        <f t="shared" si="56"/>
        <v>42.4</v>
      </c>
      <c r="AR59" s="107">
        <f t="shared" si="56"/>
        <v>4.5</v>
      </c>
      <c r="AS59" s="107">
        <f t="shared" si="56"/>
        <v>51.7</v>
      </c>
      <c r="AT59" s="107">
        <f>-ROUND(AC59/1000,1)</f>
        <v>181.4</v>
      </c>
      <c r="AU59" s="108">
        <f>AG59+AJ59+AL59+AM59+AN59+AO59+AP59+AQ59+AR59+AS59+AT59</f>
        <v>12759.3</v>
      </c>
      <c r="AW59" s="272">
        <v>-72227</v>
      </c>
    </row>
    <row r="60" spans="1:49" hidden="1" x14ac:dyDescent="0.25">
      <c r="A60" s="6">
        <v>7</v>
      </c>
      <c r="B60" s="92" t="s">
        <v>20</v>
      </c>
      <c r="C60" s="11">
        <v>706</v>
      </c>
      <c r="D60" s="11">
        <v>2019</v>
      </c>
      <c r="E60" s="11" t="s">
        <v>182</v>
      </c>
      <c r="F60" s="37"/>
      <c r="G60" s="37"/>
      <c r="H60" s="37"/>
      <c r="I60" s="37" t="e">
        <f>SUMIF(#REF!,выравнивание!$A60,#REF!)-SUMIFS(#REF!,#REF!,выравнивание!$A60,#REF!,4)</f>
        <v>#REF!</v>
      </c>
      <c r="J60" s="37" t="e">
        <f>SUMIF(#REF!,выравнивание!$A60,#REF!)-SUMIFS(#REF!,#REF!,выравнивание!$A60,#REF!,4)</f>
        <v>#REF!</v>
      </c>
      <c r="K60" s="37" t="e">
        <f>SUMIF(#REF!,выравнивание!$A60,#REF!)-SUMIFS(#REF!,#REF!,выравнивание!$A60,#REF!,4)</f>
        <v>#REF!</v>
      </c>
      <c r="L60" s="37" t="e">
        <f>SUMIF(#REF!,выравнивание!$A60,#REF!)-SUMIFS(#REF!,#REF!,выравнивание!$A60,#REF!,4)</f>
        <v>#REF!</v>
      </c>
      <c r="M60" s="37" t="e">
        <f>SUMIF(#REF!,выравнивание!$A60,#REF!)-SUMIFS(#REF!,#REF!,выравнивание!$A60,#REF!,4)</f>
        <v>#REF!</v>
      </c>
      <c r="N60" s="37" t="e">
        <f>SUMIF(#REF!,выравнивание!$A60,#REF!)-SUMIFS(#REF!,#REF!,выравнивание!$A60,#REF!,4)</f>
        <v>#REF!</v>
      </c>
      <c r="O60" s="37" t="e">
        <f>SUMIF(#REF!,выравнивание!$A60,#REF!)-SUMIFS(#REF!,#REF!,выравнивание!$A60,#REF!,4)</f>
        <v>#REF!</v>
      </c>
      <c r="P60" s="37" t="e">
        <f>SUMIF(#REF!,выравнивание!$A60,#REF!)-SUMIFS(#REF!,#REF!,выравнивание!$A60,#REF!,4)</f>
        <v>#REF!</v>
      </c>
      <c r="Q60" s="37" t="e">
        <f>SUMIF(#REF!,выравнивание!$A60,#REF!)-SUMIFS(#REF!,#REF!,выравнивание!$A60,#REF!,4)</f>
        <v>#REF!</v>
      </c>
      <c r="R60" s="37" t="e">
        <f>SUMIF(#REF!,выравнивание!$A60,#REF!)-SUMIFS(#REF!,#REF!,выравнивание!$A60,#REF!,4)</f>
        <v>#REF!</v>
      </c>
      <c r="S60" s="37" t="e">
        <f>SUMIF(#REF!,выравнивание!$A60,#REF!)-SUMIFS(#REF!,#REF!,выравнивание!$A60,#REF!,4)</f>
        <v>#REF!</v>
      </c>
      <c r="T60" s="37" t="e">
        <f>SUMIF(#REF!,выравнивание!$A60,#REF!)-SUMIFS(#REF!,#REF!,выравнивание!$A60,#REF!,4)</f>
        <v>#REF!</v>
      </c>
      <c r="U60" s="37" t="e">
        <f>SUMIF(#REF!,выравнивание!$A60,#REF!)-SUMIFS(#REF!,#REF!,выравнивание!$A60,#REF!,4)</f>
        <v>#REF!</v>
      </c>
      <c r="V60" s="37" t="e">
        <f>SUMIF(#REF!,выравнивание!$A60,#REF!)-SUMIFS(#REF!,#REF!,выравнивание!$A60,#REF!,4)</f>
        <v>#REF!</v>
      </c>
      <c r="W60" s="37" t="e">
        <f>SUMIF(#REF!,выравнивание!$A60,#REF!)-SUMIFS(#REF!,#REF!,выравнивание!$A60,#REF!,4)</f>
        <v>#REF!</v>
      </c>
      <c r="X60" s="37" t="e">
        <f>SUMIF(#REF!,выравнивание!$A60,#REF!)-SUMIFS(#REF!,#REF!,выравнивание!$A60,#REF!,4)</f>
        <v>#REF!</v>
      </c>
      <c r="Y60" s="37" t="e">
        <f>SUMIF(#REF!,выравнивание!$A60,#REF!)-SUMIFS(#REF!,#REF!,выравнивание!$A60,#REF!,4)</f>
        <v>#REF!</v>
      </c>
      <c r="Z60" s="37" t="e">
        <f>SUMIF(#REF!,выравнивание!$A60,#REF!)-SUMIFS(#REF!,#REF!,выравнивание!$A60,#REF!,4)</f>
        <v>#REF!</v>
      </c>
      <c r="AA60" s="37" t="e">
        <f>SUMIF(#REF!,выравнивание!$A60,#REF!)-SUMIFS(#REF!,#REF!,выравнивание!$A60,#REF!,4)</f>
        <v>#REF!</v>
      </c>
      <c r="AB60" s="37" t="e">
        <f>SUMIF(#REF!,выравнивание!$A60,#REF!)-SUMIFS(#REF!,#REF!,выравнивание!$A60,#REF!,4)</f>
        <v>#REF!</v>
      </c>
      <c r="AC60" s="103" t="e">
        <f>SUMIF(#REF!,выравнивание!$A60,#REF!)-SUMIFS(#REF!,#REF!,выравнивание!$A60,#REF!,4)</f>
        <v>#REF!</v>
      </c>
      <c r="AD60" s="103" t="e">
        <f>SUMIF(#REF!,выравнивание!$A60,#REF!)-SUMIFS(#REF!,#REF!,выравнивание!$A60,#REF!,4)</f>
        <v>#REF!</v>
      </c>
      <c r="AE60" s="103" t="e">
        <f>SUMIF(#REF!,выравнивание!$A60,#REF!)*1000-SUMIF(#REF!,выравнивание!$A60,#REF!)*1000</f>
        <v>#REF!</v>
      </c>
      <c r="AF60" s="105" t="e">
        <f>AD60-AE60</f>
        <v>#REF!</v>
      </c>
      <c r="AU60" s="108"/>
    </row>
    <row r="61" spans="1:49" hidden="1" x14ac:dyDescent="0.25">
      <c r="A61" s="6">
        <v>7</v>
      </c>
      <c r="B61" s="92" t="s">
        <v>20</v>
      </c>
      <c r="C61" s="11">
        <v>706</v>
      </c>
      <c r="D61" s="11">
        <v>2019</v>
      </c>
      <c r="E61" s="11" t="s">
        <v>184</v>
      </c>
      <c r="F61" s="104"/>
      <c r="G61" s="104"/>
      <c r="H61" s="104"/>
      <c r="I61" s="104" t="e">
        <f t="shared" ref="I61:AB61" si="57">I60/$AD60</f>
        <v>#REF!</v>
      </c>
      <c r="J61" s="104" t="e">
        <f t="shared" si="57"/>
        <v>#REF!</v>
      </c>
      <c r="K61" s="104" t="e">
        <f t="shared" si="57"/>
        <v>#REF!</v>
      </c>
      <c r="L61" s="104" t="e">
        <f t="shared" si="57"/>
        <v>#REF!</v>
      </c>
      <c r="M61" s="104" t="e">
        <f t="shared" si="57"/>
        <v>#REF!</v>
      </c>
      <c r="N61" s="104" t="e">
        <f t="shared" si="57"/>
        <v>#REF!</v>
      </c>
      <c r="O61" s="104" t="e">
        <f t="shared" si="57"/>
        <v>#REF!</v>
      </c>
      <c r="P61" s="104" t="e">
        <f t="shared" si="57"/>
        <v>#REF!</v>
      </c>
      <c r="Q61" s="104" t="e">
        <f t="shared" si="57"/>
        <v>#REF!</v>
      </c>
      <c r="R61" s="104" t="e">
        <f t="shared" si="57"/>
        <v>#REF!</v>
      </c>
      <c r="S61" s="104" t="e">
        <f t="shared" si="57"/>
        <v>#REF!</v>
      </c>
      <c r="T61" s="104" t="e">
        <f t="shared" si="57"/>
        <v>#REF!</v>
      </c>
      <c r="U61" s="104" t="e">
        <f t="shared" si="57"/>
        <v>#REF!</v>
      </c>
      <c r="V61" s="104" t="e">
        <f t="shared" si="57"/>
        <v>#REF!</v>
      </c>
      <c r="W61" s="104" t="e">
        <f t="shared" si="57"/>
        <v>#REF!</v>
      </c>
      <c r="X61" s="104" t="e">
        <f t="shared" si="57"/>
        <v>#REF!</v>
      </c>
      <c r="Y61" s="104" t="e">
        <f t="shared" si="57"/>
        <v>#REF!</v>
      </c>
      <c r="Z61" s="104" t="e">
        <f t="shared" si="57"/>
        <v>#REF!</v>
      </c>
      <c r="AA61" s="104" t="e">
        <f t="shared" si="57"/>
        <v>#REF!</v>
      </c>
      <c r="AB61" s="104" t="e">
        <f t="shared" si="57"/>
        <v>#REF!</v>
      </c>
      <c r="AC61" s="106" t="e">
        <f>1-Z61-Y61-X61-W61-V61-U61-T61-O61-N61-L61-I61</f>
        <v>#REF!</v>
      </c>
      <c r="AD61" s="106" t="e">
        <f>AD60/$AD60</f>
        <v>#REF!</v>
      </c>
      <c r="AE61" s="81"/>
      <c r="AU61" s="108"/>
    </row>
    <row r="62" spans="1:49" x14ac:dyDescent="0.25">
      <c r="A62" s="6">
        <v>7</v>
      </c>
      <c r="B62" s="92" t="s">
        <v>20</v>
      </c>
      <c r="C62" s="11">
        <v>706</v>
      </c>
      <c r="D62" s="11">
        <v>2019</v>
      </c>
      <c r="E62" s="11" t="s">
        <v>185</v>
      </c>
      <c r="F62" s="37" t="e">
        <f>G62+H62</f>
        <v>#REF!</v>
      </c>
      <c r="G62" s="37" t="e">
        <f>J62+AA62</f>
        <v>#REF!</v>
      </c>
      <c r="H62" s="37" t="e">
        <f>K62+AB62</f>
        <v>#REF!</v>
      </c>
      <c r="I62" s="37" t="e">
        <f>ROUND($AF60*I61,0)</f>
        <v>#REF!</v>
      </c>
      <c r="J62" s="37" t="e">
        <f>ROUND(I62/1.302,0)</f>
        <v>#REF!</v>
      </c>
      <c r="K62" s="37" t="e">
        <f>I62-J62</f>
        <v>#REF!</v>
      </c>
      <c r="L62" s="37" t="e">
        <f>ROUND($AF60*L61,0)</f>
        <v>#REF!</v>
      </c>
      <c r="M62" s="37" t="e">
        <f>ROUND($AF60*M61,0)</f>
        <v>#REF!</v>
      </c>
      <c r="N62" s="37" t="e">
        <f>ROUND($AF60*N61,0)</f>
        <v>#REF!</v>
      </c>
      <c r="O62" s="37" t="e">
        <f>ROUND($AF60*O61,0)</f>
        <v>#REF!</v>
      </c>
      <c r="P62" s="37" t="e">
        <f>ROUND($AE60*P61,0)</f>
        <v>#REF!</v>
      </c>
      <c r="Q62" s="37" t="e">
        <f>ROUND($AE60*Q61,0)</f>
        <v>#REF!</v>
      </c>
      <c r="R62" s="37" t="e">
        <f>ROUND($AE60*R61,0)</f>
        <v>#REF!</v>
      </c>
      <c r="S62" s="37" t="e">
        <f>ROUND($AE60*S61,0)</f>
        <v>#REF!</v>
      </c>
      <c r="T62" s="37" t="e">
        <f t="shared" ref="T62:Z62" si="58">ROUND($AF60*T61,0)</f>
        <v>#REF!</v>
      </c>
      <c r="U62" s="37" t="e">
        <f t="shared" si="58"/>
        <v>#REF!</v>
      </c>
      <c r="V62" s="37" t="e">
        <f t="shared" si="58"/>
        <v>#REF!</v>
      </c>
      <c r="W62" s="37" t="e">
        <f t="shared" si="58"/>
        <v>#REF!</v>
      </c>
      <c r="X62" s="37" t="e">
        <f t="shared" si="58"/>
        <v>#REF!</v>
      </c>
      <c r="Y62" s="37" t="e">
        <f t="shared" si="58"/>
        <v>#REF!</v>
      </c>
      <c r="Z62" s="37" t="e">
        <f t="shared" si="58"/>
        <v>#REF!</v>
      </c>
      <c r="AA62" s="37" t="e">
        <f>ROUND(Z62/1.302,0)</f>
        <v>#REF!</v>
      </c>
      <c r="AB62" s="37" t="e">
        <f>Z62-AA62</f>
        <v>#REF!</v>
      </c>
      <c r="AC62" s="37" t="e">
        <f>ROUND($AF60*AC61,0)</f>
        <v>#REF!</v>
      </c>
      <c r="AD62" s="37" t="e">
        <f>I62+L62+N62+O62+T62+U62+V62+W62+X62+Y62+AC62+Z62</f>
        <v>#REF!</v>
      </c>
      <c r="AE62" s="78" t="e">
        <f>AF60</f>
        <v>#REF!</v>
      </c>
      <c r="AF62" s="78" t="e">
        <f>AE62-AF60</f>
        <v>#REF!</v>
      </c>
      <c r="AG62" s="107" t="e">
        <f>-ROUND(F62/1000,1)</f>
        <v>#REF!</v>
      </c>
      <c r="AH62" s="107" t="e">
        <f>ROUND(AG62/1.302,1)</f>
        <v>#REF!</v>
      </c>
      <c r="AI62" s="107" t="e">
        <f>AG62-AH62</f>
        <v>#REF!</v>
      </c>
      <c r="AJ62" s="107" t="e">
        <f>-ROUND(L62/1000,1)</f>
        <v>#REF!</v>
      </c>
      <c r="AK62" s="107" t="e">
        <f>-ROUND(M62/1000,1)</f>
        <v>#REF!</v>
      </c>
      <c r="AL62" s="107" t="e">
        <f>-ROUND(N62/1000,1)</f>
        <v>#REF!</v>
      </c>
      <c r="AM62" s="107" t="e">
        <f>-ROUND(O62/1000,1)</f>
        <v>#REF!</v>
      </c>
      <c r="AN62" s="107" t="e">
        <f t="shared" ref="AN62:AS62" si="59">-ROUND(T62/1000,1)</f>
        <v>#REF!</v>
      </c>
      <c r="AO62" s="107" t="e">
        <f t="shared" si="59"/>
        <v>#REF!</v>
      </c>
      <c r="AP62" s="107" t="e">
        <f t="shared" si="59"/>
        <v>#REF!</v>
      </c>
      <c r="AQ62" s="107" t="e">
        <f t="shared" si="59"/>
        <v>#REF!</v>
      </c>
      <c r="AR62" s="107" t="e">
        <f t="shared" si="59"/>
        <v>#REF!</v>
      </c>
      <c r="AS62" s="107" t="e">
        <f t="shared" si="59"/>
        <v>#REF!</v>
      </c>
      <c r="AT62" s="107" t="e">
        <f>-ROUND(AC62/1000,1)</f>
        <v>#REF!</v>
      </c>
      <c r="AU62" s="108" t="e">
        <f>AG62+AJ62+AL62+AM62+AN62+AO62+AP62+AQ62+AR62+AS62+AT62</f>
        <v>#REF!</v>
      </c>
      <c r="AW62" s="272">
        <v>-75252</v>
      </c>
    </row>
    <row r="63" spans="1:49" hidden="1" x14ac:dyDescent="0.25">
      <c r="A63" s="6">
        <v>7</v>
      </c>
      <c r="B63" s="92" t="s">
        <v>20</v>
      </c>
      <c r="C63" s="11">
        <v>706</v>
      </c>
      <c r="D63" s="11">
        <v>2020</v>
      </c>
      <c r="E63" s="11" t="s">
        <v>182</v>
      </c>
      <c r="F63" s="37"/>
      <c r="G63" s="37"/>
      <c r="H63" s="37"/>
      <c r="I63" s="37" t="e">
        <f>SUMIF(#REF!,выравнивание!$A63,#REF!)-SUMIFS(#REF!,#REF!,выравнивание!$A63,#REF!,4)</f>
        <v>#REF!</v>
      </c>
      <c r="J63" s="37" t="e">
        <f>SUMIF(#REF!,выравнивание!$A63,#REF!)-SUMIFS(#REF!,#REF!,выравнивание!$A63,#REF!,4)</f>
        <v>#REF!</v>
      </c>
      <c r="K63" s="37" t="e">
        <f>SUMIF(#REF!,выравнивание!$A63,#REF!)-SUMIFS(#REF!,#REF!,выравнивание!$A63,#REF!,4)</f>
        <v>#REF!</v>
      </c>
      <c r="L63" s="37" t="e">
        <f>SUMIF(#REF!,выравнивание!$A63,#REF!)-SUMIFS(#REF!,#REF!,выравнивание!$A63,#REF!,4)</f>
        <v>#REF!</v>
      </c>
      <c r="M63" s="37" t="e">
        <f>SUMIF(#REF!,выравнивание!$A63,#REF!)-SUMIFS(#REF!,#REF!,выравнивание!$A63,#REF!,4)</f>
        <v>#REF!</v>
      </c>
      <c r="N63" s="37" t="e">
        <f>SUMIF(#REF!,выравнивание!$A63,#REF!)-SUMIFS(#REF!,#REF!,выравнивание!$A63,#REF!,4)</f>
        <v>#REF!</v>
      </c>
      <c r="O63" s="37" t="e">
        <f>SUMIF(#REF!,выравнивание!$A63,#REF!)-SUMIFS(#REF!,#REF!,выравнивание!$A63,#REF!,4)</f>
        <v>#REF!</v>
      </c>
      <c r="P63" s="37" t="e">
        <f>SUMIF(#REF!,выравнивание!$A63,#REF!)-SUMIFS(#REF!,#REF!,выравнивание!$A63,#REF!,4)</f>
        <v>#REF!</v>
      </c>
      <c r="Q63" s="37" t="e">
        <f>SUMIF(#REF!,выравнивание!$A63,#REF!)-SUMIFS(#REF!,#REF!,выравнивание!$A63,#REF!,4)</f>
        <v>#REF!</v>
      </c>
      <c r="R63" s="37" t="e">
        <f>SUMIF(#REF!,выравнивание!$A63,#REF!)-SUMIFS(#REF!,#REF!,выравнивание!$A63,#REF!,4)</f>
        <v>#REF!</v>
      </c>
      <c r="S63" s="37" t="e">
        <f>SUMIF(#REF!,выравнивание!$A63,#REF!)-SUMIFS(#REF!,#REF!,выравнивание!$A63,#REF!,4)</f>
        <v>#REF!</v>
      </c>
      <c r="T63" s="37" t="e">
        <f>SUMIF(#REF!,выравнивание!$A63,#REF!)-SUMIFS(#REF!,#REF!,выравнивание!$A63,#REF!,4)</f>
        <v>#REF!</v>
      </c>
      <c r="U63" s="37" t="e">
        <f>SUMIF(#REF!,выравнивание!$A63,#REF!)-SUMIFS(#REF!,#REF!,выравнивание!$A63,#REF!,4)</f>
        <v>#REF!</v>
      </c>
      <c r="V63" s="37" t="e">
        <f>SUMIF(#REF!,выравнивание!$A63,#REF!)-SUMIFS(#REF!,#REF!,выравнивание!$A63,#REF!,4)</f>
        <v>#REF!</v>
      </c>
      <c r="W63" s="37" t="e">
        <f>SUMIF(#REF!,выравнивание!$A63,#REF!)-SUMIFS(#REF!,#REF!,выравнивание!$A63,#REF!,4)</f>
        <v>#REF!</v>
      </c>
      <c r="X63" s="37" t="e">
        <f>SUMIF(#REF!,выравнивание!$A63,#REF!)-SUMIFS(#REF!,#REF!,выравнивание!$A63,#REF!,4)</f>
        <v>#REF!</v>
      </c>
      <c r="Y63" s="37" t="e">
        <f>SUMIF(#REF!,выравнивание!$A63,#REF!)-SUMIFS(#REF!,#REF!,выравнивание!$A63,#REF!,4)</f>
        <v>#REF!</v>
      </c>
      <c r="Z63" s="37" t="e">
        <f>SUMIF(#REF!,выравнивание!$A63,#REF!)-SUMIFS(#REF!,#REF!,выравнивание!$A63,#REF!,4)</f>
        <v>#REF!</v>
      </c>
      <c r="AA63" s="37" t="e">
        <f>SUMIF(#REF!,выравнивание!$A63,#REF!)-SUMIFS(#REF!,#REF!,выравнивание!$A63,#REF!,4)</f>
        <v>#REF!</v>
      </c>
      <c r="AB63" s="37" t="e">
        <f>SUMIF(#REF!,выравнивание!$A63,#REF!)-SUMIFS(#REF!,#REF!,выравнивание!$A63,#REF!,4)</f>
        <v>#REF!</v>
      </c>
      <c r="AC63" s="103" t="e">
        <f>SUMIF(#REF!,выравнивание!$A63,#REF!)-SUMIFS(#REF!,#REF!,выравнивание!$A63,#REF!,4)</f>
        <v>#REF!</v>
      </c>
      <c r="AD63" s="103" t="e">
        <f>SUMIF(#REF!,выравнивание!$A63,#REF!)-SUMIFS(#REF!,#REF!,выравнивание!$A63,#REF!,4)</f>
        <v>#REF!</v>
      </c>
      <c r="AE63" s="103" t="e">
        <f>SUMIF(#REF!,выравнивание!$A63,#REF!)*1000-SUMIF(#REF!,выравнивание!$A63,#REF!)*1000</f>
        <v>#REF!</v>
      </c>
      <c r="AF63" s="84" t="e">
        <f>AD63-AE63</f>
        <v>#REF!</v>
      </c>
      <c r="AU63" s="108"/>
    </row>
    <row r="64" spans="1:49" hidden="1" x14ac:dyDescent="0.25">
      <c r="A64" s="6">
        <v>7</v>
      </c>
      <c r="B64" s="92" t="s">
        <v>20</v>
      </c>
      <c r="C64" s="11">
        <v>706</v>
      </c>
      <c r="D64" s="11">
        <v>2020</v>
      </c>
      <c r="E64" s="11" t="s">
        <v>184</v>
      </c>
      <c r="F64" s="104"/>
      <c r="G64" s="104"/>
      <c r="H64" s="104"/>
      <c r="I64" s="104" t="e">
        <f t="shared" ref="I64:AB64" si="60">I63/$AD63</f>
        <v>#REF!</v>
      </c>
      <c r="J64" s="104" t="e">
        <f t="shared" si="60"/>
        <v>#REF!</v>
      </c>
      <c r="K64" s="104" t="e">
        <f t="shared" si="60"/>
        <v>#REF!</v>
      </c>
      <c r="L64" s="104" t="e">
        <f t="shared" si="60"/>
        <v>#REF!</v>
      </c>
      <c r="M64" s="104" t="e">
        <f t="shared" si="60"/>
        <v>#REF!</v>
      </c>
      <c r="N64" s="104" t="e">
        <f t="shared" si="60"/>
        <v>#REF!</v>
      </c>
      <c r="O64" s="104" t="e">
        <f t="shared" si="60"/>
        <v>#REF!</v>
      </c>
      <c r="P64" s="104" t="e">
        <f t="shared" si="60"/>
        <v>#REF!</v>
      </c>
      <c r="Q64" s="104" t="e">
        <f t="shared" si="60"/>
        <v>#REF!</v>
      </c>
      <c r="R64" s="104" t="e">
        <f t="shared" si="60"/>
        <v>#REF!</v>
      </c>
      <c r="S64" s="104" t="e">
        <f t="shared" si="60"/>
        <v>#REF!</v>
      </c>
      <c r="T64" s="104" t="e">
        <f t="shared" si="60"/>
        <v>#REF!</v>
      </c>
      <c r="U64" s="104" t="e">
        <f t="shared" si="60"/>
        <v>#REF!</v>
      </c>
      <c r="V64" s="104" t="e">
        <f t="shared" si="60"/>
        <v>#REF!</v>
      </c>
      <c r="W64" s="104" t="e">
        <f t="shared" si="60"/>
        <v>#REF!</v>
      </c>
      <c r="X64" s="104" t="e">
        <f t="shared" si="60"/>
        <v>#REF!</v>
      </c>
      <c r="Y64" s="104" t="e">
        <f t="shared" si="60"/>
        <v>#REF!</v>
      </c>
      <c r="Z64" s="104" t="e">
        <f t="shared" si="60"/>
        <v>#REF!</v>
      </c>
      <c r="AA64" s="104" t="e">
        <f t="shared" si="60"/>
        <v>#REF!</v>
      </c>
      <c r="AB64" s="104" t="e">
        <f t="shared" si="60"/>
        <v>#REF!</v>
      </c>
      <c r="AC64" s="106" t="e">
        <f>1-Z64-Y64-X64-W64-V64-U64-T64-O64-N64-L64-I64</f>
        <v>#REF!</v>
      </c>
      <c r="AD64" s="106" t="e">
        <f>AD63/$AD63</f>
        <v>#REF!</v>
      </c>
      <c r="AE64" s="81"/>
      <c r="AU64" s="108"/>
    </row>
    <row r="65" spans="1:49" x14ac:dyDescent="0.25">
      <c r="A65" s="6">
        <v>7</v>
      </c>
      <c r="B65" s="92" t="s">
        <v>20</v>
      </c>
      <c r="C65" s="11">
        <v>706</v>
      </c>
      <c r="D65" s="11">
        <v>2020</v>
      </c>
      <c r="E65" s="11" t="s">
        <v>185</v>
      </c>
      <c r="F65" s="37" t="e">
        <f>G65+H65</f>
        <v>#REF!</v>
      </c>
      <c r="G65" s="37" t="e">
        <f>J65+AA65</f>
        <v>#REF!</v>
      </c>
      <c r="H65" s="37" t="e">
        <f>K65+AB65</f>
        <v>#REF!</v>
      </c>
      <c r="I65" s="37" t="e">
        <f>ROUND($AF63*I64,0)</f>
        <v>#REF!</v>
      </c>
      <c r="J65" s="37" t="e">
        <f>ROUND(I65/1.302,0)</f>
        <v>#REF!</v>
      </c>
      <c r="K65" s="37" t="e">
        <f>I65-J65</f>
        <v>#REF!</v>
      </c>
      <c r="L65" s="37" t="e">
        <f>ROUND($AF63*L64,0)</f>
        <v>#REF!</v>
      </c>
      <c r="M65" s="37" t="e">
        <f>ROUND($AF63*M64,0)</f>
        <v>#REF!</v>
      </c>
      <c r="N65" s="37" t="e">
        <f>ROUND($AF63*N64,0)</f>
        <v>#REF!</v>
      </c>
      <c r="O65" s="37" t="e">
        <f>ROUND($AF63*O64,0)</f>
        <v>#REF!</v>
      </c>
      <c r="P65" s="37" t="e">
        <f>ROUND($AE63*P64,0)</f>
        <v>#REF!</v>
      </c>
      <c r="Q65" s="37" t="e">
        <f>ROUND($AE63*Q64,0)</f>
        <v>#REF!</v>
      </c>
      <c r="R65" s="37" t="e">
        <f>ROUND($AE63*R64,0)</f>
        <v>#REF!</v>
      </c>
      <c r="S65" s="37" t="e">
        <f>ROUND($AE63*S64,0)</f>
        <v>#REF!</v>
      </c>
      <c r="T65" s="37" t="e">
        <f t="shared" ref="T65:Z65" si="61">ROUND($AF63*T64,0)</f>
        <v>#REF!</v>
      </c>
      <c r="U65" s="37" t="e">
        <f t="shared" si="61"/>
        <v>#REF!</v>
      </c>
      <c r="V65" s="37" t="e">
        <f t="shared" si="61"/>
        <v>#REF!</v>
      </c>
      <c r="W65" s="37" t="e">
        <f t="shared" si="61"/>
        <v>#REF!</v>
      </c>
      <c r="X65" s="37" t="e">
        <f t="shared" si="61"/>
        <v>#REF!</v>
      </c>
      <c r="Y65" s="37" t="e">
        <f t="shared" si="61"/>
        <v>#REF!</v>
      </c>
      <c r="Z65" s="37" t="e">
        <f t="shared" si="61"/>
        <v>#REF!</v>
      </c>
      <c r="AA65" s="37" t="e">
        <f>ROUND(Z65/1.302,0)</f>
        <v>#REF!</v>
      </c>
      <c r="AB65" s="37" t="e">
        <f>Z65-AA65</f>
        <v>#REF!</v>
      </c>
      <c r="AC65" s="37" t="e">
        <f>ROUND($AF63*AC64,0)</f>
        <v>#REF!</v>
      </c>
      <c r="AD65" s="37" t="e">
        <f>I65+L65+N65+O65+T65+U65+V65+W65+X65+Y65+AC65+Z65</f>
        <v>#REF!</v>
      </c>
      <c r="AE65" s="78" t="e">
        <f>AF63</f>
        <v>#REF!</v>
      </c>
      <c r="AF65" s="78" t="e">
        <f>AE65-AF63</f>
        <v>#REF!</v>
      </c>
      <c r="AG65" s="107" t="e">
        <f>-ROUND(F65/1000,1)</f>
        <v>#REF!</v>
      </c>
      <c r="AH65" s="107" t="e">
        <f>ROUND(AG65/1.302,1)</f>
        <v>#REF!</v>
      </c>
      <c r="AI65" s="107" t="e">
        <f>AG65-AH65</f>
        <v>#REF!</v>
      </c>
      <c r="AJ65" s="107" t="e">
        <f>-ROUND(L65/1000,1)</f>
        <v>#REF!</v>
      </c>
      <c r="AK65" s="107" t="e">
        <f>-ROUND(M65/1000,1)</f>
        <v>#REF!</v>
      </c>
      <c r="AL65" s="107" t="e">
        <f>-ROUND(N65/1000,1)</f>
        <v>#REF!</v>
      </c>
      <c r="AM65" s="107" t="e">
        <f>-ROUND(O65/1000,1)</f>
        <v>#REF!</v>
      </c>
      <c r="AN65" s="107" t="e">
        <f t="shared" ref="AN65:AS65" si="62">-ROUND(T65/1000,1)</f>
        <v>#REF!</v>
      </c>
      <c r="AO65" s="107" t="e">
        <f t="shared" si="62"/>
        <v>#REF!</v>
      </c>
      <c r="AP65" s="107" t="e">
        <f t="shared" si="62"/>
        <v>#REF!</v>
      </c>
      <c r="AQ65" s="107" t="e">
        <f t="shared" si="62"/>
        <v>#REF!</v>
      </c>
      <c r="AR65" s="107" t="e">
        <f t="shared" si="62"/>
        <v>#REF!</v>
      </c>
      <c r="AS65" s="107" t="e">
        <f t="shared" si="62"/>
        <v>#REF!</v>
      </c>
      <c r="AT65" s="107" t="e">
        <f>-ROUND(AC65/1000,1)</f>
        <v>#REF!</v>
      </c>
      <c r="AU65" s="108" t="e">
        <f>AG65+AJ65+AL65+AM65+AN65+AO65+AP65+AQ65+AR65+AS65+AT65</f>
        <v>#REF!</v>
      </c>
      <c r="AW65" s="272">
        <v>-77372.5</v>
      </c>
    </row>
    <row r="66" spans="1:49" hidden="1" x14ac:dyDescent="0.25">
      <c r="A66" s="6">
        <v>8</v>
      </c>
      <c r="B66" s="92" t="s">
        <v>22</v>
      </c>
      <c r="C66" s="11">
        <v>706</v>
      </c>
      <c r="D66" s="11">
        <v>2018</v>
      </c>
      <c r="E66" s="11" t="s">
        <v>182</v>
      </c>
      <c r="F66" s="37"/>
      <c r="G66" s="37"/>
      <c r="H66" s="37"/>
      <c r="I66" s="37">
        <f>SUMIF('2020'!$B:$B,выравнивание!$A66,'2020'!BM:BM)-SUMIFS('2020'!BM:BM,'2020'!$B:$B,выравнивание!$A66,'2020'!$G:$G,4)</f>
        <v>230447940</v>
      </c>
      <c r="J66" s="37">
        <f>SUMIF('2020'!$B:$B,выравнивание!$A66,'2020'!BN:BN)-SUMIFS('2020'!BN:BN,'2020'!$B:$B,выравнивание!$A66,'2020'!$G:$G,4)</f>
        <v>176995345.5</v>
      </c>
      <c r="K66" s="37">
        <f>SUMIF('2020'!$B:$B,выравнивание!$A66,'2020'!BO:BO)-SUMIFS('2020'!BO:BO,'2020'!$B:$B,выравнивание!$A66,'2020'!$G:$G,4)</f>
        <v>53452594.5</v>
      </c>
      <c r="L66" s="37">
        <f>SUMIF('2020'!$B:$B,выравнивание!$A66,'2020'!BP:BP)-SUMIFS('2020'!BP:BP,'2020'!$B:$B,выравнивание!$A66,'2020'!$G:$G,4)</f>
        <v>19450235</v>
      </c>
      <c r="M66" s="37">
        <f>SUMIF('2020'!$B:$B,выравнивание!$A66,'2020'!BQ:BQ)-SUMIFS('2020'!BQ:BQ,'2020'!$B:$B,выравнивание!$A66,'2020'!$G:$G,4)</f>
        <v>3362067</v>
      </c>
      <c r="N66" s="37">
        <f>SUMIF('2020'!$B:$B,выравнивание!$A66,'2020'!BR:BR)-SUMIFS('2020'!BR:BR,'2020'!$B:$B,выравнивание!$A66,'2020'!$G:$G,4)</f>
        <v>18188285</v>
      </c>
      <c r="O66" s="37">
        <f>SUMIF('2020'!$B:$B,выравнивание!$A66,'2020'!BS:BS)-SUMIFS('2020'!BS:BS,'2020'!$B:$B,выравнивание!$A66,'2020'!$G:$G,4)</f>
        <v>43381631</v>
      </c>
      <c r="P66" s="37">
        <f>SUMIF('2020'!$B:$B,выравнивание!$A66,'2020'!BT:BT)-SUMIFS('2020'!BT:BT,'2020'!$B:$B,выравнивание!$A66,'2020'!$G:$G,4)</f>
        <v>1237644</v>
      </c>
      <c r="Q66" s="37">
        <f>SUMIF('2020'!$B:$B,выравнивание!$A66,'2020'!BU:BU)-SUMIFS('2020'!BU:BU,'2020'!$B:$B,выравнивание!$A66,'2020'!$G:$G,4)</f>
        <v>39196765</v>
      </c>
      <c r="R66" s="37">
        <f>SUMIF('2020'!$B:$B,выравнивание!$A66,'2020'!BV:BV)-SUMIFS('2020'!BV:BV,'2020'!$B:$B,выравнивание!$A66,'2020'!$G:$G,4)</f>
        <v>861542</v>
      </c>
      <c r="S66" s="37">
        <f>SUMIF('2020'!$B:$B,выравнивание!$A66,'2020'!BW:BW)-SUMIFS('2020'!BW:BW,'2020'!$B:$B,выравнивание!$A66,'2020'!$G:$G,4)</f>
        <v>2085680</v>
      </c>
      <c r="T66" s="37">
        <f>SUMIF('2020'!$B:$B,выравнивание!$A66,'2020'!BX:BX)-SUMIFS('2020'!BX:BX,'2020'!$B:$B,выравнивание!$A66,'2020'!$G:$G,4)</f>
        <v>15492975</v>
      </c>
      <c r="U66" s="37">
        <f>SUMIF('2020'!$B:$B,выравнивание!$A66,'2020'!BY:BY)-SUMIFS('2020'!BY:BY,'2020'!$B:$B,выравнивание!$A66,'2020'!$G:$G,4)</f>
        <v>13533580</v>
      </c>
      <c r="V66" s="37">
        <f>SUMIF('2020'!$B:$B,выравнивание!$A66,'2020'!BZ:BZ)-SUMIFS('2020'!BZ:BZ,'2020'!$B:$B,выравнивание!$A66,'2020'!$G:$G,4)</f>
        <v>1269810</v>
      </c>
      <c r="W66" s="37">
        <f>SUMIF('2020'!$B:$B,выравнивание!$A66,'2020'!CA:CA)-SUMIFS('2020'!CA:CA,'2020'!$B:$B,выравнивание!$A66,'2020'!$G:$G,4)</f>
        <v>1810655</v>
      </c>
      <c r="X66" s="37">
        <f>SUMIF('2020'!$B:$B,выравнивание!$A66,'2020'!CB:CB)-SUMIFS('2020'!CB:CB,'2020'!$B:$B,выравнивание!$A66,'2020'!$G:$G,4)</f>
        <v>189470</v>
      </c>
      <c r="Y66" s="37">
        <f>SUMIF('2020'!$B:$B,выравнивание!$A66,'2020'!CC:CC)-SUMIFS('2020'!CC:CC,'2020'!$B:$B,выравнивание!$A66,'2020'!$G:$G,4)</f>
        <v>2123385</v>
      </c>
      <c r="Z66" s="37">
        <f>SUMIF('2020'!$B:$B,выравнивание!$A66,'2020'!CD:CD)-SUMIFS('2020'!CD:CD,'2020'!$B:$B,выравнивание!$A66,'2020'!$G:$G,4)</f>
        <v>56791108</v>
      </c>
      <c r="AA66" s="37">
        <f>SUMIF('2020'!$B:$B,выравнивание!$A66,'2020'!CE:CE)-SUMIFS('2020'!CE:CE,'2020'!$B:$B,выравнивание!$A66,'2020'!$G:$G,4)</f>
        <v>43618362.399999999</v>
      </c>
      <c r="AB66" s="37">
        <f>SUMIF('2020'!$B:$B,выравнивание!$A66,'2020'!CF:CF)-SUMIFS('2020'!CF:CF,'2020'!$B:$B,выравнивание!$A66,'2020'!$G:$G,4)</f>
        <v>13172745.6</v>
      </c>
      <c r="AC66" s="103">
        <f>SUMIF('2020'!$B:$B,выравнивание!$A66,'2020'!CG:CG)-SUMIFS('2020'!CG:CG,'2020'!$B:$B,выравнивание!$A66,'2020'!$G:$G,4)</f>
        <v>8131200</v>
      </c>
      <c r="AD66" s="103">
        <f>SUMIF('2020'!$B:$B,выравнивание!$A66,'2020'!CH:CH)-SUMIFS('2020'!CH:CH,'2020'!$B:$B,выравнивание!$A66,'2020'!$G:$G,4)</f>
        <v>410810274</v>
      </c>
      <c r="AE66" s="84">
        <f>SUMIF('Свод 2020'!$A$9:$A$22,выравнивание!$A66,'Свод 2020'!$AA$9:$AA$24)*1000-SUMIF('Свод 2020'!$A$9:$A$22,выравнивание!$A66,'Свод 2020'!$S$9:$S$24)*1000</f>
        <v>436220900</v>
      </c>
      <c r="AF66" s="105">
        <f>AD66-AE66</f>
        <v>-25410626</v>
      </c>
      <c r="AU66" s="108"/>
    </row>
    <row r="67" spans="1:49" hidden="1" x14ac:dyDescent="0.25">
      <c r="A67" s="6">
        <v>8</v>
      </c>
      <c r="B67" s="92" t="s">
        <v>22</v>
      </c>
      <c r="C67" s="11">
        <v>706</v>
      </c>
      <c r="D67" s="11">
        <v>2018</v>
      </c>
      <c r="E67" s="11" t="s">
        <v>184</v>
      </c>
      <c r="F67" s="104"/>
      <c r="G67" s="104"/>
      <c r="H67" s="104"/>
      <c r="I67" s="104">
        <f t="shared" ref="I67:AB67" si="63">I66/$AD66</f>
        <v>0.56096000000000001</v>
      </c>
      <c r="J67" s="104">
        <f t="shared" si="63"/>
        <v>0.430844</v>
      </c>
      <c r="K67" s="104">
        <f t="shared" si="63"/>
        <v>0.13011500000000001</v>
      </c>
      <c r="L67" s="104">
        <f t="shared" si="63"/>
        <v>4.7345999999999999E-2</v>
      </c>
      <c r="M67" s="104">
        <f t="shared" si="63"/>
        <v>8.1840000000000003E-3</v>
      </c>
      <c r="N67" s="104">
        <f t="shared" si="63"/>
        <v>4.4274000000000001E-2</v>
      </c>
      <c r="O67" s="104">
        <f t="shared" si="63"/>
        <v>0.1056</v>
      </c>
      <c r="P67" s="104">
        <f t="shared" si="63"/>
        <v>3.0130000000000001E-3</v>
      </c>
      <c r="Q67" s="104">
        <f t="shared" si="63"/>
        <v>9.5412999999999998E-2</v>
      </c>
      <c r="R67" s="104">
        <f t="shared" si="63"/>
        <v>2.0969999999999999E-3</v>
      </c>
      <c r="S67" s="104">
        <f t="shared" si="63"/>
        <v>5.0769999999999999E-3</v>
      </c>
      <c r="T67" s="104">
        <f t="shared" si="63"/>
        <v>3.7713000000000003E-2</v>
      </c>
      <c r="U67" s="104">
        <f t="shared" si="63"/>
        <v>3.2944000000000001E-2</v>
      </c>
      <c r="V67" s="104">
        <f t="shared" si="63"/>
        <v>3.091E-3</v>
      </c>
      <c r="W67" s="104">
        <f t="shared" si="63"/>
        <v>4.4079999999999996E-3</v>
      </c>
      <c r="X67" s="104">
        <f t="shared" si="63"/>
        <v>4.6099999999999998E-4</v>
      </c>
      <c r="Y67" s="104">
        <f t="shared" si="63"/>
        <v>5.169E-3</v>
      </c>
      <c r="Z67" s="104">
        <f t="shared" si="63"/>
        <v>0.138242</v>
      </c>
      <c r="AA67" s="104">
        <f t="shared" si="63"/>
        <v>0.10617600000000001</v>
      </c>
      <c r="AB67" s="104">
        <f t="shared" si="63"/>
        <v>3.2065000000000003E-2</v>
      </c>
      <c r="AC67" s="106">
        <f>1-Z67-Y67-X67-W67-V67-U67-T67-O67-N67-L67-I67</f>
        <v>1.9792000000000001E-2</v>
      </c>
      <c r="AD67" s="106">
        <f>AD66/$AD66</f>
        <v>1</v>
      </c>
      <c r="AE67" s="81"/>
      <c r="AU67" s="108"/>
    </row>
    <row r="68" spans="1:49" x14ac:dyDescent="0.25">
      <c r="A68" s="6">
        <v>8</v>
      </c>
      <c r="B68" s="92" t="s">
        <v>22</v>
      </c>
      <c r="C68" s="11">
        <v>706</v>
      </c>
      <c r="D68" s="11">
        <v>2018</v>
      </c>
      <c r="E68" s="11" t="s">
        <v>185</v>
      </c>
      <c r="F68" s="37">
        <f>G68+H68</f>
        <v>-17767161</v>
      </c>
      <c r="G68" s="37">
        <f>J68+AA68</f>
        <v>-13646053</v>
      </c>
      <c r="H68" s="37">
        <f>K68+AB68</f>
        <v>-4121108</v>
      </c>
      <c r="I68" s="37">
        <f>ROUND($AF66*I67,0)</f>
        <v>-14254345</v>
      </c>
      <c r="J68" s="37">
        <f>ROUND(I68/1.302,0)</f>
        <v>-10948038</v>
      </c>
      <c r="K68" s="37">
        <f>I68-J68</f>
        <v>-3306307</v>
      </c>
      <c r="L68" s="37">
        <f>ROUND($AF66*L67,0)</f>
        <v>-1203091</v>
      </c>
      <c r="M68" s="37">
        <f>ROUND($AF66*M67,0)</f>
        <v>-207961</v>
      </c>
      <c r="N68" s="37">
        <f>ROUND($AF66*N67,0)</f>
        <v>-1125030</v>
      </c>
      <c r="O68" s="37">
        <f>ROUND($AF66*O67,0)</f>
        <v>-2683362</v>
      </c>
      <c r="P68" s="37">
        <f>ROUND($AE66*P67,0)</f>
        <v>1314334</v>
      </c>
      <c r="Q68" s="37">
        <f>ROUND($AE66*Q67,0)</f>
        <v>41621145</v>
      </c>
      <c r="R68" s="37">
        <f>ROUND($AE66*R67,0)</f>
        <v>914755</v>
      </c>
      <c r="S68" s="37">
        <f>ROUND($AE66*S67,0)</f>
        <v>2214694</v>
      </c>
      <c r="T68" s="37">
        <f t="shared" ref="T68:Z68" si="64">ROUND($AF66*T67,0)</f>
        <v>-958311</v>
      </c>
      <c r="U68" s="37">
        <f t="shared" si="64"/>
        <v>-837128</v>
      </c>
      <c r="V68" s="37">
        <f t="shared" si="64"/>
        <v>-78544</v>
      </c>
      <c r="W68" s="37">
        <f t="shared" si="64"/>
        <v>-112010</v>
      </c>
      <c r="X68" s="37">
        <f t="shared" si="64"/>
        <v>-11714</v>
      </c>
      <c r="Y68" s="37">
        <f t="shared" si="64"/>
        <v>-131348</v>
      </c>
      <c r="Z68" s="37">
        <f t="shared" si="64"/>
        <v>-3512816</v>
      </c>
      <c r="AA68" s="37">
        <f>ROUND(Z68/1.302,0)</f>
        <v>-2698015</v>
      </c>
      <c r="AB68" s="37">
        <f>Z68-AA68</f>
        <v>-814801</v>
      </c>
      <c r="AC68" s="37">
        <f>ROUND($AF66*AC67,0)</f>
        <v>-502927</v>
      </c>
      <c r="AD68" s="37">
        <f>I68+L68+N68+O68+T68+U68+V68+W68+X68+Y68+AC68+Z68</f>
        <v>-25410626</v>
      </c>
      <c r="AE68" s="78">
        <f>AF66</f>
        <v>-25410626</v>
      </c>
      <c r="AF68" s="78">
        <f>AE68-AF66</f>
        <v>0</v>
      </c>
      <c r="AG68" s="107">
        <f>-ROUND(F68/1000,1)</f>
        <v>17767.2</v>
      </c>
      <c r="AH68" s="107">
        <f>ROUND(AG68/1.302,1)</f>
        <v>13646.1</v>
      </c>
      <c r="AI68" s="107">
        <f>AG68-AH68</f>
        <v>4121.1000000000004</v>
      </c>
      <c r="AJ68" s="107">
        <f>-ROUND(L68/1000,1)</f>
        <v>1203.0999999999999</v>
      </c>
      <c r="AK68" s="107">
        <f>-ROUND(M68/1000,1)</f>
        <v>208</v>
      </c>
      <c r="AL68" s="107">
        <f>-ROUND(N68/1000,1)</f>
        <v>1125</v>
      </c>
      <c r="AM68" s="107">
        <f>-ROUND(O68/1000,1)</f>
        <v>2683.4</v>
      </c>
      <c r="AN68" s="107">
        <f t="shared" ref="AN68:AS68" si="65">-ROUND(T68/1000,1)</f>
        <v>958.3</v>
      </c>
      <c r="AO68" s="107">
        <f t="shared" si="65"/>
        <v>837.1</v>
      </c>
      <c r="AP68" s="107">
        <f t="shared" si="65"/>
        <v>78.5</v>
      </c>
      <c r="AQ68" s="107">
        <f t="shared" si="65"/>
        <v>112</v>
      </c>
      <c r="AR68" s="107">
        <f t="shared" si="65"/>
        <v>11.7</v>
      </c>
      <c r="AS68" s="107">
        <f t="shared" si="65"/>
        <v>131.30000000000001</v>
      </c>
      <c r="AT68" s="107">
        <f>-ROUND(AC68/1000,1)</f>
        <v>502.9</v>
      </c>
      <c r="AU68" s="108">
        <f>AG68+AJ68+AL68+AM68+AN68+AO68+AP68+AQ68+AR68+AS68+AT68</f>
        <v>25410.5</v>
      </c>
      <c r="AW68" s="272">
        <v>-127174.3</v>
      </c>
    </row>
    <row r="69" spans="1:49" hidden="1" x14ac:dyDescent="0.25">
      <c r="A69" s="6">
        <v>8</v>
      </c>
      <c r="B69" s="92" t="s">
        <v>22</v>
      </c>
      <c r="C69" s="11">
        <v>706</v>
      </c>
      <c r="D69" s="11">
        <v>2019</v>
      </c>
      <c r="E69" s="11" t="s">
        <v>182</v>
      </c>
      <c r="F69" s="37"/>
      <c r="G69" s="37"/>
      <c r="H69" s="37"/>
      <c r="I69" s="37" t="e">
        <f>SUMIF(#REF!,выравнивание!$A69,#REF!)-SUMIFS(#REF!,#REF!,выравнивание!$A69,#REF!,4)</f>
        <v>#REF!</v>
      </c>
      <c r="J69" s="37" t="e">
        <f>SUMIF(#REF!,выравнивание!$A69,#REF!)-SUMIFS(#REF!,#REF!,выравнивание!$A69,#REF!,4)</f>
        <v>#REF!</v>
      </c>
      <c r="K69" s="37" t="e">
        <f>SUMIF(#REF!,выравнивание!$A69,#REF!)-SUMIFS(#REF!,#REF!,выравнивание!$A69,#REF!,4)</f>
        <v>#REF!</v>
      </c>
      <c r="L69" s="37" t="e">
        <f>SUMIF(#REF!,выравнивание!$A69,#REF!)-SUMIFS(#REF!,#REF!,выравнивание!$A69,#REF!,4)</f>
        <v>#REF!</v>
      </c>
      <c r="M69" s="37" t="e">
        <f>SUMIF(#REF!,выравнивание!$A69,#REF!)-SUMIFS(#REF!,#REF!,выравнивание!$A69,#REF!,4)</f>
        <v>#REF!</v>
      </c>
      <c r="N69" s="37" t="e">
        <f>SUMIF(#REF!,выравнивание!$A69,#REF!)-SUMIFS(#REF!,#REF!,выравнивание!$A69,#REF!,4)</f>
        <v>#REF!</v>
      </c>
      <c r="O69" s="37" t="e">
        <f>SUMIF(#REF!,выравнивание!$A69,#REF!)-SUMIFS(#REF!,#REF!,выравнивание!$A69,#REF!,4)</f>
        <v>#REF!</v>
      </c>
      <c r="P69" s="37" t="e">
        <f>SUMIF(#REF!,выравнивание!$A69,#REF!)-SUMIFS(#REF!,#REF!,выравнивание!$A69,#REF!,4)</f>
        <v>#REF!</v>
      </c>
      <c r="Q69" s="37" t="e">
        <f>SUMIF(#REF!,выравнивание!$A69,#REF!)-SUMIFS(#REF!,#REF!,выравнивание!$A69,#REF!,4)</f>
        <v>#REF!</v>
      </c>
      <c r="R69" s="37" t="e">
        <f>SUMIF(#REF!,выравнивание!$A69,#REF!)-SUMIFS(#REF!,#REF!,выравнивание!$A69,#REF!,4)</f>
        <v>#REF!</v>
      </c>
      <c r="S69" s="37" t="e">
        <f>SUMIF(#REF!,выравнивание!$A69,#REF!)-SUMIFS(#REF!,#REF!,выравнивание!$A69,#REF!,4)</f>
        <v>#REF!</v>
      </c>
      <c r="T69" s="37" t="e">
        <f>SUMIF(#REF!,выравнивание!$A69,#REF!)-SUMIFS(#REF!,#REF!,выравнивание!$A69,#REF!,4)</f>
        <v>#REF!</v>
      </c>
      <c r="U69" s="37" t="e">
        <f>SUMIF(#REF!,выравнивание!$A69,#REF!)-SUMIFS(#REF!,#REF!,выравнивание!$A69,#REF!,4)</f>
        <v>#REF!</v>
      </c>
      <c r="V69" s="37" t="e">
        <f>SUMIF(#REF!,выравнивание!$A69,#REF!)-SUMIFS(#REF!,#REF!,выравнивание!$A69,#REF!,4)</f>
        <v>#REF!</v>
      </c>
      <c r="W69" s="37" t="e">
        <f>SUMIF(#REF!,выравнивание!$A69,#REF!)-SUMIFS(#REF!,#REF!,выравнивание!$A69,#REF!,4)</f>
        <v>#REF!</v>
      </c>
      <c r="X69" s="37" t="e">
        <f>SUMIF(#REF!,выравнивание!$A69,#REF!)-SUMIFS(#REF!,#REF!,выравнивание!$A69,#REF!,4)</f>
        <v>#REF!</v>
      </c>
      <c r="Y69" s="37" t="e">
        <f>SUMIF(#REF!,выравнивание!$A69,#REF!)-SUMIFS(#REF!,#REF!,выравнивание!$A69,#REF!,4)</f>
        <v>#REF!</v>
      </c>
      <c r="Z69" s="37" t="e">
        <f>SUMIF(#REF!,выравнивание!$A69,#REF!)-SUMIFS(#REF!,#REF!,выравнивание!$A69,#REF!,4)</f>
        <v>#REF!</v>
      </c>
      <c r="AA69" s="37" t="e">
        <f>SUMIF(#REF!,выравнивание!$A69,#REF!)-SUMIFS(#REF!,#REF!,выравнивание!$A69,#REF!,4)</f>
        <v>#REF!</v>
      </c>
      <c r="AB69" s="37" t="e">
        <f>SUMIF(#REF!,выравнивание!$A69,#REF!)-SUMIFS(#REF!,#REF!,выравнивание!$A69,#REF!,4)</f>
        <v>#REF!</v>
      </c>
      <c r="AC69" s="103" t="e">
        <f>SUMIF(#REF!,выравнивание!$A69,#REF!)-SUMIFS(#REF!,#REF!,выравнивание!$A69,#REF!,4)</f>
        <v>#REF!</v>
      </c>
      <c r="AD69" s="103" t="e">
        <f>SUMIF(#REF!,выравнивание!$A69,#REF!)-SUMIFS(#REF!,#REF!,выравнивание!$A69,#REF!,4)</f>
        <v>#REF!</v>
      </c>
      <c r="AE69" s="103" t="e">
        <f>SUMIF(#REF!,выравнивание!$A69,#REF!)*1000-SUMIF(#REF!,выравнивание!$A69,#REF!)*1000</f>
        <v>#REF!</v>
      </c>
      <c r="AF69" s="105" t="e">
        <f>AD69-AE69</f>
        <v>#REF!</v>
      </c>
      <c r="AU69" s="108"/>
    </row>
    <row r="70" spans="1:49" hidden="1" x14ac:dyDescent="0.25">
      <c r="A70" s="6">
        <v>8</v>
      </c>
      <c r="B70" s="92" t="s">
        <v>22</v>
      </c>
      <c r="C70" s="11">
        <v>706</v>
      </c>
      <c r="D70" s="11">
        <v>2019</v>
      </c>
      <c r="E70" s="11" t="s">
        <v>184</v>
      </c>
      <c r="F70" s="104"/>
      <c r="G70" s="104"/>
      <c r="H70" s="104"/>
      <c r="I70" s="104" t="e">
        <f t="shared" ref="I70:AB70" si="66">I69/$AD69</f>
        <v>#REF!</v>
      </c>
      <c r="J70" s="104" t="e">
        <f t="shared" si="66"/>
        <v>#REF!</v>
      </c>
      <c r="K70" s="104" t="e">
        <f t="shared" si="66"/>
        <v>#REF!</v>
      </c>
      <c r="L70" s="104" t="e">
        <f t="shared" si="66"/>
        <v>#REF!</v>
      </c>
      <c r="M70" s="104" t="e">
        <f t="shared" si="66"/>
        <v>#REF!</v>
      </c>
      <c r="N70" s="104" t="e">
        <f t="shared" si="66"/>
        <v>#REF!</v>
      </c>
      <c r="O70" s="104" t="e">
        <f t="shared" si="66"/>
        <v>#REF!</v>
      </c>
      <c r="P70" s="104" t="e">
        <f t="shared" si="66"/>
        <v>#REF!</v>
      </c>
      <c r="Q70" s="104" t="e">
        <f t="shared" si="66"/>
        <v>#REF!</v>
      </c>
      <c r="R70" s="104" t="e">
        <f t="shared" si="66"/>
        <v>#REF!</v>
      </c>
      <c r="S70" s="104" t="e">
        <f t="shared" si="66"/>
        <v>#REF!</v>
      </c>
      <c r="T70" s="104" t="e">
        <f t="shared" si="66"/>
        <v>#REF!</v>
      </c>
      <c r="U70" s="104" t="e">
        <f t="shared" si="66"/>
        <v>#REF!</v>
      </c>
      <c r="V70" s="104" t="e">
        <f t="shared" si="66"/>
        <v>#REF!</v>
      </c>
      <c r="W70" s="104" t="e">
        <f t="shared" si="66"/>
        <v>#REF!</v>
      </c>
      <c r="X70" s="104" t="e">
        <f t="shared" si="66"/>
        <v>#REF!</v>
      </c>
      <c r="Y70" s="104" t="e">
        <f t="shared" si="66"/>
        <v>#REF!</v>
      </c>
      <c r="Z70" s="104" t="e">
        <f t="shared" si="66"/>
        <v>#REF!</v>
      </c>
      <c r="AA70" s="104" t="e">
        <f t="shared" si="66"/>
        <v>#REF!</v>
      </c>
      <c r="AB70" s="104" t="e">
        <f t="shared" si="66"/>
        <v>#REF!</v>
      </c>
      <c r="AC70" s="106" t="e">
        <f>1-Z70-Y70-X70-W70-V70-U70-T70-O70-N70-L70-I70</f>
        <v>#REF!</v>
      </c>
      <c r="AD70" s="106" t="e">
        <f>AD69/$AD69</f>
        <v>#REF!</v>
      </c>
      <c r="AE70" s="81"/>
      <c r="AU70" s="108"/>
    </row>
    <row r="71" spans="1:49" x14ac:dyDescent="0.25">
      <c r="A71" s="6">
        <v>8</v>
      </c>
      <c r="B71" s="92" t="s">
        <v>22</v>
      </c>
      <c r="C71" s="11">
        <v>706</v>
      </c>
      <c r="D71" s="11">
        <v>2019</v>
      </c>
      <c r="E71" s="11" t="s">
        <v>185</v>
      </c>
      <c r="F71" s="37" t="e">
        <f>G71+H71</f>
        <v>#REF!</v>
      </c>
      <c r="G71" s="37" t="e">
        <f>J71+AA71</f>
        <v>#REF!</v>
      </c>
      <c r="H71" s="37" t="e">
        <f>K71+AB71</f>
        <v>#REF!</v>
      </c>
      <c r="I71" s="37" t="e">
        <f>ROUND($AF69*I70,0)</f>
        <v>#REF!</v>
      </c>
      <c r="J71" s="37" t="e">
        <f>ROUND(I71/1.302,0)</f>
        <v>#REF!</v>
      </c>
      <c r="K71" s="37" t="e">
        <f>I71-J71</f>
        <v>#REF!</v>
      </c>
      <c r="L71" s="37" t="e">
        <f>ROUND($AF69*L70,0)</f>
        <v>#REF!</v>
      </c>
      <c r="M71" s="37" t="e">
        <f>ROUND($AF69*M70,0)</f>
        <v>#REF!</v>
      </c>
      <c r="N71" s="37" t="e">
        <f>ROUND($AF69*N70,0)</f>
        <v>#REF!</v>
      </c>
      <c r="O71" s="37" t="e">
        <f>ROUND($AF69*O70,0)</f>
        <v>#REF!</v>
      </c>
      <c r="P71" s="37" t="e">
        <f>ROUND($AE69*P70,0)</f>
        <v>#REF!</v>
      </c>
      <c r="Q71" s="37" t="e">
        <f>ROUND($AE69*Q70,0)</f>
        <v>#REF!</v>
      </c>
      <c r="R71" s="37" t="e">
        <f>ROUND($AE69*R70,0)</f>
        <v>#REF!</v>
      </c>
      <c r="S71" s="37" t="e">
        <f>ROUND($AE69*S70,0)</f>
        <v>#REF!</v>
      </c>
      <c r="T71" s="37" t="e">
        <f t="shared" ref="T71:Z71" si="67">ROUND($AF69*T70,0)</f>
        <v>#REF!</v>
      </c>
      <c r="U71" s="37" t="e">
        <f t="shared" si="67"/>
        <v>#REF!</v>
      </c>
      <c r="V71" s="37" t="e">
        <f t="shared" si="67"/>
        <v>#REF!</v>
      </c>
      <c r="W71" s="37" t="e">
        <f t="shared" si="67"/>
        <v>#REF!</v>
      </c>
      <c r="X71" s="37" t="e">
        <f t="shared" si="67"/>
        <v>#REF!</v>
      </c>
      <c r="Y71" s="37" t="e">
        <f t="shared" si="67"/>
        <v>#REF!</v>
      </c>
      <c r="Z71" s="37" t="e">
        <f t="shared" si="67"/>
        <v>#REF!</v>
      </c>
      <c r="AA71" s="37" t="e">
        <f>ROUND(Z71/1.302,0)</f>
        <v>#REF!</v>
      </c>
      <c r="AB71" s="37" t="e">
        <f>Z71-AA71</f>
        <v>#REF!</v>
      </c>
      <c r="AC71" s="37" t="e">
        <f>ROUND($AF69*AC70,0)</f>
        <v>#REF!</v>
      </c>
      <c r="AD71" s="37" t="e">
        <f>I71+L71+N71+O71+T71+U71+V71+W71+X71+Y71+AC71+Z71</f>
        <v>#REF!</v>
      </c>
      <c r="AE71" s="78" t="e">
        <f>AF69</f>
        <v>#REF!</v>
      </c>
      <c r="AF71" s="78" t="e">
        <f>AE71-AF69</f>
        <v>#REF!</v>
      </c>
      <c r="AG71" s="107" t="e">
        <f>-ROUND(F71/1000,1)</f>
        <v>#REF!</v>
      </c>
      <c r="AH71" s="107" t="e">
        <f>ROUND(AG71/1.302,1)</f>
        <v>#REF!</v>
      </c>
      <c r="AI71" s="107" t="e">
        <f>AG71-AH71</f>
        <v>#REF!</v>
      </c>
      <c r="AJ71" s="107" t="e">
        <f>-ROUND(L71/1000,1)</f>
        <v>#REF!</v>
      </c>
      <c r="AK71" s="107" t="e">
        <f>-ROUND(M71/1000,1)</f>
        <v>#REF!</v>
      </c>
      <c r="AL71" s="107" t="e">
        <f>-ROUND(N71/1000,1)</f>
        <v>#REF!</v>
      </c>
      <c r="AM71" s="107" t="e">
        <f>-ROUND(O71/1000,1)</f>
        <v>#REF!</v>
      </c>
      <c r="AN71" s="107" t="e">
        <f t="shared" ref="AN71:AS71" si="68">-ROUND(T71/1000,1)</f>
        <v>#REF!</v>
      </c>
      <c r="AO71" s="107" t="e">
        <f t="shared" si="68"/>
        <v>#REF!</v>
      </c>
      <c r="AP71" s="107" t="e">
        <f t="shared" si="68"/>
        <v>#REF!</v>
      </c>
      <c r="AQ71" s="107" t="e">
        <f t="shared" si="68"/>
        <v>#REF!</v>
      </c>
      <c r="AR71" s="107" t="e">
        <f t="shared" si="68"/>
        <v>#REF!</v>
      </c>
      <c r="AS71" s="107" t="e">
        <f t="shared" si="68"/>
        <v>#REF!</v>
      </c>
      <c r="AT71" s="107" t="e">
        <f>-ROUND(AC71/1000,1)</f>
        <v>#REF!</v>
      </c>
      <c r="AU71" s="108" t="e">
        <f>AG71+AJ71+AL71+AM71+AN71+AO71+AP71+AQ71+AR71+AS71+AT71</f>
        <v>#REF!</v>
      </c>
      <c r="AW71" s="272">
        <v>-132415.29999999999</v>
      </c>
    </row>
    <row r="72" spans="1:49" hidden="1" x14ac:dyDescent="0.25">
      <c r="A72" s="6">
        <v>8</v>
      </c>
      <c r="B72" s="92" t="s">
        <v>22</v>
      </c>
      <c r="C72" s="11">
        <v>706</v>
      </c>
      <c r="D72" s="11">
        <v>2020</v>
      </c>
      <c r="E72" s="11" t="s">
        <v>182</v>
      </c>
      <c r="F72" s="37"/>
      <c r="G72" s="37"/>
      <c r="H72" s="37"/>
      <c r="I72" s="37" t="e">
        <f>SUMIF(#REF!,выравнивание!$A72,#REF!)-SUMIFS(#REF!,#REF!,выравнивание!$A72,#REF!,4)</f>
        <v>#REF!</v>
      </c>
      <c r="J72" s="37" t="e">
        <f>SUMIF(#REF!,выравнивание!$A72,#REF!)-SUMIFS(#REF!,#REF!,выравнивание!$A72,#REF!,4)</f>
        <v>#REF!</v>
      </c>
      <c r="K72" s="37" t="e">
        <f>SUMIF(#REF!,выравнивание!$A72,#REF!)-SUMIFS(#REF!,#REF!,выравнивание!$A72,#REF!,4)</f>
        <v>#REF!</v>
      </c>
      <c r="L72" s="37" t="e">
        <f>SUMIF(#REF!,выравнивание!$A72,#REF!)-SUMIFS(#REF!,#REF!,выравнивание!$A72,#REF!,4)</f>
        <v>#REF!</v>
      </c>
      <c r="M72" s="37" t="e">
        <f>SUMIF(#REF!,выравнивание!$A72,#REF!)-SUMIFS(#REF!,#REF!,выравнивание!$A72,#REF!,4)</f>
        <v>#REF!</v>
      </c>
      <c r="N72" s="37" t="e">
        <f>SUMIF(#REF!,выравнивание!$A72,#REF!)-SUMIFS(#REF!,#REF!,выравнивание!$A72,#REF!,4)</f>
        <v>#REF!</v>
      </c>
      <c r="O72" s="37" t="e">
        <f>SUMIF(#REF!,выравнивание!$A72,#REF!)-SUMIFS(#REF!,#REF!,выравнивание!$A72,#REF!,4)</f>
        <v>#REF!</v>
      </c>
      <c r="P72" s="37" t="e">
        <f>SUMIF(#REF!,выравнивание!$A72,#REF!)-SUMIFS(#REF!,#REF!,выравнивание!$A72,#REF!,4)</f>
        <v>#REF!</v>
      </c>
      <c r="Q72" s="37" t="e">
        <f>SUMIF(#REF!,выравнивание!$A72,#REF!)-SUMIFS(#REF!,#REF!,выравнивание!$A72,#REF!,4)</f>
        <v>#REF!</v>
      </c>
      <c r="R72" s="37" t="e">
        <f>SUMIF(#REF!,выравнивание!$A72,#REF!)-SUMIFS(#REF!,#REF!,выравнивание!$A72,#REF!,4)</f>
        <v>#REF!</v>
      </c>
      <c r="S72" s="37" t="e">
        <f>SUMIF(#REF!,выравнивание!$A72,#REF!)-SUMIFS(#REF!,#REF!,выравнивание!$A72,#REF!,4)</f>
        <v>#REF!</v>
      </c>
      <c r="T72" s="37" t="e">
        <f>SUMIF(#REF!,выравнивание!$A72,#REF!)-SUMIFS(#REF!,#REF!,выравнивание!$A72,#REF!,4)</f>
        <v>#REF!</v>
      </c>
      <c r="U72" s="37" t="e">
        <f>SUMIF(#REF!,выравнивание!$A72,#REF!)-SUMIFS(#REF!,#REF!,выравнивание!$A72,#REF!,4)</f>
        <v>#REF!</v>
      </c>
      <c r="V72" s="37" t="e">
        <f>SUMIF(#REF!,выравнивание!$A72,#REF!)-SUMIFS(#REF!,#REF!,выравнивание!$A72,#REF!,4)</f>
        <v>#REF!</v>
      </c>
      <c r="W72" s="37" t="e">
        <f>SUMIF(#REF!,выравнивание!$A72,#REF!)-SUMIFS(#REF!,#REF!,выравнивание!$A72,#REF!,4)</f>
        <v>#REF!</v>
      </c>
      <c r="X72" s="37" t="e">
        <f>SUMIF(#REF!,выравнивание!$A72,#REF!)-SUMIFS(#REF!,#REF!,выравнивание!$A72,#REF!,4)</f>
        <v>#REF!</v>
      </c>
      <c r="Y72" s="37" t="e">
        <f>SUMIF(#REF!,выравнивание!$A72,#REF!)-SUMIFS(#REF!,#REF!,выравнивание!$A72,#REF!,4)</f>
        <v>#REF!</v>
      </c>
      <c r="Z72" s="37" t="e">
        <f>SUMIF(#REF!,выравнивание!$A72,#REF!)-SUMIFS(#REF!,#REF!,выравнивание!$A72,#REF!,4)</f>
        <v>#REF!</v>
      </c>
      <c r="AA72" s="37" t="e">
        <f>SUMIF(#REF!,выравнивание!$A72,#REF!)-SUMIFS(#REF!,#REF!,выравнивание!$A72,#REF!,4)</f>
        <v>#REF!</v>
      </c>
      <c r="AB72" s="37" t="e">
        <f>SUMIF(#REF!,выравнивание!$A72,#REF!)-SUMIFS(#REF!,#REF!,выравнивание!$A72,#REF!,4)</f>
        <v>#REF!</v>
      </c>
      <c r="AC72" s="103" t="e">
        <f>SUMIF(#REF!,выравнивание!$A72,#REF!)-SUMIFS(#REF!,#REF!,выравнивание!$A72,#REF!,4)</f>
        <v>#REF!</v>
      </c>
      <c r="AD72" s="103" t="e">
        <f>SUMIF(#REF!,выравнивание!$A72,#REF!)-SUMIFS(#REF!,#REF!,выравнивание!$A72,#REF!,4)</f>
        <v>#REF!</v>
      </c>
      <c r="AE72" s="103" t="e">
        <f>SUMIF(#REF!,выравнивание!$A72,#REF!)*1000-SUMIF(#REF!,выравнивание!$A72,#REF!)*1000</f>
        <v>#REF!</v>
      </c>
      <c r="AF72" s="84" t="e">
        <f>AD72-AE72</f>
        <v>#REF!</v>
      </c>
      <c r="AU72" s="108"/>
    </row>
    <row r="73" spans="1:49" hidden="1" x14ac:dyDescent="0.25">
      <c r="A73" s="6">
        <v>8</v>
      </c>
      <c r="B73" s="92" t="s">
        <v>22</v>
      </c>
      <c r="C73" s="11">
        <v>706</v>
      </c>
      <c r="D73" s="11">
        <v>2020</v>
      </c>
      <c r="E73" s="11" t="s">
        <v>184</v>
      </c>
      <c r="F73" s="104"/>
      <c r="G73" s="104"/>
      <c r="H73" s="104"/>
      <c r="I73" s="104" t="e">
        <f t="shared" ref="I73:AB73" si="69">I72/$AD72</f>
        <v>#REF!</v>
      </c>
      <c r="J73" s="104" t="e">
        <f t="shared" si="69"/>
        <v>#REF!</v>
      </c>
      <c r="K73" s="104" t="e">
        <f t="shared" si="69"/>
        <v>#REF!</v>
      </c>
      <c r="L73" s="104" t="e">
        <f t="shared" si="69"/>
        <v>#REF!</v>
      </c>
      <c r="M73" s="104" t="e">
        <f t="shared" si="69"/>
        <v>#REF!</v>
      </c>
      <c r="N73" s="104" t="e">
        <f t="shared" si="69"/>
        <v>#REF!</v>
      </c>
      <c r="O73" s="104" t="e">
        <f t="shared" si="69"/>
        <v>#REF!</v>
      </c>
      <c r="P73" s="104" t="e">
        <f t="shared" si="69"/>
        <v>#REF!</v>
      </c>
      <c r="Q73" s="104" t="e">
        <f t="shared" si="69"/>
        <v>#REF!</v>
      </c>
      <c r="R73" s="104" t="e">
        <f t="shared" si="69"/>
        <v>#REF!</v>
      </c>
      <c r="S73" s="104" t="e">
        <f t="shared" si="69"/>
        <v>#REF!</v>
      </c>
      <c r="T73" s="104" t="e">
        <f t="shared" si="69"/>
        <v>#REF!</v>
      </c>
      <c r="U73" s="104" t="e">
        <f t="shared" si="69"/>
        <v>#REF!</v>
      </c>
      <c r="V73" s="104" t="e">
        <f t="shared" si="69"/>
        <v>#REF!</v>
      </c>
      <c r="W73" s="104" t="e">
        <f t="shared" si="69"/>
        <v>#REF!</v>
      </c>
      <c r="X73" s="104" t="e">
        <f t="shared" si="69"/>
        <v>#REF!</v>
      </c>
      <c r="Y73" s="104" t="e">
        <f t="shared" si="69"/>
        <v>#REF!</v>
      </c>
      <c r="Z73" s="104" t="e">
        <f t="shared" si="69"/>
        <v>#REF!</v>
      </c>
      <c r="AA73" s="104" t="e">
        <f t="shared" si="69"/>
        <v>#REF!</v>
      </c>
      <c r="AB73" s="104" t="e">
        <f t="shared" si="69"/>
        <v>#REF!</v>
      </c>
      <c r="AC73" s="106" t="e">
        <f>1-Z73-Y73-X73-W73-V73-U73-T73-O73-N73-L73-I73</f>
        <v>#REF!</v>
      </c>
      <c r="AD73" s="106" t="e">
        <f>AD72/$AD72</f>
        <v>#REF!</v>
      </c>
      <c r="AE73" s="81"/>
      <c r="AU73" s="108"/>
    </row>
    <row r="74" spans="1:49" x14ac:dyDescent="0.25">
      <c r="A74" s="6">
        <v>8</v>
      </c>
      <c r="B74" s="92" t="s">
        <v>22</v>
      </c>
      <c r="C74" s="11">
        <v>706</v>
      </c>
      <c r="D74" s="11">
        <v>2020</v>
      </c>
      <c r="E74" s="11" t="s">
        <v>185</v>
      </c>
      <c r="F74" s="37" t="e">
        <f>G74+H74</f>
        <v>#REF!</v>
      </c>
      <c r="G74" s="37" t="e">
        <f>J74+AA74</f>
        <v>#REF!</v>
      </c>
      <c r="H74" s="37" t="e">
        <f>K74+AB74</f>
        <v>#REF!</v>
      </c>
      <c r="I74" s="37" t="e">
        <f>ROUND($AF72*I73,0)</f>
        <v>#REF!</v>
      </c>
      <c r="J74" s="37" t="e">
        <f>ROUND(I74/1.302,0)</f>
        <v>#REF!</v>
      </c>
      <c r="K74" s="37" t="e">
        <f>I74-J74</f>
        <v>#REF!</v>
      </c>
      <c r="L74" s="37" t="e">
        <f>ROUND($AF72*L73,0)</f>
        <v>#REF!</v>
      </c>
      <c r="M74" s="37" t="e">
        <f>ROUND($AF72*M73,0)</f>
        <v>#REF!</v>
      </c>
      <c r="N74" s="37" t="e">
        <f>ROUND($AF72*N73,0)</f>
        <v>#REF!</v>
      </c>
      <c r="O74" s="37" t="e">
        <f>ROUND($AF72*O73,0)</f>
        <v>#REF!</v>
      </c>
      <c r="P74" s="37" t="e">
        <f>ROUND($AE72*P73,0)</f>
        <v>#REF!</v>
      </c>
      <c r="Q74" s="37" t="e">
        <f>ROUND($AE72*Q73,0)</f>
        <v>#REF!</v>
      </c>
      <c r="R74" s="37" t="e">
        <f>ROUND($AE72*R73,0)</f>
        <v>#REF!</v>
      </c>
      <c r="S74" s="37" t="e">
        <f>ROUND($AE72*S73,0)</f>
        <v>#REF!</v>
      </c>
      <c r="T74" s="37" t="e">
        <f t="shared" ref="T74:Z74" si="70">ROUND($AF72*T73,0)</f>
        <v>#REF!</v>
      </c>
      <c r="U74" s="37" t="e">
        <f t="shared" si="70"/>
        <v>#REF!</v>
      </c>
      <c r="V74" s="37" t="e">
        <f t="shared" si="70"/>
        <v>#REF!</v>
      </c>
      <c r="W74" s="37" t="e">
        <f t="shared" si="70"/>
        <v>#REF!</v>
      </c>
      <c r="X74" s="37" t="e">
        <f t="shared" si="70"/>
        <v>#REF!</v>
      </c>
      <c r="Y74" s="37" t="e">
        <f t="shared" si="70"/>
        <v>#REF!</v>
      </c>
      <c r="Z74" s="37" t="e">
        <f t="shared" si="70"/>
        <v>#REF!</v>
      </c>
      <c r="AA74" s="37" t="e">
        <f>ROUND(Z74/1.302,0)</f>
        <v>#REF!</v>
      </c>
      <c r="AB74" s="37" t="e">
        <f>Z74-AA74</f>
        <v>#REF!</v>
      </c>
      <c r="AC74" s="37" t="e">
        <f>ROUND($AF72*AC73,0)</f>
        <v>#REF!</v>
      </c>
      <c r="AD74" s="37" t="e">
        <f>I74+L74+N74+O74+T74+U74+V74+W74+X74+Y74+AC74+Z74</f>
        <v>#REF!</v>
      </c>
      <c r="AE74" s="78" t="e">
        <f>AF72</f>
        <v>#REF!</v>
      </c>
      <c r="AF74" s="78" t="e">
        <f>AE74-AF72</f>
        <v>#REF!</v>
      </c>
      <c r="AG74" s="107" t="e">
        <f>-ROUND(F74/1000,1)</f>
        <v>#REF!</v>
      </c>
      <c r="AH74" s="107" t="e">
        <f>ROUND(AG74/1.302,1)</f>
        <v>#REF!</v>
      </c>
      <c r="AI74" s="107" t="e">
        <f>AG74-AH74</f>
        <v>#REF!</v>
      </c>
      <c r="AJ74" s="107" t="e">
        <f>-ROUND(L74/1000,1)</f>
        <v>#REF!</v>
      </c>
      <c r="AK74" s="107" t="e">
        <f>-ROUND(M74/1000,1)</f>
        <v>#REF!</v>
      </c>
      <c r="AL74" s="107" t="e">
        <f>-ROUND(N74/1000,1)</f>
        <v>#REF!</v>
      </c>
      <c r="AM74" s="107" t="e">
        <f>-ROUND(O74/1000,1)</f>
        <v>#REF!</v>
      </c>
      <c r="AN74" s="107" t="e">
        <f t="shared" ref="AN74:AS74" si="71">-ROUND(T74/1000,1)</f>
        <v>#REF!</v>
      </c>
      <c r="AO74" s="107" t="e">
        <f t="shared" si="71"/>
        <v>#REF!</v>
      </c>
      <c r="AP74" s="107" t="e">
        <f t="shared" si="71"/>
        <v>#REF!</v>
      </c>
      <c r="AQ74" s="107" t="e">
        <f t="shared" si="71"/>
        <v>#REF!</v>
      </c>
      <c r="AR74" s="107" t="e">
        <f t="shared" si="71"/>
        <v>#REF!</v>
      </c>
      <c r="AS74" s="107" t="e">
        <f t="shared" si="71"/>
        <v>#REF!</v>
      </c>
      <c r="AT74" s="107" t="e">
        <f>-ROUND(AC74/1000,1)</f>
        <v>#REF!</v>
      </c>
      <c r="AU74" s="108" t="e">
        <f>AG74+AJ74+AL74+AM74+AN74+AO74+AP74+AQ74+AR74+AS74+AT74</f>
        <v>#REF!</v>
      </c>
      <c r="AW74" s="272">
        <v>-135806.9</v>
      </c>
    </row>
    <row r="75" spans="1:49" hidden="1" x14ac:dyDescent="0.25">
      <c r="A75" s="6">
        <v>9</v>
      </c>
      <c r="B75" s="92" t="s">
        <v>23</v>
      </c>
      <c r="C75" s="11">
        <v>706</v>
      </c>
      <c r="D75" s="11">
        <v>2018</v>
      </c>
      <c r="E75" s="11" t="s">
        <v>182</v>
      </c>
      <c r="F75" s="37"/>
      <c r="G75" s="37"/>
      <c r="H75" s="37"/>
      <c r="I75" s="37">
        <f>SUMIF('2020'!$B:$B,выравнивание!$A75,'2020'!BM:BM)-SUMIFS('2020'!BM:BM,'2020'!$B:$B,выравнивание!$A75,'2020'!$G:$G,4)</f>
        <v>529623488</v>
      </c>
      <c r="J75" s="37">
        <f>SUMIF('2020'!$B:$B,выравнивание!$A75,'2020'!BN:BN)-SUMIFS('2020'!BN:BN,'2020'!$B:$B,выравнивание!$A75,'2020'!$G:$G,4)</f>
        <v>406776872.5</v>
      </c>
      <c r="K75" s="37">
        <f>SUMIF('2020'!$B:$B,выравнивание!$A75,'2020'!BO:BO)-SUMIFS('2020'!BO:BO,'2020'!$B:$B,выравнивание!$A75,'2020'!$G:$G,4)</f>
        <v>122846615.5</v>
      </c>
      <c r="L75" s="37">
        <f>SUMIF('2020'!$B:$B,выравнивание!$A75,'2020'!BP:BP)-SUMIFS('2020'!BP:BP,'2020'!$B:$B,выравнивание!$A75,'2020'!$G:$G,4)</f>
        <v>19889618</v>
      </c>
      <c r="M75" s="37">
        <f>SUMIF('2020'!$B:$B,выравнивание!$A75,'2020'!BQ:BQ)-SUMIFS('2020'!BQ:BQ,'2020'!$B:$B,выравнивание!$A75,'2020'!$G:$G,4)</f>
        <v>3545733</v>
      </c>
      <c r="N75" s="37">
        <f>SUMIF('2020'!$B:$B,выравнивание!$A75,'2020'!BR:BR)-SUMIFS('2020'!BR:BR,'2020'!$B:$B,выравнивание!$A75,'2020'!$G:$G,4)</f>
        <v>18822994</v>
      </c>
      <c r="O75" s="37">
        <f>SUMIF('2020'!$B:$B,выравнивание!$A75,'2020'!BS:BS)-SUMIFS('2020'!BS:BS,'2020'!$B:$B,выравнивание!$A75,'2020'!$G:$G,4)</f>
        <v>44853162</v>
      </c>
      <c r="P75" s="37">
        <f>SUMIF('2020'!$B:$B,выравнивание!$A75,'2020'!BT:BT)-SUMIFS('2020'!BT:BT,'2020'!$B:$B,выравнивание!$A75,'2020'!$G:$G,4)</f>
        <v>1326212</v>
      </c>
      <c r="Q75" s="37">
        <f>SUMIF('2020'!$B:$B,выравнивание!$A75,'2020'!BU:BU)-SUMIFS('2020'!BU:BU,'2020'!$B:$B,выравнивание!$A75,'2020'!$G:$G,4)</f>
        <v>40402171</v>
      </c>
      <c r="R75" s="37">
        <f>SUMIF('2020'!$B:$B,выравнивание!$A75,'2020'!BV:BV)-SUMIFS('2020'!BV:BV,'2020'!$B:$B,выравнивание!$A75,'2020'!$G:$G,4)</f>
        <v>914255</v>
      </c>
      <c r="S75" s="37">
        <f>SUMIF('2020'!$B:$B,выравнивание!$A75,'2020'!BW:BW)-SUMIFS('2020'!BW:BW,'2020'!$B:$B,выравнивание!$A75,'2020'!$G:$G,4)</f>
        <v>2210524</v>
      </c>
      <c r="T75" s="37">
        <f>SUMIF('2020'!$B:$B,выравнивание!$A75,'2020'!BX:BX)-SUMIFS('2020'!BX:BX,'2020'!$B:$B,выравнивание!$A75,'2020'!$G:$G,4)</f>
        <v>19186504</v>
      </c>
      <c r="U75" s="37">
        <f>SUMIF('2020'!$B:$B,выравнивание!$A75,'2020'!BY:BY)-SUMIFS('2020'!BY:BY,'2020'!$B:$B,выравнивание!$A75,'2020'!$G:$G,4)</f>
        <v>14299808</v>
      </c>
      <c r="V75" s="37">
        <f>SUMIF('2020'!$B:$B,выравнивание!$A75,'2020'!BZ:BZ)-SUMIFS('2020'!BZ:BZ,'2020'!$B:$B,выравнивание!$A75,'2020'!$G:$G,4)</f>
        <v>1346652</v>
      </c>
      <c r="W75" s="37">
        <f>SUMIF('2020'!$B:$B,выравнивание!$A75,'2020'!CA:CA)-SUMIFS('2020'!CA:CA,'2020'!$B:$B,выравнивание!$A75,'2020'!$G:$G,4)</f>
        <v>1920226</v>
      </c>
      <c r="X75" s="37">
        <f>SUMIF('2020'!$B:$B,выравнивание!$A75,'2020'!CB:CB)-SUMIFS('2020'!CB:CB,'2020'!$B:$B,выравнивание!$A75,'2020'!$G:$G,4)</f>
        <v>204094</v>
      </c>
      <c r="Y75" s="37">
        <f>SUMIF('2020'!$B:$B,выравнивание!$A75,'2020'!CC:CC)-SUMIFS('2020'!CC:CC,'2020'!$B:$B,выравнивание!$A75,'2020'!$G:$G,4)</f>
        <v>2212361</v>
      </c>
      <c r="Z75" s="37">
        <f>SUMIF('2020'!$B:$B,выравнивание!$A75,'2020'!CD:CD)-SUMIFS('2020'!CD:CD,'2020'!$B:$B,выравнивание!$A75,'2020'!$G:$G,4)</f>
        <v>129662229</v>
      </c>
      <c r="AA75" s="37">
        <f>SUMIF('2020'!$B:$B,выравнивание!$A75,'2020'!CE:CE)-SUMIFS('2020'!CE:CE,'2020'!$B:$B,выравнивание!$A75,'2020'!$G:$G,4)</f>
        <v>99586965.200000003</v>
      </c>
      <c r="AB75" s="37">
        <f>SUMIF('2020'!$B:$B,выравнивание!$A75,'2020'!CF:CF)-SUMIFS('2020'!CF:CF,'2020'!$B:$B,выравнивание!$A75,'2020'!$G:$G,4)</f>
        <v>30075263.800000001</v>
      </c>
      <c r="AC75" s="103">
        <f>SUMIF('2020'!$B:$B,выравнивание!$A75,'2020'!CG:CG)-SUMIFS('2020'!CG:CG,'2020'!$B:$B,выравнивание!$A75,'2020'!$G:$G,4)</f>
        <v>8250880</v>
      </c>
      <c r="AD75" s="103">
        <f>SUMIF('2020'!$B:$B,выравнивание!$A75,'2020'!CH:CH)-SUMIFS('2020'!CH:CH,'2020'!$B:$B,выравнивание!$A75,'2020'!$G:$G,4)</f>
        <v>790272016</v>
      </c>
      <c r="AE75" s="84">
        <f>SUMIF('Свод 2020'!$A$9:$A$22,выравнивание!$A75,'Свод 2020'!$AA$9:$AA$24)*1000-SUMIF('Свод 2020'!$A$9:$A$22,выравнивание!$A75,'Свод 2020'!$S$9:$S$24)*1000</f>
        <v>839154300</v>
      </c>
      <c r="AF75" s="105">
        <f>AD75-AE75</f>
        <v>-48882284</v>
      </c>
      <c r="AU75" s="108"/>
    </row>
    <row r="76" spans="1:49" hidden="1" x14ac:dyDescent="0.25">
      <c r="A76" s="6">
        <v>9</v>
      </c>
      <c r="B76" s="92" t="s">
        <v>23</v>
      </c>
      <c r="C76" s="11">
        <v>706</v>
      </c>
      <c r="D76" s="11">
        <v>2018</v>
      </c>
      <c r="E76" s="11" t="s">
        <v>184</v>
      </c>
      <c r="F76" s="104"/>
      <c r="G76" s="104"/>
      <c r="H76" s="104"/>
      <c r="I76" s="104">
        <f t="shared" ref="I76:AB76" si="72">I75/$AD75</f>
        <v>0.67017899999999997</v>
      </c>
      <c r="J76" s="104">
        <f t="shared" si="72"/>
        <v>0.51473000000000002</v>
      </c>
      <c r="K76" s="104">
        <f t="shared" si="72"/>
        <v>0.155449</v>
      </c>
      <c r="L76" s="104">
        <f t="shared" si="72"/>
        <v>2.5167999999999999E-2</v>
      </c>
      <c r="M76" s="104">
        <f t="shared" si="72"/>
        <v>4.4869999999999997E-3</v>
      </c>
      <c r="N76" s="104">
        <f t="shared" si="72"/>
        <v>2.3817999999999999E-2</v>
      </c>
      <c r="O76" s="104">
        <f t="shared" si="72"/>
        <v>5.6757000000000002E-2</v>
      </c>
      <c r="P76" s="104">
        <f t="shared" si="72"/>
        <v>1.678E-3</v>
      </c>
      <c r="Q76" s="104">
        <f t="shared" si="72"/>
        <v>5.1124000000000003E-2</v>
      </c>
      <c r="R76" s="104">
        <f t="shared" si="72"/>
        <v>1.157E-3</v>
      </c>
      <c r="S76" s="104">
        <f t="shared" si="72"/>
        <v>2.797E-3</v>
      </c>
      <c r="T76" s="104">
        <f t="shared" si="72"/>
        <v>2.4278000000000001E-2</v>
      </c>
      <c r="U76" s="104">
        <f t="shared" si="72"/>
        <v>1.8095E-2</v>
      </c>
      <c r="V76" s="104">
        <f t="shared" si="72"/>
        <v>1.704E-3</v>
      </c>
      <c r="W76" s="104">
        <f t="shared" si="72"/>
        <v>2.4299999999999999E-3</v>
      </c>
      <c r="X76" s="104">
        <f t="shared" si="72"/>
        <v>2.5799999999999998E-4</v>
      </c>
      <c r="Y76" s="104">
        <f t="shared" si="72"/>
        <v>2.7989999999999998E-3</v>
      </c>
      <c r="Z76" s="104">
        <f t="shared" si="72"/>
        <v>0.164073</v>
      </c>
      <c r="AA76" s="104">
        <f t="shared" si="72"/>
        <v>0.12601599999999999</v>
      </c>
      <c r="AB76" s="104">
        <f t="shared" si="72"/>
        <v>3.8057000000000001E-2</v>
      </c>
      <c r="AC76" s="106">
        <f>1-Z76-Y76-X76-W76-V76-U76-T76-O76-N76-L76-I76</f>
        <v>1.0441000000000001E-2</v>
      </c>
      <c r="AD76" s="106">
        <f>AD75/$AD75</f>
        <v>1</v>
      </c>
      <c r="AE76" s="81"/>
      <c r="AU76" s="108"/>
    </row>
    <row r="77" spans="1:49" x14ac:dyDescent="0.25">
      <c r="A77" s="6">
        <v>9</v>
      </c>
      <c r="B77" s="92" t="s">
        <v>23</v>
      </c>
      <c r="C77" s="11">
        <v>706</v>
      </c>
      <c r="D77" s="11">
        <v>2018</v>
      </c>
      <c r="E77" s="11" t="s">
        <v>185</v>
      </c>
      <c r="F77" s="37">
        <f>G77+H77</f>
        <v>-40780143</v>
      </c>
      <c r="G77" s="37">
        <f>J77+AA77</f>
        <v>-31321154</v>
      </c>
      <c r="H77" s="37">
        <f>K77+AB77</f>
        <v>-9458989</v>
      </c>
      <c r="I77" s="37">
        <f>ROUND($AF75*I76,0)</f>
        <v>-32759880</v>
      </c>
      <c r="J77" s="37">
        <f>ROUND(I77/1.302,0)</f>
        <v>-25161198</v>
      </c>
      <c r="K77" s="37">
        <f>I77-J77</f>
        <v>-7598682</v>
      </c>
      <c r="L77" s="37">
        <f>ROUND($AF75*L76,0)</f>
        <v>-1230269</v>
      </c>
      <c r="M77" s="37">
        <f>ROUND($AF75*M76,0)</f>
        <v>-219335</v>
      </c>
      <c r="N77" s="37">
        <f>ROUND($AF75*N76,0)</f>
        <v>-1164278</v>
      </c>
      <c r="O77" s="37">
        <f>ROUND($AF75*O76,0)</f>
        <v>-2774412</v>
      </c>
      <c r="P77" s="37">
        <f>ROUND($AE75*P76,0)</f>
        <v>1408101</v>
      </c>
      <c r="Q77" s="37">
        <f>ROUND($AE75*Q76,0)</f>
        <v>42900924</v>
      </c>
      <c r="R77" s="37">
        <f>ROUND($AE75*R76,0)</f>
        <v>970902</v>
      </c>
      <c r="S77" s="37">
        <f>ROUND($AE75*S76,0)</f>
        <v>2347115</v>
      </c>
      <c r="T77" s="37">
        <f t="shared" ref="T77:Z77" si="73">ROUND($AF75*T76,0)</f>
        <v>-1186764</v>
      </c>
      <c r="U77" s="37">
        <f t="shared" si="73"/>
        <v>-884525</v>
      </c>
      <c r="V77" s="37">
        <f t="shared" si="73"/>
        <v>-83295</v>
      </c>
      <c r="W77" s="37">
        <f t="shared" si="73"/>
        <v>-118784</v>
      </c>
      <c r="X77" s="37">
        <f t="shared" si="73"/>
        <v>-12612</v>
      </c>
      <c r="Y77" s="37">
        <f t="shared" si="73"/>
        <v>-136822</v>
      </c>
      <c r="Z77" s="37">
        <f t="shared" si="73"/>
        <v>-8020263</v>
      </c>
      <c r="AA77" s="37">
        <f>ROUND(Z77/1.302,0)</f>
        <v>-6159956</v>
      </c>
      <c r="AB77" s="37">
        <f>Z77-AA77</f>
        <v>-1860307</v>
      </c>
      <c r="AC77" s="37">
        <f>ROUND($AF75*AC76,0)</f>
        <v>-510380</v>
      </c>
      <c r="AD77" s="37">
        <f>I77+L77+N77+O77+T77+U77+V77+W77+X77+Y77+AC77+Z77</f>
        <v>-48882284</v>
      </c>
      <c r="AE77" s="78">
        <f>AF75</f>
        <v>-48882284</v>
      </c>
      <c r="AF77" s="78">
        <f>AE77-AF75</f>
        <v>0</v>
      </c>
      <c r="AG77" s="107">
        <f>-ROUND(F77/1000,1)</f>
        <v>40780.1</v>
      </c>
      <c r="AH77" s="107">
        <f>ROUND(AG77/1.302,1)</f>
        <v>31321.1</v>
      </c>
      <c r="AI77" s="107">
        <f>AG77-AH77</f>
        <v>9459</v>
      </c>
      <c r="AJ77" s="107">
        <f>-ROUND(L77/1000,1)</f>
        <v>1230.3</v>
      </c>
      <c r="AK77" s="107">
        <f>-ROUND(M77/1000,1)</f>
        <v>219.3</v>
      </c>
      <c r="AL77" s="107">
        <f>-ROUND(N77/1000,1)</f>
        <v>1164.3</v>
      </c>
      <c r="AM77" s="107">
        <f>-ROUND(O77/1000,1)</f>
        <v>2774.4</v>
      </c>
      <c r="AN77" s="107">
        <f t="shared" ref="AN77:AS77" si="74">-ROUND(T77/1000,1)</f>
        <v>1186.8</v>
      </c>
      <c r="AO77" s="107">
        <f t="shared" si="74"/>
        <v>884.5</v>
      </c>
      <c r="AP77" s="107">
        <f t="shared" si="74"/>
        <v>83.3</v>
      </c>
      <c r="AQ77" s="107">
        <f t="shared" si="74"/>
        <v>118.8</v>
      </c>
      <c r="AR77" s="107">
        <f t="shared" si="74"/>
        <v>12.6</v>
      </c>
      <c r="AS77" s="107">
        <f t="shared" si="74"/>
        <v>136.80000000000001</v>
      </c>
      <c r="AT77" s="107">
        <f>-ROUND(AC77/1000,1)</f>
        <v>510.4</v>
      </c>
      <c r="AU77" s="215">
        <f>AG77+AJ77+AL77+AM77+AN77+AO77+AP77+AQ77+AR77+AS77+AT77</f>
        <v>48882.3</v>
      </c>
      <c r="AW77" s="272">
        <v>-250791.8</v>
      </c>
    </row>
    <row r="78" spans="1:49" hidden="1" x14ac:dyDescent="0.25">
      <c r="A78" s="6">
        <v>9</v>
      </c>
      <c r="B78" s="92" t="s">
        <v>23</v>
      </c>
      <c r="C78" s="11">
        <v>706</v>
      </c>
      <c r="D78" s="11">
        <v>2019</v>
      </c>
      <c r="E78" s="11" t="s">
        <v>182</v>
      </c>
      <c r="F78" s="37"/>
      <c r="G78" s="37"/>
      <c r="H78" s="37"/>
      <c r="I78" s="37" t="e">
        <f>SUMIF(#REF!,выравнивание!$A78,#REF!)-SUMIFS(#REF!,#REF!,выравнивание!$A78,#REF!,4)</f>
        <v>#REF!</v>
      </c>
      <c r="J78" s="37" t="e">
        <f>SUMIF(#REF!,выравнивание!$A78,#REF!)-SUMIFS(#REF!,#REF!,выравнивание!$A78,#REF!,4)</f>
        <v>#REF!</v>
      </c>
      <c r="K78" s="37" t="e">
        <f>SUMIF(#REF!,выравнивание!$A78,#REF!)-SUMIFS(#REF!,#REF!,выравнивание!$A78,#REF!,4)</f>
        <v>#REF!</v>
      </c>
      <c r="L78" s="37" t="e">
        <f>SUMIF(#REF!,выравнивание!$A78,#REF!)-SUMIFS(#REF!,#REF!,выравнивание!$A78,#REF!,4)</f>
        <v>#REF!</v>
      </c>
      <c r="M78" s="37" t="e">
        <f>SUMIF(#REF!,выравнивание!$A78,#REF!)-SUMIFS(#REF!,#REF!,выравнивание!$A78,#REF!,4)</f>
        <v>#REF!</v>
      </c>
      <c r="N78" s="37" t="e">
        <f>SUMIF(#REF!,выравнивание!$A78,#REF!)-SUMIFS(#REF!,#REF!,выравнивание!$A78,#REF!,4)</f>
        <v>#REF!</v>
      </c>
      <c r="O78" s="37" t="e">
        <f>SUMIF(#REF!,выравнивание!$A78,#REF!)-SUMIFS(#REF!,#REF!,выравнивание!$A78,#REF!,4)</f>
        <v>#REF!</v>
      </c>
      <c r="P78" s="37" t="e">
        <f>SUMIF(#REF!,выравнивание!$A78,#REF!)-SUMIFS(#REF!,#REF!,выравнивание!$A78,#REF!,4)</f>
        <v>#REF!</v>
      </c>
      <c r="Q78" s="37" t="e">
        <f>SUMIF(#REF!,выравнивание!$A78,#REF!)-SUMIFS(#REF!,#REF!,выравнивание!$A78,#REF!,4)</f>
        <v>#REF!</v>
      </c>
      <c r="R78" s="37" t="e">
        <f>SUMIF(#REF!,выравнивание!$A78,#REF!)-SUMIFS(#REF!,#REF!,выравнивание!$A78,#REF!,4)</f>
        <v>#REF!</v>
      </c>
      <c r="S78" s="37" t="e">
        <f>SUMIF(#REF!,выравнивание!$A78,#REF!)-SUMIFS(#REF!,#REF!,выравнивание!$A78,#REF!,4)</f>
        <v>#REF!</v>
      </c>
      <c r="T78" s="37" t="e">
        <f>SUMIF(#REF!,выравнивание!$A78,#REF!)-SUMIFS(#REF!,#REF!,выравнивание!$A78,#REF!,4)</f>
        <v>#REF!</v>
      </c>
      <c r="U78" s="37" t="e">
        <f>SUMIF(#REF!,выравнивание!$A78,#REF!)-SUMIFS(#REF!,#REF!,выравнивание!$A78,#REF!,4)</f>
        <v>#REF!</v>
      </c>
      <c r="V78" s="37" t="e">
        <f>SUMIF(#REF!,выравнивание!$A78,#REF!)-SUMIFS(#REF!,#REF!,выравнивание!$A78,#REF!,4)</f>
        <v>#REF!</v>
      </c>
      <c r="W78" s="37" t="e">
        <f>SUMIF(#REF!,выравнивание!$A78,#REF!)-SUMIFS(#REF!,#REF!,выравнивание!$A78,#REF!,4)</f>
        <v>#REF!</v>
      </c>
      <c r="X78" s="37" t="e">
        <f>SUMIF(#REF!,выравнивание!$A78,#REF!)-SUMIFS(#REF!,#REF!,выравнивание!$A78,#REF!,4)</f>
        <v>#REF!</v>
      </c>
      <c r="Y78" s="37" t="e">
        <f>SUMIF(#REF!,выравнивание!$A78,#REF!)-SUMIFS(#REF!,#REF!,выравнивание!$A78,#REF!,4)</f>
        <v>#REF!</v>
      </c>
      <c r="Z78" s="37" t="e">
        <f>SUMIF(#REF!,выравнивание!$A78,#REF!)-SUMIFS(#REF!,#REF!,выравнивание!$A78,#REF!,4)</f>
        <v>#REF!</v>
      </c>
      <c r="AA78" s="37" t="e">
        <f>SUMIF(#REF!,выравнивание!$A78,#REF!)-SUMIFS(#REF!,#REF!,выравнивание!$A78,#REF!,4)</f>
        <v>#REF!</v>
      </c>
      <c r="AB78" s="37" t="e">
        <f>SUMIF(#REF!,выравнивание!$A78,#REF!)-SUMIFS(#REF!,#REF!,выравнивание!$A78,#REF!,4)</f>
        <v>#REF!</v>
      </c>
      <c r="AC78" s="103" t="e">
        <f>SUMIF(#REF!,выравнивание!$A78,#REF!)-SUMIFS(#REF!,#REF!,выравнивание!$A78,#REF!,4)</f>
        <v>#REF!</v>
      </c>
      <c r="AD78" s="103" t="e">
        <f>SUMIF(#REF!,выравнивание!$A78,#REF!)-SUMIFS(#REF!,#REF!,выравнивание!$A78,#REF!,4)</f>
        <v>#REF!</v>
      </c>
      <c r="AE78" s="103" t="e">
        <f>SUMIF(#REF!,выравнивание!$A78,#REF!)*1000-SUMIF(#REF!,выравнивание!$A78,#REF!)*1000</f>
        <v>#REF!</v>
      </c>
      <c r="AF78" s="105" t="e">
        <f>AD78-AE78</f>
        <v>#REF!</v>
      </c>
      <c r="AU78" s="108"/>
    </row>
    <row r="79" spans="1:49" hidden="1" x14ac:dyDescent="0.25">
      <c r="A79" s="6">
        <v>9</v>
      </c>
      <c r="B79" s="92" t="s">
        <v>23</v>
      </c>
      <c r="C79" s="11">
        <v>706</v>
      </c>
      <c r="D79" s="11">
        <v>2019</v>
      </c>
      <c r="E79" s="11" t="s">
        <v>184</v>
      </c>
      <c r="F79" s="104"/>
      <c r="G79" s="104"/>
      <c r="H79" s="104"/>
      <c r="I79" s="104" t="e">
        <f t="shared" ref="I79:AB79" si="75">I78/$AD78</f>
        <v>#REF!</v>
      </c>
      <c r="J79" s="104" t="e">
        <f t="shared" si="75"/>
        <v>#REF!</v>
      </c>
      <c r="K79" s="104" t="e">
        <f t="shared" si="75"/>
        <v>#REF!</v>
      </c>
      <c r="L79" s="104" t="e">
        <f t="shared" si="75"/>
        <v>#REF!</v>
      </c>
      <c r="M79" s="104" t="e">
        <f t="shared" si="75"/>
        <v>#REF!</v>
      </c>
      <c r="N79" s="104" t="e">
        <f t="shared" si="75"/>
        <v>#REF!</v>
      </c>
      <c r="O79" s="104" t="e">
        <f t="shared" si="75"/>
        <v>#REF!</v>
      </c>
      <c r="P79" s="104" t="e">
        <f t="shared" si="75"/>
        <v>#REF!</v>
      </c>
      <c r="Q79" s="104" t="e">
        <f t="shared" si="75"/>
        <v>#REF!</v>
      </c>
      <c r="R79" s="104" t="e">
        <f t="shared" si="75"/>
        <v>#REF!</v>
      </c>
      <c r="S79" s="104" t="e">
        <f t="shared" si="75"/>
        <v>#REF!</v>
      </c>
      <c r="T79" s="104" t="e">
        <f t="shared" si="75"/>
        <v>#REF!</v>
      </c>
      <c r="U79" s="104" t="e">
        <f t="shared" si="75"/>
        <v>#REF!</v>
      </c>
      <c r="V79" s="104" t="e">
        <f t="shared" si="75"/>
        <v>#REF!</v>
      </c>
      <c r="W79" s="104" t="e">
        <f t="shared" si="75"/>
        <v>#REF!</v>
      </c>
      <c r="X79" s="104" t="e">
        <f t="shared" si="75"/>
        <v>#REF!</v>
      </c>
      <c r="Y79" s="104" t="e">
        <f t="shared" si="75"/>
        <v>#REF!</v>
      </c>
      <c r="Z79" s="104" t="e">
        <f t="shared" si="75"/>
        <v>#REF!</v>
      </c>
      <c r="AA79" s="104" t="e">
        <f t="shared" si="75"/>
        <v>#REF!</v>
      </c>
      <c r="AB79" s="104" t="e">
        <f t="shared" si="75"/>
        <v>#REF!</v>
      </c>
      <c r="AC79" s="106" t="e">
        <f>1-Z79-Y79-X79-W79-V79-U79-T79-O79-N79-L79-I79</f>
        <v>#REF!</v>
      </c>
      <c r="AD79" s="106" t="e">
        <f>AD78/$AD78</f>
        <v>#REF!</v>
      </c>
      <c r="AE79" s="81"/>
      <c r="AU79" s="108"/>
    </row>
    <row r="80" spans="1:49" x14ac:dyDescent="0.25">
      <c r="A80" s="6">
        <v>9</v>
      </c>
      <c r="B80" s="92" t="s">
        <v>23</v>
      </c>
      <c r="C80" s="11">
        <v>706</v>
      </c>
      <c r="D80" s="11">
        <v>2019</v>
      </c>
      <c r="E80" s="11" t="s">
        <v>185</v>
      </c>
      <c r="F80" s="37" t="e">
        <f>G80+H80</f>
        <v>#REF!</v>
      </c>
      <c r="G80" s="37" t="e">
        <f>J80+AA80</f>
        <v>#REF!</v>
      </c>
      <c r="H80" s="37" t="e">
        <f>K80+AB80</f>
        <v>#REF!</v>
      </c>
      <c r="I80" s="37" t="e">
        <f>ROUND($AF78*I79,0)</f>
        <v>#REF!</v>
      </c>
      <c r="J80" s="37" t="e">
        <f>ROUND(I80/1.302,0)</f>
        <v>#REF!</v>
      </c>
      <c r="K80" s="37" t="e">
        <f>I80-J80</f>
        <v>#REF!</v>
      </c>
      <c r="L80" s="37" t="e">
        <f>ROUND($AF78*L79,0)</f>
        <v>#REF!</v>
      </c>
      <c r="M80" s="37" t="e">
        <f>ROUND($AF78*M79,0)</f>
        <v>#REF!</v>
      </c>
      <c r="N80" s="37" t="e">
        <f>ROUND($AF78*N79,0)</f>
        <v>#REF!</v>
      </c>
      <c r="O80" s="37" t="e">
        <f>ROUND($AF78*O79,0)</f>
        <v>#REF!</v>
      </c>
      <c r="P80" s="37" t="e">
        <f>ROUND($AE78*P79,0)</f>
        <v>#REF!</v>
      </c>
      <c r="Q80" s="37" t="e">
        <f>ROUND($AE78*Q79,0)</f>
        <v>#REF!</v>
      </c>
      <c r="R80" s="37" t="e">
        <f>ROUND($AE78*R79,0)</f>
        <v>#REF!</v>
      </c>
      <c r="S80" s="37" t="e">
        <f>ROUND($AE78*S79,0)</f>
        <v>#REF!</v>
      </c>
      <c r="T80" s="37" t="e">
        <f t="shared" ref="T80:Z80" si="76">ROUND($AF78*T79,0)</f>
        <v>#REF!</v>
      </c>
      <c r="U80" s="37" t="e">
        <f t="shared" si="76"/>
        <v>#REF!</v>
      </c>
      <c r="V80" s="37" t="e">
        <f t="shared" si="76"/>
        <v>#REF!</v>
      </c>
      <c r="W80" s="37" t="e">
        <f t="shared" si="76"/>
        <v>#REF!</v>
      </c>
      <c r="X80" s="37" t="e">
        <f t="shared" si="76"/>
        <v>#REF!</v>
      </c>
      <c r="Y80" s="37" t="e">
        <f t="shared" si="76"/>
        <v>#REF!</v>
      </c>
      <c r="Z80" s="37" t="e">
        <f t="shared" si="76"/>
        <v>#REF!</v>
      </c>
      <c r="AA80" s="37" t="e">
        <f>ROUND(Z80/1.302,0)</f>
        <v>#REF!</v>
      </c>
      <c r="AB80" s="37" t="e">
        <f>Z80-AA80</f>
        <v>#REF!</v>
      </c>
      <c r="AC80" s="37" t="e">
        <f>ROUND($AF78*AC79,0)</f>
        <v>#REF!</v>
      </c>
      <c r="AD80" s="37" t="e">
        <f>I80+L80+N80+O80+T80+U80+V80+W80+X80+Y80+AC80+Z80</f>
        <v>#REF!</v>
      </c>
      <c r="AE80" s="78" t="e">
        <f>AF78</f>
        <v>#REF!</v>
      </c>
      <c r="AF80" s="78" t="e">
        <f>AE80-AF78</f>
        <v>#REF!</v>
      </c>
      <c r="AG80" s="107" t="e">
        <f>-ROUND(F80/1000,1)</f>
        <v>#REF!</v>
      </c>
      <c r="AH80" s="107" t="e">
        <f>ROUND(AG80/1.302,1)</f>
        <v>#REF!</v>
      </c>
      <c r="AI80" s="107" t="e">
        <f>AG80-AH80</f>
        <v>#REF!</v>
      </c>
      <c r="AJ80" s="107" t="e">
        <f>-ROUND(L80/1000,1)</f>
        <v>#REF!</v>
      </c>
      <c r="AK80" s="107" t="e">
        <f>-ROUND(M80/1000,1)</f>
        <v>#REF!</v>
      </c>
      <c r="AL80" s="107" t="e">
        <f>-ROUND(N80/1000,1)</f>
        <v>#REF!</v>
      </c>
      <c r="AM80" s="107" t="e">
        <f>-ROUND(O80/1000,1)</f>
        <v>#REF!</v>
      </c>
      <c r="AN80" s="107" t="e">
        <f t="shared" ref="AN80:AS80" si="77">-ROUND(T80/1000,1)</f>
        <v>#REF!</v>
      </c>
      <c r="AO80" s="107" t="e">
        <f t="shared" si="77"/>
        <v>#REF!</v>
      </c>
      <c r="AP80" s="107" t="e">
        <f t="shared" si="77"/>
        <v>#REF!</v>
      </c>
      <c r="AQ80" s="107" t="e">
        <f t="shared" si="77"/>
        <v>#REF!</v>
      </c>
      <c r="AR80" s="107" t="e">
        <f t="shared" si="77"/>
        <v>#REF!</v>
      </c>
      <c r="AS80" s="107" t="e">
        <f t="shared" si="77"/>
        <v>#REF!</v>
      </c>
      <c r="AT80" s="107" t="e">
        <f>-ROUND(AC80/1000,1)</f>
        <v>#REF!</v>
      </c>
      <c r="AU80" s="215" t="e">
        <f>AG80+AJ80+AL80+AM80+AN80+AO80+AP80+AQ80+AR80+AS80+AT80</f>
        <v>#REF!</v>
      </c>
      <c r="AW80" s="272">
        <v>-261530</v>
      </c>
    </row>
    <row r="81" spans="1:49" hidden="1" x14ac:dyDescent="0.25">
      <c r="A81" s="6">
        <v>9</v>
      </c>
      <c r="B81" s="92" t="s">
        <v>23</v>
      </c>
      <c r="C81" s="11">
        <v>706</v>
      </c>
      <c r="D81" s="11">
        <v>2020</v>
      </c>
      <c r="E81" s="11" t="s">
        <v>182</v>
      </c>
      <c r="F81" s="37"/>
      <c r="G81" s="37"/>
      <c r="H81" s="37"/>
      <c r="I81" s="37" t="e">
        <f>SUMIF(#REF!,выравнивание!$A81,#REF!)-SUMIFS(#REF!,#REF!,выравнивание!$A81,#REF!,4)</f>
        <v>#REF!</v>
      </c>
      <c r="J81" s="37" t="e">
        <f>SUMIF(#REF!,выравнивание!$A81,#REF!)-SUMIFS(#REF!,#REF!,выравнивание!$A81,#REF!,4)</f>
        <v>#REF!</v>
      </c>
      <c r="K81" s="37" t="e">
        <f>SUMIF(#REF!,выравнивание!$A81,#REF!)-SUMIFS(#REF!,#REF!,выравнивание!$A81,#REF!,4)</f>
        <v>#REF!</v>
      </c>
      <c r="L81" s="37" t="e">
        <f>SUMIF(#REF!,выравнивание!$A81,#REF!)-SUMIFS(#REF!,#REF!,выравнивание!$A81,#REF!,4)</f>
        <v>#REF!</v>
      </c>
      <c r="M81" s="37" t="e">
        <f>SUMIF(#REF!,выравнивание!$A81,#REF!)-SUMIFS(#REF!,#REF!,выравнивание!$A81,#REF!,4)</f>
        <v>#REF!</v>
      </c>
      <c r="N81" s="37" t="e">
        <f>SUMIF(#REF!,выравнивание!$A81,#REF!)-SUMIFS(#REF!,#REF!,выравнивание!$A81,#REF!,4)</f>
        <v>#REF!</v>
      </c>
      <c r="O81" s="37" t="e">
        <f>SUMIF(#REF!,выравнивание!$A81,#REF!)-SUMIFS(#REF!,#REF!,выравнивание!$A81,#REF!,4)</f>
        <v>#REF!</v>
      </c>
      <c r="P81" s="37" t="e">
        <f>SUMIF(#REF!,выравнивание!$A81,#REF!)-SUMIFS(#REF!,#REF!,выравнивание!$A81,#REF!,4)</f>
        <v>#REF!</v>
      </c>
      <c r="Q81" s="37" t="e">
        <f>SUMIF(#REF!,выравнивание!$A81,#REF!)-SUMIFS(#REF!,#REF!,выравнивание!$A81,#REF!,4)</f>
        <v>#REF!</v>
      </c>
      <c r="R81" s="37" t="e">
        <f>SUMIF(#REF!,выравнивание!$A81,#REF!)-SUMIFS(#REF!,#REF!,выравнивание!$A81,#REF!,4)</f>
        <v>#REF!</v>
      </c>
      <c r="S81" s="37" t="e">
        <f>SUMIF(#REF!,выравнивание!$A81,#REF!)-SUMIFS(#REF!,#REF!,выравнивание!$A81,#REF!,4)</f>
        <v>#REF!</v>
      </c>
      <c r="T81" s="37" t="e">
        <f>SUMIF(#REF!,выравнивание!$A81,#REF!)-SUMIFS(#REF!,#REF!,выравнивание!$A81,#REF!,4)</f>
        <v>#REF!</v>
      </c>
      <c r="U81" s="37" t="e">
        <f>SUMIF(#REF!,выравнивание!$A81,#REF!)-SUMIFS(#REF!,#REF!,выравнивание!$A81,#REF!,4)</f>
        <v>#REF!</v>
      </c>
      <c r="V81" s="37" t="e">
        <f>SUMIF(#REF!,выравнивание!$A81,#REF!)-SUMIFS(#REF!,#REF!,выравнивание!$A81,#REF!,4)</f>
        <v>#REF!</v>
      </c>
      <c r="W81" s="37" t="e">
        <f>SUMIF(#REF!,выравнивание!$A81,#REF!)-SUMIFS(#REF!,#REF!,выравнивание!$A81,#REF!,4)</f>
        <v>#REF!</v>
      </c>
      <c r="X81" s="37" t="e">
        <f>SUMIF(#REF!,выравнивание!$A81,#REF!)-SUMIFS(#REF!,#REF!,выравнивание!$A81,#REF!,4)</f>
        <v>#REF!</v>
      </c>
      <c r="Y81" s="37" t="e">
        <f>SUMIF(#REF!,выравнивание!$A81,#REF!)-SUMIFS(#REF!,#REF!,выравнивание!$A81,#REF!,4)</f>
        <v>#REF!</v>
      </c>
      <c r="Z81" s="37" t="e">
        <f>SUMIF(#REF!,выравнивание!$A81,#REF!)-SUMIFS(#REF!,#REF!,выравнивание!$A81,#REF!,4)</f>
        <v>#REF!</v>
      </c>
      <c r="AA81" s="37" t="e">
        <f>SUMIF(#REF!,выравнивание!$A81,#REF!)-SUMIFS(#REF!,#REF!,выравнивание!$A81,#REF!,4)</f>
        <v>#REF!</v>
      </c>
      <c r="AB81" s="37" t="e">
        <f>SUMIF(#REF!,выравнивание!$A81,#REF!)-SUMIFS(#REF!,#REF!,выравнивание!$A81,#REF!,4)</f>
        <v>#REF!</v>
      </c>
      <c r="AC81" s="103" t="e">
        <f>SUMIF(#REF!,выравнивание!$A81,#REF!)-SUMIFS(#REF!,#REF!,выравнивание!$A81,#REF!,4)</f>
        <v>#REF!</v>
      </c>
      <c r="AD81" s="103" t="e">
        <f>SUMIF(#REF!,выравнивание!$A81,#REF!)-SUMIFS(#REF!,#REF!,выравнивание!$A81,#REF!,4)</f>
        <v>#REF!</v>
      </c>
      <c r="AE81" s="103" t="e">
        <f>SUMIF(#REF!,выравнивание!$A81,#REF!)*1000-SUMIF(#REF!,выравнивание!$A81,#REF!)*1000</f>
        <v>#REF!</v>
      </c>
      <c r="AF81" s="84" t="e">
        <f>AD81-AE81</f>
        <v>#REF!</v>
      </c>
      <c r="AU81" s="108"/>
    </row>
    <row r="82" spans="1:49" hidden="1" x14ac:dyDescent="0.25">
      <c r="A82" s="6">
        <v>9</v>
      </c>
      <c r="B82" s="92" t="s">
        <v>23</v>
      </c>
      <c r="C82" s="11">
        <v>706</v>
      </c>
      <c r="D82" s="11">
        <v>2020</v>
      </c>
      <c r="E82" s="11" t="s">
        <v>184</v>
      </c>
      <c r="F82" s="104"/>
      <c r="G82" s="104"/>
      <c r="H82" s="104"/>
      <c r="I82" s="104" t="e">
        <f t="shared" ref="I82:AB82" si="78">I81/$AD81</f>
        <v>#REF!</v>
      </c>
      <c r="J82" s="104" t="e">
        <f t="shared" si="78"/>
        <v>#REF!</v>
      </c>
      <c r="K82" s="104" t="e">
        <f t="shared" si="78"/>
        <v>#REF!</v>
      </c>
      <c r="L82" s="104" t="e">
        <f t="shared" si="78"/>
        <v>#REF!</v>
      </c>
      <c r="M82" s="104" t="e">
        <f t="shared" si="78"/>
        <v>#REF!</v>
      </c>
      <c r="N82" s="104" t="e">
        <f t="shared" si="78"/>
        <v>#REF!</v>
      </c>
      <c r="O82" s="104" t="e">
        <f t="shared" si="78"/>
        <v>#REF!</v>
      </c>
      <c r="P82" s="104" t="e">
        <f t="shared" si="78"/>
        <v>#REF!</v>
      </c>
      <c r="Q82" s="104" t="e">
        <f t="shared" si="78"/>
        <v>#REF!</v>
      </c>
      <c r="R82" s="104" t="e">
        <f t="shared" si="78"/>
        <v>#REF!</v>
      </c>
      <c r="S82" s="104" t="e">
        <f t="shared" si="78"/>
        <v>#REF!</v>
      </c>
      <c r="T82" s="104" t="e">
        <f t="shared" si="78"/>
        <v>#REF!</v>
      </c>
      <c r="U82" s="104" t="e">
        <f t="shared" si="78"/>
        <v>#REF!</v>
      </c>
      <c r="V82" s="104" t="e">
        <f t="shared" si="78"/>
        <v>#REF!</v>
      </c>
      <c r="W82" s="104" t="e">
        <f t="shared" si="78"/>
        <v>#REF!</v>
      </c>
      <c r="X82" s="104" t="e">
        <f t="shared" si="78"/>
        <v>#REF!</v>
      </c>
      <c r="Y82" s="104" t="e">
        <f t="shared" si="78"/>
        <v>#REF!</v>
      </c>
      <c r="Z82" s="104" t="e">
        <f t="shared" si="78"/>
        <v>#REF!</v>
      </c>
      <c r="AA82" s="104" t="e">
        <f t="shared" si="78"/>
        <v>#REF!</v>
      </c>
      <c r="AB82" s="104" t="e">
        <f t="shared" si="78"/>
        <v>#REF!</v>
      </c>
      <c r="AC82" s="106" t="e">
        <f>1-Z82-Y82-X82-W82-V82-U82-T82-O82-N82-L82-I82</f>
        <v>#REF!</v>
      </c>
      <c r="AD82" s="106" t="e">
        <f>AD81/$AD81</f>
        <v>#REF!</v>
      </c>
      <c r="AE82" s="81"/>
      <c r="AU82" s="108"/>
    </row>
    <row r="83" spans="1:49" x14ac:dyDescent="0.25">
      <c r="A83" s="6">
        <v>9</v>
      </c>
      <c r="B83" s="92" t="s">
        <v>23</v>
      </c>
      <c r="C83" s="11">
        <v>706</v>
      </c>
      <c r="D83" s="11">
        <v>2020</v>
      </c>
      <c r="E83" s="11" t="s">
        <v>185</v>
      </c>
      <c r="F83" s="37" t="e">
        <f>G83+H83</f>
        <v>#REF!</v>
      </c>
      <c r="G83" s="37" t="e">
        <f>J83+AA83</f>
        <v>#REF!</v>
      </c>
      <c r="H83" s="37" t="e">
        <f>K83+AB83</f>
        <v>#REF!</v>
      </c>
      <c r="I83" s="37" t="e">
        <f>ROUND($AF81*I82,0)</f>
        <v>#REF!</v>
      </c>
      <c r="J83" s="37" t="e">
        <f>ROUND(I83/1.302,0)</f>
        <v>#REF!</v>
      </c>
      <c r="K83" s="37" t="e">
        <f>I83-J83</f>
        <v>#REF!</v>
      </c>
      <c r="L83" s="37" t="e">
        <f>ROUND($AF81*L82,0)</f>
        <v>#REF!</v>
      </c>
      <c r="M83" s="37" t="e">
        <f>ROUND($AF81*M82,0)</f>
        <v>#REF!</v>
      </c>
      <c r="N83" s="37" t="e">
        <f>ROUND($AF81*N82,0)</f>
        <v>#REF!</v>
      </c>
      <c r="O83" s="37" t="e">
        <f>ROUND($AF81*O82,0)</f>
        <v>#REF!</v>
      </c>
      <c r="P83" s="37" t="e">
        <f>ROUND($AE81*P82,0)</f>
        <v>#REF!</v>
      </c>
      <c r="Q83" s="37" t="e">
        <f>ROUND($AE81*Q82,0)</f>
        <v>#REF!</v>
      </c>
      <c r="R83" s="37" t="e">
        <f>ROUND($AE81*R82,0)</f>
        <v>#REF!</v>
      </c>
      <c r="S83" s="37" t="e">
        <f>ROUND($AE81*S82,0)</f>
        <v>#REF!</v>
      </c>
      <c r="T83" s="37" t="e">
        <f t="shared" ref="T83:Z83" si="79">ROUND($AF81*T82,0)</f>
        <v>#REF!</v>
      </c>
      <c r="U83" s="37" t="e">
        <f t="shared" si="79"/>
        <v>#REF!</v>
      </c>
      <c r="V83" s="37" t="e">
        <f t="shared" si="79"/>
        <v>#REF!</v>
      </c>
      <c r="W83" s="37" t="e">
        <f t="shared" si="79"/>
        <v>#REF!</v>
      </c>
      <c r="X83" s="37" t="e">
        <f t="shared" si="79"/>
        <v>#REF!</v>
      </c>
      <c r="Y83" s="37" t="e">
        <f t="shared" si="79"/>
        <v>#REF!</v>
      </c>
      <c r="Z83" s="37" t="e">
        <f t="shared" si="79"/>
        <v>#REF!</v>
      </c>
      <c r="AA83" s="37" t="e">
        <f>ROUND(Z83/1.302,0)</f>
        <v>#REF!</v>
      </c>
      <c r="AB83" s="37" t="e">
        <f>Z83-AA83</f>
        <v>#REF!</v>
      </c>
      <c r="AC83" s="37" t="e">
        <f>ROUND($AF81*AC82,0)</f>
        <v>#REF!</v>
      </c>
      <c r="AD83" s="37" t="e">
        <f>I83+L83+N83+O83+T83+U83+V83+W83+X83+Y83+AC83+Z83</f>
        <v>#REF!</v>
      </c>
      <c r="AE83" s="78" t="e">
        <f>AF81</f>
        <v>#REF!</v>
      </c>
      <c r="AF83" s="78" t="e">
        <f>AE83-AF81</f>
        <v>#REF!</v>
      </c>
      <c r="AG83" s="107" t="e">
        <f>-ROUND(F83/1000,1)</f>
        <v>#REF!</v>
      </c>
      <c r="AH83" s="107" t="e">
        <f>ROUND(AG83/1.302,1)</f>
        <v>#REF!</v>
      </c>
      <c r="AI83" s="107" t="e">
        <f>AG83-AH83</f>
        <v>#REF!</v>
      </c>
      <c r="AJ83" s="107" t="e">
        <f>-ROUND(L83/1000,1)</f>
        <v>#REF!</v>
      </c>
      <c r="AK83" s="107" t="e">
        <f>-ROUND(M83/1000,1)</f>
        <v>#REF!</v>
      </c>
      <c r="AL83" s="107" t="e">
        <f>-ROUND(N83/1000,1)</f>
        <v>#REF!</v>
      </c>
      <c r="AM83" s="107" t="e">
        <f>-ROUND(O83/1000,1)</f>
        <v>#REF!</v>
      </c>
      <c r="AN83" s="107" t="e">
        <f t="shared" ref="AN83:AS83" si="80">-ROUND(T83/1000,1)</f>
        <v>#REF!</v>
      </c>
      <c r="AO83" s="107" t="e">
        <f t="shared" si="80"/>
        <v>#REF!</v>
      </c>
      <c r="AP83" s="107" t="e">
        <f t="shared" si="80"/>
        <v>#REF!</v>
      </c>
      <c r="AQ83" s="107" t="e">
        <f t="shared" si="80"/>
        <v>#REF!</v>
      </c>
      <c r="AR83" s="107" t="e">
        <f t="shared" si="80"/>
        <v>#REF!</v>
      </c>
      <c r="AS83" s="107" t="e">
        <f t="shared" si="80"/>
        <v>#REF!</v>
      </c>
      <c r="AT83" s="107" t="e">
        <f>-ROUND(AC83/1000,1)</f>
        <v>#REF!</v>
      </c>
      <c r="AU83" s="215" t="e">
        <f>AG83+AJ83+AL83+AM83+AN83+AO83+AP83+AQ83+AR83+AS83+AT83</f>
        <v>#REF!</v>
      </c>
      <c r="AW83" s="272">
        <v>-269832</v>
      </c>
    </row>
    <row r="84" spans="1:49" hidden="1" x14ac:dyDescent="0.25">
      <c r="A84" s="6">
        <v>10</v>
      </c>
      <c r="B84" s="92" t="s">
        <v>25</v>
      </c>
      <c r="C84" s="11">
        <v>706</v>
      </c>
      <c r="D84" s="11">
        <v>2018</v>
      </c>
      <c r="E84" s="11" t="s">
        <v>182</v>
      </c>
      <c r="F84" s="37"/>
      <c r="G84" s="37"/>
      <c r="H84" s="37"/>
      <c r="I84" s="37">
        <f>SUMIF('2020'!$B:$B,выравнивание!$A84,'2020'!BM:BM)-SUMIFS('2020'!BM:BM,'2020'!$B:$B,выравнивание!$A84,'2020'!$G:$G,4)</f>
        <v>136053081</v>
      </c>
      <c r="J84" s="37">
        <f>SUMIF('2020'!$B:$B,выравнивание!$A84,'2020'!BN:BN)-SUMIFS('2020'!BN:BN,'2020'!$B:$B,выравнивание!$A84,'2020'!$G:$G,4)</f>
        <v>104495453.7</v>
      </c>
      <c r="K84" s="37">
        <f>SUMIF('2020'!$B:$B,выравнивание!$A84,'2020'!BO:BO)-SUMIFS('2020'!BO:BO,'2020'!$B:$B,выравнивание!$A84,'2020'!$G:$G,4)</f>
        <v>31557627.300000001</v>
      </c>
      <c r="L84" s="37">
        <f>SUMIF('2020'!$B:$B,выравнивание!$A84,'2020'!BP:BP)-SUMIFS('2020'!BP:BP,'2020'!$B:$B,выравнивание!$A84,'2020'!$G:$G,4)</f>
        <v>12363603</v>
      </c>
      <c r="M84" s="37">
        <f>SUMIF('2020'!$B:$B,выравнивание!$A84,'2020'!BQ:BQ)-SUMIFS('2020'!BQ:BQ,'2020'!$B:$B,выравнивание!$A84,'2020'!$G:$G,4)</f>
        <v>1941221</v>
      </c>
      <c r="N84" s="37">
        <f>SUMIF('2020'!$B:$B,выравнивание!$A84,'2020'!BR:BR)-SUMIFS('2020'!BR:BR,'2020'!$B:$B,выравнивание!$A84,'2020'!$G:$G,4)</f>
        <v>11593599</v>
      </c>
      <c r="O84" s="37">
        <f>SUMIF('2020'!$B:$B,выравнивание!$A84,'2020'!BS:BS)-SUMIFS('2020'!BS:BS,'2020'!$B:$B,выравнивание!$A84,'2020'!$G:$G,4)</f>
        <v>27984029</v>
      </c>
      <c r="P84" s="37">
        <f>SUMIF('2020'!$B:$B,выравнивание!$A84,'2020'!BT:BT)-SUMIFS('2020'!BT:BT,'2020'!$B:$B,выравнивание!$A84,'2020'!$G:$G,4)</f>
        <v>803600</v>
      </c>
      <c r="Q84" s="37">
        <f>SUMIF('2020'!$B:$B,выравнивание!$A84,'2020'!BU:BU)-SUMIFS('2020'!BU:BU,'2020'!$B:$B,выравнивание!$A84,'2020'!$G:$G,4)</f>
        <v>25259501</v>
      </c>
      <c r="R84" s="37">
        <f>SUMIF('2020'!$B:$B,выравнивание!$A84,'2020'!BV:BV)-SUMIFS('2020'!BV:BV,'2020'!$B:$B,выравнивание!$A84,'2020'!$G:$G,4)</f>
        <v>562148</v>
      </c>
      <c r="S84" s="37">
        <f>SUMIF('2020'!$B:$B,выравнивание!$A84,'2020'!BW:BW)-SUMIFS('2020'!BW:BW,'2020'!$B:$B,выравнивание!$A84,'2020'!$G:$G,4)</f>
        <v>1358780</v>
      </c>
      <c r="T84" s="37">
        <f>SUMIF('2020'!$B:$B,выравнивание!$A84,'2020'!BX:BX)-SUMIFS('2020'!BX:BX,'2020'!$B:$B,выравнивание!$A84,'2020'!$G:$G,4)</f>
        <v>11912260</v>
      </c>
      <c r="U84" s="37">
        <f>SUMIF('2020'!$B:$B,выравнивание!$A84,'2020'!BY:BY)-SUMIFS('2020'!BY:BY,'2020'!$B:$B,выравнивание!$A84,'2020'!$G:$G,4)</f>
        <v>8698084</v>
      </c>
      <c r="V84" s="37">
        <f>SUMIF('2020'!$B:$B,выравнивание!$A84,'2020'!BZ:BZ)-SUMIFS('2020'!BZ:BZ,'2020'!$B:$B,выравнивание!$A84,'2020'!$G:$G,4)</f>
        <v>817182</v>
      </c>
      <c r="W84" s="37">
        <f>SUMIF('2020'!$B:$B,выравнивание!$A84,'2020'!CA:CA)-SUMIFS('2020'!CA:CA,'2020'!$B:$B,выравнивание!$A84,'2020'!$G:$G,4)</f>
        <v>1165241</v>
      </c>
      <c r="X84" s="37">
        <f>SUMIF('2020'!$B:$B,выравнивание!$A84,'2020'!CB:CB)-SUMIFS('2020'!CB:CB,'2020'!$B:$B,выравнивание!$A84,'2020'!$G:$G,4)</f>
        <v>123584</v>
      </c>
      <c r="Y84" s="37">
        <f>SUMIF('2020'!$B:$B,выравнивание!$A84,'2020'!CC:CC)-SUMIFS('2020'!CC:CC,'2020'!$B:$B,выравнивание!$A84,'2020'!$G:$G,4)</f>
        <v>1272043</v>
      </c>
      <c r="Z84" s="37">
        <f>SUMIF('2020'!$B:$B,выравнивание!$A84,'2020'!CD:CD)-SUMIFS('2020'!CD:CD,'2020'!$B:$B,выравнивание!$A84,'2020'!$G:$G,4)</f>
        <v>33059046</v>
      </c>
      <c r="AA84" s="37">
        <f>SUMIF('2020'!$B:$B,выравнивание!$A84,'2020'!CE:CE)-SUMIFS('2020'!CE:CE,'2020'!$B:$B,выравнивание!$A84,'2020'!$G:$G,4)</f>
        <v>25390972</v>
      </c>
      <c r="AB84" s="37">
        <f>SUMIF('2020'!$B:$B,выравнивание!$A84,'2020'!CF:CF)-SUMIFS('2020'!CF:CF,'2020'!$B:$B,выравнивание!$A84,'2020'!$G:$G,4)</f>
        <v>7668074</v>
      </c>
      <c r="AC84" s="103">
        <f>SUMIF('2020'!$B:$B,выравнивание!$A84,'2020'!CG:CG)-SUMIFS('2020'!CG:CG,'2020'!$B:$B,выравнивание!$A84,'2020'!$G:$G,4)</f>
        <v>5047680</v>
      </c>
      <c r="AD84" s="103">
        <f>SUMIF('2020'!$B:$B,выравнивание!$A84,'2020'!CH:CH)-SUMIFS('2020'!CH:CH,'2020'!$B:$B,выравнивание!$A84,'2020'!$G:$G,4)</f>
        <v>250089432</v>
      </c>
      <c r="AE84" s="84">
        <f>SUMIF('Свод 2020'!$A$9:$A$22,выравнивание!$A84,'Свод 2020'!$AA$9:$AA$24)*1000-SUMIF('Свод 2020'!$A$9:$A$22,выравнивание!$A84,'Свод 2020'!$S$9:$S$24)*1000</f>
        <v>265558700</v>
      </c>
      <c r="AF84" s="105">
        <f>AD84-AE84</f>
        <v>-15469268</v>
      </c>
      <c r="AU84" s="108"/>
    </row>
    <row r="85" spans="1:49" hidden="1" x14ac:dyDescent="0.25">
      <c r="A85" s="6">
        <v>10</v>
      </c>
      <c r="B85" s="92" t="s">
        <v>25</v>
      </c>
      <c r="C85" s="11">
        <v>706</v>
      </c>
      <c r="D85" s="11">
        <v>2018</v>
      </c>
      <c r="E85" s="11" t="s">
        <v>184</v>
      </c>
      <c r="F85" s="104"/>
      <c r="G85" s="104"/>
      <c r="H85" s="104"/>
      <c r="I85" s="104">
        <f t="shared" ref="I85:AB85" si="81">I84/$AD84</f>
        <v>0.544018</v>
      </c>
      <c r="J85" s="104">
        <f t="shared" si="81"/>
        <v>0.41783199999999998</v>
      </c>
      <c r="K85" s="104">
        <f t="shared" si="81"/>
        <v>0.12618499999999999</v>
      </c>
      <c r="L85" s="104">
        <f t="shared" si="81"/>
        <v>4.9437000000000002E-2</v>
      </c>
      <c r="M85" s="104">
        <f t="shared" si="81"/>
        <v>7.7619999999999998E-3</v>
      </c>
      <c r="N85" s="104">
        <f t="shared" si="81"/>
        <v>4.6358000000000003E-2</v>
      </c>
      <c r="O85" s="104">
        <f t="shared" si="81"/>
        <v>0.111896</v>
      </c>
      <c r="P85" s="104">
        <f t="shared" si="81"/>
        <v>3.2130000000000001E-3</v>
      </c>
      <c r="Q85" s="104">
        <f t="shared" si="81"/>
        <v>0.10100199999999999</v>
      </c>
      <c r="R85" s="104">
        <f t="shared" si="81"/>
        <v>2.248E-3</v>
      </c>
      <c r="S85" s="104">
        <f t="shared" si="81"/>
        <v>5.4330000000000003E-3</v>
      </c>
      <c r="T85" s="104">
        <f t="shared" si="81"/>
        <v>4.7632000000000001E-2</v>
      </c>
      <c r="U85" s="104">
        <f t="shared" si="81"/>
        <v>3.4779999999999998E-2</v>
      </c>
      <c r="V85" s="104">
        <f t="shared" si="81"/>
        <v>3.2680000000000001E-3</v>
      </c>
      <c r="W85" s="104">
        <f t="shared" si="81"/>
        <v>4.6589999999999999E-3</v>
      </c>
      <c r="X85" s="104">
        <f t="shared" si="81"/>
        <v>4.9399999999999997E-4</v>
      </c>
      <c r="Y85" s="104">
        <f t="shared" si="81"/>
        <v>5.0860000000000002E-3</v>
      </c>
      <c r="Z85" s="104">
        <f t="shared" si="81"/>
        <v>0.132189</v>
      </c>
      <c r="AA85" s="104">
        <f t="shared" si="81"/>
        <v>0.10152799999999999</v>
      </c>
      <c r="AB85" s="104">
        <f t="shared" si="81"/>
        <v>3.0661000000000001E-2</v>
      </c>
      <c r="AC85" s="106">
        <f>1-Z85-Y85-X85-W85-V85-U85-T85-O85-N85-L85-I85</f>
        <v>2.0183E-2</v>
      </c>
      <c r="AD85" s="106">
        <f>AD84/$AD84</f>
        <v>1</v>
      </c>
      <c r="AE85" s="81"/>
      <c r="AU85" s="108"/>
    </row>
    <row r="86" spans="1:49" x14ac:dyDescent="0.25">
      <c r="A86" s="6">
        <v>10</v>
      </c>
      <c r="B86" s="92" t="s">
        <v>25</v>
      </c>
      <c r="C86" s="11">
        <v>706</v>
      </c>
      <c r="D86" s="11">
        <v>2018</v>
      </c>
      <c r="E86" s="11" t="s">
        <v>185</v>
      </c>
      <c r="F86" s="37">
        <f>G86+H86</f>
        <v>-10460427</v>
      </c>
      <c r="G86" s="37">
        <f>J86+AA86</f>
        <v>-8034122</v>
      </c>
      <c r="H86" s="37">
        <f>K86+AB86</f>
        <v>-2426305</v>
      </c>
      <c r="I86" s="37">
        <f>ROUND($AF84*I85,0)</f>
        <v>-8415560</v>
      </c>
      <c r="J86" s="37">
        <f>ROUND(I86/1.302,0)</f>
        <v>-6463564</v>
      </c>
      <c r="K86" s="37">
        <f>I86-J86</f>
        <v>-1951996</v>
      </c>
      <c r="L86" s="37">
        <f>ROUND($AF84*L85,0)</f>
        <v>-764754</v>
      </c>
      <c r="M86" s="37">
        <f>ROUND($AF84*M85,0)</f>
        <v>-120072</v>
      </c>
      <c r="N86" s="37">
        <f>ROUND($AF84*N85,0)</f>
        <v>-717124</v>
      </c>
      <c r="O86" s="37">
        <f>ROUND($AF84*O85,0)</f>
        <v>-1730949</v>
      </c>
      <c r="P86" s="37">
        <f>ROUND($AE84*P85,0)</f>
        <v>853240</v>
      </c>
      <c r="Q86" s="37">
        <f>ROUND($AE84*Q85,0)</f>
        <v>26821960</v>
      </c>
      <c r="R86" s="37">
        <f>ROUND($AE84*R85,0)</f>
        <v>596976</v>
      </c>
      <c r="S86" s="37">
        <f>ROUND($AE84*S85,0)</f>
        <v>1442780</v>
      </c>
      <c r="T86" s="37">
        <f t="shared" ref="T86:Z86" si="82">ROUND($AF84*T85,0)</f>
        <v>-736832</v>
      </c>
      <c r="U86" s="37">
        <f t="shared" si="82"/>
        <v>-538021</v>
      </c>
      <c r="V86" s="37">
        <f t="shared" si="82"/>
        <v>-50554</v>
      </c>
      <c r="W86" s="37">
        <f t="shared" si="82"/>
        <v>-72071</v>
      </c>
      <c r="X86" s="37">
        <f t="shared" si="82"/>
        <v>-7642</v>
      </c>
      <c r="Y86" s="37">
        <f t="shared" si="82"/>
        <v>-78677</v>
      </c>
      <c r="Z86" s="37">
        <f t="shared" si="82"/>
        <v>-2044867</v>
      </c>
      <c r="AA86" s="37">
        <f>ROUND(Z86/1.302,0)</f>
        <v>-1570558</v>
      </c>
      <c r="AB86" s="37">
        <f>Z86-AA86</f>
        <v>-474309</v>
      </c>
      <c r="AC86" s="37">
        <f>ROUND($AF84*AC85,0)</f>
        <v>-312216</v>
      </c>
      <c r="AD86" s="37">
        <f>I86+L86+N86+O86+T86+U86+V86+W86+X86+Y86+AC86+Z86</f>
        <v>-15469267</v>
      </c>
      <c r="AE86" s="78">
        <f>AF84</f>
        <v>-15469268</v>
      </c>
      <c r="AF86" s="78">
        <f>AE86-AF84</f>
        <v>0</v>
      </c>
      <c r="AG86" s="107">
        <f>-ROUND(F86/1000,1)</f>
        <v>10460.4</v>
      </c>
      <c r="AH86" s="107">
        <f>ROUND(AG86/1.302,1)</f>
        <v>8034.1</v>
      </c>
      <c r="AI86" s="107">
        <f>AG86-AH86</f>
        <v>2426.3000000000002</v>
      </c>
      <c r="AJ86" s="107">
        <f>-ROUND(L86/1000,1)</f>
        <v>764.8</v>
      </c>
      <c r="AK86" s="107">
        <f>-ROUND(M86/1000,1)</f>
        <v>120.1</v>
      </c>
      <c r="AL86" s="107">
        <f>-ROUND(N86/1000,1)</f>
        <v>717.1</v>
      </c>
      <c r="AM86" s="107">
        <f>-ROUND(O86/1000,1)</f>
        <v>1730.9</v>
      </c>
      <c r="AN86" s="107">
        <f t="shared" ref="AN86:AS86" si="83">-ROUND(T86/1000,1)</f>
        <v>736.8</v>
      </c>
      <c r="AO86" s="107">
        <f t="shared" si="83"/>
        <v>538</v>
      </c>
      <c r="AP86" s="107">
        <f t="shared" si="83"/>
        <v>50.6</v>
      </c>
      <c r="AQ86" s="107">
        <f t="shared" si="83"/>
        <v>72.099999999999994</v>
      </c>
      <c r="AR86" s="107">
        <f t="shared" si="83"/>
        <v>7.6</v>
      </c>
      <c r="AS86" s="107">
        <f t="shared" si="83"/>
        <v>78.7</v>
      </c>
      <c r="AT86" s="107">
        <f>-ROUND(AC86/1000,1)</f>
        <v>312.2</v>
      </c>
      <c r="AU86" s="108">
        <f>AG86+AJ86+AL86+AM86+AN86+AO86+AP86+AQ86+AR86+AS86+AT86</f>
        <v>15469.2</v>
      </c>
      <c r="AW86" s="272">
        <v>-87149.5</v>
      </c>
    </row>
    <row r="87" spans="1:49" hidden="1" x14ac:dyDescent="0.25">
      <c r="A87" s="6">
        <v>10</v>
      </c>
      <c r="B87" s="92" t="s">
        <v>25</v>
      </c>
      <c r="C87" s="11">
        <v>706</v>
      </c>
      <c r="D87" s="11">
        <v>2019</v>
      </c>
      <c r="E87" s="11" t="s">
        <v>182</v>
      </c>
      <c r="F87" s="37"/>
      <c r="G87" s="37"/>
      <c r="H87" s="37"/>
      <c r="I87" s="37" t="e">
        <f>SUMIF(#REF!,выравнивание!$A87,#REF!)-SUMIFS(#REF!,#REF!,выравнивание!$A87,#REF!,4)</f>
        <v>#REF!</v>
      </c>
      <c r="J87" s="37" t="e">
        <f>SUMIF(#REF!,выравнивание!$A87,#REF!)-SUMIFS(#REF!,#REF!,выравнивание!$A87,#REF!,4)</f>
        <v>#REF!</v>
      </c>
      <c r="K87" s="37" t="e">
        <f>SUMIF(#REF!,выравнивание!$A87,#REF!)-SUMIFS(#REF!,#REF!,выравнивание!$A87,#REF!,4)</f>
        <v>#REF!</v>
      </c>
      <c r="L87" s="37" t="e">
        <f>SUMIF(#REF!,выравнивание!$A87,#REF!)-SUMIFS(#REF!,#REF!,выравнивание!$A87,#REF!,4)</f>
        <v>#REF!</v>
      </c>
      <c r="M87" s="37" t="e">
        <f>SUMIF(#REF!,выравнивание!$A87,#REF!)-SUMIFS(#REF!,#REF!,выравнивание!$A87,#REF!,4)</f>
        <v>#REF!</v>
      </c>
      <c r="N87" s="37" t="e">
        <f>SUMIF(#REF!,выравнивание!$A87,#REF!)-SUMIFS(#REF!,#REF!,выравнивание!$A87,#REF!,4)</f>
        <v>#REF!</v>
      </c>
      <c r="O87" s="37" t="e">
        <f>SUMIF(#REF!,выравнивание!$A87,#REF!)-SUMIFS(#REF!,#REF!,выравнивание!$A87,#REF!,4)</f>
        <v>#REF!</v>
      </c>
      <c r="P87" s="37" t="e">
        <f>SUMIF(#REF!,выравнивание!$A87,#REF!)-SUMIFS(#REF!,#REF!,выравнивание!$A87,#REF!,4)</f>
        <v>#REF!</v>
      </c>
      <c r="Q87" s="37" t="e">
        <f>SUMIF(#REF!,выравнивание!$A87,#REF!)-SUMIFS(#REF!,#REF!,выравнивание!$A87,#REF!,4)</f>
        <v>#REF!</v>
      </c>
      <c r="R87" s="37" t="e">
        <f>SUMIF(#REF!,выравнивание!$A87,#REF!)-SUMIFS(#REF!,#REF!,выравнивание!$A87,#REF!,4)</f>
        <v>#REF!</v>
      </c>
      <c r="S87" s="37" t="e">
        <f>SUMIF(#REF!,выравнивание!$A87,#REF!)-SUMIFS(#REF!,#REF!,выравнивание!$A87,#REF!,4)</f>
        <v>#REF!</v>
      </c>
      <c r="T87" s="37" t="e">
        <f>SUMIF(#REF!,выравнивание!$A87,#REF!)-SUMIFS(#REF!,#REF!,выравнивание!$A87,#REF!,4)</f>
        <v>#REF!</v>
      </c>
      <c r="U87" s="37" t="e">
        <f>SUMIF(#REF!,выравнивание!$A87,#REF!)-SUMIFS(#REF!,#REF!,выравнивание!$A87,#REF!,4)</f>
        <v>#REF!</v>
      </c>
      <c r="V87" s="37" t="e">
        <f>SUMIF(#REF!,выравнивание!$A87,#REF!)-SUMIFS(#REF!,#REF!,выравнивание!$A87,#REF!,4)</f>
        <v>#REF!</v>
      </c>
      <c r="W87" s="37" t="e">
        <f>SUMIF(#REF!,выравнивание!$A87,#REF!)-SUMIFS(#REF!,#REF!,выравнивание!$A87,#REF!,4)</f>
        <v>#REF!</v>
      </c>
      <c r="X87" s="37" t="e">
        <f>SUMIF(#REF!,выравнивание!$A87,#REF!)-SUMIFS(#REF!,#REF!,выравнивание!$A87,#REF!,4)</f>
        <v>#REF!</v>
      </c>
      <c r="Y87" s="37" t="e">
        <f>SUMIF(#REF!,выравнивание!$A87,#REF!)-SUMIFS(#REF!,#REF!,выравнивание!$A87,#REF!,4)</f>
        <v>#REF!</v>
      </c>
      <c r="Z87" s="37" t="e">
        <f>SUMIF(#REF!,выравнивание!$A87,#REF!)-SUMIFS(#REF!,#REF!,выравнивание!$A87,#REF!,4)</f>
        <v>#REF!</v>
      </c>
      <c r="AA87" s="37" t="e">
        <f>SUMIF(#REF!,выравнивание!$A87,#REF!)-SUMIFS(#REF!,#REF!,выравнивание!$A87,#REF!,4)</f>
        <v>#REF!</v>
      </c>
      <c r="AB87" s="37" t="e">
        <f>SUMIF(#REF!,выравнивание!$A87,#REF!)-SUMIFS(#REF!,#REF!,выравнивание!$A87,#REF!,4)</f>
        <v>#REF!</v>
      </c>
      <c r="AC87" s="103" t="e">
        <f>SUMIF(#REF!,выравнивание!$A87,#REF!)-SUMIFS(#REF!,#REF!,выравнивание!$A87,#REF!,4)</f>
        <v>#REF!</v>
      </c>
      <c r="AD87" s="103" t="e">
        <f>SUMIF(#REF!,выравнивание!$A87,#REF!)-SUMIFS(#REF!,#REF!,выравнивание!$A87,#REF!,4)</f>
        <v>#REF!</v>
      </c>
      <c r="AE87" s="103" t="e">
        <f>SUMIF(#REF!,выравнивание!$A87,#REF!)*1000-SUMIF(#REF!,выравнивание!$A87,#REF!)*1000</f>
        <v>#REF!</v>
      </c>
      <c r="AF87" s="105" t="e">
        <f>AD87-AE87</f>
        <v>#REF!</v>
      </c>
      <c r="AU87" s="108"/>
    </row>
    <row r="88" spans="1:49" hidden="1" x14ac:dyDescent="0.25">
      <c r="A88" s="6">
        <v>10</v>
      </c>
      <c r="B88" s="92" t="s">
        <v>25</v>
      </c>
      <c r="C88" s="11">
        <v>706</v>
      </c>
      <c r="D88" s="11">
        <v>2019</v>
      </c>
      <c r="E88" s="11" t="s">
        <v>184</v>
      </c>
      <c r="F88" s="104"/>
      <c r="G88" s="104"/>
      <c r="H88" s="104"/>
      <c r="I88" s="104" t="e">
        <f t="shared" ref="I88:AB88" si="84">I87/$AD87</f>
        <v>#REF!</v>
      </c>
      <c r="J88" s="104" t="e">
        <f t="shared" si="84"/>
        <v>#REF!</v>
      </c>
      <c r="K88" s="104" t="e">
        <f t="shared" si="84"/>
        <v>#REF!</v>
      </c>
      <c r="L88" s="104" t="e">
        <f t="shared" si="84"/>
        <v>#REF!</v>
      </c>
      <c r="M88" s="104" t="e">
        <f t="shared" si="84"/>
        <v>#REF!</v>
      </c>
      <c r="N88" s="104" t="e">
        <f t="shared" si="84"/>
        <v>#REF!</v>
      </c>
      <c r="O88" s="104" t="e">
        <f t="shared" si="84"/>
        <v>#REF!</v>
      </c>
      <c r="P88" s="104" t="e">
        <f t="shared" si="84"/>
        <v>#REF!</v>
      </c>
      <c r="Q88" s="104" t="e">
        <f t="shared" si="84"/>
        <v>#REF!</v>
      </c>
      <c r="R88" s="104" t="e">
        <f t="shared" si="84"/>
        <v>#REF!</v>
      </c>
      <c r="S88" s="104" t="e">
        <f t="shared" si="84"/>
        <v>#REF!</v>
      </c>
      <c r="T88" s="104" t="e">
        <f t="shared" si="84"/>
        <v>#REF!</v>
      </c>
      <c r="U88" s="104" t="e">
        <f t="shared" si="84"/>
        <v>#REF!</v>
      </c>
      <c r="V88" s="104" t="e">
        <f t="shared" si="84"/>
        <v>#REF!</v>
      </c>
      <c r="W88" s="104" t="e">
        <f t="shared" si="84"/>
        <v>#REF!</v>
      </c>
      <c r="X88" s="104" t="e">
        <f t="shared" si="84"/>
        <v>#REF!</v>
      </c>
      <c r="Y88" s="104" t="e">
        <f t="shared" si="84"/>
        <v>#REF!</v>
      </c>
      <c r="Z88" s="104" t="e">
        <f t="shared" si="84"/>
        <v>#REF!</v>
      </c>
      <c r="AA88" s="104" t="e">
        <f t="shared" si="84"/>
        <v>#REF!</v>
      </c>
      <c r="AB88" s="104" t="e">
        <f t="shared" si="84"/>
        <v>#REF!</v>
      </c>
      <c r="AC88" s="106" t="e">
        <f>1-Z88-Y88-X88-W88-V88-U88-T88-O88-N88-L88-I88</f>
        <v>#REF!</v>
      </c>
      <c r="AD88" s="106" t="e">
        <f>AD87/$AD87</f>
        <v>#REF!</v>
      </c>
      <c r="AE88" s="81"/>
      <c r="AU88" s="108"/>
    </row>
    <row r="89" spans="1:49" x14ac:dyDescent="0.25">
      <c r="A89" s="6">
        <v>10</v>
      </c>
      <c r="B89" s="92" t="s">
        <v>25</v>
      </c>
      <c r="C89" s="11">
        <v>706</v>
      </c>
      <c r="D89" s="11">
        <v>2019</v>
      </c>
      <c r="E89" s="11" t="s">
        <v>185</v>
      </c>
      <c r="F89" s="37" t="e">
        <f>G89+H89</f>
        <v>#REF!</v>
      </c>
      <c r="G89" s="37" t="e">
        <f>J89+AA89</f>
        <v>#REF!</v>
      </c>
      <c r="H89" s="37" t="e">
        <f>K89+AB89</f>
        <v>#REF!</v>
      </c>
      <c r="I89" s="37" t="e">
        <f>ROUND($AF87*I88,0)</f>
        <v>#REF!</v>
      </c>
      <c r="J89" s="37" t="e">
        <f>ROUND(I89/1.302,0)</f>
        <v>#REF!</v>
      </c>
      <c r="K89" s="37" t="e">
        <f>I89-J89</f>
        <v>#REF!</v>
      </c>
      <c r="L89" s="37" t="e">
        <f>ROUND($AF87*L88,0)</f>
        <v>#REF!</v>
      </c>
      <c r="M89" s="37" t="e">
        <f>ROUND($AF87*M88,0)</f>
        <v>#REF!</v>
      </c>
      <c r="N89" s="37" t="e">
        <f>ROUND($AF87*N88,0)</f>
        <v>#REF!</v>
      </c>
      <c r="O89" s="37" t="e">
        <f>ROUND($AF87*O88,0)</f>
        <v>#REF!</v>
      </c>
      <c r="P89" s="37" t="e">
        <f>ROUND($AE87*P88,0)</f>
        <v>#REF!</v>
      </c>
      <c r="Q89" s="37" t="e">
        <f>ROUND($AE87*Q88,0)</f>
        <v>#REF!</v>
      </c>
      <c r="R89" s="37" t="e">
        <f>ROUND($AE87*R88,0)</f>
        <v>#REF!</v>
      </c>
      <c r="S89" s="37" t="e">
        <f>ROUND($AE87*S88,0)</f>
        <v>#REF!</v>
      </c>
      <c r="T89" s="37" t="e">
        <f t="shared" ref="T89:Z89" si="85">ROUND($AF87*T88,0)</f>
        <v>#REF!</v>
      </c>
      <c r="U89" s="37" t="e">
        <f t="shared" si="85"/>
        <v>#REF!</v>
      </c>
      <c r="V89" s="37" t="e">
        <f t="shared" si="85"/>
        <v>#REF!</v>
      </c>
      <c r="W89" s="37" t="e">
        <f t="shared" si="85"/>
        <v>#REF!</v>
      </c>
      <c r="X89" s="37" t="e">
        <f t="shared" si="85"/>
        <v>#REF!</v>
      </c>
      <c r="Y89" s="37" t="e">
        <f t="shared" si="85"/>
        <v>#REF!</v>
      </c>
      <c r="Z89" s="37" t="e">
        <f t="shared" si="85"/>
        <v>#REF!</v>
      </c>
      <c r="AA89" s="37" t="e">
        <f>ROUND(Z89/1.302,0)</f>
        <v>#REF!</v>
      </c>
      <c r="AB89" s="37" t="e">
        <f>Z89-AA89</f>
        <v>#REF!</v>
      </c>
      <c r="AC89" s="37" t="e">
        <f>ROUND($AF87*AC88,0)</f>
        <v>#REF!</v>
      </c>
      <c r="AD89" s="37" t="e">
        <f>I89+L89+N89+O89+T89+U89+V89+W89+X89+Y89+AC89+Z89</f>
        <v>#REF!</v>
      </c>
      <c r="AE89" s="78" t="e">
        <f>AF87</f>
        <v>#REF!</v>
      </c>
      <c r="AF89" s="78" t="e">
        <f>AE89-AF87</f>
        <v>#REF!</v>
      </c>
      <c r="AG89" s="107" t="e">
        <f>-ROUND(F89/1000,1)</f>
        <v>#REF!</v>
      </c>
      <c r="AH89" s="107" t="e">
        <f>ROUND(AG89/1.302,1)</f>
        <v>#REF!</v>
      </c>
      <c r="AI89" s="107" t="e">
        <f>AG89-AH89</f>
        <v>#REF!</v>
      </c>
      <c r="AJ89" s="107" t="e">
        <f>-ROUND(L89/1000,1)</f>
        <v>#REF!</v>
      </c>
      <c r="AK89" s="107" t="e">
        <f>-ROUND(M89/1000,1)</f>
        <v>#REF!</v>
      </c>
      <c r="AL89" s="107" t="e">
        <f>-ROUND(N89/1000,1)</f>
        <v>#REF!</v>
      </c>
      <c r="AM89" s="107" t="e">
        <f>-ROUND(O89/1000,1)</f>
        <v>#REF!</v>
      </c>
      <c r="AN89" s="107" t="e">
        <f t="shared" ref="AN89:AS89" si="86">-ROUND(T89/1000,1)</f>
        <v>#REF!</v>
      </c>
      <c r="AO89" s="107" t="e">
        <f t="shared" si="86"/>
        <v>#REF!</v>
      </c>
      <c r="AP89" s="107" t="e">
        <f t="shared" si="86"/>
        <v>#REF!</v>
      </c>
      <c r="AQ89" s="107" t="e">
        <f t="shared" si="86"/>
        <v>#REF!</v>
      </c>
      <c r="AR89" s="107" t="e">
        <f t="shared" si="86"/>
        <v>#REF!</v>
      </c>
      <c r="AS89" s="107" t="e">
        <f t="shared" si="86"/>
        <v>#REF!</v>
      </c>
      <c r="AT89" s="107" t="e">
        <f>-ROUND(AC89/1000,1)</f>
        <v>#REF!</v>
      </c>
      <c r="AU89" s="108" t="e">
        <f>AG89+AJ89+AL89+AM89+AN89+AO89+AP89+AQ89+AR89+AS89+AT89</f>
        <v>#REF!</v>
      </c>
      <c r="AW89" s="272">
        <v>-90713.4</v>
      </c>
    </row>
    <row r="90" spans="1:49" hidden="1" x14ac:dyDescent="0.25">
      <c r="A90" s="6">
        <v>10</v>
      </c>
      <c r="B90" s="92" t="s">
        <v>25</v>
      </c>
      <c r="C90" s="11">
        <v>706</v>
      </c>
      <c r="D90" s="11">
        <v>2020</v>
      </c>
      <c r="E90" s="11" t="s">
        <v>182</v>
      </c>
      <c r="F90" s="37"/>
      <c r="G90" s="37"/>
      <c r="H90" s="37"/>
      <c r="I90" s="37" t="e">
        <f>SUMIF(#REF!,выравнивание!$A90,#REF!)-SUMIFS(#REF!,#REF!,выравнивание!$A90,#REF!,4)</f>
        <v>#REF!</v>
      </c>
      <c r="J90" s="37" t="e">
        <f>SUMIF(#REF!,выравнивание!$A90,#REF!)-SUMIFS(#REF!,#REF!,выравнивание!$A90,#REF!,4)</f>
        <v>#REF!</v>
      </c>
      <c r="K90" s="37" t="e">
        <f>SUMIF(#REF!,выравнивание!$A90,#REF!)-SUMIFS(#REF!,#REF!,выравнивание!$A90,#REF!,4)</f>
        <v>#REF!</v>
      </c>
      <c r="L90" s="37" t="e">
        <f>SUMIF(#REF!,выравнивание!$A90,#REF!)-SUMIFS(#REF!,#REF!,выравнивание!$A90,#REF!,4)</f>
        <v>#REF!</v>
      </c>
      <c r="M90" s="37" t="e">
        <f>SUMIF(#REF!,выравнивание!$A90,#REF!)-SUMIFS(#REF!,#REF!,выравнивание!$A90,#REF!,4)</f>
        <v>#REF!</v>
      </c>
      <c r="N90" s="37" t="e">
        <f>SUMIF(#REF!,выравнивание!$A90,#REF!)-SUMIFS(#REF!,#REF!,выравнивание!$A90,#REF!,4)</f>
        <v>#REF!</v>
      </c>
      <c r="O90" s="37" t="e">
        <f>SUMIF(#REF!,выравнивание!$A90,#REF!)-SUMIFS(#REF!,#REF!,выравнивание!$A90,#REF!,4)</f>
        <v>#REF!</v>
      </c>
      <c r="P90" s="37" t="e">
        <f>SUMIF(#REF!,выравнивание!$A90,#REF!)-SUMIFS(#REF!,#REF!,выравнивание!$A90,#REF!,4)</f>
        <v>#REF!</v>
      </c>
      <c r="Q90" s="37" t="e">
        <f>SUMIF(#REF!,выравнивание!$A90,#REF!)-SUMIFS(#REF!,#REF!,выравнивание!$A90,#REF!,4)</f>
        <v>#REF!</v>
      </c>
      <c r="R90" s="37" t="e">
        <f>SUMIF(#REF!,выравнивание!$A90,#REF!)-SUMIFS(#REF!,#REF!,выравнивание!$A90,#REF!,4)</f>
        <v>#REF!</v>
      </c>
      <c r="S90" s="37" t="e">
        <f>SUMIF(#REF!,выравнивание!$A90,#REF!)-SUMIFS(#REF!,#REF!,выравнивание!$A90,#REF!,4)</f>
        <v>#REF!</v>
      </c>
      <c r="T90" s="37" t="e">
        <f>SUMIF(#REF!,выравнивание!$A90,#REF!)-SUMIFS(#REF!,#REF!,выравнивание!$A90,#REF!,4)</f>
        <v>#REF!</v>
      </c>
      <c r="U90" s="37" t="e">
        <f>SUMIF(#REF!,выравнивание!$A90,#REF!)-SUMIFS(#REF!,#REF!,выравнивание!$A90,#REF!,4)</f>
        <v>#REF!</v>
      </c>
      <c r="V90" s="37" t="e">
        <f>SUMIF(#REF!,выравнивание!$A90,#REF!)-SUMIFS(#REF!,#REF!,выравнивание!$A90,#REF!,4)</f>
        <v>#REF!</v>
      </c>
      <c r="W90" s="37" t="e">
        <f>SUMIF(#REF!,выравнивание!$A90,#REF!)-SUMIFS(#REF!,#REF!,выравнивание!$A90,#REF!,4)</f>
        <v>#REF!</v>
      </c>
      <c r="X90" s="37" t="e">
        <f>SUMIF(#REF!,выравнивание!$A90,#REF!)-SUMIFS(#REF!,#REF!,выравнивание!$A90,#REF!,4)</f>
        <v>#REF!</v>
      </c>
      <c r="Y90" s="37" t="e">
        <f>SUMIF(#REF!,выравнивание!$A90,#REF!)-SUMIFS(#REF!,#REF!,выравнивание!$A90,#REF!,4)</f>
        <v>#REF!</v>
      </c>
      <c r="Z90" s="37" t="e">
        <f>SUMIF(#REF!,выравнивание!$A90,#REF!)-SUMIFS(#REF!,#REF!,выравнивание!$A90,#REF!,4)</f>
        <v>#REF!</v>
      </c>
      <c r="AA90" s="37" t="e">
        <f>SUMIF(#REF!,выравнивание!$A90,#REF!)-SUMIFS(#REF!,#REF!,выравнивание!$A90,#REF!,4)</f>
        <v>#REF!</v>
      </c>
      <c r="AB90" s="37" t="e">
        <f>SUMIF(#REF!,выравнивание!$A90,#REF!)-SUMIFS(#REF!,#REF!,выравнивание!$A90,#REF!,4)</f>
        <v>#REF!</v>
      </c>
      <c r="AC90" s="103" t="e">
        <f>SUMIF(#REF!,выравнивание!$A90,#REF!)-SUMIFS(#REF!,#REF!,выравнивание!$A90,#REF!,4)</f>
        <v>#REF!</v>
      </c>
      <c r="AD90" s="103" t="e">
        <f>SUMIF(#REF!,выравнивание!$A90,#REF!)-SUMIFS(#REF!,#REF!,выравнивание!$A90,#REF!,4)</f>
        <v>#REF!</v>
      </c>
      <c r="AE90" s="103" t="e">
        <f>SUMIF(#REF!,выравнивание!$A90,#REF!)*1000-SUMIF(#REF!,выравнивание!$A90,#REF!)*1000</f>
        <v>#REF!</v>
      </c>
      <c r="AF90" s="84" t="e">
        <f>AD90-AE90</f>
        <v>#REF!</v>
      </c>
      <c r="AU90" s="108"/>
    </row>
    <row r="91" spans="1:49" hidden="1" x14ac:dyDescent="0.25">
      <c r="A91" s="6">
        <v>10</v>
      </c>
      <c r="B91" s="92" t="s">
        <v>25</v>
      </c>
      <c r="C91" s="11">
        <v>706</v>
      </c>
      <c r="D91" s="11">
        <v>2020</v>
      </c>
      <c r="E91" s="11" t="s">
        <v>184</v>
      </c>
      <c r="F91" s="104"/>
      <c r="G91" s="104"/>
      <c r="H91" s="104"/>
      <c r="I91" s="104" t="e">
        <f t="shared" ref="I91:O91" si="87">I90/$AD90</f>
        <v>#REF!</v>
      </c>
      <c r="J91" s="104" t="e">
        <f t="shared" si="87"/>
        <v>#REF!</v>
      </c>
      <c r="K91" s="104" t="e">
        <f t="shared" si="87"/>
        <v>#REF!</v>
      </c>
      <c r="L91" s="104" t="e">
        <f t="shared" si="87"/>
        <v>#REF!</v>
      </c>
      <c r="M91" s="104" t="e">
        <f t="shared" si="87"/>
        <v>#REF!</v>
      </c>
      <c r="N91" s="104" t="e">
        <f t="shared" si="87"/>
        <v>#REF!</v>
      </c>
      <c r="O91" s="104" t="e">
        <f t="shared" si="87"/>
        <v>#REF!</v>
      </c>
      <c r="P91" s="37"/>
      <c r="Q91" s="37"/>
      <c r="R91" s="37"/>
      <c r="S91" s="37"/>
      <c r="T91" s="104" t="e">
        <f t="shared" ref="T91:AB91" si="88">T90/$AD90</f>
        <v>#REF!</v>
      </c>
      <c r="U91" s="104" t="e">
        <f t="shared" si="88"/>
        <v>#REF!</v>
      </c>
      <c r="V91" s="104" t="e">
        <f t="shared" si="88"/>
        <v>#REF!</v>
      </c>
      <c r="W91" s="104" t="e">
        <f t="shared" si="88"/>
        <v>#REF!</v>
      </c>
      <c r="X91" s="104" t="e">
        <f t="shared" si="88"/>
        <v>#REF!</v>
      </c>
      <c r="Y91" s="104" t="e">
        <f t="shared" si="88"/>
        <v>#REF!</v>
      </c>
      <c r="Z91" s="104" t="e">
        <f t="shared" si="88"/>
        <v>#REF!</v>
      </c>
      <c r="AA91" s="104" t="e">
        <f t="shared" si="88"/>
        <v>#REF!</v>
      </c>
      <c r="AB91" s="104" t="e">
        <f t="shared" si="88"/>
        <v>#REF!</v>
      </c>
      <c r="AC91" s="106" t="e">
        <f>1-Z91-Y91-X91-W91-V91-U91-T91-O91-N91-L91-I91</f>
        <v>#REF!</v>
      </c>
      <c r="AD91" s="106" t="e">
        <f>AD90/$AD90</f>
        <v>#REF!</v>
      </c>
      <c r="AE91" s="81"/>
      <c r="AU91" s="108"/>
    </row>
    <row r="92" spans="1:49" x14ac:dyDescent="0.25">
      <c r="A92" s="6">
        <v>10</v>
      </c>
      <c r="B92" s="92" t="s">
        <v>25</v>
      </c>
      <c r="C92" s="11">
        <v>706</v>
      </c>
      <c r="D92" s="11">
        <v>2020</v>
      </c>
      <c r="E92" s="11" t="s">
        <v>185</v>
      </c>
      <c r="F92" s="37" t="e">
        <f>G92+H92</f>
        <v>#REF!</v>
      </c>
      <c r="G92" s="37" t="e">
        <f>J92+AA92</f>
        <v>#REF!</v>
      </c>
      <c r="H92" s="37" t="e">
        <f>K92+AB92</f>
        <v>#REF!</v>
      </c>
      <c r="I92" s="37" t="e">
        <f>ROUND($AF90*I91,0)</f>
        <v>#REF!</v>
      </c>
      <c r="J92" s="37" t="e">
        <f>ROUND(I92/1.302,0)</f>
        <v>#REF!</v>
      </c>
      <c r="K92" s="37" t="e">
        <f>I92-J92</f>
        <v>#REF!</v>
      </c>
      <c r="L92" s="37" t="e">
        <f>ROUND($AF90*L91,0)</f>
        <v>#REF!</v>
      </c>
      <c r="M92" s="37" t="e">
        <f>ROUND($AF90*M91,0)</f>
        <v>#REF!</v>
      </c>
      <c r="N92" s="37" t="e">
        <f>ROUND($AF90*N91,0)</f>
        <v>#REF!</v>
      </c>
      <c r="O92" s="37" t="e">
        <f>ROUND($AF90*O91,0)</f>
        <v>#REF!</v>
      </c>
      <c r="P92" s="37"/>
      <c r="Q92" s="37"/>
      <c r="R92" s="37"/>
      <c r="S92" s="37"/>
      <c r="T92" s="37" t="e">
        <f t="shared" ref="T92:Z92" si="89">ROUND($AF90*T91,0)</f>
        <v>#REF!</v>
      </c>
      <c r="U92" s="37" t="e">
        <f t="shared" si="89"/>
        <v>#REF!</v>
      </c>
      <c r="V92" s="37" t="e">
        <f t="shared" si="89"/>
        <v>#REF!</v>
      </c>
      <c r="W92" s="37" t="e">
        <f t="shared" si="89"/>
        <v>#REF!</v>
      </c>
      <c r="X92" s="37" t="e">
        <f t="shared" si="89"/>
        <v>#REF!</v>
      </c>
      <c r="Y92" s="37" t="e">
        <f t="shared" si="89"/>
        <v>#REF!</v>
      </c>
      <c r="Z92" s="37" t="e">
        <f t="shared" si="89"/>
        <v>#REF!</v>
      </c>
      <c r="AA92" s="37" t="e">
        <f>ROUND(Z92/1.302,0)</f>
        <v>#REF!</v>
      </c>
      <c r="AB92" s="37" t="e">
        <f>Z92-AA92</f>
        <v>#REF!</v>
      </c>
      <c r="AC92" s="37" t="e">
        <f>ROUND($AF90*AC91,0)</f>
        <v>#REF!</v>
      </c>
      <c r="AD92" s="37" t="e">
        <f>I92+L92+N92+O92+T92+U92+V92+W92+X92+Y92+AC92+Z92</f>
        <v>#REF!</v>
      </c>
      <c r="AE92" s="78" t="e">
        <f>AF90</f>
        <v>#REF!</v>
      </c>
      <c r="AF92" s="78" t="e">
        <f>AE92-AF90</f>
        <v>#REF!</v>
      </c>
      <c r="AG92" s="107" t="e">
        <f>-ROUND(F92/1000,1)</f>
        <v>#REF!</v>
      </c>
      <c r="AH92" s="107" t="e">
        <f>ROUND(AG92/1.302,1)</f>
        <v>#REF!</v>
      </c>
      <c r="AI92" s="107" t="e">
        <f>AG92-AH92</f>
        <v>#REF!</v>
      </c>
      <c r="AJ92" s="107" t="e">
        <f>-ROUND(L92/1000,1)</f>
        <v>#REF!</v>
      </c>
      <c r="AK92" s="107" t="e">
        <f>-ROUND(M92/1000,1)</f>
        <v>#REF!</v>
      </c>
      <c r="AL92" s="107" t="e">
        <f>-ROUND(N92/1000,1)</f>
        <v>#REF!</v>
      </c>
      <c r="AM92" s="107" t="e">
        <f>-ROUND(O92/1000,1)</f>
        <v>#REF!</v>
      </c>
      <c r="AN92" s="107" t="e">
        <f t="shared" ref="AN92:AS92" si="90">-ROUND(T92/1000,1)</f>
        <v>#REF!</v>
      </c>
      <c r="AO92" s="107" t="e">
        <f t="shared" si="90"/>
        <v>#REF!</v>
      </c>
      <c r="AP92" s="107" t="e">
        <f t="shared" si="90"/>
        <v>#REF!</v>
      </c>
      <c r="AQ92" s="107" t="e">
        <f t="shared" si="90"/>
        <v>#REF!</v>
      </c>
      <c r="AR92" s="107" t="e">
        <f t="shared" si="90"/>
        <v>#REF!</v>
      </c>
      <c r="AS92" s="107" t="e">
        <f t="shared" si="90"/>
        <v>#REF!</v>
      </c>
      <c r="AT92" s="107" t="e">
        <f>-ROUND(AC92/1000,1)</f>
        <v>#REF!</v>
      </c>
      <c r="AU92" s="108" t="e">
        <f>AG92+AJ92+AL92+AM92+AN92+AO92+AP92+AQ92+AR92+AS92+AT92</f>
        <v>#REF!</v>
      </c>
      <c r="AW92" s="272">
        <v>-92928.2</v>
      </c>
    </row>
    <row r="93" spans="1:49" hidden="1" x14ac:dyDescent="0.25">
      <c r="A93" s="6">
        <v>11</v>
      </c>
      <c r="B93" s="92" t="s">
        <v>26</v>
      </c>
      <c r="C93" s="11">
        <v>706</v>
      </c>
      <c r="D93" s="11">
        <v>2018</v>
      </c>
      <c r="E93" s="11" t="s">
        <v>182</v>
      </c>
      <c r="F93" s="37"/>
      <c r="G93" s="37"/>
      <c r="H93" s="37"/>
      <c r="I93" s="37">
        <f>SUMIF('2020'!$B:$B,выравнивание!$A93,'2020'!BM:BM)-SUMIFS('2020'!BM:BM,'2020'!$B:$B,выравнивание!$A93,'2020'!$G:$G,4)</f>
        <v>89140480</v>
      </c>
      <c r="J93" s="37">
        <f>SUMIF('2020'!$B:$B,выравнивание!$A93,'2020'!BN:BN)-SUMIFS('2020'!BN:BN,'2020'!$B:$B,выравнивание!$A93,'2020'!$G:$G,4)</f>
        <v>68464270.299999997</v>
      </c>
      <c r="K93" s="37">
        <f>SUMIF('2020'!$B:$B,выравнивание!$A93,'2020'!BO:BO)-SUMIFS('2020'!BO:BO,'2020'!$B:$B,выравнивание!$A93,'2020'!$G:$G,4)</f>
        <v>20676209.699999999</v>
      </c>
      <c r="L93" s="37">
        <f>SUMIF('2020'!$B:$B,выравнивание!$A93,'2020'!BP:BP)-SUMIFS('2020'!BP:BP,'2020'!$B:$B,выравнивание!$A93,'2020'!$G:$G,4)</f>
        <v>9175788</v>
      </c>
      <c r="M93" s="37">
        <f>SUMIF('2020'!$B:$B,выравнивание!$A93,'2020'!BQ:BQ)-SUMIFS('2020'!BQ:BQ,'2020'!$B:$B,выравнивание!$A93,'2020'!$G:$G,4)</f>
        <v>1734307</v>
      </c>
      <c r="N93" s="37">
        <f>SUMIF('2020'!$B:$B,выравнивание!$A93,'2020'!BR:BR)-SUMIFS('2020'!BR:BR,'2020'!$B:$B,выравнивание!$A93,'2020'!$G:$G,4)</f>
        <v>8572562</v>
      </c>
      <c r="O93" s="37">
        <f>SUMIF('2020'!$B:$B,выравнивание!$A93,'2020'!BS:BS)-SUMIFS('2020'!BS:BS,'2020'!$B:$B,выравнивание!$A93,'2020'!$G:$G,4)</f>
        <v>20339133</v>
      </c>
      <c r="P93" s="37">
        <f>SUMIF('2020'!$B:$B,выравнивание!$A93,'2020'!BT:BT)-SUMIFS('2020'!BT:BT,'2020'!$B:$B,выравнивание!$A93,'2020'!$G:$G,4)</f>
        <v>583868</v>
      </c>
      <c r="Q93" s="37">
        <f>SUMIF('2020'!$B:$B,выравнивание!$A93,'2020'!BU:BU)-SUMIFS('2020'!BU:BU,'2020'!$B:$B,выравнивание!$A93,'2020'!$G:$G,4)</f>
        <v>18381664</v>
      </c>
      <c r="R93" s="37">
        <f>SUMIF('2020'!$B:$B,выравнивание!$A93,'2020'!BV:BV)-SUMIFS('2020'!BV:BV,'2020'!$B:$B,выравнивание!$A93,'2020'!$G:$G,4)</f>
        <v>401521</v>
      </c>
      <c r="S93" s="37">
        <f>SUMIF('2020'!$B:$B,выравнивание!$A93,'2020'!BW:BW)-SUMIFS('2020'!BW:BW,'2020'!$B:$B,выравнивание!$A93,'2020'!$G:$G,4)</f>
        <v>972080</v>
      </c>
      <c r="T93" s="37">
        <f>SUMIF('2020'!$B:$B,выравнивание!$A93,'2020'!BX:BX)-SUMIFS('2020'!BX:BX,'2020'!$B:$B,выравнивание!$A93,'2020'!$G:$G,4)</f>
        <v>9373660</v>
      </c>
      <c r="U93" s="37">
        <f>SUMIF('2020'!$B:$B,выравнивание!$A93,'2020'!BY:BY)-SUMIFS('2020'!BY:BY,'2020'!$B:$B,выравнивание!$A93,'2020'!$G:$G,4)</f>
        <v>6328780</v>
      </c>
      <c r="V93" s="37">
        <f>SUMIF('2020'!$B:$B,выравнивание!$A93,'2020'!BZ:BZ)-SUMIFS('2020'!BZ:BZ,'2020'!$B:$B,выравнивание!$A93,'2020'!$G:$G,4)</f>
        <v>592650</v>
      </c>
      <c r="W93" s="37">
        <f>SUMIF('2020'!$B:$B,выравнивание!$A93,'2020'!CA:CA)-SUMIFS('2020'!CA:CA,'2020'!$B:$B,выравнивание!$A93,'2020'!$G:$G,4)</f>
        <v>845075</v>
      </c>
      <c r="X93" s="37">
        <f>SUMIF('2020'!$B:$B,выравнивание!$A93,'2020'!CB:CB)-SUMIFS('2020'!CB:CB,'2020'!$B:$B,выравнивание!$A93,'2020'!$G:$G,4)</f>
        <v>89870</v>
      </c>
      <c r="Y93" s="37">
        <f>SUMIF('2020'!$B:$B,выравнивание!$A93,'2020'!CC:CC)-SUMIFS('2020'!CC:CC,'2020'!$B:$B,выравнивание!$A93,'2020'!$G:$G,4)</f>
        <v>1050829</v>
      </c>
      <c r="Z93" s="37">
        <f>SUMIF('2020'!$B:$B,выравнивание!$A93,'2020'!CD:CD)-SUMIFS('2020'!CD:CD,'2020'!$B:$B,выравнивание!$A93,'2020'!$G:$G,4)</f>
        <v>21999857</v>
      </c>
      <c r="AA93" s="37">
        <f>SUMIF('2020'!$B:$B,выравнивание!$A93,'2020'!CE:CE)-SUMIFS('2020'!CE:CE,'2020'!$B:$B,выравнивание!$A93,'2020'!$G:$G,4)</f>
        <v>16896971.5</v>
      </c>
      <c r="AB93" s="37">
        <f>SUMIF('2020'!$B:$B,выравнивание!$A93,'2020'!CF:CF)-SUMIFS('2020'!CF:CF,'2020'!$B:$B,выравнивание!$A93,'2020'!$G:$G,4)</f>
        <v>5102885.5</v>
      </c>
      <c r="AC93" s="103">
        <f>SUMIF('2020'!$B:$B,выравнивание!$A93,'2020'!CG:CG)-SUMIFS('2020'!CG:CG,'2020'!$B:$B,выравнивание!$A93,'2020'!$G:$G,4)</f>
        <v>3611520</v>
      </c>
      <c r="AD93" s="103">
        <f>SUMIF('2020'!$B:$B,выравнивание!$A93,'2020'!CH:CH)-SUMIFS('2020'!CH:CH,'2020'!$B:$B,выравнивание!$A93,'2020'!$G:$G,4)</f>
        <v>171120204</v>
      </c>
      <c r="AE93" s="84">
        <f>SUMIF('Свод 2020'!$A$9:$A$22,выравнивание!$A93,'Свод 2020'!$AA$9:$AA$24)*1000-SUMIF('Свод 2020'!$A$9:$A$22,выравнивание!$A93,'Свод 2020'!$S$9:$S$24)*1000</f>
        <v>181704800</v>
      </c>
      <c r="AF93" s="105">
        <f>AD93-AE93</f>
        <v>-10584596</v>
      </c>
      <c r="AU93" s="108"/>
    </row>
    <row r="94" spans="1:49" hidden="1" x14ac:dyDescent="0.25">
      <c r="A94" s="6">
        <v>11</v>
      </c>
      <c r="B94" s="92" t="s">
        <v>26</v>
      </c>
      <c r="C94" s="11">
        <v>706</v>
      </c>
      <c r="D94" s="11">
        <v>2018</v>
      </c>
      <c r="E94" s="11" t="s">
        <v>184</v>
      </c>
      <c r="F94" s="104"/>
      <c r="G94" s="104"/>
      <c r="H94" s="104"/>
      <c r="I94" s="104">
        <f t="shared" ref="I94:O94" si="91">I93/$AD93</f>
        <v>0.52092300000000002</v>
      </c>
      <c r="J94" s="104">
        <f t="shared" si="91"/>
        <v>0.40009499999999998</v>
      </c>
      <c r="K94" s="104">
        <f t="shared" si="91"/>
        <v>0.12082900000000001</v>
      </c>
      <c r="L94" s="104">
        <f t="shared" si="91"/>
        <v>5.3622000000000003E-2</v>
      </c>
      <c r="M94" s="104">
        <f t="shared" si="91"/>
        <v>1.0135E-2</v>
      </c>
      <c r="N94" s="104">
        <f t="shared" si="91"/>
        <v>5.0097000000000003E-2</v>
      </c>
      <c r="O94" s="104">
        <f t="shared" si="91"/>
        <v>0.11885900000000001</v>
      </c>
      <c r="P94" s="37"/>
      <c r="Q94" s="37"/>
      <c r="R94" s="37"/>
      <c r="S94" s="37"/>
      <c r="T94" s="104">
        <f t="shared" ref="T94:AB94" si="92">T93/$AD93</f>
        <v>5.4778E-2</v>
      </c>
      <c r="U94" s="104">
        <f t="shared" si="92"/>
        <v>3.6984000000000003E-2</v>
      </c>
      <c r="V94" s="104">
        <f t="shared" si="92"/>
        <v>3.4629999999999999E-3</v>
      </c>
      <c r="W94" s="104">
        <f t="shared" si="92"/>
        <v>4.9379999999999997E-3</v>
      </c>
      <c r="X94" s="104">
        <f t="shared" si="92"/>
        <v>5.2499999999999997E-4</v>
      </c>
      <c r="Y94" s="104">
        <f t="shared" si="92"/>
        <v>6.1409999999999998E-3</v>
      </c>
      <c r="Z94" s="104">
        <f t="shared" si="92"/>
        <v>0.12856400000000001</v>
      </c>
      <c r="AA94" s="104">
        <f t="shared" si="92"/>
        <v>9.8742999999999997E-2</v>
      </c>
      <c r="AB94" s="104">
        <f t="shared" si="92"/>
        <v>2.9819999999999999E-2</v>
      </c>
      <c r="AC94" s="106">
        <f>1-Z94-Y94-X94-W94-V94-U94-T94-O94-N94-L94-I94</f>
        <v>2.1106E-2</v>
      </c>
      <c r="AD94" s="106">
        <f>AD93/$AD93</f>
        <v>1</v>
      </c>
      <c r="AE94" s="81"/>
      <c r="AU94" s="108"/>
    </row>
    <row r="95" spans="1:49" x14ac:dyDescent="0.25">
      <c r="A95" s="6">
        <v>11</v>
      </c>
      <c r="B95" s="92" t="s">
        <v>26</v>
      </c>
      <c r="C95" s="11">
        <v>706</v>
      </c>
      <c r="D95" s="11">
        <v>2018</v>
      </c>
      <c r="E95" s="11" t="s">
        <v>185</v>
      </c>
      <c r="F95" s="37">
        <f>G95+H95</f>
        <v>-6874558</v>
      </c>
      <c r="G95" s="37">
        <f>J95+AA95</f>
        <v>-5279999</v>
      </c>
      <c r="H95" s="37">
        <f>K95+AB95</f>
        <v>-1594559</v>
      </c>
      <c r="I95" s="37">
        <f>ROUND($AF93*I94,0)</f>
        <v>-5513760</v>
      </c>
      <c r="J95" s="37">
        <f>ROUND(I95/1.302,0)</f>
        <v>-4234839</v>
      </c>
      <c r="K95" s="37">
        <f>I95-J95</f>
        <v>-1278921</v>
      </c>
      <c r="L95" s="37">
        <f>ROUND($AF93*L94,0)</f>
        <v>-567567</v>
      </c>
      <c r="M95" s="37">
        <f>ROUND($AF93*M94,0)</f>
        <v>-107275</v>
      </c>
      <c r="N95" s="37">
        <f>ROUND($AF93*N94,0)</f>
        <v>-530257</v>
      </c>
      <c r="O95" s="37">
        <f>ROUND($AF93*O94,0)</f>
        <v>-1258074</v>
      </c>
      <c r="P95" s="37"/>
      <c r="Q95" s="37"/>
      <c r="R95" s="37"/>
      <c r="S95" s="37"/>
      <c r="T95" s="37">
        <f t="shared" ref="T95:Z95" si="93">ROUND($AF93*T94,0)</f>
        <v>-579803</v>
      </c>
      <c r="U95" s="37">
        <f t="shared" si="93"/>
        <v>-391461</v>
      </c>
      <c r="V95" s="37">
        <f t="shared" si="93"/>
        <v>-36654</v>
      </c>
      <c r="W95" s="37">
        <f t="shared" si="93"/>
        <v>-52267</v>
      </c>
      <c r="X95" s="37">
        <f t="shared" si="93"/>
        <v>-5557</v>
      </c>
      <c r="Y95" s="37">
        <f t="shared" si="93"/>
        <v>-65000</v>
      </c>
      <c r="Z95" s="37">
        <f t="shared" si="93"/>
        <v>-1360798</v>
      </c>
      <c r="AA95" s="37">
        <f>ROUND(Z95/1.302,0)</f>
        <v>-1045160</v>
      </c>
      <c r="AB95" s="37">
        <f>Z95-AA95</f>
        <v>-315638</v>
      </c>
      <c r="AC95" s="37">
        <f>ROUND($AF93*AC94,0)</f>
        <v>-223398</v>
      </c>
      <c r="AD95" s="37">
        <f>I95+L95+N95+O95+T95+U95+V95+W95+X95+Y95+AC95+Z95</f>
        <v>-10584596</v>
      </c>
      <c r="AE95" s="78">
        <f>AF93</f>
        <v>-10584596</v>
      </c>
      <c r="AF95" s="78">
        <f>AE95-AF93</f>
        <v>0</v>
      </c>
      <c r="AG95" s="107">
        <f>-ROUND(F95/1000,1)</f>
        <v>6874.6</v>
      </c>
      <c r="AH95" s="107">
        <f>ROUND(AG95/1.302,1)</f>
        <v>5280</v>
      </c>
      <c r="AI95" s="107">
        <f>AG95-AH95</f>
        <v>1594.6</v>
      </c>
      <c r="AJ95" s="107">
        <f>-ROUND(L95/1000,1)</f>
        <v>567.6</v>
      </c>
      <c r="AK95" s="107">
        <f>-ROUND(M95/1000,1)</f>
        <v>107.3</v>
      </c>
      <c r="AL95" s="107">
        <f>-ROUND(N95/1000,1)</f>
        <v>530.29999999999995</v>
      </c>
      <c r="AM95" s="107">
        <f>-ROUND(O95/1000,1)</f>
        <v>1258.0999999999999</v>
      </c>
      <c r="AN95" s="107">
        <f t="shared" ref="AN95:AS95" si="94">-ROUND(T95/1000,1)</f>
        <v>579.79999999999995</v>
      </c>
      <c r="AO95" s="107">
        <f t="shared" si="94"/>
        <v>391.5</v>
      </c>
      <c r="AP95" s="107">
        <f t="shared" si="94"/>
        <v>36.700000000000003</v>
      </c>
      <c r="AQ95" s="107">
        <f t="shared" si="94"/>
        <v>52.3</v>
      </c>
      <c r="AR95" s="107">
        <f t="shared" si="94"/>
        <v>5.6</v>
      </c>
      <c r="AS95" s="107">
        <f t="shared" si="94"/>
        <v>65</v>
      </c>
      <c r="AT95" s="107">
        <f>-ROUND(AC95/1000,1)</f>
        <v>223.4</v>
      </c>
      <c r="AU95" s="108">
        <f>AG95+AJ95+AL95+AM95+AN95+AO95+AP95+AQ95+AR95+AS95+AT95</f>
        <v>10584.9</v>
      </c>
      <c r="AW95" s="272">
        <v>-85855.5</v>
      </c>
    </row>
    <row r="96" spans="1:49" hidden="1" x14ac:dyDescent="0.25">
      <c r="A96" s="6">
        <v>11</v>
      </c>
      <c r="B96" s="92" t="s">
        <v>26</v>
      </c>
      <c r="C96" s="11">
        <v>706</v>
      </c>
      <c r="D96" s="11">
        <v>2019</v>
      </c>
      <c r="E96" s="11" t="s">
        <v>182</v>
      </c>
      <c r="F96" s="37"/>
      <c r="G96" s="37"/>
      <c r="H96" s="37"/>
      <c r="I96" s="37" t="e">
        <f>SUMIF(#REF!,выравнивание!$A96,#REF!)-SUMIFS(#REF!,#REF!,выравнивание!$A96,#REF!,4)</f>
        <v>#REF!</v>
      </c>
      <c r="J96" s="37" t="e">
        <f>SUMIF(#REF!,выравнивание!$A96,#REF!)-SUMIFS(#REF!,#REF!,выравнивание!$A96,#REF!,4)</f>
        <v>#REF!</v>
      </c>
      <c r="K96" s="37" t="e">
        <f>SUMIF(#REF!,выравнивание!$A96,#REF!)-SUMIFS(#REF!,#REF!,выравнивание!$A96,#REF!,4)</f>
        <v>#REF!</v>
      </c>
      <c r="L96" s="37" t="e">
        <f>SUMIF(#REF!,выравнивание!$A96,#REF!)-SUMIFS(#REF!,#REF!,выравнивание!$A96,#REF!,4)</f>
        <v>#REF!</v>
      </c>
      <c r="M96" s="37" t="e">
        <f>SUMIF(#REF!,выравнивание!$A96,#REF!)-SUMIFS(#REF!,#REF!,выравнивание!$A96,#REF!,4)</f>
        <v>#REF!</v>
      </c>
      <c r="N96" s="37" t="e">
        <f>SUMIF(#REF!,выравнивание!$A96,#REF!)-SUMIFS(#REF!,#REF!,выравнивание!$A96,#REF!,4)</f>
        <v>#REF!</v>
      </c>
      <c r="O96" s="37" t="e">
        <f>SUMIF(#REF!,выравнивание!$A96,#REF!)-SUMIFS(#REF!,#REF!,выравнивание!$A96,#REF!,4)</f>
        <v>#REF!</v>
      </c>
      <c r="P96" s="37" t="e">
        <f>SUMIF(#REF!,выравнивание!$A96,#REF!)-SUMIFS(#REF!,#REF!,выравнивание!$A96,#REF!,4)</f>
        <v>#REF!</v>
      </c>
      <c r="Q96" s="37" t="e">
        <f>SUMIF(#REF!,выравнивание!$A96,#REF!)-SUMIFS(#REF!,#REF!,выравнивание!$A96,#REF!,4)</f>
        <v>#REF!</v>
      </c>
      <c r="R96" s="37" t="e">
        <f>SUMIF(#REF!,выравнивание!$A96,#REF!)-SUMIFS(#REF!,#REF!,выравнивание!$A96,#REF!,4)</f>
        <v>#REF!</v>
      </c>
      <c r="S96" s="37" t="e">
        <f>SUMIF(#REF!,выравнивание!$A96,#REF!)-SUMIFS(#REF!,#REF!,выравнивание!$A96,#REF!,4)</f>
        <v>#REF!</v>
      </c>
      <c r="T96" s="37" t="e">
        <f>SUMIF(#REF!,выравнивание!$A96,#REF!)-SUMIFS(#REF!,#REF!,выравнивание!$A96,#REF!,4)</f>
        <v>#REF!</v>
      </c>
      <c r="U96" s="37" t="e">
        <f>SUMIF(#REF!,выравнивание!$A96,#REF!)-SUMIFS(#REF!,#REF!,выравнивание!$A96,#REF!,4)</f>
        <v>#REF!</v>
      </c>
      <c r="V96" s="37" t="e">
        <f>SUMIF(#REF!,выравнивание!$A96,#REF!)-SUMIFS(#REF!,#REF!,выравнивание!$A96,#REF!,4)</f>
        <v>#REF!</v>
      </c>
      <c r="W96" s="37" t="e">
        <f>SUMIF(#REF!,выравнивание!$A96,#REF!)-SUMIFS(#REF!,#REF!,выравнивание!$A96,#REF!,4)</f>
        <v>#REF!</v>
      </c>
      <c r="X96" s="37" t="e">
        <f>SUMIF(#REF!,выравнивание!$A96,#REF!)-SUMIFS(#REF!,#REF!,выравнивание!$A96,#REF!,4)</f>
        <v>#REF!</v>
      </c>
      <c r="Y96" s="37" t="e">
        <f>SUMIF(#REF!,выравнивание!$A96,#REF!)-SUMIFS(#REF!,#REF!,выравнивание!$A96,#REF!,4)</f>
        <v>#REF!</v>
      </c>
      <c r="Z96" s="37" t="e">
        <f>SUMIF(#REF!,выравнивание!$A96,#REF!)-SUMIFS(#REF!,#REF!,выравнивание!$A96,#REF!,4)</f>
        <v>#REF!</v>
      </c>
      <c r="AA96" s="37" t="e">
        <f>SUMIF(#REF!,выравнивание!$A96,#REF!)-SUMIFS(#REF!,#REF!,выравнивание!$A96,#REF!,4)</f>
        <v>#REF!</v>
      </c>
      <c r="AB96" s="37" t="e">
        <f>SUMIF(#REF!,выравнивание!$A96,#REF!)-SUMIFS(#REF!,#REF!,выравнивание!$A96,#REF!,4)</f>
        <v>#REF!</v>
      </c>
      <c r="AC96" s="103" t="e">
        <f>SUMIF(#REF!,выравнивание!$A96,#REF!)-SUMIFS(#REF!,#REF!,выравнивание!$A96,#REF!,4)</f>
        <v>#REF!</v>
      </c>
      <c r="AD96" s="103" t="e">
        <f>SUMIF(#REF!,выравнивание!$A96,#REF!)-SUMIFS(#REF!,#REF!,выравнивание!$A96,#REF!,4)</f>
        <v>#REF!</v>
      </c>
      <c r="AE96" s="103" t="e">
        <f>SUMIF(#REF!,выравнивание!$A96,#REF!)*1000-SUMIF(#REF!,выравнивание!$A96,#REF!)*1000</f>
        <v>#REF!</v>
      </c>
      <c r="AF96" s="105" t="e">
        <f>AD96-AE96</f>
        <v>#REF!</v>
      </c>
      <c r="AU96" s="108"/>
    </row>
    <row r="97" spans="1:49" hidden="1" x14ac:dyDescent="0.25">
      <c r="A97" s="6">
        <v>11</v>
      </c>
      <c r="B97" s="92" t="s">
        <v>26</v>
      </c>
      <c r="C97" s="11">
        <v>706</v>
      </c>
      <c r="D97" s="11">
        <v>2019</v>
      </c>
      <c r="E97" s="11" t="s">
        <v>184</v>
      </c>
      <c r="F97" s="104"/>
      <c r="G97" s="104"/>
      <c r="H97" s="104"/>
      <c r="I97" s="104" t="e">
        <f t="shared" ref="I97:O97" si="95">I96/$AD96</f>
        <v>#REF!</v>
      </c>
      <c r="J97" s="104" t="e">
        <f t="shared" si="95"/>
        <v>#REF!</v>
      </c>
      <c r="K97" s="104" t="e">
        <f t="shared" si="95"/>
        <v>#REF!</v>
      </c>
      <c r="L97" s="104" t="e">
        <f t="shared" si="95"/>
        <v>#REF!</v>
      </c>
      <c r="M97" s="104" t="e">
        <f t="shared" si="95"/>
        <v>#REF!</v>
      </c>
      <c r="N97" s="104" t="e">
        <f t="shared" si="95"/>
        <v>#REF!</v>
      </c>
      <c r="O97" s="104" t="e">
        <f t="shared" si="95"/>
        <v>#REF!</v>
      </c>
      <c r="P97" s="37"/>
      <c r="Q97" s="37"/>
      <c r="R97" s="37"/>
      <c r="S97" s="37"/>
      <c r="T97" s="104" t="e">
        <f t="shared" ref="T97:AB97" si="96">T96/$AD96</f>
        <v>#REF!</v>
      </c>
      <c r="U97" s="104" t="e">
        <f t="shared" si="96"/>
        <v>#REF!</v>
      </c>
      <c r="V97" s="104" t="e">
        <f t="shared" si="96"/>
        <v>#REF!</v>
      </c>
      <c r="W97" s="104" t="e">
        <f t="shared" si="96"/>
        <v>#REF!</v>
      </c>
      <c r="X97" s="104" t="e">
        <f t="shared" si="96"/>
        <v>#REF!</v>
      </c>
      <c r="Y97" s="104" t="e">
        <f t="shared" si="96"/>
        <v>#REF!</v>
      </c>
      <c r="Z97" s="104" t="e">
        <f t="shared" si="96"/>
        <v>#REF!</v>
      </c>
      <c r="AA97" s="104" t="e">
        <f t="shared" si="96"/>
        <v>#REF!</v>
      </c>
      <c r="AB97" s="104" t="e">
        <f t="shared" si="96"/>
        <v>#REF!</v>
      </c>
      <c r="AC97" s="106" t="e">
        <f>1-Z97-Y97-X97-W97-V97-U97-T97-O97-N97-L97-I97</f>
        <v>#REF!</v>
      </c>
      <c r="AD97" s="106" t="e">
        <f>AD96/$AD96</f>
        <v>#REF!</v>
      </c>
      <c r="AE97" s="81"/>
      <c r="AU97" s="108"/>
    </row>
    <row r="98" spans="1:49" x14ac:dyDescent="0.25">
      <c r="A98" s="6">
        <v>11</v>
      </c>
      <c r="B98" s="92" t="s">
        <v>26</v>
      </c>
      <c r="C98" s="11">
        <v>706</v>
      </c>
      <c r="D98" s="11">
        <v>2019</v>
      </c>
      <c r="E98" s="11" t="s">
        <v>185</v>
      </c>
      <c r="F98" s="37" t="e">
        <f>G98+H98</f>
        <v>#REF!</v>
      </c>
      <c r="G98" s="37" t="e">
        <f>J98+AA98</f>
        <v>#REF!</v>
      </c>
      <c r="H98" s="37" t="e">
        <f>K98+AB98</f>
        <v>#REF!</v>
      </c>
      <c r="I98" s="37" t="e">
        <f>ROUND($AF96*I97,0)</f>
        <v>#REF!</v>
      </c>
      <c r="J98" s="37" t="e">
        <f>ROUND(I98/1.302,0)</f>
        <v>#REF!</v>
      </c>
      <c r="K98" s="37" t="e">
        <f>I98-J98</f>
        <v>#REF!</v>
      </c>
      <c r="L98" s="37" t="e">
        <f>ROUND($AF96*L97,0)</f>
        <v>#REF!</v>
      </c>
      <c r="M98" s="37" t="e">
        <f>ROUND($AF96*M97,0)</f>
        <v>#REF!</v>
      </c>
      <c r="N98" s="37" t="e">
        <f>ROUND($AF96*N97,0)</f>
        <v>#REF!</v>
      </c>
      <c r="O98" s="37" t="e">
        <f>ROUND($AF96*O97,0)</f>
        <v>#REF!</v>
      </c>
      <c r="P98" s="37"/>
      <c r="Q98" s="37"/>
      <c r="R98" s="37"/>
      <c r="S98" s="37"/>
      <c r="T98" s="37" t="e">
        <f t="shared" ref="T98:Z98" si="97">ROUND($AF96*T97,0)</f>
        <v>#REF!</v>
      </c>
      <c r="U98" s="37" t="e">
        <f t="shared" si="97"/>
        <v>#REF!</v>
      </c>
      <c r="V98" s="37" t="e">
        <f t="shared" si="97"/>
        <v>#REF!</v>
      </c>
      <c r="W98" s="37" t="e">
        <f t="shared" si="97"/>
        <v>#REF!</v>
      </c>
      <c r="X98" s="37" t="e">
        <f t="shared" si="97"/>
        <v>#REF!</v>
      </c>
      <c r="Y98" s="37" t="e">
        <f t="shared" si="97"/>
        <v>#REF!</v>
      </c>
      <c r="Z98" s="37" t="e">
        <f t="shared" si="97"/>
        <v>#REF!</v>
      </c>
      <c r="AA98" s="37" t="e">
        <f>ROUND(Z98/1.302,0)</f>
        <v>#REF!</v>
      </c>
      <c r="AB98" s="37" t="e">
        <f>Z98-AA98</f>
        <v>#REF!</v>
      </c>
      <c r="AC98" s="37" t="e">
        <f>ROUND($AF96*AC97,0)</f>
        <v>#REF!</v>
      </c>
      <c r="AD98" s="37" t="e">
        <f>I98+L98+N98+O98+T98+U98+V98+W98+X98+Y98+AC98+Z98</f>
        <v>#REF!</v>
      </c>
      <c r="AE98" s="78" t="e">
        <f>AF96</f>
        <v>#REF!</v>
      </c>
      <c r="AF98" s="78" t="e">
        <f>AE98-AF96</f>
        <v>#REF!</v>
      </c>
      <c r="AG98" s="107" t="e">
        <f>-ROUND(F98/1000,1)</f>
        <v>#REF!</v>
      </c>
      <c r="AH98" s="107" t="e">
        <f>ROUND(AG98/1.302,1)</f>
        <v>#REF!</v>
      </c>
      <c r="AI98" s="107" t="e">
        <f>AG98-AH98</f>
        <v>#REF!</v>
      </c>
      <c r="AJ98" s="107" t="e">
        <f>-ROUND(L98/1000,1)</f>
        <v>#REF!</v>
      </c>
      <c r="AK98" s="107" t="e">
        <f>-ROUND(M98/1000,1)</f>
        <v>#REF!</v>
      </c>
      <c r="AL98" s="107" t="e">
        <f>-ROUND(N98/1000,1)</f>
        <v>#REF!</v>
      </c>
      <c r="AM98" s="107" t="e">
        <f>-ROUND(O98/1000,1)</f>
        <v>#REF!</v>
      </c>
      <c r="AN98" s="107" t="e">
        <f t="shared" ref="AN98:AS98" si="98">-ROUND(T98/1000,1)</f>
        <v>#REF!</v>
      </c>
      <c r="AO98" s="107" t="e">
        <f t="shared" si="98"/>
        <v>#REF!</v>
      </c>
      <c r="AP98" s="107" t="e">
        <f t="shared" si="98"/>
        <v>#REF!</v>
      </c>
      <c r="AQ98" s="107" t="e">
        <f t="shared" si="98"/>
        <v>#REF!</v>
      </c>
      <c r="AR98" s="107" t="e">
        <f t="shared" si="98"/>
        <v>#REF!</v>
      </c>
      <c r="AS98" s="107" t="e">
        <f t="shared" si="98"/>
        <v>#REF!</v>
      </c>
      <c r="AT98" s="107" t="e">
        <f>-ROUND(AC98/1000,1)</f>
        <v>#REF!</v>
      </c>
      <c r="AU98" s="108" t="e">
        <f>AG98+AJ98+AL98+AM98+AN98+AO98+AP98+AQ98+AR98+AS98+AT98</f>
        <v>#REF!</v>
      </c>
      <c r="AW98" s="272">
        <v>-89453.1</v>
      </c>
    </row>
    <row r="99" spans="1:49" hidden="1" x14ac:dyDescent="0.25">
      <c r="A99" s="6">
        <v>11</v>
      </c>
      <c r="B99" s="92" t="s">
        <v>26</v>
      </c>
      <c r="C99" s="11">
        <v>706</v>
      </c>
      <c r="D99" s="11">
        <v>2020</v>
      </c>
      <c r="E99" s="11" t="s">
        <v>182</v>
      </c>
      <c r="F99" s="37"/>
      <c r="G99" s="37"/>
      <c r="H99" s="37"/>
      <c r="I99" s="37" t="e">
        <f>SUMIF(#REF!,выравнивание!$A99,#REF!)-SUMIFS(#REF!,#REF!,выравнивание!$A99,#REF!,4)</f>
        <v>#REF!</v>
      </c>
      <c r="J99" s="37" t="e">
        <f>SUMIF(#REF!,выравнивание!$A99,#REF!)-SUMIFS(#REF!,#REF!,выравнивание!$A99,#REF!,4)</f>
        <v>#REF!</v>
      </c>
      <c r="K99" s="37" t="e">
        <f>SUMIF(#REF!,выравнивание!$A99,#REF!)-SUMIFS(#REF!,#REF!,выравнивание!$A99,#REF!,4)</f>
        <v>#REF!</v>
      </c>
      <c r="L99" s="37" t="e">
        <f>SUMIF(#REF!,выравнивание!$A99,#REF!)-SUMIFS(#REF!,#REF!,выравнивание!$A99,#REF!,4)</f>
        <v>#REF!</v>
      </c>
      <c r="M99" s="37" t="e">
        <f>SUMIF(#REF!,выравнивание!$A99,#REF!)-SUMIFS(#REF!,#REF!,выравнивание!$A99,#REF!,4)</f>
        <v>#REF!</v>
      </c>
      <c r="N99" s="37" t="e">
        <f>SUMIF(#REF!,выравнивание!$A99,#REF!)-SUMIFS(#REF!,#REF!,выравнивание!$A99,#REF!,4)</f>
        <v>#REF!</v>
      </c>
      <c r="O99" s="37" t="e">
        <f>SUMIF(#REF!,выравнивание!$A99,#REF!)-SUMIFS(#REF!,#REF!,выравнивание!$A99,#REF!,4)</f>
        <v>#REF!</v>
      </c>
      <c r="P99" s="37" t="e">
        <f>SUMIF(#REF!,выравнивание!$A99,#REF!)-SUMIFS(#REF!,#REF!,выравнивание!$A99,#REF!,4)</f>
        <v>#REF!</v>
      </c>
      <c r="Q99" s="37" t="e">
        <f>SUMIF(#REF!,выравнивание!$A99,#REF!)-SUMIFS(#REF!,#REF!,выравнивание!$A99,#REF!,4)</f>
        <v>#REF!</v>
      </c>
      <c r="R99" s="37" t="e">
        <f>SUMIF(#REF!,выравнивание!$A99,#REF!)-SUMIFS(#REF!,#REF!,выравнивание!$A99,#REF!,4)</f>
        <v>#REF!</v>
      </c>
      <c r="S99" s="37" t="e">
        <f>SUMIF(#REF!,выравнивание!$A99,#REF!)-SUMIFS(#REF!,#REF!,выравнивание!$A99,#REF!,4)</f>
        <v>#REF!</v>
      </c>
      <c r="T99" s="37" t="e">
        <f>SUMIF(#REF!,выравнивание!$A99,#REF!)-SUMIFS(#REF!,#REF!,выравнивание!$A99,#REF!,4)</f>
        <v>#REF!</v>
      </c>
      <c r="U99" s="37" t="e">
        <f>SUMIF(#REF!,выравнивание!$A99,#REF!)-SUMIFS(#REF!,#REF!,выравнивание!$A99,#REF!,4)</f>
        <v>#REF!</v>
      </c>
      <c r="V99" s="37" t="e">
        <f>SUMIF(#REF!,выравнивание!$A99,#REF!)-SUMIFS(#REF!,#REF!,выравнивание!$A99,#REF!,4)</f>
        <v>#REF!</v>
      </c>
      <c r="W99" s="37" t="e">
        <f>SUMIF(#REF!,выравнивание!$A99,#REF!)-SUMIFS(#REF!,#REF!,выравнивание!$A99,#REF!,4)</f>
        <v>#REF!</v>
      </c>
      <c r="X99" s="37" t="e">
        <f>SUMIF(#REF!,выравнивание!$A99,#REF!)-SUMIFS(#REF!,#REF!,выравнивание!$A99,#REF!,4)</f>
        <v>#REF!</v>
      </c>
      <c r="Y99" s="37" t="e">
        <f>SUMIF(#REF!,выравнивание!$A99,#REF!)-SUMIFS(#REF!,#REF!,выравнивание!$A99,#REF!,4)</f>
        <v>#REF!</v>
      </c>
      <c r="Z99" s="37" t="e">
        <f>SUMIF(#REF!,выравнивание!$A99,#REF!)-SUMIFS(#REF!,#REF!,выравнивание!$A99,#REF!,4)</f>
        <v>#REF!</v>
      </c>
      <c r="AA99" s="37" t="e">
        <f>SUMIF(#REF!,выравнивание!$A99,#REF!)-SUMIFS(#REF!,#REF!,выравнивание!$A99,#REF!,4)</f>
        <v>#REF!</v>
      </c>
      <c r="AB99" s="37" t="e">
        <f>SUMIF(#REF!,выравнивание!$A99,#REF!)-SUMIFS(#REF!,#REF!,выравнивание!$A99,#REF!,4)</f>
        <v>#REF!</v>
      </c>
      <c r="AC99" s="103" t="e">
        <f>SUMIF(#REF!,выравнивание!$A99,#REF!)-SUMIFS(#REF!,#REF!,выравнивание!$A99,#REF!,4)</f>
        <v>#REF!</v>
      </c>
      <c r="AD99" s="103" t="e">
        <f>SUMIF(#REF!,выравнивание!$A99,#REF!)-SUMIFS(#REF!,#REF!,выравнивание!$A99,#REF!,4)</f>
        <v>#REF!</v>
      </c>
      <c r="AE99" s="103" t="e">
        <f>SUMIF(#REF!,выравнивание!$A99,#REF!)*1000-SUMIF(#REF!,выравнивание!$A99,#REF!)*1000</f>
        <v>#REF!</v>
      </c>
      <c r="AF99" s="84" t="e">
        <f>AD99-AE99</f>
        <v>#REF!</v>
      </c>
      <c r="AU99" s="108"/>
    </row>
    <row r="100" spans="1:49" hidden="1" x14ac:dyDescent="0.25">
      <c r="A100" s="6">
        <v>11</v>
      </c>
      <c r="B100" s="92" t="s">
        <v>26</v>
      </c>
      <c r="C100" s="11">
        <v>706</v>
      </c>
      <c r="D100" s="11">
        <v>2020</v>
      </c>
      <c r="E100" s="11" t="s">
        <v>184</v>
      </c>
      <c r="F100" s="104"/>
      <c r="G100" s="104"/>
      <c r="H100" s="104"/>
      <c r="I100" s="104" t="e">
        <f t="shared" ref="I100:O100" si="99">I99/$AD99</f>
        <v>#REF!</v>
      </c>
      <c r="J100" s="104" t="e">
        <f t="shared" si="99"/>
        <v>#REF!</v>
      </c>
      <c r="K100" s="104" t="e">
        <f t="shared" si="99"/>
        <v>#REF!</v>
      </c>
      <c r="L100" s="104" t="e">
        <f t="shared" si="99"/>
        <v>#REF!</v>
      </c>
      <c r="M100" s="104" t="e">
        <f t="shared" si="99"/>
        <v>#REF!</v>
      </c>
      <c r="N100" s="104" t="e">
        <f t="shared" si="99"/>
        <v>#REF!</v>
      </c>
      <c r="O100" s="104" t="e">
        <f t="shared" si="99"/>
        <v>#REF!</v>
      </c>
      <c r="P100" s="37"/>
      <c r="Q100" s="37"/>
      <c r="R100" s="37"/>
      <c r="S100" s="37"/>
      <c r="T100" s="104" t="e">
        <f t="shared" ref="T100:AB100" si="100">T99/$AD99</f>
        <v>#REF!</v>
      </c>
      <c r="U100" s="104" t="e">
        <f t="shared" si="100"/>
        <v>#REF!</v>
      </c>
      <c r="V100" s="104" t="e">
        <f t="shared" si="100"/>
        <v>#REF!</v>
      </c>
      <c r="W100" s="104" t="e">
        <f t="shared" si="100"/>
        <v>#REF!</v>
      </c>
      <c r="X100" s="104" t="e">
        <f t="shared" si="100"/>
        <v>#REF!</v>
      </c>
      <c r="Y100" s="104" t="e">
        <f t="shared" si="100"/>
        <v>#REF!</v>
      </c>
      <c r="Z100" s="104" t="e">
        <f t="shared" si="100"/>
        <v>#REF!</v>
      </c>
      <c r="AA100" s="104" t="e">
        <f t="shared" si="100"/>
        <v>#REF!</v>
      </c>
      <c r="AB100" s="104" t="e">
        <f t="shared" si="100"/>
        <v>#REF!</v>
      </c>
      <c r="AC100" s="106" t="e">
        <f>1-Z100-Y100-X100-W100-V100-U100-T100-O100-N100-L100-I100</f>
        <v>#REF!</v>
      </c>
      <c r="AD100" s="106" t="e">
        <f>AD99/$AD99</f>
        <v>#REF!</v>
      </c>
      <c r="AE100" s="81"/>
      <c r="AU100" s="108"/>
    </row>
    <row r="101" spans="1:49" x14ac:dyDescent="0.25">
      <c r="A101" s="6">
        <v>11</v>
      </c>
      <c r="B101" s="92" t="s">
        <v>26</v>
      </c>
      <c r="C101" s="11">
        <v>706</v>
      </c>
      <c r="D101" s="11">
        <v>2020</v>
      </c>
      <c r="E101" s="11" t="s">
        <v>185</v>
      </c>
      <c r="F101" s="37" t="e">
        <f>G101+H101</f>
        <v>#REF!</v>
      </c>
      <c r="G101" s="37" t="e">
        <f>J101+AA101</f>
        <v>#REF!</v>
      </c>
      <c r="H101" s="37" t="e">
        <f>K101+AB101</f>
        <v>#REF!</v>
      </c>
      <c r="I101" s="37" t="e">
        <f>ROUND($AF99*I100,0)</f>
        <v>#REF!</v>
      </c>
      <c r="J101" s="37" t="e">
        <f>ROUND(I101/1.302,0)</f>
        <v>#REF!</v>
      </c>
      <c r="K101" s="37" t="e">
        <f>I101-J101</f>
        <v>#REF!</v>
      </c>
      <c r="L101" s="37" t="e">
        <f>ROUND($AF99*L100,0)</f>
        <v>#REF!</v>
      </c>
      <c r="M101" s="37" t="e">
        <f>ROUND($AF99*M100,0)</f>
        <v>#REF!</v>
      </c>
      <c r="N101" s="37" t="e">
        <f>ROUND($AF99*N100,0)</f>
        <v>#REF!</v>
      </c>
      <c r="O101" s="37" t="e">
        <f>ROUND($AF99*O100,0)</f>
        <v>#REF!</v>
      </c>
      <c r="P101" s="37"/>
      <c r="Q101" s="37"/>
      <c r="R101" s="37"/>
      <c r="S101" s="37"/>
      <c r="T101" s="37" t="e">
        <f t="shared" ref="T101:Z101" si="101">ROUND($AF99*T100,0)</f>
        <v>#REF!</v>
      </c>
      <c r="U101" s="37" t="e">
        <f t="shared" si="101"/>
        <v>#REF!</v>
      </c>
      <c r="V101" s="37" t="e">
        <f t="shared" si="101"/>
        <v>#REF!</v>
      </c>
      <c r="W101" s="37" t="e">
        <f t="shared" si="101"/>
        <v>#REF!</v>
      </c>
      <c r="X101" s="37" t="e">
        <f t="shared" si="101"/>
        <v>#REF!</v>
      </c>
      <c r="Y101" s="37" t="e">
        <f t="shared" si="101"/>
        <v>#REF!</v>
      </c>
      <c r="Z101" s="37" t="e">
        <f t="shared" si="101"/>
        <v>#REF!</v>
      </c>
      <c r="AA101" s="37" t="e">
        <f>ROUND(Z101/1.302,0)</f>
        <v>#REF!</v>
      </c>
      <c r="AB101" s="37" t="e">
        <f>Z101-AA101</f>
        <v>#REF!</v>
      </c>
      <c r="AC101" s="37" t="e">
        <f>ROUND($AF99*AC100,0)</f>
        <v>#REF!</v>
      </c>
      <c r="AD101" s="37" t="e">
        <f>I101+L101+N101+O101+T101+U101+V101+W101+X101+Y101+AC101+Z101</f>
        <v>#REF!</v>
      </c>
      <c r="AE101" s="78" t="e">
        <f>AF99</f>
        <v>#REF!</v>
      </c>
      <c r="AF101" s="78" t="e">
        <f>AE101-AF99</f>
        <v>#REF!</v>
      </c>
      <c r="AG101" s="107" t="e">
        <f>-ROUND(F101/1000,1)</f>
        <v>#REF!</v>
      </c>
      <c r="AH101" s="107" t="e">
        <f>ROUND(AG101/1.302,1)</f>
        <v>#REF!</v>
      </c>
      <c r="AI101" s="107" t="e">
        <f>AG101-AH101</f>
        <v>#REF!</v>
      </c>
      <c r="AJ101" s="107" t="e">
        <f>-ROUND(L101/1000,1)</f>
        <v>#REF!</v>
      </c>
      <c r="AK101" s="107" t="e">
        <f>-ROUND(M101/1000,1)</f>
        <v>#REF!</v>
      </c>
      <c r="AL101" s="107" t="e">
        <f>-ROUND(N101/1000,1)</f>
        <v>#REF!</v>
      </c>
      <c r="AM101" s="107" t="e">
        <f>-ROUND(O101/1000,1)</f>
        <v>#REF!</v>
      </c>
      <c r="AN101" s="107" t="e">
        <f t="shared" ref="AN101:AS101" si="102">-ROUND(T101/1000,1)</f>
        <v>#REF!</v>
      </c>
      <c r="AO101" s="107" t="e">
        <f t="shared" si="102"/>
        <v>#REF!</v>
      </c>
      <c r="AP101" s="107" t="e">
        <f t="shared" si="102"/>
        <v>#REF!</v>
      </c>
      <c r="AQ101" s="107" t="e">
        <f t="shared" si="102"/>
        <v>#REF!</v>
      </c>
      <c r="AR101" s="107" t="e">
        <f t="shared" si="102"/>
        <v>#REF!</v>
      </c>
      <c r="AS101" s="107" t="e">
        <f t="shared" si="102"/>
        <v>#REF!</v>
      </c>
      <c r="AT101" s="107" t="e">
        <f>-ROUND(AC101/1000,1)</f>
        <v>#REF!</v>
      </c>
      <c r="AU101" s="108" t="e">
        <f>AG101+AJ101+AL101+AM101+AN101+AO101+AP101+AQ101+AR101+AS101+AT101</f>
        <v>#REF!</v>
      </c>
      <c r="AW101" s="272">
        <v>-91965.6</v>
      </c>
    </row>
    <row r="102" spans="1:49" hidden="1" x14ac:dyDescent="0.25">
      <c r="A102" s="6">
        <v>12</v>
      </c>
      <c r="B102" s="92" t="s">
        <v>27</v>
      </c>
      <c r="C102" s="11">
        <v>706</v>
      </c>
      <c r="D102" s="11">
        <v>2018</v>
      </c>
      <c r="E102" s="11" t="s">
        <v>182</v>
      </c>
      <c r="F102" s="37"/>
      <c r="G102" s="37"/>
      <c r="H102" s="37"/>
      <c r="I102" s="37">
        <f>SUMIF('2020'!$B:$B,выравнивание!$A102,'2020'!BM:BM)-SUMIFS('2020'!BM:BM,'2020'!$B:$B,выравнивание!$A102,'2020'!$G:$G,4)</f>
        <v>141868089</v>
      </c>
      <c r="J102" s="37">
        <f>SUMIF('2020'!$B:$B,выравнивание!$A102,'2020'!BN:BN)-SUMIFS('2020'!BN:BN,'2020'!$B:$B,выравнивание!$A102,'2020'!$G:$G,4)</f>
        <v>108961666</v>
      </c>
      <c r="K102" s="37">
        <f>SUMIF('2020'!$B:$B,выравнивание!$A102,'2020'!BO:BO)-SUMIFS('2020'!BO:BO,'2020'!$B:$B,выравнивание!$A102,'2020'!$G:$G,4)</f>
        <v>32906423</v>
      </c>
      <c r="L102" s="37">
        <f>SUMIF('2020'!$B:$B,выравнивание!$A102,'2020'!BP:BP)-SUMIFS('2020'!BP:BP,'2020'!$B:$B,выравнивание!$A102,'2020'!$G:$G,4)</f>
        <v>12921608</v>
      </c>
      <c r="M102" s="37">
        <f>SUMIF('2020'!$B:$B,выравнивание!$A102,'2020'!BQ:BQ)-SUMIFS('2020'!BQ:BQ,'2020'!$B:$B,выравнивание!$A102,'2020'!$G:$G,4)</f>
        <v>2187560</v>
      </c>
      <c r="N102" s="37">
        <f>SUMIF('2020'!$B:$B,выравнивание!$A102,'2020'!BR:BR)-SUMIFS('2020'!BR:BR,'2020'!$B:$B,выравнивание!$A102,'2020'!$G:$G,4)</f>
        <v>11945196</v>
      </c>
      <c r="O102" s="37">
        <f>SUMIF('2020'!$B:$B,выравнивание!$A102,'2020'!BS:BS)-SUMIFS('2020'!BS:BS,'2020'!$B:$B,выравнивание!$A102,'2020'!$G:$G,4)</f>
        <v>28743420</v>
      </c>
      <c r="P102" s="37">
        <f>SUMIF('2020'!$B:$B,выравнивание!$A102,'2020'!BT:BT)-SUMIFS('2020'!BT:BT,'2020'!$B:$B,выравнивание!$A102,'2020'!$G:$G,4)</f>
        <v>794572</v>
      </c>
      <c r="Q102" s="37">
        <f>SUMIF('2020'!$B:$B,выравнивание!$A102,'2020'!BU:BU)-SUMIFS('2020'!BU:BU,'2020'!$B:$B,выравнивание!$A102,'2020'!$G:$G,4)</f>
        <v>26054404</v>
      </c>
      <c r="R102" s="37">
        <f>SUMIF('2020'!$B:$B,выравнивание!$A102,'2020'!BV:BV)-SUMIFS('2020'!BV:BV,'2020'!$B:$B,выравнивание!$A102,'2020'!$G:$G,4)</f>
        <v>555536</v>
      </c>
      <c r="S102" s="37">
        <f>SUMIF('2020'!$B:$B,выравнивание!$A102,'2020'!BW:BW)-SUMIFS('2020'!BW:BW,'2020'!$B:$B,выравнивание!$A102,'2020'!$G:$G,4)</f>
        <v>1338908</v>
      </c>
      <c r="T102" s="37">
        <f>SUMIF('2020'!$B:$B,выравнивание!$A102,'2020'!BX:BX)-SUMIFS('2020'!BX:BX,'2020'!$B:$B,выравнивание!$A102,'2020'!$G:$G,4)</f>
        <v>10024862</v>
      </c>
      <c r="U102" s="37">
        <f>SUMIF('2020'!$B:$B,выравнивание!$A102,'2020'!BY:BY)-SUMIFS('2020'!BY:BY,'2020'!$B:$B,выравнивание!$A102,'2020'!$G:$G,4)</f>
        <v>8641240</v>
      </c>
      <c r="V102" s="37">
        <f>SUMIF('2020'!$B:$B,выравнивание!$A102,'2020'!BZ:BZ)-SUMIFS('2020'!BZ:BZ,'2020'!$B:$B,выравнивание!$A102,'2020'!$G:$G,4)</f>
        <v>806004</v>
      </c>
      <c r="W102" s="37">
        <f>SUMIF('2020'!$B:$B,выравнивание!$A102,'2020'!CA:CA)-SUMIFS('2020'!CA:CA,'2020'!$B:$B,выравнивание!$A102,'2020'!$G:$G,4)</f>
        <v>1149302</v>
      </c>
      <c r="X102" s="37">
        <f>SUMIF('2020'!$B:$B,выравнивание!$A102,'2020'!CB:CB)-SUMIFS('2020'!CB:CB,'2020'!$B:$B,выравнивание!$A102,'2020'!$G:$G,4)</f>
        <v>121478</v>
      </c>
      <c r="Y102" s="37">
        <f>SUMIF('2020'!$B:$B,выравнивание!$A102,'2020'!CC:CC)-SUMIFS('2020'!CC:CC,'2020'!$B:$B,выравнивание!$A102,'2020'!$G:$G,4)</f>
        <v>1367940</v>
      </c>
      <c r="Z102" s="37">
        <f>SUMIF('2020'!$B:$B,выравнивание!$A102,'2020'!CD:CD)-SUMIFS('2020'!CD:CD,'2020'!$B:$B,выравнивание!$A102,'2020'!$G:$G,4)</f>
        <v>34793444</v>
      </c>
      <c r="AA102" s="37">
        <f>SUMIF('2020'!$B:$B,выравнивание!$A102,'2020'!CE:CE)-SUMIFS('2020'!CE:CE,'2020'!$B:$B,выравнивание!$A102,'2020'!$G:$G,4)</f>
        <v>26723075.399999999</v>
      </c>
      <c r="AB102" s="37">
        <f>SUMIF('2020'!$B:$B,выравнивание!$A102,'2020'!CF:CF)-SUMIFS('2020'!CF:CF,'2020'!$B:$B,выравнивание!$A102,'2020'!$G:$G,4)</f>
        <v>8070368.5999999996</v>
      </c>
      <c r="AC102" s="103">
        <f>SUMIF('2020'!$B:$B,выравнивание!$A102,'2020'!CG:CG)-SUMIFS('2020'!CG:CG,'2020'!$B:$B,выравнивание!$A102,'2020'!$G:$G,4)</f>
        <v>5005440</v>
      </c>
      <c r="AD102" s="103">
        <f>SUMIF('2020'!$B:$B,выравнивание!$A102,'2020'!CH:CH)-SUMIFS('2020'!CH:CH,'2020'!$B:$B,выравнивание!$A102,'2020'!$G:$G,4)</f>
        <v>257388023</v>
      </c>
      <c r="AE102" s="84">
        <f>SUMIF('Свод 2020'!$A$9:$A$22,выравнивание!$A102,'Свод 2020'!$AA$9:$AA$24)*1000-SUMIF('Свод 2020'!$A$9:$A$22,выравнивание!$A102,'Свод 2020'!$S$9:$S$24)*1000</f>
        <v>273308800</v>
      </c>
      <c r="AF102" s="105">
        <f>AD102-AE102</f>
        <v>-15920777</v>
      </c>
      <c r="AU102" s="108"/>
    </row>
    <row r="103" spans="1:49" hidden="1" x14ac:dyDescent="0.25">
      <c r="A103" s="6">
        <v>12</v>
      </c>
      <c r="B103" s="92" t="s">
        <v>27</v>
      </c>
      <c r="C103" s="11">
        <v>706</v>
      </c>
      <c r="D103" s="11">
        <v>2018</v>
      </c>
      <c r="E103" s="11" t="s">
        <v>184</v>
      </c>
      <c r="F103" s="104"/>
      <c r="G103" s="104"/>
      <c r="H103" s="104"/>
      <c r="I103" s="104">
        <f t="shared" ref="I103:O103" si="103">I102/$AD102</f>
        <v>0.55118400000000001</v>
      </c>
      <c r="J103" s="104">
        <f t="shared" si="103"/>
        <v>0.42333599999999999</v>
      </c>
      <c r="K103" s="104">
        <f t="shared" si="103"/>
        <v>0.12784799999999999</v>
      </c>
      <c r="L103" s="104">
        <f t="shared" si="103"/>
        <v>5.0202999999999998E-2</v>
      </c>
      <c r="M103" s="104">
        <f t="shared" si="103"/>
        <v>8.4989999999999996E-3</v>
      </c>
      <c r="N103" s="104">
        <f t="shared" si="103"/>
        <v>4.6408999999999999E-2</v>
      </c>
      <c r="O103" s="104">
        <f t="shared" si="103"/>
        <v>0.11167299999999999</v>
      </c>
      <c r="P103" s="37"/>
      <c r="Q103" s="37"/>
      <c r="R103" s="37"/>
      <c r="S103" s="37"/>
      <c r="T103" s="104">
        <f t="shared" ref="T103:AB103" si="104">T102/$AD102</f>
        <v>3.8948000000000003E-2</v>
      </c>
      <c r="U103" s="104">
        <f t="shared" si="104"/>
        <v>3.3572999999999999E-2</v>
      </c>
      <c r="V103" s="104">
        <f t="shared" si="104"/>
        <v>3.1310000000000001E-3</v>
      </c>
      <c r="W103" s="104">
        <f t="shared" si="104"/>
        <v>4.4650000000000002E-3</v>
      </c>
      <c r="X103" s="104">
        <f t="shared" si="104"/>
        <v>4.7199999999999998E-4</v>
      </c>
      <c r="Y103" s="104">
        <f t="shared" si="104"/>
        <v>5.3150000000000003E-3</v>
      </c>
      <c r="Z103" s="104">
        <f t="shared" si="104"/>
        <v>0.13517899999999999</v>
      </c>
      <c r="AA103" s="104">
        <f t="shared" si="104"/>
        <v>0.103824</v>
      </c>
      <c r="AB103" s="104">
        <f t="shared" si="104"/>
        <v>3.1355000000000001E-2</v>
      </c>
      <c r="AC103" s="106">
        <f>1-Z103-Y103-X103-W103-V103-U103-T103-O103-N103-L103-I103</f>
        <v>1.9448E-2</v>
      </c>
      <c r="AD103" s="106">
        <f>AD102/$AD102</f>
        <v>1</v>
      </c>
      <c r="AE103" s="81"/>
      <c r="AU103" s="108"/>
    </row>
    <row r="104" spans="1:49" x14ac:dyDescent="0.25">
      <c r="A104" s="6">
        <v>12</v>
      </c>
      <c r="B104" s="92" t="s">
        <v>27</v>
      </c>
      <c r="C104" s="11">
        <v>706</v>
      </c>
      <c r="D104" s="11">
        <v>2018</v>
      </c>
      <c r="E104" s="11" t="s">
        <v>185</v>
      </c>
      <c r="F104" s="37">
        <f>G104+H104</f>
        <v>-10927433</v>
      </c>
      <c r="G104" s="37">
        <f>J104+AA104</f>
        <v>-8392806</v>
      </c>
      <c r="H104" s="37">
        <f>K104+AB104</f>
        <v>-2534627</v>
      </c>
      <c r="I104" s="37">
        <f>ROUND($AF102*I103,0)</f>
        <v>-8775278</v>
      </c>
      <c r="J104" s="37">
        <f>ROUND(I104/1.302,0)</f>
        <v>-6739845</v>
      </c>
      <c r="K104" s="37">
        <f>I104-J104</f>
        <v>-2035433</v>
      </c>
      <c r="L104" s="37">
        <f>ROUND($AF102*L103,0)</f>
        <v>-799271</v>
      </c>
      <c r="M104" s="37">
        <f>ROUND($AF102*M103,0)</f>
        <v>-135311</v>
      </c>
      <c r="N104" s="37">
        <f>ROUND($AF102*N103,0)</f>
        <v>-738867</v>
      </c>
      <c r="O104" s="37">
        <f>ROUND($AF102*O103,0)</f>
        <v>-1777921</v>
      </c>
      <c r="P104" s="37"/>
      <c r="Q104" s="37"/>
      <c r="R104" s="37"/>
      <c r="S104" s="37"/>
      <c r="T104" s="37">
        <f t="shared" ref="T104:Z104" si="105">ROUND($AF102*T103,0)</f>
        <v>-620082</v>
      </c>
      <c r="U104" s="37">
        <f t="shared" si="105"/>
        <v>-534508</v>
      </c>
      <c r="V104" s="37">
        <f t="shared" si="105"/>
        <v>-49848</v>
      </c>
      <c r="W104" s="37">
        <f t="shared" si="105"/>
        <v>-71086</v>
      </c>
      <c r="X104" s="37">
        <f t="shared" si="105"/>
        <v>-7515</v>
      </c>
      <c r="Y104" s="37">
        <f t="shared" si="105"/>
        <v>-84619</v>
      </c>
      <c r="Z104" s="37">
        <f t="shared" si="105"/>
        <v>-2152155</v>
      </c>
      <c r="AA104" s="37">
        <f>ROUND(Z104/1.302,0)</f>
        <v>-1652961</v>
      </c>
      <c r="AB104" s="37">
        <f>Z104-AA104</f>
        <v>-499194</v>
      </c>
      <c r="AC104" s="37">
        <f>ROUND($AF102*AC103,0)</f>
        <v>-309627</v>
      </c>
      <c r="AD104" s="37">
        <f>I104+L104+N104+O104+T104+U104+V104+W104+X104+Y104+AC104+Z104</f>
        <v>-15920777</v>
      </c>
      <c r="AE104" s="78">
        <f>AF102</f>
        <v>-15920777</v>
      </c>
      <c r="AF104" s="78">
        <f>AE104-AF102</f>
        <v>0</v>
      </c>
      <c r="AG104" s="107">
        <f>-ROUND(F104/1000,1)</f>
        <v>10927.4</v>
      </c>
      <c r="AH104" s="107">
        <f>ROUND(AG104/1.302,1)</f>
        <v>8392.7999999999993</v>
      </c>
      <c r="AI104" s="107">
        <f>AG104-AH104</f>
        <v>2534.6</v>
      </c>
      <c r="AJ104" s="107">
        <f>-ROUND(L104/1000,1)</f>
        <v>799.3</v>
      </c>
      <c r="AK104" s="107">
        <f>-ROUND(M104/1000,1)</f>
        <v>135.30000000000001</v>
      </c>
      <c r="AL104" s="107">
        <f>-ROUND(N104/1000,1)</f>
        <v>738.9</v>
      </c>
      <c r="AM104" s="107">
        <f>-ROUND(O104/1000,1)</f>
        <v>1777.9</v>
      </c>
      <c r="AN104" s="107">
        <f t="shared" ref="AN104:AS104" si="106">-ROUND(T104/1000,1)</f>
        <v>620.1</v>
      </c>
      <c r="AO104" s="107">
        <f t="shared" si="106"/>
        <v>534.5</v>
      </c>
      <c r="AP104" s="107">
        <f t="shared" si="106"/>
        <v>49.8</v>
      </c>
      <c r="AQ104" s="107">
        <f t="shared" si="106"/>
        <v>71.099999999999994</v>
      </c>
      <c r="AR104" s="107">
        <f t="shared" si="106"/>
        <v>7.5</v>
      </c>
      <c r="AS104" s="107">
        <f t="shared" si="106"/>
        <v>84.6</v>
      </c>
      <c r="AT104" s="107">
        <f>-ROUND(AC104/1000,1)</f>
        <v>309.60000000000002</v>
      </c>
      <c r="AU104" s="108">
        <f>AG104+AJ104+AL104+AM104+AN104+AO104+AP104+AQ104+AR104+AS104+AT104</f>
        <v>15920.7</v>
      </c>
      <c r="AW104" s="272">
        <v>-91503</v>
      </c>
    </row>
    <row r="105" spans="1:49" hidden="1" x14ac:dyDescent="0.25">
      <c r="A105" s="6">
        <v>12</v>
      </c>
      <c r="B105" s="92" t="s">
        <v>27</v>
      </c>
      <c r="C105" s="11">
        <v>706</v>
      </c>
      <c r="D105" s="11">
        <v>2019</v>
      </c>
      <c r="E105" s="11" t="s">
        <v>182</v>
      </c>
      <c r="F105" s="37"/>
      <c r="G105" s="37"/>
      <c r="H105" s="37"/>
      <c r="I105" s="37" t="e">
        <f>SUMIF(#REF!,выравнивание!$A105,#REF!)-SUMIFS(#REF!,#REF!,выравнивание!$A105,#REF!,4)</f>
        <v>#REF!</v>
      </c>
      <c r="J105" s="37" t="e">
        <f>SUMIF(#REF!,выравнивание!$A105,#REF!)-SUMIFS(#REF!,#REF!,выравнивание!$A105,#REF!,4)</f>
        <v>#REF!</v>
      </c>
      <c r="K105" s="37" t="e">
        <f>SUMIF(#REF!,выравнивание!$A105,#REF!)-SUMIFS(#REF!,#REF!,выравнивание!$A105,#REF!,4)</f>
        <v>#REF!</v>
      </c>
      <c r="L105" s="37" t="e">
        <f>SUMIF(#REF!,выравнивание!$A105,#REF!)-SUMIFS(#REF!,#REF!,выравнивание!$A105,#REF!,4)</f>
        <v>#REF!</v>
      </c>
      <c r="M105" s="37" t="e">
        <f>SUMIF(#REF!,выравнивание!$A105,#REF!)-SUMIFS(#REF!,#REF!,выравнивание!$A105,#REF!,4)</f>
        <v>#REF!</v>
      </c>
      <c r="N105" s="37" t="e">
        <f>SUMIF(#REF!,выравнивание!$A105,#REF!)-SUMIFS(#REF!,#REF!,выравнивание!$A105,#REF!,4)</f>
        <v>#REF!</v>
      </c>
      <c r="O105" s="37" t="e">
        <f>SUMIF(#REF!,выравнивание!$A105,#REF!)-SUMIFS(#REF!,#REF!,выравнивание!$A105,#REF!,4)</f>
        <v>#REF!</v>
      </c>
      <c r="P105" s="37" t="e">
        <f>SUMIF(#REF!,выравнивание!$A105,#REF!)-SUMIFS(#REF!,#REF!,выравнивание!$A105,#REF!,4)</f>
        <v>#REF!</v>
      </c>
      <c r="Q105" s="37" t="e">
        <f>SUMIF(#REF!,выравнивание!$A105,#REF!)-SUMIFS(#REF!,#REF!,выравнивание!$A105,#REF!,4)</f>
        <v>#REF!</v>
      </c>
      <c r="R105" s="37" t="e">
        <f>SUMIF(#REF!,выравнивание!$A105,#REF!)-SUMIFS(#REF!,#REF!,выравнивание!$A105,#REF!,4)</f>
        <v>#REF!</v>
      </c>
      <c r="S105" s="37" t="e">
        <f>SUMIF(#REF!,выравнивание!$A105,#REF!)-SUMIFS(#REF!,#REF!,выравнивание!$A105,#REF!,4)</f>
        <v>#REF!</v>
      </c>
      <c r="T105" s="37" t="e">
        <f>SUMIF(#REF!,выравнивание!$A105,#REF!)-SUMIFS(#REF!,#REF!,выравнивание!$A105,#REF!,4)</f>
        <v>#REF!</v>
      </c>
      <c r="U105" s="37" t="e">
        <f>SUMIF(#REF!,выравнивание!$A105,#REF!)-SUMIFS(#REF!,#REF!,выравнивание!$A105,#REF!,4)</f>
        <v>#REF!</v>
      </c>
      <c r="V105" s="37" t="e">
        <f>SUMIF(#REF!,выравнивание!$A105,#REF!)-SUMIFS(#REF!,#REF!,выравнивание!$A105,#REF!,4)</f>
        <v>#REF!</v>
      </c>
      <c r="W105" s="37" t="e">
        <f>SUMIF(#REF!,выравнивание!$A105,#REF!)-SUMIFS(#REF!,#REF!,выравнивание!$A105,#REF!,4)</f>
        <v>#REF!</v>
      </c>
      <c r="X105" s="37" t="e">
        <f>SUMIF(#REF!,выравнивание!$A105,#REF!)-SUMIFS(#REF!,#REF!,выравнивание!$A105,#REF!,4)</f>
        <v>#REF!</v>
      </c>
      <c r="Y105" s="37" t="e">
        <f>SUMIF(#REF!,выравнивание!$A105,#REF!)-SUMIFS(#REF!,#REF!,выравнивание!$A105,#REF!,4)</f>
        <v>#REF!</v>
      </c>
      <c r="Z105" s="37" t="e">
        <f>SUMIF(#REF!,выравнивание!$A105,#REF!)-SUMIFS(#REF!,#REF!,выравнивание!$A105,#REF!,4)</f>
        <v>#REF!</v>
      </c>
      <c r="AA105" s="37" t="e">
        <f>SUMIF(#REF!,выравнивание!$A105,#REF!)-SUMIFS(#REF!,#REF!,выравнивание!$A105,#REF!,4)</f>
        <v>#REF!</v>
      </c>
      <c r="AB105" s="37" t="e">
        <f>SUMIF(#REF!,выравнивание!$A105,#REF!)-SUMIFS(#REF!,#REF!,выравнивание!$A105,#REF!,4)</f>
        <v>#REF!</v>
      </c>
      <c r="AC105" s="103" t="e">
        <f>SUMIF(#REF!,выравнивание!$A105,#REF!)-SUMIFS(#REF!,#REF!,выравнивание!$A105,#REF!,4)</f>
        <v>#REF!</v>
      </c>
      <c r="AD105" s="103" t="e">
        <f>SUMIF(#REF!,выравнивание!$A105,#REF!)-SUMIFS(#REF!,#REF!,выравнивание!$A105,#REF!,4)</f>
        <v>#REF!</v>
      </c>
      <c r="AE105" s="103" t="e">
        <f>SUMIF(#REF!,выравнивание!$A105,#REF!)*1000-SUMIF(#REF!,выравнивание!$A105,#REF!)*1000</f>
        <v>#REF!</v>
      </c>
      <c r="AF105" s="105" t="e">
        <f>AD105-AE105</f>
        <v>#REF!</v>
      </c>
      <c r="AU105" s="108"/>
    </row>
    <row r="106" spans="1:49" hidden="1" x14ac:dyDescent="0.25">
      <c r="A106" s="6">
        <v>12</v>
      </c>
      <c r="B106" s="92" t="s">
        <v>27</v>
      </c>
      <c r="C106" s="11">
        <v>706</v>
      </c>
      <c r="D106" s="11">
        <v>2019</v>
      </c>
      <c r="E106" s="11" t="s">
        <v>184</v>
      </c>
      <c r="F106" s="104"/>
      <c r="G106" s="104"/>
      <c r="H106" s="104"/>
      <c r="I106" s="104" t="e">
        <f t="shared" ref="I106:O106" si="107">I105/$AD105</f>
        <v>#REF!</v>
      </c>
      <c r="J106" s="104" t="e">
        <f t="shared" si="107"/>
        <v>#REF!</v>
      </c>
      <c r="K106" s="104" t="e">
        <f t="shared" si="107"/>
        <v>#REF!</v>
      </c>
      <c r="L106" s="104" t="e">
        <f t="shared" si="107"/>
        <v>#REF!</v>
      </c>
      <c r="M106" s="104" t="e">
        <f t="shared" si="107"/>
        <v>#REF!</v>
      </c>
      <c r="N106" s="104" t="e">
        <f t="shared" si="107"/>
        <v>#REF!</v>
      </c>
      <c r="O106" s="104" t="e">
        <f t="shared" si="107"/>
        <v>#REF!</v>
      </c>
      <c r="P106" s="37"/>
      <c r="Q106" s="37"/>
      <c r="R106" s="37"/>
      <c r="S106" s="37"/>
      <c r="T106" s="104" t="e">
        <f t="shared" ref="T106:AB106" si="108">T105/$AD105</f>
        <v>#REF!</v>
      </c>
      <c r="U106" s="104" t="e">
        <f t="shared" si="108"/>
        <v>#REF!</v>
      </c>
      <c r="V106" s="104" t="e">
        <f t="shared" si="108"/>
        <v>#REF!</v>
      </c>
      <c r="W106" s="104" t="e">
        <f t="shared" si="108"/>
        <v>#REF!</v>
      </c>
      <c r="X106" s="104" t="e">
        <f t="shared" si="108"/>
        <v>#REF!</v>
      </c>
      <c r="Y106" s="104" t="e">
        <f t="shared" si="108"/>
        <v>#REF!</v>
      </c>
      <c r="Z106" s="104" t="e">
        <f t="shared" si="108"/>
        <v>#REF!</v>
      </c>
      <c r="AA106" s="104" t="e">
        <f t="shared" si="108"/>
        <v>#REF!</v>
      </c>
      <c r="AB106" s="104" t="e">
        <f t="shared" si="108"/>
        <v>#REF!</v>
      </c>
      <c r="AC106" s="106" t="e">
        <f>1-Z106-Y106-X106-W106-V106-U106-T106-O106-N106-L106-I106</f>
        <v>#REF!</v>
      </c>
      <c r="AD106" s="106" t="e">
        <f>AD105/$AD105</f>
        <v>#REF!</v>
      </c>
      <c r="AE106" s="81"/>
      <c r="AU106" s="108"/>
    </row>
    <row r="107" spans="1:49" x14ac:dyDescent="0.25">
      <c r="A107" s="6">
        <v>12</v>
      </c>
      <c r="B107" s="92" t="s">
        <v>27</v>
      </c>
      <c r="C107" s="11">
        <v>706</v>
      </c>
      <c r="D107" s="11">
        <v>2019</v>
      </c>
      <c r="E107" s="11" t="s">
        <v>185</v>
      </c>
      <c r="F107" s="37" t="e">
        <f>G107+H107</f>
        <v>#REF!</v>
      </c>
      <c r="G107" s="37" t="e">
        <f>J107+AA107</f>
        <v>#REF!</v>
      </c>
      <c r="H107" s="37" t="e">
        <f>K107+AB107</f>
        <v>#REF!</v>
      </c>
      <c r="I107" s="37" t="e">
        <f>ROUND($AF105*I106,0)</f>
        <v>#REF!</v>
      </c>
      <c r="J107" s="37" t="e">
        <f>ROUND(I107/1.302,0)</f>
        <v>#REF!</v>
      </c>
      <c r="K107" s="37" t="e">
        <f>I107-J107</f>
        <v>#REF!</v>
      </c>
      <c r="L107" s="37" t="e">
        <f>ROUND($AF105*L106,0)</f>
        <v>#REF!</v>
      </c>
      <c r="M107" s="37" t="e">
        <f>ROUND($AF105*M106,0)</f>
        <v>#REF!</v>
      </c>
      <c r="N107" s="37" t="e">
        <f>ROUND($AF105*N106,0)</f>
        <v>#REF!</v>
      </c>
      <c r="O107" s="37" t="e">
        <f>ROUND($AF105*O106,0)</f>
        <v>#REF!</v>
      </c>
      <c r="P107" s="37"/>
      <c r="Q107" s="37"/>
      <c r="R107" s="37"/>
      <c r="S107" s="37"/>
      <c r="T107" s="37" t="e">
        <f t="shared" ref="T107:Z107" si="109">ROUND($AF105*T106,0)</f>
        <v>#REF!</v>
      </c>
      <c r="U107" s="37" t="e">
        <f t="shared" si="109"/>
        <v>#REF!</v>
      </c>
      <c r="V107" s="37" t="e">
        <f t="shared" si="109"/>
        <v>#REF!</v>
      </c>
      <c r="W107" s="37" t="e">
        <f t="shared" si="109"/>
        <v>#REF!</v>
      </c>
      <c r="X107" s="37" t="e">
        <f t="shared" si="109"/>
        <v>#REF!</v>
      </c>
      <c r="Y107" s="37" t="e">
        <f t="shared" si="109"/>
        <v>#REF!</v>
      </c>
      <c r="Z107" s="37" t="e">
        <f t="shared" si="109"/>
        <v>#REF!</v>
      </c>
      <c r="AA107" s="37" t="e">
        <f>ROUND(Z107/1.302,0)</f>
        <v>#REF!</v>
      </c>
      <c r="AB107" s="37" t="e">
        <f>Z107-AA107</f>
        <v>#REF!</v>
      </c>
      <c r="AC107" s="37" t="e">
        <f>ROUND($AF105*AC106,0)</f>
        <v>#REF!</v>
      </c>
      <c r="AD107" s="37" t="e">
        <f>I107+L107+N107+O107+T107+U107+V107+W107+X107+Y107+AC107+Z107</f>
        <v>#REF!</v>
      </c>
      <c r="AE107" s="78" t="e">
        <f>AF105</f>
        <v>#REF!</v>
      </c>
      <c r="AF107" s="78" t="e">
        <f>AE107-AF105</f>
        <v>#REF!</v>
      </c>
      <c r="AG107" s="107" t="e">
        <f>-ROUND(F107/1000,1)</f>
        <v>#REF!</v>
      </c>
      <c r="AH107" s="107" t="e">
        <f>ROUND(AG107/1.302,1)</f>
        <v>#REF!</v>
      </c>
      <c r="AI107" s="107" t="e">
        <f>AG107-AH107</f>
        <v>#REF!</v>
      </c>
      <c r="AJ107" s="107" t="e">
        <f>-ROUND(L107/1000,1)</f>
        <v>#REF!</v>
      </c>
      <c r="AK107" s="107" t="e">
        <f>-ROUND(M107/1000,1)</f>
        <v>#REF!</v>
      </c>
      <c r="AL107" s="107" t="e">
        <f>-ROUND(N107/1000,1)</f>
        <v>#REF!</v>
      </c>
      <c r="AM107" s="107" t="e">
        <f>-ROUND(O107/1000,1)</f>
        <v>#REF!</v>
      </c>
      <c r="AN107" s="107" t="e">
        <f t="shared" ref="AN107:AS107" si="110">-ROUND(T107/1000,1)</f>
        <v>#REF!</v>
      </c>
      <c r="AO107" s="107" t="e">
        <f t="shared" si="110"/>
        <v>#REF!</v>
      </c>
      <c r="AP107" s="107" t="e">
        <f t="shared" si="110"/>
        <v>#REF!</v>
      </c>
      <c r="AQ107" s="107" t="e">
        <f t="shared" si="110"/>
        <v>#REF!</v>
      </c>
      <c r="AR107" s="107" t="e">
        <f t="shared" si="110"/>
        <v>#REF!</v>
      </c>
      <c r="AS107" s="107" t="e">
        <f t="shared" si="110"/>
        <v>#REF!</v>
      </c>
      <c r="AT107" s="107" t="e">
        <f>-ROUND(AC107/1000,1)</f>
        <v>#REF!</v>
      </c>
      <c r="AU107" s="108" t="e">
        <f>AG107+AJ107+AL107+AM107+AN107+AO107+AP107+AQ107+AR107+AS107+AT107</f>
        <v>#REF!</v>
      </c>
      <c r="AW107" s="272">
        <v>-95265.2</v>
      </c>
    </row>
    <row r="108" spans="1:49" hidden="1" x14ac:dyDescent="0.25">
      <c r="A108" s="6">
        <v>12</v>
      </c>
      <c r="B108" s="92" t="s">
        <v>27</v>
      </c>
      <c r="C108" s="11">
        <v>706</v>
      </c>
      <c r="D108" s="11">
        <v>2020</v>
      </c>
      <c r="E108" s="11" t="s">
        <v>182</v>
      </c>
      <c r="F108" s="37"/>
      <c r="G108" s="37"/>
      <c r="H108" s="37"/>
      <c r="I108" s="37" t="e">
        <f>SUMIF(#REF!,выравнивание!$A108,#REF!)-SUMIFS(#REF!,#REF!,выравнивание!$A108,#REF!,4)</f>
        <v>#REF!</v>
      </c>
      <c r="J108" s="37" t="e">
        <f>SUMIF(#REF!,выравнивание!$A108,#REF!)-SUMIFS(#REF!,#REF!,выравнивание!$A108,#REF!,4)</f>
        <v>#REF!</v>
      </c>
      <c r="K108" s="37" t="e">
        <f>SUMIF(#REF!,выравнивание!$A108,#REF!)-SUMIFS(#REF!,#REF!,выравнивание!$A108,#REF!,4)</f>
        <v>#REF!</v>
      </c>
      <c r="L108" s="37" t="e">
        <f>SUMIF(#REF!,выравнивание!$A108,#REF!)-SUMIFS(#REF!,#REF!,выравнивание!$A108,#REF!,4)</f>
        <v>#REF!</v>
      </c>
      <c r="M108" s="37" t="e">
        <f>SUMIF(#REF!,выравнивание!$A108,#REF!)-SUMIFS(#REF!,#REF!,выравнивание!$A108,#REF!,4)</f>
        <v>#REF!</v>
      </c>
      <c r="N108" s="37" t="e">
        <f>SUMIF(#REF!,выравнивание!$A108,#REF!)-SUMIFS(#REF!,#REF!,выравнивание!$A108,#REF!,4)</f>
        <v>#REF!</v>
      </c>
      <c r="O108" s="37" t="e">
        <f>SUMIF(#REF!,выравнивание!$A108,#REF!)-SUMIFS(#REF!,#REF!,выравнивание!$A108,#REF!,4)</f>
        <v>#REF!</v>
      </c>
      <c r="P108" s="37" t="e">
        <f>SUMIF(#REF!,выравнивание!$A108,#REF!)-SUMIFS(#REF!,#REF!,выравнивание!$A108,#REF!,4)</f>
        <v>#REF!</v>
      </c>
      <c r="Q108" s="37" t="e">
        <f>SUMIF(#REF!,выравнивание!$A108,#REF!)-SUMIFS(#REF!,#REF!,выравнивание!$A108,#REF!,4)</f>
        <v>#REF!</v>
      </c>
      <c r="R108" s="37" t="e">
        <f>SUMIF(#REF!,выравнивание!$A108,#REF!)-SUMIFS(#REF!,#REF!,выравнивание!$A108,#REF!,4)</f>
        <v>#REF!</v>
      </c>
      <c r="S108" s="37" t="e">
        <f>SUMIF(#REF!,выравнивание!$A108,#REF!)-SUMIFS(#REF!,#REF!,выравнивание!$A108,#REF!,4)</f>
        <v>#REF!</v>
      </c>
      <c r="T108" s="37" t="e">
        <f>SUMIF(#REF!,выравнивание!$A108,#REF!)-SUMIFS(#REF!,#REF!,выравнивание!$A108,#REF!,4)</f>
        <v>#REF!</v>
      </c>
      <c r="U108" s="37" t="e">
        <f>SUMIF(#REF!,выравнивание!$A108,#REF!)-SUMIFS(#REF!,#REF!,выравнивание!$A108,#REF!,4)</f>
        <v>#REF!</v>
      </c>
      <c r="V108" s="37" t="e">
        <f>SUMIF(#REF!,выравнивание!$A108,#REF!)-SUMIFS(#REF!,#REF!,выравнивание!$A108,#REF!,4)</f>
        <v>#REF!</v>
      </c>
      <c r="W108" s="37" t="e">
        <f>SUMIF(#REF!,выравнивание!$A108,#REF!)-SUMIFS(#REF!,#REF!,выравнивание!$A108,#REF!,4)</f>
        <v>#REF!</v>
      </c>
      <c r="X108" s="37" t="e">
        <f>SUMIF(#REF!,выравнивание!$A108,#REF!)-SUMIFS(#REF!,#REF!,выравнивание!$A108,#REF!,4)</f>
        <v>#REF!</v>
      </c>
      <c r="Y108" s="37" t="e">
        <f>SUMIF(#REF!,выравнивание!$A108,#REF!)-SUMIFS(#REF!,#REF!,выравнивание!$A108,#REF!,4)</f>
        <v>#REF!</v>
      </c>
      <c r="Z108" s="37" t="e">
        <f>SUMIF(#REF!,выравнивание!$A108,#REF!)-SUMIFS(#REF!,#REF!,выравнивание!$A108,#REF!,4)</f>
        <v>#REF!</v>
      </c>
      <c r="AA108" s="37" t="e">
        <f>SUMIF(#REF!,выравнивание!$A108,#REF!)-SUMIFS(#REF!,#REF!,выравнивание!$A108,#REF!,4)</f>
        <v>#REF!</v>
      </c>
      <c r="AB108" s="37" t="e">
        <f>SUMIF(#REF!,выравнивание!$A108,#REF!)-SUMIFS(#REF!,#REF!,выравнивание!$A108,#REF!,4)</f>
        <v>#REF!</v>
      </c>
      <c r="AC108" s="103" t="e">
        <f>SUMIF(#REF!,выравнивание!$A108,#REF!)-SUMIFS(#REF!,#REF!,выравнивание!$A108,#REF!,4)</f>
        <v>#REF!</v>
      </c>
      <c r="AD108" s="103" t="e">
        <f>SUMIF(#REF!,выравнивание!$A108,#REF!)-SUMIFS(#REF!,#REF!,выравнивание!$A108,#REF!,4)</f>
        <v>#REF!</v>
      </c>
      <c r="AE108" s="103" t="e">
        <f>SUMIF(#REF!,выравнивание!$A108,#REF!)*1000-SUMIF(#REF!,выравнивание!$A108,#REF!)*1000</f>
        <v>#REF!</v>
      </c>
      <c r="AF108" s="84" t="e">
        <f>AD108-AE108</f>
        <v>#REF!</v>
      </c>
      <c r="AU108" s="108"/>
    </row>
    <row r="109" spans="1:49" hidden="1" x14ac:dyDescent="0.25">
      <c r="A109" s="6">
        <v>12</v>
      </c>
      <c r="B109" s="92" t="s">
        <v>27</v>
      </c>
      <c r="C109" s="11">
        <v>706</v>
      </c>
      <c r="D109" s="11">
        <v>2020</v>
      </c>
      <c r="E109" s="11" t="s">
        <v>184</v>
      </c>
      <c r="F109" s="104"/>
      <c r="G109" s="104"/>
      <c r="H109" s="104"/>
      <c r="I109" s="104" t="e">
        <f t="shared" ref="I109:O109" si="111">I108/$AD108</f>
        <v>#REF!</v>
      </c>
      <c r="J109" s="104" t="e">
        <f t="shared" si="111"/>
        <v>#REF!</v>
      </c>
      <c r="K109" s="104" t="e">
        <f t="shared" si="111"/>
        <v>#REF!</v>
      </c>
      <c r="L109" s="104" t="e">
        <f t="shared" si="111"/>
        <v>#REF!</v>
      </c>
      <c r="M109" s="104" t="e">
        <f t="shared" si="111"/>
        <v>#REF!</v>
      </c>
      <c r="N109" s="104" t="e">
        <f t="shared" si="111"/>
        <v>#REF!</v>
      </c>
      <c r="O109" s="104" t="e">
        <f t="shared" si="111"/>
        <v>#REF!</v>
      </c>
      <c r="P109" s="37"/>
      <c r="Q109" s="37"/>
      <c r="R109" s="37"/>
      <c r="S109" s="37"/>
      <c r="T109" s="104" t="e">
        <f t="shared" ref="T109:AB109" si="112">T108/$AD108</f>
        <v>#REF!</v>
      </c>
      <c r="U109" s="104" t="e">
        <f t="shared" si="112"/>
        <v>#REF!</v>
      </c>
      <c r="V109" s="104" t="e">
        <f t="shared" si="112"/>
        <v>#REF!</v>
      </c>
      <c r="W109" s="104" t="e">
        <f t="shared" si="112"/>
        <v>#REF!</v>
      </c>
      <c r="X109" s="104" t="e">
        <f t="shared" si="112"/>
        <v>#REF!</v>
      </c>
      <c r="Y109" s="104" t="e">
        <f t="shared" si="112"/>
        <v>#REF!</v>
      </c>
      <c r="Z109" s="104" t="e">
        <f t="shared" si="112"/>
        <v>#REF!</v>
      </c>
      <c r="AA109" s="104" t="e">
        <f t="shared" si="112"/>
        <v>#REF!</v>
      </c>
      <c r="AB109" s="104" t="e">
        <f t="shared" si="112"/>
        <v>#REF!</v>
      </c>
      <c r="AC109" s="106" t="e">
        <f>1-Z109-Y109-X109-W109-V109-U109-T109-O109-N109-L109-I109</f>
        <v>#REF!</v>
      </c>
      <c r="AD109" s="106" t="e">
        <f>AD108/$AD108</f>
        <v>#REF!</v>
      </c>
      <c r="AE109" s="81"/>
      <c r="AU109" s="108"/>
    </row>
    <row r="110" spans="1:49" x14ac:dyDescent="0.25">
      <c r="A110" s="6">
        <v>12</v>
      </c>
      <c r="B110" s="92" t="s">
        <v>27</v>
      </c>
      <c r="C110" s="11">
        <v>706</v>
      </c>
      <c r="D110" s="11">
        <v>2020</v>
      </c>
      <c r="E110" s="11" t="s">
        <v>185</v>
      </c>
      <c r="F110" s="37" t="e">
        <f>G110+H110</f>
        <v>#REF!</v>
      </c>
      <c r="G110" s="37" t="e">
        <f>J110+AA110</f>
        <v>#REF!</v>
      </c>
      <c r="H110" s="37" t="e">
        <f>K110+AB110</f>
        <v>#REF!</v>
      </c>
      <c r="I110" s="37" t="e">
        <f>ROUND($AF108*I109,0)</f>
        <v>#REF!</v>
      </c>
      <c r="J110" s="37" t="e">
        <f>ROUND(I110/1.302,0)</f>
        <v>#REF!</v>
      </c>
      <c r="K110" s="37" t="e">
        <f>I110-J110</f>
        <v>#REF!</v>
      </c>
      <c r="L110" s="37" t="e">
        <f>ROUND($AF108*L109,0)</f>
        <v>#REF!</v>
      </c>
      <c r="M110" s="37" t="e">
        <f>ROUND($AF108*M109,0)</f>
        <v>#REF!</v>
      </c>
      <c r="N110" s="37" t="e">
        <f>ROUND($AF108*N109,0)</f>
        <v>#REF!</v>
      </c>
      <c r="O110" s="37" t="e">
        <f>ROUND($AF108*O109,0)</f>
        <v>#REF!</v>
      </c>
      <c r="P110" s="37"/>
      <c r="Q110" s="37"/>
      <c r="R110" s="37"/>
      <c r="S110" s="37"/>
      <c r="T110" s="37" t="e">
        <f t="shared" ref="T110:Z110" si="113">ROUND($AF108*T109,0)</f>
        <v>#REF!</v>
      </c>
      <c r="U110" s="37" t="e">
        <f t="shared" si="113"/>
        <v>#REF!</v>
      </c>
      <c r="V110" s="37" t="e">
        <f t="shared" si="113"/>
        <v>#REF!</v>
      </c>
      <c r="W110" s="37" t="e">
        <f t="shared" si="113"/>
        <v>#REF!</v>
      </c>
      <c r="X110" s="37" t="e">
        <f t="shared" si="113"/>
        <v>#REF!</v>
      </c>
      <c r="Y110" s="37" t="e">
        <f t="shared" si="113"/>
        <v>#REF!</v>
      </c>
      <c r="Z110" s="37" t="e">
        <f t="shared" si="113"/>
        <v>#REF!</v>
      </c>
      <c r="AA110" s="37" t="e">
        <f>ROUND(Z110/1.302,0)</f>
        <v>#REF!</v>
      </c>
      <c r="AB110" s="37" t="e">
        <f>Z110-AA110</f>
        <v>#REF!</v>
      </c>
      <c r="AC110" s="37" t="e">
        <f>ROUND($AF108*AC109,0)</f>
        <v>#REF!</v>
      </c>
      <c r="AD110" s="37" t="e">
        <f>I110+L110+N110+O110+T110+U110+V110+W110+X110+Y110+AC110+Z110</f>
        <v>#REF!</v>
      </c>
      <c r="AE110" s="78" t="e">
        <f>AF108</f>
        <v>#REF!</v>
      </c>
      <c r="AF110" s="78" t="e">
        <f>AE110-AF108</f>
        <v>#REF!</v>
      </c>
      <c r="AG110" s="107" t="e">
        <f>-ROUND(F110/1000,1)</f>
        <v>#REF!</v>
      </c>
      <c r="AH110" s="107" t="e">
        <f>ROUND(AG110/1.302,1)</f>
        <v>#REF!</v>
      </c>
      <c r="AI110" s="107" t="e">
        <f>AG110-AH110</f>
        <v>#REF!</v>
      </c>
      <c r="AJ110" s="107" t="e">
        <f>-ROUND(L110/1000,1)</f>
        <v>#REF!</v>
      </c>
      <c r="AK110" s="107" t="e">
        <f>-ROUND(M110/1000,1)</f>
        <v>#REF!</v>
      </c>
      <c r="AL110" s="107" t="e">
        <f>-ROUND(N110/1000,1)</f>
        <v>#REF!</v>
      </c>
      <c r="AM110" s="107" t="e">
        <f>-ROUND(O110/1000,1)</f>
        <v>#REF!</v>
      </c>
      <c r="AN110" s="107" t="e">
        <f t="shared" ref="AN110:AS110" si="114">-ROUND(T110/1000,1)</f>
        <v>#REF!</v>
      </c>
      <c r="AO110" s="107" t="e">
        <f t="shared" si="114"/>
        <v>#REF!</v>
      </c>
      <c r="AP110" s="107" t="e">
        <f t="shared" si="114"/>
        <v>#REF!</v>
      </c>
      <c r="AQ110" s="107" t="e">
        <f t="shared" si="114"/>
        <v>#REF!</v>
      </c>
      <c r="AR110" s="107" t="e">
        <f t="shared" si="114"/>
        <v>#REF!</v>
      </c>
      <c r="AS110" s="107" t="e">
        <f t="shared" si="114"/>
        <v>#REF!</v>
      </c>
      <c r="AT110" s="107" t="e">
        <f>-ROUND(AC110/1000,1)</f>
        <v>#REF!</v>
      </c>
      <c r="AU110" s="108" t="e">
        <f>AG110+AJ110+AL110+AM110+AN110+AO110+AP110+AQ110+AR110+AS110+AT110</f>
        <v>#REF!</v>
      </c>
      <c r="AW110" s="272">
        <v>-97670.7</v>
      </c>
    </row>
    <row r="111" spans="1:49" hidden="1" x14ac:dyDescent="0.25">
      <c r="A111" s="6">
        <v>13</v>
      </c>
      <c r="B111" s="92" t="s">
        <v>29</v>
      </c>
      <c r="C111" s="11">
        <v>706</v>
      </c>
      <c r="D111" s="11">
        <v>2018</v>
      </c>
      <c r="E111" s="11" t="s">
        <v>182</v>
      </c>
      <c r="F111" s="37"/>
      <c r="G111" s="37"/>
      <c r="H111" s="37"/>
      <c r="I111" s="37">
        <f>SUMIF('2020'!$B:$B,выравнивание!$A111,'2020'!BM:BM)-SUMIFS('2020'!BM:BM,'2020'!$B:$B,выравнивание!$A111,'2020'!$G:$G,4)</f>
        <v>55647062</v>
      </c>
      <c r="J111" s="37">
        <f>SUMIF('2020'!$B:$B,выравнивание!$A111,'2020'!BN:BN)-SUMIFS('2020'!BN:BN,'2020'!$B:$B,выравнивание!$A111,'2020'!$G:$G,4)</f>
        <v>42739679.100000001</v>
      </c>
      <c r="K111" s="37">
        <f>SUMIF('2020'!$B:$B,выравнивание!$A111,'2020'!BO:BO)-SUMIFS('2020'!BO:BO,'2020'!$B:$B,выравнивание!$A111,'2020'!$G:$G,4)</f>
        <v>12907382.9</v>
      </c>
      <c r="L111" s="37">
        <f>SUMIF('2020'!$B:$B,выравнивание!$A111,'2020'!BP:BP)-SUMIFS('2020'!BP:BP,'2020'!$B:$B,выравнивание!$A111,'2020'!$G:$G,4)</f>
        <v>4963555</v>
      </c>
      <c r="M111" s="37">
        <f>SUMIF('2020'!$B:$B,выравнивание!$A111,'2020'!BQ:BQ)-SUMIFS('2020'!BQ:BQ,'2020'!$B:$B,выравнивание!$A111,'2020'!$G:$G,4)</f>
        <v>939627</v>
      </c>
      <c r="N111" s="37">
        <f>SUMIF('2020'!$B:$B,выравнивание!$A111,'2020'!BR:BR)-SUMIFS('2020'!BR:BR,'2020'!$B:$B,выравнивание!$A111,'2020'!$G:$G,4)</f>
        <v>4605965</v>
      </c>
      <c r="O111" s="37">
        <f>SUMIF('2020'!$B:$B,выравнивание!$A111,'2020'!BS:BS)-SUMIFS('2020'!BS:BS,'2020'!$B:$B,выравнивание!$A111,'2020'!$G:$G,4)</f>
        <v>10935215</v>
      </c>
      <c r="P111" s="37">
        <f>SUMIF('2020'!$B:$B,выравнивание!$A111,'2020'!BT:BT)-SUMIFS('2020'!BT:BT,'2020'!$B:$B,выравнивание!$A111,'2020'!$G:$G,4)</f>
        <v>307760</v>
      </c>
      <c r="Q111" s="37">
        <f>SUMIF('2020'!$B:$B,выравнивание!$A111,'2020'!BU:BU)-SUMIFS('2020'!BU:BU,'2020'!$B:$B,выравнивание!$A111,'2020'!$G:$G,4)</f>
        <v>9897285</v>
      </c>
      <c r="R111" s="37">
        <f>SUMIF('2020'!$B:$B,выравнивание!$A111,'2020'!BV:BV)-SUMIFS('2020'!BV:BV,'2020'!$B:$B,выравнивание!$A111,'2020'!$G:$G,4)</f>
        <v>213290</v>
      </c>
      <c r="S111" s="37">
        <f>SUMIF('2020'!$B:$B,выравнивание!$A111,'2020'!BW:BW)-SUMIFS('2020'!BW:BW,'2020'!$B:$B,выравнивание!$A111,'2020'!$G:$G,4)</f>
        <v>516880</v>
      </c>
      <c r="T111" s="37">
        <f>SUMIF('2020'!$B:$B,выравнивание!$A111,'2020'!BX:BX)-SUMIFS('2020'!BX:BX,'2020'!$B:$B,выравнивание!$A111,'2020'!$G:$G,4)</f>
        <v>4195878</v>
      </c>
      <c r="U111" s="37">
        <f>SUMIF('2020'!$B:$B,выравнивание!$A111,'2020'!BY:BY)-SUMIFS('2020'!BY:BY,'2020'!$B:$B,выравнивание!$A111,'2020'!$G:$G,4)</f>
        <v>3365540</v>
      </c>
      <c r="V111" s="37">
        <f>SUMIF('2020'!$B:$B,выравнивание!$A111,'2020'!BZ:BZ)-SUMIFS('2020'!BZ:BZ,'2020'!$B:$B,выравнивание!$A111,'2020'!$G:$G,4)</f>
        <v>314550</v>
      </c>
      <c r="W111" s="37">
        <f>SUMIF('2020'!$B:$B,выравнивание!$A111,'2020'!CA:CA)-SUMIFS('2020'!CA:CA,'2020'!$B:$B,выравнивание!$A111,'2020'!$G:$G,4)</f>
        <v>448525</v>
      </c>
      <c r="X111" s="37">
        <f>SUMIF('2020'!$B:$B,выравнивание!$A111,'2020'!CB:CB)-SUMIFS('2020'!CB:CB,'2020'!$B:$B,выравнивание!$A111,'2020'!$G:$G,4)</f>
        <v>47230</v>
      </c>
      <c r="Y111" s="37">
        <f>SUMIF('2020'!$B:$B,выравнивание!$A111,'2020'!CC:CC)-SUMIFS('2020'!CC:CC,'2020'!$B:$B,выравнивание!$A111,'2020'!$G:$G,4)</f>
        <v>568595</v>
      </c>
      <c r="Z111" s="37">
        <f>SUMIF('2020'!$B:$B,выравнивание!$A111,'2020'!CD:CD)-SUMIFS('2020'!CD:CD,'2020'!$B:$B,выравнивание!$A111,'2020'!$G:$G,4)</f>
        <v>13764323</v>
      </c>
      <c r="AA111" s="37">
        <f>SUMIF('2020'!$B:$B,выравнивание!$A111,'2020'!CE:CE)-SUMIFS('2020'!CE:CE,'2020'!$B:$B,выравнивание!$A111,'2020'!$G:$G,4)</f>
        <v>10571676.699999999</v>
      </c>
      <c r="AB111" s="37">
        <f>SUMIF('2020'!$B:$B,выравнивание!$A111,'2020'!CF:CF)-SUMIFS('2020'!CF:CF,'2020'!$B:$B,выравнивание!$A111,'2020'!$G:$G,4)</f>
        <v>3192646.3</v>
      </c>
      <c r="AC111" s="103">
        <f>SUMIF('2020'!$B:$B,выравнивание!$A111,'2020'!CG:CG)-SUMIFS('2020'!CG:CG,'2020'!$B:$B,выравнивание!$A111,'2020'!$G:$G,4)</f>
        <v>1921920</v>
      </c>
      <c r="AD111" s="103">
        <f>SUMIF('2020'!$B:$B,выравнивание!$A111,'2020'!CH:CH)-SUMIFS('2020'!CH:CH,'2020'!$B:$B,выравнивание!$A111,'2020'!$G:$G,4)</f>
        <v>100778358</v>
      </c>
      <c r="AE111" s="84">
        <f>SUMIF('Свод 2020'!$A$9:$A$22,выравнивание!$A111,'Свод 2020'!$AA$9:$AA$24)*1000-SUMIF('Свод 2020'!$A$9:$A$22,выравнивание!$A111,'Свод 2020'!$S$9:$S$24)*1000</f>
        <v>107012000</v>
      </c>
      <c r="AF111" s="105">
        <f>AD111-AE111</f>
        <v>-6233642</v>
      </c>
      <c r="AU111" s="108"/>
    </row>
    <row r="112" spans="1:49" hidden="1" x14ac:dyDescent="0.25">
      <c r="A112" s="6">
        <v>13</v>
      </c>
      <c r="B112" s="92" t="s">
        <v>29</v>
      </c>
      <c r="C112" s="11">
        <v>706</v>
      </c>
      <c r="D112" s="11">
        <v>2018</v>
      </c>
      <c r="E112" s="11" t="s">
        <v>184</v>
      </c>
      <c r="F112" s="104"/>
      <c r="G112" s="104"/>
      <c r="H112" s="104"/>
      <c r="I112" s="104">
        <f t="shared" ref="I112:O112" si="115">I111/$AD111</f>
        <v>0.55217300000000002</v>
      </c>
      <c r="J112" s="104">
        <f t="shared" si="115"/>
        <v>0.42409599999999997</v>
      </c>
      <c r="K112" s="104">
        <f t="shared" si="115"/>
        <v>0.128077</v>
      </c>
      <c r="L112" s="104">
        <f t="shared" si="115"/>
        <v>4.9251999999999997E-2</v>
      </c>
      <c r="M112" s="104">
        <f t="shared" si="115"/>
        <v>9.3240000000000007E-3</v>
      </c>
      <c r="N112" s="104">
        <f t="shared" si="115"/>
        <v>4.5704000000000002E-2</v>
      </c>
      <c r="O112" s="104">
        <f t="shared" si="115"/>
        <v>0.10850799999999999</v>
      </c>
      <c r="P112" s="37"/>
      <c r="Q112" s="37"/>
      <c r="R112" s="37"/>
      <c r="S112" s="37"/>
      <c r="T112" s="104">
        <f t="shared" ref="T112:AB112" si="116">T111/$AD111</f>
        <v>4.1634999999999998E-2</v>
      </c>
      <c r="U112" s="104">
        <f t="shared" si="116"/>
        <v>3.3395000000000001E-2</v>
      </c>
      <c r="V112" s="104">
        <f t="shared" si="116"/>
        <v>3.1210000000000001E-3</v>
      </c>
      <c r="W112" s="104">
        <f t="shared" si="116"/>
        <v>4.4510000000000001E-3</v>
      </c>
      <c r="X112" s="104">
        <f t="shared" si="116"/>
        <v>4.6900000000000002E-4</v>
      </c>
      <c r="Y112" s="104">
        <f t="shared" si="116"/>
        <v>5.6420000000000003E-3</v>
      </c>
      <c r="Z112" s="104">
        <f t="shared" si="116"/>
        <v>0.13658000000000001</v>
      </c>
      <c r="AA112" s="104">
        <f t="shared" si="116"/>
        <v>0.10489999999999999</v>
      </c>
      <c r="AB112" s="104">
        <f t="shared" si="116"/>
        <v>3.168E-2</v>
      </c>
      <c r="AC112" s="106">
        <f>1-Z112-Y112-X112-W112-V112-U112-T112-O112-N112-L112-I112</f>
        <v>1.907E-2</v>
      </c>
      <c r="AD112" s="106">
        <f>AD111/$AD111</f>
        <v>1</v>
      </c>
      <c r="AE112" s="81"/>
      <c r="AU112" s="108"/>
    </row>
    <row r="113" spans="1:49" x14ac:dyDescent="0.25">
      <c r="A113" s="6">
        <v>13</v>
      </c>
      <c r="B113" s="92" t="s">
        <v>29</v>
      </c>
      <c r="C113" s="11">
        <v>706</v>
      </c>
      <c r="D113" s="11">
        <v>2018</v>
      </c>
      <c r="E113" s="11" t="s">
        <v>185</v>
      </c>
      <c r="F113" s="37">
        <f>G113+H113</f>
        <v>-4293440</v>
      </c>
      <c r="G113" s="37">
        <f>J113+AA113</f>
        <v>-3297573</v>
      </c>
      <c r="H113" s="37">
        <f>K113+AB113</f>
        <v>-995867</v>
      </c>
      <c r="I113" s="37">
        <f>ROUND($AF111*I112,0)</f>
        <v>-3442049</v>
      </c>
      <c r="J113" s="37">
        <f>ROUND(I113/1.302,0)</f>
        <v>-2643663</v>
      </c>
      <c r="K113" s="37">
        <f>I113-J113</f>
        <v>-798386</v>
      </c>
      <c r="L113" s="37">
        <f>ROUND($AF111*L112,0)</f>
        <v>-307019</v>
      </c>
      <c r="M113" s="37">
        <f>ROUND($AF111*M112,0)</f>
        <v>-58122</v>
      </c>
      <c r="N113" s="37">
        <f>ROUND($AF111*N112,0)</f>
        <v>-284902</v>
      </c>
      <c r="O113" s="37">
        <f>ROUND($AF111*O112,0)</f>
        <v>-676400</v>
      </c>
      <c r="P113" s="37"/>
      <c r="Q113" s="37"/>
      <c r="R113" s="37"/>
      <c r="S113" s="37"/>
      <c r="T113" s="37">
        <f t="shared" ref="T113:Z113" si="117">ROUND($AF111*T112,0)</f>
        <v>-259538</v>
      </c>
      <c r="U113" s="37">
        <f t="shared" si="117"/>
        <v>-208172</v>
      </c>
      <c r="V113" s="37">
        <f t="shared" si="117"/>
        <v>-19455</v>
      </c>
      <c r="W113" s="37">
        <f t="shared" si="117"/>
        <v>-27746</v>
      </c>
      <c r="X113" s="37">
        <f t="shared" si="117"/>
        <v>-2924</v>
      </c>
      <c r="Y113" s="37">
        <f t="shared" si="117"/>
        <v>-35170</v>
      </c>
      <c r="Z113" s="37">
        <f t="shared" si="117"/>
        <v>-851391</v>
      </c>
      <c r="AA113" s="37">
        <f>ROUND(Z113/1.302,0)</f>
        <v>-653910</v>
      </c>
      <c r="AB113" s="37">
        <f>Z113-AA113</f>
        <v>-197481</v>
      </c>
      <c r="AC113" s="37">
        <f>ROUND($AF111*AC112,0)</f>
        <v>-118876</v>
      </c>
      <c r="AD113" s="37">
        <f>I113+L113+N113+O113+T113+U113+V113+W113+X113+Y113+AC113+Z113</f>
        <v>-6233642</v>
      </c>
      <c r="AE113" s="78">
        <f>AF111</f>
        <v>-6233642</v>
      </c>
      <c r="AF113" s="78">
        <f>AE113-AF111</f>
        <v>0</v>
      </c>
      <c r="AG113" s="107">
        <f>-ROUND(F113/1000,1)</f>
        <v>4293.3999999999996</v>
      </c>
      <c r="AH113" s="107">
        <f>ROUND(AG113/1.302,1)</f>
        <v>3297.5</v>
      </c>
      <c r="AI113" s="107">
        <f>AG113-AH113</f>
        <v>995.9</v>
      </c>
      <c r="AJ113" s="107">
        <f>-ROUND(L113/1000,1)</f>
        <v>307</v>
      </c>
      <c r="AK113" s="107">
        <f>-ROUND(M113/1000,1)</f>
        <v>58.1</v>
      </c>
      <c r="AL113" s="107">
        <f>-ROUND(N113/1000,1)</f>
        <v>284.89999999999998</v>
      </c>
      <c r="AM113" s="107">
        <f>-ROUND(O113/1000,1)</f>
        <v>676.4</v>
      </c>
      <c r="AN113" s="107">
        <f t="shared" ref="AN113:AS113" si="118">-ROUND(T113/1000,1)</f>
        <v>259.5</v>
      </c>
      <c r="AO113" s="107">
        <f t="shared" si="118"/>
        <v>208.2</v>
      </c>
      <c r="AP113" s="107">
        <f t="shared" si="118"/>
        <v>19.5</v>
      </c>
      <c r="AQ113" s="107">
        <f t="shared" si="118"/>
        <v>27.7</v>
      </c>
      <c r="AR113" s="107">
        <f t="shared" si="118"/>
        <v>2.9</v>
      </c>
      <c r="AS113" s="107">
        <f t="shared" si="118"/>
        <v>35.200000000000003</v>
      </c>
      <c r="AT113" s="107">
        <f>-ROUND(AC113/1000,1)</f>
        <v>118.9</v>
      </c>
      <c r="AU113" s="108">
        <f>AG113+AJ113+AL113+AM113+AN113+AO113+AP113+AQ113+AR113+AS113+AT113</f>
        <v>6233.6</v>
      </c>
      <c r="AW113" s="272">
        <v>-30840.9</v>
      </c>
    </row>
    <row r="114" spans="1:49" hidden="1" x14ac:dyDescent="0.25">
      <c r="A114" s="6">
        <v>13</v>
      </c>
      <c r="B114" s="92" t="s">
        <v>29</v>
      </c>
      <c r="C114" s="11">
        <v>706</v>
      </c>
      <c r="D114" s="11">
        <v>2019</v>
      </c>
      <c r="E114" s="11" t="s">
        <v>182</v>
      </c>
      <c r="F114" s="37"/>
      <c r="G114" s="37"/>
      <c r="H114" s="37"/>
      <c r="I114" s="37" t="e">
        <f>SUMIF(#REF!,выравнивание!$A114,#REF!)-SUMIFS(#REF!,#REF!,выравнивание!$A114,#REF!,4)</f>
        <v>#REF!</v>
      </c>
      <c r="J114" s="37" t="e">
        <f>SUMIF(#REF!,выравнивание!$A114,#REF!)-SUMIFS(#REF!,#REF!,выравнивание!$A114,#REF!,4)</f>
        <v>#REF!</v>
      </c>
      <c r="K114" s="37" t="e">
        <f>SUMIF(#REF!,выравнивание!$A114,#REF!)-SUMIFS(#REF!,#REF!,выравнивание!$A114,#REF!,4)</f>
        <v>#REF!</v>
      </c>
      <c r="L114" s="37" t="e">
        <f>SUMIF(#REF!,выравнивание!$A114,#REF!)-SUMIFS(#REF!,#REF!,выравнивание!$A114,#REF!,4)</f>
        <v>#REF!</v>
      </c>
      <c r="M114" s="37" t="e">
        <f>SUMIF(#REF!,выравнивание!$A114,#REF!)-SUMIFS(#REF!,#REF!,выравнивание!$A114,#REF!,4)</f>
        <v>#REF!</v>
      </c>
      <c r="N114" s="37" t="e">
        <f>SUMIF(#REF!,выравнивание!$A114,#REF!)-SUMIFS(#REF!,#REF!,выравнивание!$A114,#REF!,4)</f>
        <v>#REF!</v>
      </c>
      <c r="O114" s="37" t="e">
        <f>SUMIF(#REF!,выравнивание!$A114,#REF!)-SUMIFS(#REF!,#REF!,выравнивание!$A114,#REF!,4)</f>
        <v>#REF!</v>
      </c>
      <c r="P114" s="37" t="e">
        <f>SUMIF(#REF!,выравнивание!$A114,#REF!)-SUMIFS(#REF!,#REF!,выравнивание!$A114,#REF!,4)</f>
        <v>#REF!</v>
      </c>
      <c r="Q114" s="37" t="e">
        <f>SUMIF(#REF!,выравнивание!$A114,#REF!)-SUMIFS(#REF!,#REF!,выравнивание!$A114,#REF!,4)</f>
        <v>#REF!</v>
      </c>
      <c r="R114" s="37" t="e">
        <f>SUMIF(#REF!,выравнивание!$A114,#REF!)-SUMIFS(#REF!,#REF!,выравнивание!$A114,#REF!,4)</f>
        <v>#REF!</v>
      </c>
      <c r="S114" s="37" t="e">
        <f>SUMIF(#REF!,выравнивание!$A114,#REF!)-SUMIFS(#REF!,#REF!,выравнивание!$A114,#REF!,4)</f>
        <v>#REF!</v>
      </c>
      <c r="T114" s="37" t="e">
        <f>SUMIF(#REF!,выравнивание!$A114,#REF!)-SUMIFS(#REF!,#REF!,выравнивание!$A114,#REF!,4)</f>
        <v>#REF!</v>
      </c>
      <c r="U114" s="37" t="e">
        <f>SUMIF(#REF!,выравнивание!$A114,#REF!)-SUMIFS(#REF!,#REF!,выравнивание!$A114,#REF!,4)</f>
        <v>#REF!</v>
      </c>
      <c r="V114" s="37" t="e">
        <f>SUMIF(#REF!,выравнивание!$A114,#REF!)-SUMIFS(#REF!,#REF!,выравнивание!$A114,#REF!,4)</f>
        <v>#REF!</v>
      </c>
      <c r="W114" s="37" t="e">
        <f>SUMIF(#REF!,выравнивание!$A114,#REF!)-SUMIFS(#REF!,#REF!,выравнивание!$A114,#REF!,4)</f>
        <v>#REF!</v>
      </c>
      <c r="X114" s="37" t="e">
        <f>SUMIF(#REF!,выравнивание!$A114,#REF!)-SUMIFS(#REF!,#REF!,выравнивание!$A114,#REF!,4)</f>
        <v>#REF!</v>
      </c>
      <c r="Y114" s="37" t="e">
        <f>SUMIF(#REF!,выравнивание!$A114,#REF!)-SUMIFS(#REF!,#REF!,выравнивание!$A114,#REF!,4)</f>
        <v>#REF!</v>
      </c>
      <c r="Z114" s="37" t="e">
        <f>SUMIF(#REF!,выравнивание!$A114,#REF!)-SUMIFS(#REF!,#REF!,выравнивание!$A114,#REF!,4)</f>
        <v>#REF!</v>
      </c>
      <c r="AA114" s="37" t="e">
        <f>SUMIF(#REF!,выравнивание!$A114,#REF!)-SUMIFS(#REF!,#REF!,выравнивание!$A114,#REF!,4)</f>
        <v>#REF!</v>
      </c>
      <c r="AB114" s="37" t="e">
        <f>SUMIF(#REF!,выравнивание!$A114,#REF!)-SUMIFS(#REF!,#REF!,выравнивание!$A114,#REF!,4)</f>
        <v>#REF!</v>
      </c>
      <c r="AC114" s="103" t="e">
        <f>SUMIF(#REF!,выравнивание!$A114,#REF!)-SUMIFS(#REF!,#REF!,выравнивание!$A114,#REF!,4)</f>
        <v>#REF!</v>
      </c>
      <c r="AD114" s="103" t="e">
        <f>SUMIF(#REF!,выравнивание!$A114,#REF!)-SUMIFS(#REF!,#REF!,выравнивание!$A114,#REF!,4)</f>
        <v>#REF!</v>
      </c>
      <c r="AE114" s="103" t="e">
        <f>SUMIF(#REF!,выравнивание!$A114,#REF!)*1000-SUMIF(#REF!,выравнивание!$A114,#REF!)*1000</f>
        <v>#REF!</v>
      </c>
      <c r="AF114" s="105" t="e">
        <f>AD114-AE114</f>
        <v>#REF!</v>
      </c>
      <c r="AU114" s="108"/>
    </row>
    <row r="115" spans="1:49" hidden="1" x14ac:dyDescent="0.25">
      <c r="A115" s="6">
        <v>13</v>
      </c>
      <c r="B115" s="92" t="s">
        <v>29</v>
      </c>
      <c r="C115" s="11">
        <v>706</v>
      </c>
      <c r="D115" s="11">
        <v>2019</v>
      </c>
      <c r="E115" s="11" t="s">
        <v>184</v>
      </c>
      <c r="F115" s="104"/>
      <c r="G115" s="104"/>
      <c r="H115" s="104"/>
      <c r="I115" s="104" t="e">
        <f t="shared" ref="I115:O115" si="119">I114/$AD114</f>
        <v>#REF!</v>
      </c>
      <c r="J115" s="104" t="e">
        <f t="shared" si="119"/>
        <v>#REF!</v>
      </c>
      <c r="K115" s="104" t="e">
        <f t="shared" si="119"/>
        <v>#REF!</v>
      </c>
      <c r="L115" s="104" t="e">
        <f t="shared" si="119"/>
        <v>#REF!</v>
      </c>
      <c r="M115" s="104" t="e">
        <f t="shared" si="119"/>
        <v>#REF!</v>
      </c>
      <c r="N115" s="104" t="e">
        <f t="shared" si="119"/>
        <v>#REF!</v>
      </c>
      <c r="O115" s="104" t="e">
        <f t="shared" si="119"/>
        <v>#REF!</v>
      </c>
      <c r="P115" s="37"/>
      <c r="Q115" s="37"/>
      <c r="R115" s="37"/>
      <c r="S115" s="37"/>
      <c r="T115" s="104" t="e">
        <f t="shared" ref="T115:AB115" si="120">T114/$AD114</f>
        <v>#REF!</v>
      </c>
      <c r="U115" s="104" t="e">
        <f t="shared" si="120"/>
        <v>#REF!</v>
      </c>
      <c r="V115" s="104" t="e">
        <f t="shared" si="120"/>
        <v>#REF!</v>
      </c>
      <c r="W115" s="104" t="e">
        <f t="shared" si="120"/>
        <v>#REF!</v>
      </c>
      <c r="X115" s="104" t="e">
        <f t="shared" si="120"/>
        <v>#REF!</v>
      </c>
      <c r="Y115" s="104" t="e">
        <f t="shared" si="120"/>
        <v>#REF!</v>
      </c>
      <c r="Z115" s="104" t="e">
        <f t="shared" si="120"/>
        <v>#REF!</v>
      </c>
      <c r="AA115" s="104" t="e">
        <f t="shared" si="120"/>
        <v>#REF!</v>
      </c>
      <c r="AB115" s="104" t="e">
        <f t="shared" si="120"/>
        <v>#REF!</v>
      </c>
      <c r="AC115" s="106" t="e">
        <f>1-Z115-Y115-X115-W115-V115-U115-T115-O115-N115-L115-I115</f>
        <v>#REF!</v>
      </c>
      <c r="AD115" s="106" t="e">
        <f>AD114/$AD114</f>
        <v>#REF!</v>
      </c>
      <c r="AE115" s="81"/>
      <c r="AU115" s="108"/>
    </row>
    <row r="116" spans="1:49" x14ac:dyDescent="0.25">
      <c r="A116" s="6">
        <v>13</v>
      </c>
      <c r="B116" s="92" t="s">
        <v>29</v>
      </c>
      <c r="C116" s="11">
        <v>706</v>
      </c>
      <c r="D116" s="11">
        <v>2019</v>
      </c>
      <c r="E116" s="11" t="s">
        <v>185</v>
      </c>
      <c r="F116" s="37" t="e">
        <f>G116+H116</f>
        <v>#REF!</v>
      </c>
      <c r="G116" s="37" t="e">
        <f>J116+AA116</f>
        <v>#REF!</v>
      </c>
      <c r="H116" s="37" t="e">
        <f>K116+AB116</f>
        <v>#REF!</v>
      </c>
      <c r="I116" s="37" t="e">
        <f>ROUND($AF114*I115,0)</f>
        <v>#REF!</v>
      </c>
      <c r="J116" s="37" t="e">
        <f>ROUND(I116/1.302,0)</f>
        <v>#REF!</v>
      </c>
      <c r="K116" s="37" t="e">
        <f>I116-J116</f>
        <v>#REF!</v>
      </c>
      <c r="L116" s="37" t="e">
        <f>ROUND($AF114*L115,0)</f>
        <v>#REF!</v>
      </c>
      <c r="M116" s="37" t="e">
        <f>ROUND($AF114*M115,0)</f>
        <v>#REF!</v>
      </c>
      <c r="N116" s="37" t="e">
        <f>ROUND($AF114*N115,0)</f>
        <v>#REF!</v>
      </c>
      <c r="O116" s="37" t="e">
        <f>ROUND($AF114*O115,0)</f>
        <v>#REF!</v>
      </c>
      <c r="P116" s="37"/>
      <c r="Q116" s="37"/>
      <c r="R116" s="37"/>
      <c r="S116" s="37"/>
      <c r="T116" s="37" t="e">
        <f t="shared" ref="T116:Z116" si="121">ROUND($AF114*T115,0)</f>
        <v>#REF!</v>
      </c>
      <c r="U116" s="37" t="e">
        <f t="shared" si="121"/>
        <v>#REF!</v>
      </c>
      <c r="V116" s="37" t="e">
        <f t="shared" si="121"/>
        <v>#REF!</v>
      </c>
      <c r="W116" s="37" t="e">
        <f t="shared" si="121"/>
        <v>#REF!</v>
      </c>
      <c r="X116" s="37" t="e">
        <f t="shared" si="121"/>
        <v>#REF!</v>
      </c>
      <c r="Y116" s="37" t="e">
        <f t="shared" si="121"/>
        <v>#REF!</v>
      </c>
      <c r="Z116" s="37" t="e">
        <f t="shared" si="121"/>
        <v>#REF!</v>
      </c>
      <c r="AA116" s="37" t="e">
        <f>ROUND(Z116/1.302,0)</f>
        <v>#REF!</v>
      </c>
      <c r="AB116" s="37" t="e">
        <f>Z116-AA116</f>
        <v>#REF!</v>
      </c>
      <c r="AC116" s="37" t="e">
        <f>ROUND($AF114*AC115,0)</f>
        <v>#REF!</v>
      </c>
      <c r="AD116" s="37" t="e">
        <f>I116+L116+N116+O116+T116+U116+V116+W116+X116+Y116+AC116+Z116</f>
        <v>#REF!</v>
      </c>
      <c r="AE116" s="78" t="e">
        <f>AF114</f>
        <v>#REF!</v>
      </c>
      <c r="AF116" s="78" t="e">
        <f>AE116-AF114</f>
        <v>#REF!</v>
      </c>
      <c r="AG116" s="107" t="e">
        <f>-ROUND(F116/1000,1)</f>
        <v>#REF!</v>
      </c>
      <c r="AH116" s="107" t="e">
        <f>ROUND(AG116/1.302,1)</f>
        <v>#REF!</v>
      </c>
      <c r="AI116" s="107" t="e">
        <f>AG116-AH116</f>
        <v>#REF!</v>
      </c>
      <c r="AJ116" s="107" t="e">
        <f>-ROUND(L116/1000,1)</f>
        <v>#REF!</v>
      </c>
      <c r="AK116" s="107" t="e">
        <f>-ROUND(M116/1000,1)</f>
        <v>#REF!</v>
      </c>
      <c r="AL116" s="107" t="e">
        <f>-ROUND(N116/1000,1)</f>
        <v>#REF!</v>
      </c>
      <c r="AM116" s="107" t="e">
        <f>-ROUND(O116/1000,1)</f>
        <v>#REF!</v>
      </c>
      <c r="AN116" s="107" t="e">
        <f t="shared" ref="AN116:AS116" si="122">-ROUND(T116/1000,1)</f>
        <v>#REF!</v>
      </c>
      <c r="AO116" s="107" t="e">
        <f t="shared" si="122"/>
        <v>#REF!</v>
      </c>
      <c r="AP116" s="107" t="e">
        <f t="shared" si="122"/>
        <v>#REF!</v>
      </c>
      <c r="AQ116" s="107" t="e">
        <f t="shared" si="122"/>
        <v>#REF!</v>
      </c>
      <c r="AR116" s="107" t="e">
        <f t="shared" si="122"/>
        <v>#REF!</v>
      </c>
      <c r="AS116" s="107" t="e">
        <f t="shared" si="122"/>
        <v>#REF!</v>
      </c>
      <c r="AT116" s="107" t="e">
        <f>-ROUND(AC116/1000,1)</f>
        <v>#REF!</v>
      </c>
      <c r="AU116" s="108" t="e">
        <f>AG116+AJ116+AL116+AM116+AN116+AO116+AP116+AQ116+AR116+AS116+AT116</f>
        <v>#REF!</v>
      </c>
      <c r="AW116" s="272">
        <v>-32105.4</v>
      </c>
    </row>
    <row r="117" spans="1:49" hidden="1" x14ac:dyDescent="0.25">
      <c r="A117" s="6">
        <v>13</v>
      </c>
      <c r="B117" s="92" t="s">
        <v>29</v>
      </c>
      <c r="C117" s="11">
        <v>706</v>
      </c>
      <c r="D117" s="11">
        <v>2020</v>
      </c>
      <c r="E117" s="11" t="s">
        <v>182</v>
      </c>
      <c r="F117" s="37"/>
      <c r="G117" s="37"/>
      <c r="H117" s="37"/>
      <c r="I117" s="37" t="e">
        <f>SUMIF(#REF!,выравнивание!$A117,#REF!)-SUMIFS(#REF!,#REF!,выравнивание!$A117,#REF!,4)</f>
        <v>#REF!</v>
      </c>
      <c r="J117" s="37" t="e">
        <f>SUMIF(#REF!,выравнивание!$A117,#REF!)-SUMIFS(#REF!,#REF!,выравнивание!$A117,#REF!,4)</f>
        <v>#REF!</v>
      </c>
      <c r="K117" s="37" t="e">
        <f>SUMIF(#REF!,выравнивание!$A117,#REF!)-SUMIFS(#REF!,#REF!,выравнивание!$A117,#REF!,4)</f>
        <v>#REF!</v>
      </c>
      <c r="L117" s="37" t="e">
        <f>SUMIF(#REF!,выравнивание!$A117,#REF!)-SUMIFS(#REF!,#REF!,выравнивание!$A117,#REF!,4)</f>
        <v>#REF!</v>
      </c>
      <c r="M117" s="37" t="e">
        <f>SUMIF(#REF!,выравнивание!$A117,#REF!)-SUMIFS(#REF!,#REF!,выравнивание!$A117,#REF!,4)</f>
        <v>#REF!</v>
      </c>
      <c r="N117" s="37" t="e">
        <f>SUMIF(#REF!,выравнивание!$A117,#REF!)-SUMIFS(#REF!,#REF!,выравнивание!$A117,#REF!,4)</f>
        <v>#REF!</v>
      </c>
      <c r="O117" s="37" t="e">
        <f>SUMIF(#REF!,выравнивание!$A117,#REF!)-SUMIFS(#REF!,#REF!,выравнивание!$A117,#REF!,4)</f>
        <v>#REF!</v>
      </c>
      <c r="P117" s="37" t="e">
        <f>SUMIF(#REF!,выравнивание!$A117,#REF!)-SUMIFS(#REF!,#REF!,выравнивание!$A117,#REF!,4)</f>
        <v>#REF!</v>
      </c>
      <c r="Q117" s="37" t="e">
        <f>SUMIF(#REF!,выравнивание!$A117,#REF!)-SUMIFS(#REF!,#REF!,выравнивание!$A117,#REF!,4)</f>
        <v>#REF!</v>
      </c>
      <c r="R117" s="37" t="e">
        <f>SUMIF(#REF!,выравнивание!$A117,#REF!)-SUMIFS(#REF!,#REF!,выравнивание!$A117,#REF!,4)</f>
        <v>#REF!</v>
      </c>
      <c r="S117" s="37" t="e">
        <f>SUMIF(#REF!,выравнивание!$A117,#REF!)-SUMIFS(#REF!,#REF!,выравнивание!$A117,#REF!,4)</f>
        <v>#REF!</v>
      </c>
      <c r="T117" s="37" t="e">
        <f>SUMIF(#REF!,выравнивание!$A117,#REF!)-SUMIFS(#REF!,#REF!,выравнивание!$A117,#REF!,4)</f>
        <v>#REF!</v>
      </c>
      <c r="U117" s="37" t="e">
        <f>SUMIF(#REF!,выравнивание!$A117,#REF!)-SUMIFS(#REF!,#REF!,выравнивание!$A117,#REF!,4)</f>
        <v>#REF!</v>
      </c>
      <c r="V117" s="37" t="e">
        <f>SUMIF(#REF!,выравнивание!$A117,#REF!)-SUMIFS(#REF!,#REF!,выравнивание!$A117,#REF!,4)</f>
        <v>#REF!</v>
      </c>
      <c r="W117" s="37" t="e">
        <f>SUMIF(#REF!,выравнивание!$A117,#REF!)-SUMIFS(#REF!,#REF!,выравнивание!$A117,#REF!,4)</f>
        <v>#REF!</v>
      </c>
      <c r="X117" s="37" t="e">
        <f>SUMIF(#REF!,выравнивание!$A117,#REF!)-SUMIFS(#REF!,#REF!,выравнивание!$A117,#REF!,4)</f>
        <v>#REF!</v>
      </c>
      <c r="Y117" s="37" t="e">
        <f>SUMIF(#REF!,выравнивание!$A117,#REF!)-SUMIFS(#REF!,#REF!,выравнивание!$A117,#REF!,4)</f>
        <v>#REF!</v>
      </c>
      <c r="Z117" s="37" t="e">
        <f>SUMIF(#REF!,выравнивание!$A117,#REF!)-SUMIFS(#REF!,#REF!,выравнивание!$A117,#REF!,4)</f>
        <v>#REF!</v>
      </c>
      <c r="AA117" s="37" t="e">
        <f>SUMIF(#REF!,выравнивание!$A117,#REF!)-SUMIFS(#REF!,#REF!,выравнивание!$A117,#REF!,4)</f>
        <v>#REF!</v>
      </c>
      <c r="AB117" s="37" t="e">
        <f>SUMIF(#REF!,выравнивание!$A117,#REF!)-SUMIFS(#REF!,#REF!,выравнивание!$A117,#REF!,4)</f>
        <v>#REF!</v>
      </c>
      <c r="AC117" s="103" t="e">
        <f>SUMIF(#REF!,выравнивание!$A117,#REF!)-SUMIFS(#REF!,#REF!,выравнивание!$A117,#REF!,4)</f>
        <v>#REF!</v>
      </c>
      <c r="AD117" s="103" t="e">
        <f>SUMIF(#REF!,выравнивание!$A117,#REF!)-SUMIFS(#REF!,#REF!,выравнивание!$A117,#REF!,4)</f>
        <v>#REF!</v>
      </c>
      <c r="AE117" s="103" t="e">
        <f>SUMIF(#REF!,выравнивание!$A117,#REF!)*1000-SUMIF(#REF!,выравнивание!$A117,#REF!)*1000</f>
        <v>#REF!</v>
      </c>
      <c r="AF117" s="84" t="e">
        <f>AD117-AE117</f>
        <v>#REF!</v>
      </c>
      <c r="AU117" s="108"/>
    </row>
    <row r="118" spans="1:49" hidden="1" x14ac:dyDescent="0.25">
      <c r="A118" s="6">
        <v>13</v>
      </c>
      <c r="B118" s="92" t="s">
        <v>29</v>
      </c>
      <c r="C118" s="11">
        <v>706</v>
      </c>
      <c r="D118" s="11">
        <v>2020</v>
      </c>
      <c r="E118" s="11" t="s">
        <v>184</v>
      </c>
      <c r="F118" s="104"/>
      <c r="G118" s="104"/>
      <c r="H118" s="104"/>
      <c r="I118" s="104" t="e">
        <f t="shared" ref="I118:O118" si="123">I117/$AD117</f>
        <v>#REF!</v>
      </c>
      <c r="J118" s="104" t="e">
        <f t="shared" si="123"/>
        <v>#REF!</v>
      </c>
      <c r="K118" s="104" t="e">
        <f t="shared" si="123"/>
        <v>#REF!</v>
      </c>
      <c r="L118" s="104" t="e">
        <f t="shared" si="123"/>
        <v>#REF!</v>
      </c>
      <c r="M118" s="104" t="e">
        <f t="shared" si="123"/>
        <v>#REF!</v>
      </c>
      <c r="N118" s="104" t="e">
        <f t="shared" si="123"/>
        <v>#REF!</v>
      </c>
      <c r="O118" s="104" t="e">
        <f t="shared" si="123"/>
        <v>#REF!</v>
      </c>
      <c r="P118" s="37"/>
      <c r="Q118" s="37"/>
      <c r="R118" s="37"/>
      <c r="S118" s="37"/>
      <c r="T118" s="104" t="e">
        <f t="shared" ref="T118:AB118" si="124">T117/$AD117</f>
        <v>#REF!</v>
      </c>
      <c r="U118" s="104" t="e">
        <f t="shared" si="124"/>
        <v>#REF!</v>
      </c>
      <c r="V118" s="104" t="e">
        <f t="shared" si="124"/>
        <v>#REF!</v>
      </c>
      <c r="W118" s="104" t="e">
        <f t="shared" si="124"/>
        <v>#REF!</v>
      </c>
      <c r="X118" s="104" t="e">
        <f t="shared" si="124"/>
        <v>#REF!</v>
      </c>
      <c r="Y118" s="104" t="e">
        <f t="shared" si="124"/>
        <v>#REF!</v>
      </c>
      <c r="Z118" s="104" t="e">
        <f t="shared" si="124"/>
        <v>#REF!</v>
      </c>
      <c r="AA118" s="104" t="e">
        <f t="shared" si="124"/>
        <v>#REF!</v>
      </c>
      <c r="AB118" s="104" t="e">
        <f t="shared" si="124"/>
        <v>#REF!</v>
      </c>
      <c r="AC118" s="106" t="e">
        <f>1-Z118-Y118-X118-W118-V118-U118-T118-O118-N118-L118-I118</f>
        <v>#REF!</v>
      </c>
      <c r="AD118" s="106" t="e">
        <f>AD117/$AD117</f>
        <v>#REF!</v>
      </c>
      <c r="AE118" s="81"/>
      <c r="AU118" s="108"/>
    </row>
    <row r="119" spans="1:49" x14ac:dyDescent="0.25">
      <c r="A119" s="6">
        <v>13</v>
      </c>
      <c r="B119" s="92" t="s">
        <v>29</v>
      </c>
      <c r="C119" s="11">
        <v>706</v>
      </c>
      <c r="D119" s="11">
        <v>2020</v>
      </c>
      <c r="E119" s="11" t="s">
        <v>185</v>
      </c>
      <c r="F119" s="37" t="e">
        <f>G119+H119</f>
        <v>#REF!</v>
      </c>
      <c r="G119" s="37" t="e">
        <f>J119+AA119</f>
        <v>#REF!</v>
      </c>
      <c r="H119" s="37" t="e">
        <f>K119+AB119</f>
        <v>#REF!</v>
      </c>
      <c r="I119" s="37" t="e">
        <f>ROUND($AF117*I118,0)</f>
        <v>#REF!</v>
      </c>
      <c r="J119" s="37" t="e">
        <f>ROUND(I119/1.302,0)</f>
        <v>#REF!</v>
      </c>
      <c r="K119" s="37" t="e">
        <f>I119-J119</f>
        <v>#REF!</v>
      </c>
      <c r="L119" s="37" t="e">
        <f>ROUND($AF117*L118,0)</f>
        <v>#REF!</v>
      </c>
      <c r="M119" s="37" t="e">
        <f>ROUND($AF117*M118,0)</f>
        <v>#REF!</v>
      </c>
      <c r="N119" s="37" t="e">
        <f>ROUND($AF117*N118,0)</f>
        <v>#REF!</v>
      </c>
      <c r="O119" s="37" t="e">
        <f>ROUND($AF117*O118,0)</f>
        <v>#REF!</v>
      </c>
      <c r="P119" s="37"/>
      <c r="Q119" s="37"/>
      <c r="R119" s="37"/>
      <c r="S119" s="37"/>
      <c r="T119" s="37" t="e">
        <f t="shared" ref="T119:Z119" si="125">ROUND($AF117*T118,0)</f>
        <v>#REF!</v>
      </c>
      <c r="U119" s="37" t="e">
        <f t="shared" si="125"/>
        <v>#REF!</v>
      </c>
      <c r="V119" s="37" t="e">
        <f t="shared" si="125"/>
        <v>#REF!</v>
      </c>
      <c r="W119" s="37" t="e">
        <f t="shared" si="125"/>
        <v>#REF!</v>
      </c>
      <c r="X119" s="37" t="e">
        <f t="shared" si="125"/>
        <v>#REF!</v>
      </c>
      <c r="Y119" s="37" t="e">
        <f t="shared" si="125"/>
        <v>#REF!</v>
      </c>
      <c r="Z119" s="37" t="e">
        <f t="shared" si="125"/>
        <v>#REF!</v>
      </c>
      <c r="AA119" s="37" t="e">
        <f>ROUND(Z119/1.302,0)</f>
        <v>#REF!</v>
      </c>
      <c r="AB119" s="37" t="e">
        <f>Z119-AA119</f>
        <v>#REF!</v>
      </c>
      <c r="AC119" s="37" t="e">
        <f>ROUND($AF117*AC118,0)</f>
        <v>#REF!</v>
      </c>
      <c r="AD119" s="37" t="e">
        <f>I119+L119+N119+O119+T119+U119+V119+W119+X119+Y119+AC119+Z119</f>
        <v>#REF!</v>
      </c>
      <c r="AE119" s="78" t="e">
        <f>AF117</f>
        <v>#REF!</v>
      </c>
      <c r="AF119" s="78" t="e">
        <f>AE119-AF117</f>
        <v>#REF!</v>
      </c>
      <c r="AG119" s="107" t="e">
        <f>-ROUND(F119/1000,1)</f>
        <v>#REF!</v>
      </c>
      <c r="AH119" s="107" t="e">
        <f>ROUND(AG119/1.302,1)</f>
        <v>#REF!</v>
      </c>
      <c r="AI119" s="107" t="e">
        <f>AG119-AH119</f>
        <v>#REF!</v>
      </c>
      <c r="AJ119" s="107" t="e">
        <f>-ROUND(L119/1000,1)</f>
        <v>#REF!</v>
      </c>
      <c r="AK119" s="107" t="e">
        <f>-ROUND(M119/1000,1)</f>
        <v>#REF!</v>
      </c>
      <c r="AL119" s="107" t="e">
        <f>-ROUND(N119/1000,1)</f>
        <v>#REF!</v>
      </c>
      <c r="AM119" s="107" t="e">
        <f>-ROUND(O119/1000,1)</f>
        <v>#REF!</v>
      </c>
      <c r="AN119" s="107" t="e">
        <f t="shared" ref="AN119:AS119" si="126">-ROUND(T119/1000,1)</f>
        <v>#REF!</v>
      </c>
      <c r="AO119" s="107" t="e">
        <f t="shared" si="126"/>
        <v>#REF!</v>
      </c>
      <c r="AP119" s="107" t="e">
        <f t="shared" si="126"/>
        <v>#REF!</v>
      </c>
      <c r="AQ119" s="107" t="e">
        <f t="shared" si="126"/>
        <v>#REF!</v>
      </c>
      <c r="AR119" s="107" t="e">
        <f t="shared" si="126"/>
        <v>#REF!</v>
      </c>
      <c r="AS119" s="107" t="e">
        <f t="shared" si="126"/>
        <v>#REF!</v>
      </c>
      <c r="AT119" s="107" t="e">
        <f>-ROUND(AC119/1000,1)</f>
        <v>#REF!</v>
      </c>
      <c r="AU119" s="108" t="e">
        <f>AG119+AJ119+AL119+AM119+AN119+AO119+AP119+AQ119+AR119+AS119+AT119</f>
        <v>#REF!</v>
      </c>
      <c r="AW119" s="272">
        <v>-32902</v>
      </c>
    </row>
    <row r="120" spans="1:49" hidden="1" x14ac:dyDescent="0.25">
      <c r="A120" s="6">
        <v>14</v>
      </c>
      <c r="B120" s="92" t="s">
        <v>30</v>
      </c>
      <c r="C120" s="11">
        <v>706</v>
      </c>
      <c r="D120" s="11">
        <v>2018</v>
      </c>
      <c r="E120" s="11" t="s">
        <v>182</v>
      </c>
      <c r="F120" s="37"/>
      <c r="G120" s="37"/>
      <c r="H120" s="37"/>
      <c r="I120" s="37">
        <f>SUMIF('2020'!$B:$B,выравнивание!$A120,'2020'!BM:BM)-SUMIFS('2020'!BM:BM,'2020'!$B:$B,выравнивание!$A120,'2020'!$G:$G,4)</f>
        <v>71228531</v>
      </c>
      <c r="J120" s="37">
        <f>SUMIF('2020'!$B:$B,выравнивание!$A120,'2020'!BN:BN)-SUMIFS('2020'!BN:BN,'2020'!$B:$B,выравнивание!$A120,'2020'!$G:$G,4)</f>
        <v>54707013.100000001</v>
      </c>
      <c r="K120" s="37">
        <f>SUMIF('2020'!$B:$B,выравнивание!$A120,'2020'!BO:BO)-SUMIFS('2020'!BO:BO,'2020'!$B:$B,выравнивание!$A120,'2020'!$G:$G,4)</f>
        <v>16521517.9</v>
      </c>
      <c r="L120" s="37">
        <f>SUMIF('2020'!$B:$B,выравнивание!$A120,'2020'!BP:BP)-SUMIFS('2020'!BP:BP,'2020'!$B:$B,выравнивание!$A120,'2020'!$G:$G,4)</f>
        <v>3124022</v>
      </c>
      <c r="M120" s="37">
        <f>SUMIF('2020'!$B:$B,выравнивание!$A120,'2020'!BQ:BQ)-SUMIFS('2020'!BQ:BQ,'2020'!$B:$B,выравнивание!$A120,'2020'!$G:$G,4)</f>
        <v>591184</v>
      </c>
      <c r="N120" s="37">
        <f>SUMIF('2020'!$B:$B,выравнивание!$A120,'2020'!BR:BR)-SUMIFS('2020'!BR:BR,'2020'!$B:$B,выравнивание!$A120,'2020'!$G:$G,4)</f>
        <v>2903438</v>
      </c>
      <c r="O120" s="37">
        <f>SUMIF('2020'!$B:$B,выравнивание!$A120,'2020'!BS:BS)-SUMIFS('2020'!BS:BS,'2020'!$B:$B,выравнивание!$A120,'2020'!$G:$G,4)</f>
        <v>6867253</v>
      </c>
      <c r="P120" s="37">
        <f>SUMIF('2020'!$B:$B,выравнивание!$A120,'2020'!BT:BT)-SUMIFS('2020'!BT:BT,'2020'!$B:$B,выравнивание!$A120,'2020'!$G:$G,4)</f>
        <v>195780</v>
      </c>
      <c r="Q120" s="37">
        <f>SUMIF('2020'!$B:$B,выравнивание!$A120,'2020'!BU:BU)-SUMIFS('2020'!BU:BU,'2020'!$B:$B,выравнивание!$A120,'2020'!$G:$G,4)</f>
        <v>6207290</v>
      </c>
      <c r="R120" s="37">
        <f>SUMIF('2020'!$B:$B,выравнивание!$A120,'2020'!BV:BV)-SUMIFS('2020'!BV:BV,'2020'!$B:$B,выравнивание!$A120,'2020'!$G:$G,4)</f>
        <v>136175</v>
      </c>
      <c r="S120" s="37">
        <f>SUMIF('2020'!$B:$B,выравнивание!$A120,'2020'!BW:BW)-SUMIFS('2020'!BW:BW,'2020'!$B:$B,выравнивание!$A120,'2020'!$G:$G,4)</f>
        <v>328008</v>
      </c>
      <c r="T120" s="37">
        <f>SUMIF('2020'!$B:$B,выравнивание!$A120,'2020'!BX:BX)-SUMIFS('2020'!BX:BX,'2020'!$B:$B,выравнивание!$A120,'2020'!$G:$G,4)</f>
        <v>12473822</v>
      </c>
      <c r="U120" s="37">
        <f>SUMIF('2020'!$B:$B,выравнивание!$A120,'2020'!BY:BY)-SUMIFS('2020'!BY:BY,'2020'!$B:$B,выравнивание!$A120,'2020'!$G:$G,4)</f>
        <v>2142244</v>
      </c>
      <c r="V120" s="37">
        <f>SUMIF('2020'!$B:$B,выравнивание!$A120,'2020'!BZ:BZ)-SUMIFS('2020'!BZ:BZ,'2020'!$B:$B,выравнивание!$A120,'2020'!$G:$G,4)</f>
        <v>200610</v>
      </c>
      <c r="W120" s="37">
        <f>SUMIF('2020'!$B:$B,выравнивание!$A120,'2020'!CA:CA)-SUMIFS('2020'!CA:CA,'2020'!$B:$B,выравнивание!$A120,'2020'!$G:$G,4)</f>
        <v>286055</v>
      </c>
      <c r="X120" s="37">
        <f>SUMIF('2020'!$B:$B,выравнивание!$A120,'2020'!CB:CB)-SUMIFS('2020'!CB:CB,'2020'!$B:$B,выравнивание!$A120,'2020'!$G:$G,4)</f>
        <v>29720</v>
      </c>
      <c r="Y120" s="37">
        <f>SUMIF('2020'!$B:$B,выравнивание!$A120,'2020'!CC:CC)-SUMIFS('2020'!CC:CC,'2020'!$B:$B,выравнивание!$A120,'2020'!$G:$G,4)</f>
        <v>362100</v>
      </c>
      <c r="Z120" s="37">
        <f>SUMIF('2020'!$B:$B,выравнивание!$A120,'2020'!CD:CD)-SUMIFS('2020'!CD:CD,'2020'!$B:$B,выравнивание!$A120,'2020'!$G:$G,4)</f>
        <v>17695032</v>
      </c>
      <c r="AA120" s="37">
        <f>SUMIF('2020'!$B:$B,выравнивание!$A120,'2020'!CE:CE)-SUMIFS('2020'!CE:CE,'2020'!$B:$B,выравнивание!$A120,'2020'!$G:$G,4)</f>
        <v>13590654.5</v>
      </c>
      <c r="AB120" s="37">
        <f>SUMIF('2020'!$B:$B,выравнивание!$A120,'2020'!CF:CF)-SUMIFS('2020'!CF:CF,'2020'!$B:$B,выравнивание!$A120,'2020'!$G:$G,4)</f>
        <v>4104377.5</v>
      </c>
      <c r="AC120" s="103">
        <f>SUMIF('2020'!$B:$B,выравнивание!$A120,'2020'!CG:CG)-SUMIFS('2020'!CG:CG,'2020'!$B:$B,выравнивание!$A120,'2020'!$G:$G,4)</f>
        <v>1232000</v>
      </c>
      <c r="AD120" s="103">
        <f>SUMIF('2020'!$B:$B,выравнивание!$A120,'2020'!CH:CH)-SUMIFS('2020'!CH:CH,'2020'!$B:$B,выравнивание!$A120,'2020'!$G:$G,4)</f>
        <v>118544827</v>
      </c>
      <c r="AE120" s="84">
        <f>SUMIF('Свод 2020'!$A$9:$A$22,выравнивание!$A120,'Свод 2020'!$AA$9:$AA$24)*1000-SUMIF('Свод 2020'!$A$9:$A$22,выравнивание!$A120,'Свод 2020'!$S$9:$S$24)*1000</f>
        <v>125877400</v>
      </c>
      <c r="AF120" s="105">
        <f>AD120-AE120</f>
        <v>-7332573</v>
      </c>
      <c r="AU120" s="108"/>
    </row>
    <row r="121" spans="1:49" hidden="1" x14ac:dyDescent="0.25">
      <c r="A121" s="6">
        <v>14</v>
      </c>
      <c r="B121" s="92" t="s">
        <v>30</v>
      </c>
      <c r="C121" s="11">
        <v>706</v>
      </c>
      <c r="D121" s="11">
        <v>2018</v>
      </c>
      <c r="E121" s="11" t="s">
        <v>184</v>
      </c>
      <c r="F121" s="104"/>
      <c r="G121" s="104"/>
      <c r="H121" s="104"/>
      <c r="I121" s="104">
        <f t="shared" ref="I121:O121" si="127">I120/$AD120</f>
        <v>0.60085699999999997</v>
      </c>
      <c r="J121" s="104">
        <f t="shared" si="127"/>
        <v>0.46148800000000001</v>
      </c>
      <c r="K121" s="104">
        <f t="shared" si="127"/>
        <v>0.13936899999999999</v>
      </c>
      <c r="L121" s="104">
        <f t="shared" si="127"/>
        <v>2.6353000000000001E-2</v>
      </c>
      <c r="M121" s="104">
        <f t="shared" si="127"/>
        <v>4.9870000000000001E-3</v>
      </c>
      <c r="N121" s="104">
        <f t="shared" si="127"/>
        <v>2.4492E-2</v>
      </c>
      <c r="O121" s="104">
        <f t="shared" si="127"/>
        <v>5.7930000000000002E-2</v>
      </c>
      <c r="P121" s="37"/>
      <c r="Q121" s="37"/>
      <c r="R121" s="37"/>
      <c r="S121" s="37"/>
      <c r="T121" s="104">
        <f t="shared" ref="T121:AB121" si="128">T120/$AD120</f>
        <v>0.105225</v>
      </c>
      <c r="U121" s="104">
        <f t="shared" si="128"/>
        <v>1.8071E-2</v>
      </c>
      <c r="V121" s="104">
        <f t="shared" si="128"/>
        <v>1.6919999999999999E-3</v>
      </c>
      <c r="W121" s="104">
        <f t="shared" si="128"/>
        <v>2.4130000000000002E-3</v>
      </c>
      <c r="X121" s="104">
        <f t="shared" si="128"/>
        <v>2.5099999999999998E-4</v>
      </c>
      <c r="Y121" s="104">
        <f t="shared" si="128"/>
        <v>3.055E-3</v>
      </c>
      <c r="Z121" s="104">
        <f t="shared" si="128"/>
        <v>0.14926900000000001</v>
      </c>
      <c r="AA121" s="104">
        <f t="shared" si="128"/>
        <v>0.114646</v>
      </c>
      <c r="AB121" s="104">
        <f t="shared" si="128"/>
        <v>3.4623000000000001E-2</v>
      </c>
      <c r="AC121" s="106">
        <f>1-Z121-Y121-X121-W121-V121-U121-T121-O121-N121-L121-I121</f>
        <v>1.0392E-2</v>
      </c>
      <c r="AD121" s="106">
        <f>AD120/$AD120</f>
        <v>1</v>
      </c>
      <c r="AE121" s="81"/>
      <c r="AU121" s="108"/>
    </row>
    <row r="122" spans="1:49" x14ac:dyDescent="0.25">
      <c r="A122" s="6">
        <v>14</v>
      </c>
      <c r="B122" s="92" t="s">
        <v>30</v>
      </c>
      <c r="C122" s="11">
        <v>706</v>
      </c>
      <c r="D122" s="11">
        <v>2018</v>
      </c>
      <c r="E122" s="11" t="s">
        <v>185</v>
      </c>
      <c r="F122" s="37">
        <f>G122+H122</f>
        <v>-5500354</v>
      </c>
      <c r="G122" s="37">
        <f>J122+AA122</f>
        <v>-4224542</v>
      </c>
      <c r="H122" s="37">
        <f>K122+AB122</f>
        <v>-1275812</v>
      </c>
      <c r="I122" s="37">
        <f>ROUND($AF120*I121,0)</f>
        <v>-4405828</v>
      </c>
      <c r="J122" s="37">
        <f>ROUND(I122/1.302,0)</f>
        <v>-3383892</v>
      </c>
      <c r="K122" s="37">
        <f>I122-J122</f>
        <v>-1021936</v>
      </c>
      <c r="L122" s="37">
        <f>ROUND($AF120*L121,0)</f>
        <v>-193235</v>
      </c>
      <c r="M122" s="37">
        <f>ROUND($AF120*M121,0)</f>
        <v>-36568</v>
      </c>
      <c r="N122" s="37">
        <f>ROUND($AF120*N121,0)</f>
        <v>-179589</v>
      </c>
      <c r="O122" s="37">
        <f>ROUND($AF120*O121,0)</f>
        <v>-424776</v>
      </c>
      <c r="P122" s="37"/>
      <c r="Q122" s="37"/>
      <c r="R122" s="37"/>
      <c r="S122" s="37"/>
      <c r="T122" s="37">
        <f t="shared" ref="T122:Z122" si="129">ROUND($AF120*T121,0)</f>
        <v>-771570</v>
      </c>
      <c r="U122" s="37">
        <f t="shared" si="129"/>
        <v>-132507</v>
      </c>
      <c r="V122" s="37">
        <f t="shared" si="129"/>
        <v>-12407</v>
      </c>
      <c r="W122" s="37">
        <f t="shared" si="129"/>
        <v>-17693</v>
      </c>
      <c r="X122" s="37">
        <f t="shared" si="129"/>
        <v>-1840</v>
      </c>
      <c r="Y122" s="37">
        <f t="shared" si="129"/>
        <v>-22401</v>
      </c>
      <c r="Z122" s="37">
        <f t="shared" si="129"/>
        <v>-1094526</v>
      </c>
      <c r="AA122" s="37">
        <f>ROUND(Z122/1.302,0)</f>
        <v>-840650</v>
      </c>
      <c r="AB122" s="37">
        <f>Z122-AA122</f>
        <v>-253876</v>
      </c>
      <c r="AC122" s="37">
        <f>ROUND($AF120*AC121,0)</f>
        <v>-76200</v>
      </c>
      <c r="AD122" s="37">
        <f>I122+L122+N122+O122+T122+U122+V122+W122+X122+Y122+AC122+Z122</f>
        <v>-7332572</v>
      </c>
      <c r="AE122" s="78">
        <f>AF120</f>
        <v>-7332573</v>
      </c>
      <c r="AF122" s="78">
        <f>AE122-AF120</f>
        <v>0</v>
      </c>
      <c r="AG122" s="107">
        <f>-ROUND(F122/1000,1)</f>
        <v>5500.4</v>
      </c>
      <c r="AH122" s="107">
        <f>ROUND(AG122/1.302,1)</f>
        <v>4224.6000000000004</v>
      </c>
      <c r="AI122" s="107">
        <f>AG122-AH122</f>
        <v>1275.8</v>
      </c>
      <c r="AJ122" s="107">
        <f>-ROUND(L122/1000,1)</f>
        <v>193.2</v>
      </c>
      <c r="AK122" s="107">
        <f>-ROUND(M122/1000,1)</f>
        <v>36.6</v>
      </c>
      <c r="AL122" s="107">
        <f>-ROUND(N122/1000,1)</f>
        <v>179.6</v>
      </c>
      <c r="AM122" s="107">
        <f>-ROUND(O122/1000,1)</f>
        <v>424.8</v>
      </c>
      <c r="AN122" s="107">
        <f t="shared" ref="AN122:AS122" si="130">-ROUND(T122/1000,1)</f>
        <v>771.6</v>
      </c>
      <c r="AO122" s="107">
        <f t="shared" si="130"/>
        <v>132.5</v>
      </c>
      <c r="AP122" s="107">
        <f t="shared" si="130"/>
        <v>12.4</v>
      </c>
      <c r="AQ122" s="107">
        <f t="shared" si="130"/>
        <v>17.7</v>
      </c>
      <c r="AR122" s="107">
        <f t="shared" si="130"/>
        <v>1.8</v>
      </c>
      <c r="AS122" s="107">
        <f t="shared" si="130"/>
        <v>22.4</v>
      </c>
      <c r="AT122" s="107">
        <f>-ROUND(AC122/1000,1)</f>
        <v>76.2</v>
      </c>
      <c r="AU122" s="108">
        <f>AG122+AJ122+AL122+AM122+AN122+AO122+AP122+AQ122+AR122+AS122+AT122</f>
        <v>7332.6</v>
      </c>
      <c r="AW122" s="272">
        <v>-34801.4</v>
      </c>
    </row>
    <row r="123" spans="1:49" hidden="1" x14ac:dyDescent="0.25">
      <c r="A123" s="6">
        <v>14</v>
      </c>
      <c r="B123" s="92" t="s">
        <v>30</v>
      </c>
      <c r="C123" s="11">
        <v>706</v>
      </c>
      <c r="D123" s="11">
        <v>2019</v>
      </c>
      <c r="E123" s="11" t="s">
        <v>182</v>
      </c>
      <c r="F123" s="37"/>
      <c r="G123" s="37"/>
      <c r="H123" s="37"/>
      <c r="I123" s="37" t="e">
        <f>SUMIF(#REF!,выравнивание!$A123,#REF!)-SUMIFS(#REF!,#REF!,выравнивание!$A123,#REF!,4)</f>
        <v>#REF!</v>
      </c>
      <c r="J123" s="37" t="e">
        <f>SUMIF(#REF!,выравнивание!$A123,#REF!)-SUMIFS(#REF!,#REF!,выравнивание!$A123,#REF!,4)</f>
        <v>#REF!</v>
      </c>
      <c r="K123" s="37" t="e">
        <f>SUMIF(#REF!,выравнивание!$A123,#REF!)-SUMIFS(#REF!,#REF!,выравнивание!$A123,#REF!,4)</f>
        <v>#REF!</v>
      </c>
      <c r="L123" s="37" t="e">
        <f>SUMIF(#REF!,выравнивание!$A123,#REF!)-SUMIFS(#REF!,#REF!,выравнивание!$A123,#REF!,4)</f>
        <v>#REF!</v>
      </c>
      <c r="M123" s="37" t="e">
        <f>SUMIF(#REF!,выравнивание!$A123,#REF!)-SUMIFS(#REF!,#REF!,выравнивание!$A123,#REF!,4)</f>
        <v>#REF!</v>
      </c>
      <c r="N123" s="37" t="e">
        <f>SUMIF(#REF!,выравнивание!$A123,#REF!)-SUMIFS(#REF!,#REF!,выравнивание!$A123,#REF!,4)</f>
        <v>#REF!</v>
      </c>
      <c r="O123" s="37" t="e">
        <f>SUMIF(#REF!,выравнивание!$A123,#REF!)-SUMIFS(#REF!,#REF!,выравнивание!$A123,#REF!,4)</f>
        <v>#REF!</v>
      </c>
      <c r="P123" s="37" t="e">
        <f>SUMIF(#REF!,выравнивание!$A123,#REF!)-SUMIFS(#REF!,#REF!,выравнивание!$A123,#REF!,4)</f>
        <v>#REF!</v>
      </c>
      <c r="Q123" s="37" t="e">
        <f>SUMIF(#REF!,выравнивание!$A123,#REF!)-SUMIFS(#REF!,#REF!,выравнивание!$A123,#REF!,4)</f>
        <v>#REF!</v>
      </c>
      <c r="R123" s="37" t="e">
        <f>SUMIF(#REF!,выравнивание!$A123,#REF!)-SUMIFS(#REF!,#REF!,выравнивание!$A123,#REF!,4)</f>
        <v>#REF!</v>
      </c>
      <c r="S123" s="37" t="e">
        <f>SUMIF(#REF!,выравнивание!$A123,#REF!)-SUMIFS(#REF!,#REF!,выравнивание!$A123,#REF!,4)</f>
        <v>#REF!</v>
      </c>
      <c r="T123" s="37" t="e">
        <f>SUMIF(#REF!,выравнивание!$A123,#REF!)-SUMIFS(#REF!,#REF!,выравнивание!$A123,#REF!,4)</f>
        <v>#REF!</v>
      </c>
      <c r="U123" s="37" t="e">
        <f>SUMIF(#REF!,выравнивание!$A123,#REF!)-SUMIFS(#REF!,#REF!,выравнивание!$A123,#REF!,4)</f>
        <v>#REF!</v>
      </c>
      <c r="V123" s="37" t="e">
        <f>SUMIF(#REF!,выравнивание!$A123,#REF!)-SUMIFS(#REF!,#REF!,выравнивание!$A123,#REF!,4)</f>
        <v>#REF!</v>
      </c>
      <c r="W123" s="37" t="e">
        <f>SUMIF(#REF!,выравнивание!$A123,#REF!)-SUMIFS(#REF!,#REF!,выравнивание!$A123,#REF!,4)</f>
        <v>#REF!</v>
      </c>
      <c r="X123" s="37" t="e">
        <f>SUMIF(#REF!,выравнивание!$A123,#REF!)-SUMIFS(#REF!,#REF!,выравнивание!$A123,#REF!,4)</f>
        <v>#REF!</v>
      </c>
      <c r="Y123" s="37" t="e">
        <f>SUMIF(#REF!,выравнивание!$A123,#REF!)-SUMIFS(#REF!,#REF!,выравнивание!$A123,#REF!,4)</f>
        <v>#REF!</v>
      </c>
      <c r="Z123" s="37" t="e">
        <f>SUMIF(#REF!,выравнивание!$A123,#REF!)-SUMIFS(#REF!,#REF!,выравнивание!$A123,#REF!,4)</f>
        <v>#REF!</v>
      </c>
      <c r="AA123" s="37" t="e">
        <f>SUMIF(#REF!,выравнивание!$A123,#REF!)-SUMIFS(#REF!,#REF!,выравнивание!$A123,#REF!,4)</f>
        <v>#REF!</v>
      </c>
      <c r="AB123" s="37" t="e">
        <f>SUMIF(#REF!,выравнивание!$A123,#REF!)-SUMIFS(#REF!,#REF!,выравнивание!$A123,#REF!,4)</f>
        <v>#REF!</v>
      </c>
      <c r="AC123" s="103" t="e">
        <f>SUMIF(#REF!,выравнивание!$A123,#REF!)-SUMIFS(#REF!,#REF!,выравнивание!$A123,#REF!,4)</f>
        <v>#REF!</v>
      </c>
      <c r="AD123" s="103" t="e">
        <f>SUMIF(#REF!,выравнивание!$A123,#REF!)-SUMIFS(#REF!,#REF!,выравнивание!$A123,#REF!,4)</f>
        <v>#REF!</v>
      </c>
      <c r="AE123" s="103" t="e">
        <f>SUMIF(#REF!,выравнивание!$A123,#REF!)*1000-SUMIF(#REF!,выравнивание!$A123,#REF!)*1000</f>
        <v>#REF!</v>
      </c>
      <c r="AF123" s="105" t="e">
        <f>AD123-AE123</f>
        <v>#REF!</v>
      </c>
      <c r="AU123" s="108"/>
    </row>
    <row r="124" spans="1:49" hidden="1" x14ac:dyDescent="0.25">
      <c r="A124" s="6">
        <v>14</v>
      </c>
      <c r="B124" s="92" t="s">
        <v>30</v>
      </c>
      <c r="C124" s="11">
        <v>706</v>
      </c>
      <c r="D124" s="11">
        <v>2019</v>
      </c>
      <c r="E124" s="11" t="s">
        <v>184</v>
      </c>
      <c r="F124" s="104"/>
      <c r="G124" s="104"/>
      <c r="H124" s="104"/>
      <c r="I124" s="104" t="e">
        <f t="shared" ref="I124:O124" si="131">I123/$AD123</f>
        <v>#REF!</v>
      </c>
      <c r="J124" s="104" t="e">
        <f t="shared" si="131"/>
        <v>#REF!</v>
      </c>
      <c r="K124" s="104" t="e">
        <f t="shared" si="131"/>
        <v>#REF!</v>
      </c>
      <c r="L124" s="104" t="e">
        <f t="shared" si="131"/>
        <v>#REF!</v>
      </c>
      <c r="M124" s="104" t="e">
        <f t="shared" si="131"/>
        <v>#REF!</v>
      </c>
      <c r="N124" s="104" t="e">
        <f t="shared" si="131"/>
        <v>#REF!</v>
      </c>
      <c r="O124" s="104" t="e">
        <f t="shared" si="131"/>
        <v>#REF!</v>
      </c>
      <c r="P124" s="37"/>
      <c r="Q124" s="37"/>
      <c r="R124" s="37"/>
      <c r="S124" s="37"/>
      <c r="T124" s="104" t="e">
        <f t="shared" ref="T124:AB124" si="132">T123/$AD123</f>
        <v>#REF!</v>
      </c>
      <c r="U124" s="104" t="e">
        <f t="shared" si="132"/>
        <v>#REF!</v>
      </c>
      <c r="V124" s="104" t="e">
        <f t="shared" si="132"/>
        <v>#REF!</v>
      </c>
      <c r="W124" s="104" t="e">
        <f t="shared" si="132"/>
        <v>#REF!</v>
      </c>
      <c r="X124" s="104" t="e">
        <f t="shared" si="132"/>
        <v>#REF!</v>
      </c>
      <c r="Y124" s="104" t="e">
        <f t="shared" si="132"/>
        <v>#REF!</v>
      </c>
      <c r="Z124" s="104" t="e">
        <f t="shared" si="132"/>
        <v>#REF!</v>
      </c>
      <c r="AA124" s="104" t="e">
        <f t="shared" si="132"/>
        <v>#REF!</v>
      </c>
      <c r="AB124" s="104" t="e">
        <f t="shared" si="132"/>
        <v>#REF!</v>
      </c>
      <c r="AC124" s="106" t="e">
        <f>1-Z124-Y124-X124-W124-V124-U124-T124-O124-N124-L124-I124</f>
        <v>#REF!</v>
      </c>
      <c r="AD124" s="106" t="e">
        <f>AD123/$AD123</f>
        <v>#REF!</v>
      </c>
      <c r="AE124" s="81"/>
      <c r="AU124" s="108"/>
    </row>
    <row r="125" spans="1:49" x14ac:dyDescent="0.25">
      <c r="A125" s="6">
        <v>14</v>
      </c>
      <c r="B125" s="92" t="s">
        <v>30</v>
      </c>
      <c r="C125" s="11">
        <v>706</v>
      </c>
      <c r="D125" s="11">
        <v>2019</v>
      </c>
      <c r="E125" s="11" t="s">
        <v>185</v>
      </c>
      <c r="F125" s="37" t="e">
        <f>G125+H125</f>
        <v>#REF!</v>
      </c>
      <c r="G125" s="37" t="e">
        <f>J125+AA125</f>
        <v>#REF!</v>
      </c>
      <c r="H125" s="37" t="e">
        <f>K125+AB125</f>
        <v>#REF!</v>
      </c>
      <c r="I125" s="37" t="e">
        <f>ROUND($AF123*I124,0)</f>
        <v>#REF!</v>
      </c>
      <c r="J125" s="37" t="e">
        <f>ROUND(I125/1.302,0)</f>
        <v>#REF!</v>
      </c>
      <c r="K125" s="37" t="e">
        <f>I125-J125</f>
        <v>#REF!</v>
      </c>
      <c r="L125" s="37" t="e">
        <f>ROUND($AF123*L124,0)</f>
        <v>#REF!</v>
      </c>
      <c r="M125" s="37" t="e">
        <f>ROUND($AF123*M124,0)</f>
        <v>#REF!</v>
      </c>
      <c r="N125" s="37" t="e">
        <f>ROUND($AF123*N124,0)</f>
        <v>#REF!</v>
      </c>
      <c r="O125" s="37" t="e">
        <f>ROUND($AF123*O124,0)</f>
        <v>#REF!</v>
      </c>
      <c r="P125" s="37"/>
      <c r="Q125" s="37"/>
      <c r="R125" s="37"/>
      <c r="S125" s="37"/>
      <c r="T125" s="37" t="e">
        <f t="shared" ref="T125:Z125" si="133">ROUND($AF123*T124,0)</f>
        <v>#REF!</v>
      </c>
      <c r="U125" s="37" t="e">
        <f t="shared" si="133"/>
        <v>#REF!</v>
      </c>
      <c r="V125" s="37" t="e">
        <f t="shared" si="133"/>
        <v>#REF!</v>
      </c>
      <c r="W125" s="37" t="e">
        <f t="shared" si="133"/>
        <v>#REF!</v>
      </c>
      <c r="X125" s="37" t="e">
        <f t="shared" si="133"/>
        <v>#REF!</v>
      </c>
      <c r="Y125" s="37" t="e">
        <f t="shared" si="133"/>
        <v>#REF!</v>
      </c>
      <c r="Z125" s="37" t="e">
        <f t="shared" si="133"/>
        <v>#REF!</v>
      </c>
      <c r="AA125" s="37" t="e">
        <f>ROUND(Z125/1.302,0)</f>
        <v>#REF!</v>
      </c>
      <c r="AB125" s="37" t="e">
        <f>Z125-AA125</f>
        <v>#REF!</v>
      </c>
      <c r="AC125" s="37" t="e">
        <f>ROUND($AF123*AC124,0)</f>
        <v>#REF!</v>
      </c>
      <c r="AD125" s="37" t="e">
        <f>I125+L125+N125+O125+T125+U125+V125+W125+X125+Y125+AC125+Z125</f>
        <v>#REF!</v>
      </c>
      <c r="AE125" s="78" t="e">
        <f>AF123</f>
        <v>#REF!</v>
      </c>
      <c r="AF125" s="78" t="e">
        <f>AE125-AF123</f>
        <v>#REF!</v>
      </c>
      <c r="AG125" s="107" t="e">
        <f>-ROUND(F125/1000,1)</f>
        <v>#REF!</v>
      </c>
      <c r="AH125" s="107" t="e">
        <f>ROUND(AG125/1.302,1)</f>
        <v>#REF!</v>
      </c>
      <c r="AI125" s="107" t="e">
        <f>AG125-AH125</f>
        <v>#REF!</v>
      </c>
      <c r="AJ125" s="107" t="e">
        <f>-ROUND(L125/1000,1)</f>
        <v>#REF!</v>
      </c>
      <c r="AK125" s="107" t="e">
        <f>-ROUND(M125/1000,1)</f>
        <v>#REF!</v>
      </c>
      <c r="AL125" s="107" t="e">
        <f>-ROUND(N125/1000,1)</f>
        <v>#REF!</v>
      </c>
      <c r="AM125" s="107" t="e">
        <f>-ROUND(O125/1000,1)</f>
        <v>#REF!</v>
      </c>
      <c r="AN125" s="107" t="e">
        <f t="shared" ref="AN125:AS125" si="134">-ROUND(T125/1000,1)</f>
        <v>#REF!</v>
      </c>
      <c r="AO125" s="107" t="e">
        <f t="shared" si="134"/>
        <v>#REF!</v>
      </c>
      <c r="AP125" s="107" t="e">
        <f t="shared" si="134"/>
        <v>#REF!</v>
      </c>
      <c r="AQ125" s="107" t="e">
        <f t="shared" si="134"/>
        <v>#REF!</v>
      </c>
      <c r="AR125" s="107" t="e">
        <f t="shared" si="134"/>
        <v>#REF!</v>
      </c>
      <c r="AS125" s="107" t="e">
        <f t="shared" si="134"/>
        <v>#REF!</v>
      </c>
      <c r="AT125" s="107" t="e">
        <f>-ROUND(AC125/1000,1)</f>
        <v>#REF!</v>
      </c>
      <c r="AU125" s="108" t="e">
        <f>AG125+AJ125+AL125+AM125+AN125+AO125+AP125+AQ125+AR125+AS125+AT125</f>
        <v>#REF!</v>
      </c>
      <c r="AW125" s="272">
        <v>-36263.199999999997</v>
      </c>
    </row>
    <row r="126" spans="1:49" hidden="1" x14ac:dyDescent="0.25">
      <c r="A126" s="6">
        <v>14</v>
      </c>
      <c r="B126" s="92" t="s">
        <v>30</v>
      </c>
      <c r="C126" s="11">
        <v>706</v>
      </c>
      <c r="D126" s="11">
        <v>2020</v>
      </c>
      <c r="E126" s="11" t="s">
        <v>182</v>
      </c>
      <c r="F126" s="37"/>
      <c r="G126" s="37"/>
      <c r="H126" s="37"/>
      <c r="I126" s="37" t="e">
        <f>SUMIF(#REF!,выравнивание!$A126,#REF!)-SUMIFS(#REF!,#REF!,выравнивание!$A126,#REF!,4)</f>
        <v>#REF!</v>
      </c>
      <c r="J126" s="37" t="e">
        <f>SUMIF(#REF!,выравнивание!$A126,#REF!)-SUMIFS(#REF!,#REF!,выравнивание!$A126,#REF!,4)</f>
        <v>#REF!</v>
      </c>
      <c r="K126" s="37" t="e">
        <f>SUMIF(#REF!,выравнивание!$A126,#REF!)-SUMIFS(#REF!,#REF!,выравнивание!$A126,#REF!,4)</f>
        <v>#REF!</v>
      </c>
      <c r="L126" s="37" t="e">
        <f>SUMIF(#REF!,выравнивание!$A126,#REF!)-SUMIFS(#REF!,#REF!,выравнивание!$A126,#REF!,4)</f>
        <v>#REF!</v>
      </c>
      <c r="M126" s="37" t="e">
        <f>SUMIF(#REF!,выравнивание!$A126,#REF!)-SUMIFS(#REF!,#REF!,выравнивание!$A126,#REF!,4)</f>
        <v>#REF!</v>
      </c>
      <c r="N126" s="37" t="e">
        <f>SUMIF(#REF!,выравнивание!$A126,#REF!)-SUMIFS(#REF!,#REF!,выравнивание!$A126,#REF!,4)</f>
        <v>#REF!</v>
      </c>
      <c r="O126" s="37" t="e">
        <f>SUMIF(#REF!,выравнивание!$A126,#REF!)-SUMIFS(#REF!,#REF!,выравнивание!$A126,#REF!,4)</f>
        <v>#REF!</v>
      </c>
      <c r="P126" s="37" t="e">
        <f>SUMIF(#REF!,выравнивание!$A126,#REF!)-SUMIFS(#REF!,#REF!,выравнивание!$A126,#REF!,4)</f>
        <v>#REF!</v>
      </c>
      <c r="Q126" s="37" t="e">
        <f>SUMIF(#REF!,выравнивание!$A126,#REF!)-SUMIFS(#REF!,#REF!,выравнивание!$A126,#REF!,4)</f>
        <v>#REF!</v>
      </c>
      <c r="R126" s="37" t="e">
        <f>SUMIF(#REF!,выравнивание!$A126,#REF!)-SUMIFS(#REF!,#REF!,выравнивание!$A126,#REF!,4)</f>
        <v>#REF!</v>
      </c>
      <c r="S126" s="37" t="e">
        <f>SUMIF(#REF!,выравнивание!$A126,#REF!)-SUMIFS(#REF!,#REF!,выравнивание!$A126,#REF!,4)</f>
        <v>#REF!</v>
      </c>
      <c r="T126" s="37" t="e">
        <f>SUMIF(#REF!,выравнивание!$A126,#REF!)-SUMIFS(#REF!,#REF!,выравнивание!$A126,#REF!,4)</f>
        <v>#REF!</v>
      </c>
      <c r="U126" s="37" t="e">
        <f>SUMIF(#REF!,выравнивание!$A126,#REF!)-SUMIFS(#REF!,#REF!,выравнивание!$A126,#REF!,4)</f>
        <v>#REF!</v>
      </c>
      <c r="V126" s="37" t="e">
        <f>SUMIF(#REF!,выравнивание!$A126,#REF!)-SUMIFS(#REF!,#REF!,выравнивание!$A126,#REF!,4)</f>
        <v>#REF!</v>
      </c>
      <c r="W126" s="37" t="e">
        <f>SUMIF(#REF!,выравнивание!$A126,#REF!)-SUMIFS(#REF!,#REF!,выравнивание!$A126,#REF!,4)</f>
        <v>#REF!</v>
      </c>
      <c r="X126" s="37" t="e">
        <f>SUMIF(#REF!,выравнивание!$A126,#REF!)-SUMIFS(#REF!,#REF!,выравнивание!$A126,#REF!,4)</f>
        <v>#REF!</v>
      </c>
      <c r="Y126" s="37" t="e">
        <f>SUMIF(#REF!,выравнивание!$A126,#REF!)-SUMIFS(#REF!,#REF!,выравнивание!$A126,#REF!,4)</f>
        <v>#REF!</v>
      </c>
      <c r="Z126" s="37" t="e">
        <f>SUMIF(#REF!,выравнивание!$A126,#REF!)-SUMIFS(#REF!,#REF!,выравнивание!$A126,#REF!,4)</f>
        <v>#REF!</v>
      </c>
      <c r="AA126" s="37" t="e">
        <f>SUMIF(#REF!,выравнивание!$A126,#REF!)-SUMIFS(#REF!,#REF!,выравнивание!$A126,#REF!,4)</f>
        <v>#REF!</v>
      </c>
      <c r="AB126" s="37" t="e">
        <f>SUMIF(#REF!,выравнивание!$A126,#REF!)-SUMIFS(#REF!,#REF!,выравнивание!$A126,#REF!,4)</f>
        <v>#REF!</v>
      </c>
      <c r="AC126" s="103" t="e">
        <f>SUMIF(#REF!,выравнивание!$A126,#REF!)-SUMIFS(#REF!,#REF!,выравнивание!$A126,#REF!,4)</f>
        <v>#REF!</v>
      </c>
      <c r="AD126" s="103" t="e">
        <f>SUMIF(#REF!,выравнивание!$A126,#REF!)-SUMIFS(#REF!,#REF!,выравнивание!$A126,#REF!,4)</f>
        <v>#REF!</v>
      </c>
      <c r="AE126" s="103" t="e">
        <f>SUMIF(#REF!,выравнивание!$A126,#REF!)*1000-SUMIF(#REF!,выравнивание!$A126,#REF!)*1000</f>
        <v>#REF!</v>
      </c>
      <c r="AF126" s="84" t="e">
        <f>AD126-AE126</f>
        <v>#REF!</v>
      </c>
      <c r="AU126" s="108"/>
    </row>
    <row r="127" spans="1:49" hidden="1" x14ac:dyDescent="0.25">
      <c r="A127" s="6">
        <v>14</v>
      </c>
      <c r="B127" s="92" t="s">
        <v>30</v>
      </c>
      <c r="C127" s="11">
        <v>706</v>
      </c>
      <c r="D127" s="11">
        <v>2020</v>
      </c>
      <c r="E127" s="11" t="s">
        <v>184</v>
      </c>
      <c r="F127" s="104"/>
      <c r="G127" s="104"/>
      <c r="H127" s="104"/>
      <c r="I127" s="104" t="e">
        <f t="shared" ref="I127:O127" si="135">I126/$AD126</f>
        <v>#REF!</v>
      </c>
      <c r="J127" s="104" t="e">
        <f t="shared" si="135"/>
        <v>#REF!</v>
      </c>
      <c r="K127" s="104" t="e">
        <f t="shared" si="135"/>
        <v>#REF!</v>
      </c>
      <c r="L127" s="104" t="e">
        <f t="shared" si="135"/>
        <v>#REF!</v>
      </c>
      <c r="M127" s="104" t="e">
        <f t="shared" si="135"/>
        <v>#REF!</v>
      </c>
      <c r="N127" s="104" t="e">
        <f t="shared" si="135"/>
        <v>#REF!</v>
      </c>
      <c r="O127" s="104" t="e">
        <f t="shared" si="135"/>
        <v>#REF!</v>
      </c>
      <c r="P127" s="37"/>
      <c r="Q127" s="37"/>
      <c r="R127" s="37"/>
      <c r="S127" s="37"/>
      <c r="T127" s="104" t="e">
        <f t="shared" ref="T127:AB127" si="136">T126/$AD126</f>
        <v>#REF!</v>
      </c>
      <c r="U127" s="104" t="e">
        <f t="shared" si="136"/>
        <v>#REF!</v>
      </c>
      <c r="V127" s="104" t="e">
        <f t="shared" si="136"/>
        <v>#REF!</v>
      </c>
      <c r="W127" s="104" t="e">
        <f t="shared" si="136"/>
        <v>#REF!</v>
      </c>
      <c r="X127" s="104" t="e">
        <f t="shared" si="136"/>
        <v>#REF!</v>
      </c>
      <c r="Y127" s="104" t="e">
        <f t="shared" si="136"/>
        <v>#REF!</v>
      </c>
      <c r="Z127" s="104" t="e">
        <f t="shared" si="136"/>
        <v>#REF!</v>
      </c>
      <c r="AA127" s="104" t="e">
        <f t="shared" si="136"/>
        <v>#REF!</v>
      </c>
      <c r="AB127" s="104" t="e">
        <f t="shared" si="136"/>
        <v>#REF!</v>
      </c>
      <c r="AC127" s="106" t="e">
        <f>1-Z127-Y127-X127-W127-V127-U127-T127-O127-N127-L127-I127</f>
        <v>#REF!</v>
      </c>
      <c r="AD127" s="106" t="e">
        <f>AD126/$AD126</f>
        <v>#REF!</v>
      </c>
      <c r="AE127" s="81"/>
      <c r="AU127" s="108"/>
    </row>
    <row r="128" spans="1:49" x14ac:dyDescent="0.25">
      <c r="A128" s="6">
        <v>14</v>
      </c>
      <c r="B128" s="92" t="s">
        <v>30</v>
      </c>
      <c r="C128" s="11">
        <v>706</v>
      </c>
      <c r="D128" s="11">
        <v>2020</v>
      </c>
      <c r="E128" s="11" t="s">
        <v>185</v>
      </c>
      <c r="F128" s="37" t="e">
        <f>G128+H128</f>
        <v>#REF!</v>
      </c>
      <c r="G128" s="37" t="e">
        <f>J128+AA128</f>
        <v>#REF!</v>
      </c>
      <c r="H128" s="37" t="e">
        <f>K128+AB128</f>
        <v>#REF!</v>
      </c>
      <c r="I128" s="37" t="e">
        <f>ROUND($AF126*I127,0)</f>
        <v>#REF!</v>
      </c>
      <c r="J128" s="37" t="e">
        <f>ROUND(I128/1.302,0)</f>
        <v>#REF!</v>
      </c>
      <c r="K128" s="37" t="e">
        <f>I128-J128</f>
        <v>#REF!</v>
      </c>
      <c r="L128" s="37" t="e">
        <f>ROUND($AF126*L127,0)</f>
        <v>#REF!</v>
      </c>
      <c r="M128" s="37" t="e">
        <f>ROUND($AF126*M127,0)</f>
        <v>#REF!</v>
      </c>
      <c r="N128" s="37" t="e">
        <f>ROUND($AF126*N127,0)</f>
        <v>#REF!</v>
      </c>
      <c r="O128" s="37" t="e">
        <f>ROUND($AF126*O127,0)</f>
        <v>#REF!</v>
      </c>
      <c r="P128" s="37"/>
      <c r="Q128" s="37"/>
      <c r="R128" s="37"/>
      <c r="S128" s="37"/>
      <c r="T128" s="37" t="e">
        <f t="shared" ref="T128:Z128" si="137">ROUND($AF126*T127,0)</f>
        <v>#REF!</v>
      </c>
      <c r="U128" s="37" t="e">
        <f t="shared" si="137"/>
        <v>#REF!</v>
      </c>
      <c r="V128" s="37" t="e">
        <f t="shared" si="137"/>
        <v>#REF!</v>
      </c>
      <c r="W128" s="37" t="e">
        <f t="shared" si="137"/>
        <v>#REF!</v>
      </c>
      <c r="X128" s="37" t="e">
        <f t="shared" si="137"/>
        <v>#REF!</v>
      </c>
      <c r="Y128" s="37" t="e">
        <f t="shared" si="137"/>
        <v>#REF!</v>
      </c>
      <c r="Z128" s="37" t="e">
        <f t="shared" si="137"/>
        <v>#REF!</v>
      </c>
      <c r="AA128" s="37" t="e">
        <f>ROUND(Z128/1.302,0)</f>
        <v>#REF!</v>
      </c>
      <c r="AB128" s="37" t="e">
        <f>Z128-AA128</f>
        <v>#REF!</v>
      </c>
      <c r="AC128" s="37" t="e">
        <f>ROUND($AF126*AC127,0)</f>
        <v>#REF!</v>
      </c>
      <c r="AD128" s="37" t="e">
        <f>I128+L128+N128+O128+T128+U128+V128+W128+X128+Y128+AC128+Z128</f>
        <v>#REF!</v>
      </c>
      <c r="AE128" s="78" t="e">
        <f>AF126</f>
        <v>#REF!</v>
      </c>
      <c r="AF128" s="78" t="e">
        <f>AE128-AF126</f>
        <v>#REF!</v>
      </c>
      <c r="AG128" s="107" t="e">
        <f>-ROUND(F128/1000,1)</f>
        <v>#REF!</v>
      </c>
      <c r="AH128" s="107" t="e">
        <f>ROUND(AG128/1.302,1)</f>
        <v>#REF!</v>
      </c>
      <c r="AI128" s="107" t="e">
        <f>AG128-AH128</f>
        <v>#REF!</v>
      </c>
      <c r="AJ128" s="107" t="e">
        <f>-ROUND(L128/1000,1)</f>
        <v>#REF!</v>
      </c>
      <c r="AK128" s="107" t="e">
        <f>-ROUND(M128/1000,1)</f>
        <v>#REF!</v>
      </c>
      <c r="AL128" s="107" t="e">
        <f>-ROUND(N128/1000,1)</f>
        <v>#REF!</v>
      </c>
      <c r="AM128" s="107" t="e">
        <f>-ROUND(O128/1000,1)</f>
        <v>#REF!</v>
      </c>
      <c r="AN128" s="107" t="e">
        <f t="shared" ref="AN128:AS128" si="138">-ROUND(T128/1000,1)</f>
        <v>#REF!</v>
      </c>
      <c r="AO128" s="107" t="e">
        <f t="shared" si="138"/>
        <v>#REF!</v>
      </c>
      <c r="AP128" s="107" t="e">
        <f t="shared" si="138"/>
        <v>#REF!</v>
      </c>
      <c r="AQ128" s="107" t="e">
        <f t="shared" si="138"/>
        <v>#REF!</v>
      </c>
      <c r="AR128" s="107" t="e">
        <f t="shared" si="138"/>
        <v>#REF!</v>
      </c>
      <c r="AS128" s="107" t="e">
        <f t="shared" si="138"/>
        <v>#REF!</v>
      </c>
      <c r="AT128" s="107" t="e">
        <f>-ROUND(AC128/1000,1)</f>
        <v>#REF!</v>
      </c>
      <c r="AU128" s="108" t="e">
        <f>AG128+AJ128+AL128+AM128+AN128+AO128+AP128+AQ128+AR128+AS128+AT128</f>
        <v>#REF!</v>
      </c>
      <c r="AW128" s="272">
        <v>-37301.9</v>
      </c>
    </row>
    <row r="129" spans="1:49" ht="15.75" hidden="1" x14ac:dyDescent="0.25">
      <c r="A129" s="102">
        <v>100</v>
      </c>
      <c r="B129" s="93" t="s">
        <v>28</v>
      </c>
      <c r="C129" s="11">
        <v>706</v>
      </c>
      <c r="D129" s="11">
        <v>2018</v>
      </c>
      <c r="E129" s="11" t="s">
        <v>182</v>
      </c>
      <c r="F129" s="37"/>
      <c r="G129" s="37"/>
      <c r="H129" s="37"/>
      <c r="I129" s="37">
        <f>SUMIF('2020'!$B:$B,выравнивание!$A129,'2020'!BM:BM)-SUMIFS('2020'!BM:BM,'2020'!$B:$B,выравнивание!$A129,'2020'!$G:$G,4)</f>
        <v>5029116</v>
      </c>
      <c r="J129" s="37">
        <f>SUMIF('2020'!$B:$B,выравнивание!$A129,'2020'!BN:BN)-SUMIFS('2020'!BN:BN,'2020'!$B:$B,выравнивание!$A129,'2020'!$G:$G,4)</f>
        <v>3862608.3</v>
      </c>
      <c r="K129" s="37">
        <f>SUMIF('2020'!$B:$B,выравнивание!$A129,'2020'!BO:BO)-SUMIFS('2020'!BO:BO,'2020'!$B:$B,выравнивание!$A129,'2020'!$G:$G,4)</f>
        <v>1166507.7</v>
      </c>
      <c r="L129" s="37">
        <f>SUMIF('2020'!$B:$B,выравнивание!$A129,'2020'!BP:BP)-SUMIFS('2020'!BP:BP,'2020'!$B:$B,выравнивание!$A129,'2020'!$G:$G,4)</f>
        <v>109040</v>
      </c>
      <c r="M129" s="37">
        <f>SUMIF('2020'!$B:$B,выравнивание!$A129,'2020'!BQ:BQ)-SUMIFS('2020'!BQ:BQ,'2020'!$B:$B,выравнивание!$A129,'2020'!$G:$G,4)</f>
        <v>21808</v>
      </c>
      <c r="N129" s="37">
        <f>SUMIF('2020'!$B:$B,выравнивание!$A129,'2020'!BR:BR)-SUMIFS('2020'!BR:BR,'2020'!$B:$B,выравнивание!$A129,'2020'!$G:$G,4)</f>
        <v>135570</v>
      </c>
      <c r="O129" s="37">
        <f>SUMIF('2020'!$B:$B,выравнивание!$A129,'2020'!BS:BS)-SUMIFS('2020'!BS:BS,'2020'!$B:$B,выравнивание!$A129,'2020'!$G:$G,4)</f>
        <v>384720</v>
      </c>
      <c r="P129" s="37">
        <f>SUMIF('2020'!$B:$B,выравнивание!$A129,'2020'!BT:BT)-SUMIFS('2020'!BT:BT,'2020'!$B:$B,выравнивание!$A129,'2020'!$G:$G,4)</f>
        <v>16720</v>
      </c>
      <c r="Q129" s="37">
        <f>SUMIF('2020'!$B:$B,выравнивание!$A129,'2020'!BU:BU)-SUMIFS('2020'!BU:BU,'2020'!$B:$B,выравнивание!$A129,'2020'!$G:$G,4)</f>
        <v>339120</v>
      </c>
      <c r="R129" s="37">
        <f>SUMIF('2020'!$B:$B,выравнивание!$A129,'2020'!BV:BV)-SUMIFS('2020'!BV:BV,'2020'!$B:$B,выравнивание!$A129,'2020'!$G:$G,4)</f>
        <v>8360</v>
      </c>
      <c r="S129" s="37">
        <f>SUMIF('2020'!$B:$B,выравнивание!$A129,'2020'!BW:BW)-SUMIFS('2020'!BW:BW,'2020'!$B:$B,выравнивание!$A129,'2020'!$G:$G,4)</f>
        <v>20520</v>
      </c>
      <c r="T129" s="37">
        <f>SUMIF('2020'!$B:$B,выравнивание!$A129,'2020'!BX:BX)-SUMIFS('2020'!BX:BX,'2020'!$B:$B,выравнивание!$A129,'2020'!$G:$G,4)</f>
        <v>145930</v>
      </c>
      <c r="U129" s="37">
        <f>SUMIF('2020'!$B:$B,выравнивание!$A129,'2020'!BY:BY)-SUMIFS('2020'!BY:BY,'2020'!$B:$B,выравнивание!$A129,'2020'!$G:$G,4)</f>
        <v>110200</v>
      </c>
      <c r="V129" s="37">
        <f>SUMIF('2020'!$B:$B,выравнивание!$A129,'2020'!BZ:BZ)-SUMIFS('2020'!BZ:BZ,'2020'!$B:$B,выравнивание!$A129,'2020'!$G:$G,4)</f>
        <v>10260</v>
      </c>
      <c r="W129" s="37">
        <f>SUMIF('2020'!$B:$B,выравнивание!$A129,'2020'!CA:CA)-SUMIFS('2020'!CA:CA,'2020'!$B:$B,выравнивание!$A129,'2020'!$G:$G,4)</f>
        <v>14630</v>
      </c>
      <c r="X129" s="37">
        <f>SUMIF('2020'!$B:$B,выравнивание!$A129,'2020'!CB:CB)-SUMIFS('2020'!CB:CB,'2020'!$B:$B,выравнивание!$A129,'2020'!$G:$G,4)</f>
        <v>3230</v>
      </c>
      <c r="Y129" s="37">
        <f>SUMIF('2020'!$B:$B,выравнивание!$A129,'2020'!CC:CC)-SUMIFS('2020'!CC:CC,'2020'!$B:$B,выравнивание!$A129,'2020'!$G:$G,4)</f>
        <v>3800</v>
      </c>
      <c r="Z129" s="37">
        <f>SUMIF('2020'!$B:$B,выравнивание!$A129,'2020'!CD:CD)-SUMIFS('2020'!CD:CD,'2020'!$B:$B,выравнивание!$A129,'2020'!$G:$G,4)</f>
        <v>861584</v>
      </c>
      <c r="AA129" s="37">
        <f>SUMIF('2020'!$B:$B,выравнивание!$A129,'2020'!CE:CE)-SUMIFS('2020'!CE:CE,'2020'!$B:$B,выравнивание!$A129,'2020'!$G:$G,4)</f>
        <v>661738.9</v>
      </c>
      <c r="AB129" s="37">
        <f>SUMIF('2020'!$B:$B,выравнивание!$A129,'2020'!CF:CF)-SUMIFS('2020'!CF:CF,'2020'!$B:$B,выравнивание!$A129,'2020'!$G:$G,4)</f>
        <v>199845.1</v>
      </c>
      <c r="AC129" s="103">
        <f>SUMIF('2020'!$B:$B,выравнивание!$A129,'2020'!CG:CG)-SUMIFS('2020'!CG:CG,'2020'!$B:$B,выравнивание!$A129,'2020'!$G:$G,4)</f>
        <v>0</v>
      </c>
      <c r="AD129" s="103">
        <f>SUMIF('2020'!$B:$B,выравнивание!$A129,'2020'!CH:CH)-SUMIFS('2020'!CH:CH,'2020'!$B:$B,выравнивание!$A129,'2020'!$G:$G,4)</f>
        <v>6808080</v>
      </c>
      <c r="AE129" s="84">
        <f>'Свод 2020'!AA23*1000-'Свод 2020'!S23*1000</f>
        <v>7229100</v>
      </c>
      <c r="AF129" s="105">
        <f>AD129-AE129</f>
        <v>-421020</v>
      </c>
      <c r="AU129" s="108"/>
    </row>
    <row r="130" spans="1:49" ht="15.75" hidden="1" x14ac:dyDescent="0.25">
      <c r="A130" s="102">
        <v>100</v>
      </c>
      <c r="B130" s="93" t="s">
        <v>28</v>
      </c>
      <c r="C130" s="11">
        <v>706</v>
      </c>
      <c r="D130" s="11">
        <v>2018</v>
      </c>
      <c r="E130" s="11" t="s">
        <v>184</v>
      </c>
      <c r="F130" s="104"/>
      <c r="G130" s="104"/>
      <c r="H130" s="104"/>
      <c r="I130" s="104">
        <f t="shared" ref="I130:O130" si="139">I129/$AD129</f>
        <v>0.73869799999999997</v>
      </c>
      <c r="J130" s="104">
        <f t="shared" si="139"/>
        <v>0.56735599999999997</v>
      </c>
      <c r="K130" s="104">
        <f t="shared" si="139"/>
        <v>0.17134199999999999</v>
      </c>
      <c r="L130" s="104">
        <f t="shared" si="139"/>
        <v>1.6015999999999999E-2</v>
      </c>
      <c r="M130" s="104">
        <f t="shared" si="139"/>
        <v>3.2030000000000001E-3</v>
      </c>
      <c r="N130" s="104">
        <f t="shared" si="139"/>
        <v>1.9913E-2</v>
      </c>
      <c r="O130" s="104">
        <f t="shared" si="139"/>
        <v>5.6508999999999997E-2</v>
      </c>
      <c r="P130" s="37"/>
      <c r="Q130" s="37"/>
      <c r="R130" s="37"/>
      <c r="S130" s="37"/>
      <c r="T130" s="104">
        <f t="shared" ref="T130:AB130" si="140">T129/$AD129</f>
        <v>2.1434999999999999E-2</v>
      </c>
      <c r="U130" s="104">
        <f t="shared" si="140"/>
        <v>1.6187E-2</v>
      </c>
      <c r="V130" s="104">
        <f t="shared" si="140"/>
        <v>1.5070000000000001E-3</v>
      </c>
      <c r="W130" s="104">
        <f t="shared" si="140"/>
        <v>2.1489999999999999E-3</v>
      </c>
      <c r="X130" s="104">
        <f t="shared" si="140"/>
        <v>4.7399999999999997E-4</v>
      </c>
      <c r="Y130" s="104">
        <f t="shared" si="140"/>
        <v>5.5800000000000001E-4</v>
      </c>
      <c r="Z130" s="104">
        <f t="shared" si="140"/>
        <v>0.126553</v>
      </c>
      <c r="AA130" s="104">
        <f t="shared" si="140"/>
        <v>9.7198999999999994E-2</v>
      </c>
      <c r="AB130" s="104">
        <f t="shared" si="140"/>
        <v>2.9354000000000002E-2</v>
      </c>
      <c r="AC130" s="106">
        <f>1-Z130-Y130-X130-W130-V130-U130-T130-O130-N130-L130-I130</f>
        <v>9.9999999999999995E-7</v>
      </c>
      <c r="AD130" s="106">
        <f>AD129/$AD129</f>
        <v>1</v>
      </c>
      <c r="AE130" s="81"/>
      <c r="AU130" s="108"/>
    </row>
    <row r="131" spans="1:49" ht="15.75" x14ac:dyDescent="0.25">
      <c r="A131" s="102">
        <v>100</v>
      </c>
      <c r="B131" s="93" t="s">
        <v>28</v>
      </c>
      <c r="C131" s="11">
        <v>706</v>
      </c>
      <c r="D131" s="11">
        <v>2018</v>
      </c>
      <c r="E131" s="11" t="s">
        <v>185</v>
      </c>
      <c r="F131" s="37">
        <f>G131+H131</f>
        <v>-364288</v>
      </c>
      <c r="G131" s="37">
        <f>J131+AA131</f>
        <v>-279791</v>
      </c>
      <c r="H131" s="37">
        <f>K131+AB131</f>
        <v>-84497</v>
      </c>
      <c r="I131" s="37">
        <f>ROUND($AF129*I130,0)</f>
        <v>-311007</v>
      </c>
      <c r="J131" s="37">
        <f>ROUND(I131/1.302,0)</f>
        <v>-238869</v>
      </c>
      <c r="K131" s="37">
        <f>I131-J131</f>
        <v>-72138</v>
      </c>
      <c r="L131" s="37">
        <f>ROUND($AF129*L130,0)</f>
        <v>-6743</v>
      </c>
      <c r="M131" s="37">
        <f>ROUND($AF129*M130,0)</f>
        <v>-1349</v>
      </c>
      <c r="N131" s="37">
        <f>ROUND($AF129*N130,0)</f>
        <v>-8384</v>
      </c>
      <c r="O131" s="37">
        <f>ROUND($AF129*O130,0)</f>
        <v>-23791</v>
      </c>
      <c r="P131" s="37"/>
      <c r="Q131" s="37"/>
      <c r="R131" s="37"/>
      <c r="S131" s="37"/>
      <c r="T131" s="37">
        <f t="shared" ref="T131:Z131" si="141">ROUND($AF129*T130,0)</f>
        <v>-9025</v>
      </c>
      <c r="U131" s="37">
        <f t="shared" si="141"/>
        <v>-6815</v>
      </c>
      <c r="V131" s="37">
        <f t="shared" si="141"/>
        <v>-634</v>
      </c>
      <c r="W131" s="37">
        <f t="shared" si="141"/>
        <v>-905</v>
      </c>
      <c r="X131" s="37">
        <f t="shared" si="141"/>
        <v>-200</v>
      </c>
      <c r="Y131" s="37">
        <f t="shared" si="141"/>
        <v>-235</v>
      </c>
      <c r="Z131" s="37">
        <f t="shared" si="141"/>
        <v>-53281</v>
      </c>
      <c r="AA131" s="37">
        <f>ROUND(Z131/1.302,0)</f>
        <v>-40922</v>
      </c>
      <c r="AB131" s="37">
        <f>Z131-AA131</f>
        <v>-12359</v>
      </c>
      <c r="AC131" s="37">
        <f>ROUND($AF129*AC130,0)</f>
        <v>0</v>
      </c>
      <c r="AD131" s="37">
        <f>I131+L131+N131+O131+T131+U131+V131+W131+X131+Y131+AC131+Z131</f>
        <v>-421020</v>
      </c>
      <c r="AE131" s="78">
        <f>AF129</f>
        <v>-421020</v>
      </c>
      <c r="AF131" s="78">
        <f>AE131-AF129</f>
        <v>0</v>
      </c>
      <c r="AG131" s="107">
        <f>-ROUND(F131/1000,1)</f>
        <v>364.3</v>
      </c>
      <c r="AH131" s="107">
        <f>ROUND(AG131/1.302,1)</f>
        <v>279.8</v>
      </c>
      <c r="AI131" s="107">
        <f>AG131-AH131</f>
        <v>84.5</v>
      </c>
      <c r="AJ131" s="107">
        <f>-ROUND(L131/1000,1)</f>
        <v>6.7</v>
      </c>
      <c r="AK131" s="107">
        <f>-ROUND(M131/1000,1)</f>
        <v>1.3</v>
      </c>
      <c r="AL131" s="107">
        <f>-ROUND(N131/1000,1)</f>
        <v>8.4</v>
      </c>
      <c r="AM131" s="107">
        <f>-ROUND(O131/1000,1)</f>
        <v>23.8</v>
      </c>
      <c r="AN131" s="107">
        <f t="shared" ref="AN131:AS131" si="142">-ROUND(T131/1000,1)</f>
        <v>9</v>
      </c>
      <c r="AO131" s="107">
        <f t="shared" si="142"/>
        <v>6.8</v>
      </c>
      <c r="AP131" s="107">
        <f t="shared" si="142"/>
        <v>0.6</v>
      </c>
      <c r="AQ131" s="107">
        <f t="shared" si="142"/>
        <v>0.9</v>
      </c>
      <c r="AR131" s="107">
        <f t="shared" si="142"/>
        <v>0.2</v>
      </c>
      <c r="AS131" s="107">
        <f t="shared" si="142"/>
        <v>0.2</v>
      </c>
      <c r="AT131" s="107">
        <f>-ROUND(AC131/1000,1)</f>
        <v>0</v>
      </c>
      <c r="AU131" s="108">
        <f>AG131+AJ131+AL131+AM131+AN131+AO131+AP131+AQ131+AR131+AS131+AT131</f>
        <v>420.9</v>
      </c>
      <c r="AW131" s="272">
        <v>-1135</v>
      </c>
    </row>
    <row r="132" spans="1:49" ht="15.75" hidden="1" x14ac:dyDescent="0.25">
      <c r="A132" s="102">
        <v>100</v>
      </c>
      <c r="B132" s="93" t="s">
        <v>28</v>
      </c>
      <c r="C132" s="11">
        <v>706</v>
      </c>
      <c r="D132" s="11">
        <v>2019</v>
      </c>
      <c r="E132" s="11" t="s">
        <v>182</v>
      </c>
      <c r="F132" s="37"/>
      <c r="G132" s="37"/>
      <c r="H132" s="37"/>
      <c r="I132" s="37" t="e">
        <f>SUMIF(#REF!,выравнивание!$A132,#REF!)-SUMIFS(#REF!,#REF!,выравнивание!$A132,#REF!,4)</f>
        <v>#REF!</v>
      </c>
      <c r="J132" s="37" t="e">
        <f>SUMIF(#REF!,выравнивание!$A132,#REF!)-SUMIFS(#REF!,#REF!,выравнивание!$A132,#REF!,4)</f>
        <v>#REF!</v>
      </c>
      <c r="K132" s="37" t="e">
        <f>SUMIF(#REF!,выравнивание!$A132,#REF!)-SUMIFS(#REF!,#REF!,выравнивание!$A132,#REF!,4)</f>
        <v>#REF!</v>
      </c>
      <c r="L132" s="37" t="e">
        <f>SUMIF(#REF!,выравнивание!$A132,#REF!)-SUMIFS(#REF!,#REF!,выравнивание!$A132,#REF!,4)</f>
        <v>#REF!</v>
      </c>
      <c r="M132" s="37" t="e">
        <f>SUMIF(#REF!,выравнивание!$A132,#REF!)-SUMIFS(#REF!,#REF!,выравнивание!$A132,#REF!,4)</f>
        <v>#REF!</v>
      </c>
      <c r="N132" s="37" t="e">
        <f>SUMIF(#REF!,выравнивание!$A132,#REF!)-SUMIFS(#REF!,#REF!,выравнивание!$A132,#REF!,4)</f>
        <v>#REF!</v>
      </c>
      <c r="O132" s="37" t="e">
        <f>SUMIF(#REF!,выравнивание!$A132,#REF!)-SUMIFS(#REF!,#REF!,выравнивание!$A132,#REF!,4)</f>
        <v>#REF!</v>
      </c>
      <c r="P132" s="37" t="e">
        <f>SUMIF(#REF!,выравнивание!$A132,#REF!)-SUMIFS(#REF!,#REF!,выравнивание!$A132,#REF!,4)</f>
        <v>#REF!</v>
      </c>
      <c r="Q132" s="37" t="e">
        <f>SUMIF(#REF!,выравнивание!$A132,#REF!)-SUMIFS(#REF!,#REF!,выравнивание!$A132,#REF!,4)</f>
        <v>#REF!</v>
      </c>
      <c r="R132" s="37" t="e">
        <f>SUMIF(#REF!,выравнивание!$A132,#REF!)-SUMIFS(#REF!,#REF!,выравнивание!$A132,#REF!,4)</f>
        <v>#REF!</v>
      </c>
      <c r="S132" s="37" t="e">
        <f>SUMIF(#REF!,выравнивание!$A132,#REF!)-SUMIFS(#REF!,#REF!,выравнивание!$A132,#REF!,4)</f>
        <v>#REF!</v>
      </c>
      <c r="T132" s="37" t="e">
        <f>SUMIF(#REF!,выравнивание!$A132,#REF!)-SUMIFS(#REF!,#REF!,выравнивание!$A132,#REF!,4)</f>
        <v>#REF!</v>
      </c>
      <c r="U132" s="37" t="e">
        <f>SUMIF(#REF!,выравнивание!$A132,#REF!)-SUMIFS(#REF!,#REF!,выравнивание!$A132,#REF!,4)</f>
        <v>#REF!</v>
      </c>
      <c r="V132" s="37" t="e">
        <f>SUMIF(#REF!,выравнивание!$A132,#REF!)-SUMIFS(#REF!,#REF!,выравнивание!$A132,#REF!,4)</f>
        <v>#REF!</v>
      </c>
      <c r="W132" s="37" t="e">
        <f>SUMIF(#REF!,выравнивание!$A132,#REF!)-SUMIFS(#REF!,#REF!,выравнивание!$A132,#REF!,4)</f>
        <v>#REF!</v>
      </c>
      <c r="X132" s="37" t="e">
        <f>SUMIF(#REF!,выравнивание!$A132,#REF!)-SUMIFS(#REF!,#REF!,выравнивание!$A132,#REF!,4)</f>
        <v>#REF!</v>
      </c>
      <c r="Y132" s="37" t="e">
        <f>SUMIF(#REF!,выравнивание!$A132,#REF!)-SUMIFS(#REF!,#REF!,выравнивание!$A132,#REF!,4)</f>
        <v>#REF!</v>
      </c>
      <c r="Z132" s="37" t="e">
        <f>SUMIF(#REF!,выравнивание!$A132,#REF!)-SUMIFS(#REF!,#REF!,выравнивание!$A132,#REF!,4)</f>
        <v>#REF!</v>
      </c>
      <c r="AA132" s="37" t="e">
        <f>SUMIF(#REF!,выравнивание!$A132,#REF!)-SUMIFS(#REF!,#REF!,выравнивание!$A132,#REF!,4)</f>
        <v>#REF!</v>
      </c>
      <c r="AB132" s="37" t="e">
        <f>SUMIF(#REF!,выравнивание!$A132,#REF!)-SUMIFS(#REF!,#REF!,выравнивание!$A132,#REF!,4)</f>
        <v>#REF!</v>
      </c>
      <c r="AC132" s="103" t="e">
        <f>SUMIF(#REF!,выравнивание!$A132,#REF!)-SUMIFS(#REF!,#REF!,выравнивание!$A132,#REF!,4)</f>
        <v>#REF!</v>
      </c>
      <c r="AD132" s="103" t="e">
        <f>SUMIF(#REF!,выравнивание!$A132,#REF!)-SUMIFS(#REF!,#REF!,выравнивание!$A132,#REF!,4)</f>
        <v>#REF!</v>
      </c>
      <c r="AE132" s="84" t="e">
        <f>#REF!*1000</f>
        <v>#REF!</v>
      </c>
      <c r="AF132" s="105" t="e">
        <f>AD132-AE132</f>
        <v>#REF!</v>
      </c>
      <c r="AU132" s="108"/>
    </row>
    <row r="133" spans="1:49" ht="15.75" hidden="1" x14ac:dyDescent="0.25">
      <c r="A133" s="102">
        <v>100</v>
      </c>
      <c r="B133" s="93" t="s">
        <v>28</v>
      </c>
      <c r="C133" s="11">
        <v>706</v>
      </c>
      <c r="D133" s="11">
        <v>2019</v>
      </c>
      <c r="E133" s="11" t="s">
        <v>184</v>
      </c>
      <c r="F133" s="104"/>
      <c r="G133" s="104"/>
      <c r="H133" s="104"/>
      <c r="I133" s="104" t="e">
        <f t="shared" ref="I133:O133" si="143">I132/$AD132</f>
        <v>#REF!</v>
      </c>
      <c r="J133" s="104" t="e">
        <f t="shared" si="143"/>
        <v>#REF!</v>
      </c>
      <c r="K133" s="104" t="e">
        <f t="shared" si="143"/>
        <v>#REF!</v>
      </c>
      <c r="L133" s="104" t="e">
        <f t="shared" si="143"/>
        <v>#REF!</v>
      </c>
      <c r="M133" s="104" t="e">
        <f t="shared" si="143"/>
        <v>#REF!</v>
      </c>
      <c r="N133" s="104" t="e">
        <f t="shared" si="143"/>
        <v>#REF!</v>
      </c>
      <c r="O133" s="104" t="e">
        <f t="shared" si="143"/>
        <v>#REF!</v>
      </c>
      <c r="P133" s="37"/>
      <c r="Q133" s="37"/>
      <c r="R133" s="37"/>
      <c r="S133" s="37"/>
      <c r="T133" s="104" t="e">
        <f t="shared" ref="T133:AB133" si="144">T132/$AD132</f>
        <v>#REF!</v>
      </c>
      <c r="U133" s="104" t="e">
        <f t="shared" si="144"/>
        <v>#REF!</v>
      </c>
      <c r="V133" s="104" t="e">
        <f t="shared" si="144"/>
        <v>#REF!</v>
      </c>
      <c r="W133" s="104" t="e">
        <f t="shared" si="144"/>
        <v>#REF!</v>
      </c>
      <c r="X133" s="104" t="e">
        <f t="shared" si="144"/>
        <v>#REF!</v>
      </c>
      <c r="Y133" s="104" t="e">
        <f t="shared" si="144"/>
        <v>#REF!</v>
      </c>
      <c r="Z133" s="104" t="e">
        <f t="shared" si="144"/>
        <v>#REF!</v>
      </c>
      <c r="AA133" s="104" t="e">
        <f t="shared" si="144"/>
        <v>#REF!</v>
      </c>
      <c r="AB133" s="104" t="e">
        <f t="shared" si="144"/>
        <v>#REF!</v>
      </c>
      <c r="AC133" s="106" t="e">
        <f>1-Z133-Y133-X133-W133-V133-U133-T133-O133-N133-L133-I133</f>
        <v>#REF!</v>
      </c>
      <c r="AD133" s="106" t="e">
        <f>AD132/$AD132</f>
        <v>#REF!</v>
      </c>
      <c r="AE133" s="81"/>
      <c r="AU133" s="108"/>
    </row>
    <row r="134" spans="1:49" ht="15.75" x14ac:dyDescent="0.25">
      <c r="A134" s="102">
        <v>100</v>
      </c>
      <c r="B134" s="93" t="s">
        <v>28</v>
      </c>
      <c r="C134" s="11">
        <v>706</v>
      </c>
      <c r="D134" s="11">
        <v>2019</v>
      </c>
      <c r="E134" s="11" t="s">
        <v>185</v>
      </c>
      <c r="F134" s="37" t="e">
        <f>G134+H134</f>
        <v>#REF!</v>
      </c>
      <c r="G134" s="37" t="e">
        <f>J134+AA134</f>
        <v>#REF!</v>
      </c>
      <c r="H134" s="37" t="e">
        <f>K134+AB134</f>
        <v>#REF!</v>
      </c>
      <c r="I134" s="37" t="e">
        <f>ROUND($AF132*I133,0)</f>
        <v>#REF!</v>
      </c>
      <c r="J134" s="37" t="e">
        <f>ROUND(I134/1.302,0)</f>
        <v>#REF!</v>
      </c>
      <c r="K134" s="37" t="e">
        <f>I134-J134</f>
        <v>#REF!</v>
      </c>
      <c r="L134" s="37" t="e">
        <f>ROUND($AF132*L133,0)</f>
        <v>#REF!</v>
      </c>
      <c r="M134" s="37" t="e">
        <f>ROUND($AF132*M133,0)</f>
        <v>#REF!</v>
      </c>
      <c r="N134" s="37" t="e">
        <f>ROUND($AF132*N133,0)</f>
        <v>#REF!</v>
      </c>
      <c r="O134" s="37" t="e">
        <f>ROUND($AF132*O133,0)</f>
        <v>#REF!</v>
      </c>
      <c r="P134" s="37"/>
      <c r="Q134" s="37"/>
      <c r="R134" s="37"/>
      <c r="S134" s="37"/>
      <c r="T134" s="37" t="e">
        <f t="shared" ref="T134:Z134" si="145">ROUND($AF132*T133,0)</f>
        <v>#REF!</v>
      </c>
      <c r="U134" s="37" t="e">
        <f t="shared" si="145"/>
        <v>#REF!</v>
      </c>
      <c r="V134" s="37" t="e">
        <f t="shared" si="145"/>
        <v>#REF!</v>
      </c>
      <c r="W134" s="37" t="e">
        <f t="shared" si="145"/>
        <v>#REF!</v>
      </c>
      <c r="X134" s="37" t="e">
        <f t="shared" si="145"/>
        <v>#REF!</v>
      </c>
      <c r="Y134" s="37" t="e">
        <f t="shared" si="145"/>
        <v>#REF!</v>
      </c>
      <c r="Z134" s="37" t="e">
        <f t="shared" si="145"/>
        <v>#REF!</v>
      </c>
      <c r="AA134" s="37" t="e">
        <f>ROUND(Z134/1.302,0)</f>
        <v>#REF!</v>
      </c>
      <c r="AB134" s="37" t="e">
        <f>Z134-AA134</f>
        <v>#REF!</v>
      </c>
      <c r="AC134" s="37" t="e">
        <f>ROUND($AF132*AC133,0)</f>
        <v>#REF!</v>
      </c>
      <c r="AD134" s="37" t="e">
        <f>I134+L134+N134+O134+T134+U134+V134+W134+X134+Y134+AC134+Z134</f>
        <v>#REF!</v>
      </c>
      <c r="AE134" s="78" t="e">
        <f>AF132</f>
        <v>#REF!</v>
      </c>
      <c r="AF134" s="78" t="e">
        <f>AE134-AF132</f>
        <v>#REF!</v>
      </c>
      <c r="AG134" s="107" t="e">
        <f>-ROUND(F134/1000,1)</f>
        <v>#REF!</v>
      </c>
      <c r="AH134" s="107" t="e">
        <f>ROUND(AG134/1.302,1)</f>
        <v>#REF!</v>
      </c>
      <c r="AI134" s="107" t="e">
        <f>AG134-AH134</f>
        <v>#REF!</v>
      </c>
      <c r="AJ134" s="107" t="e">
        <f>-ROUND(L134/1000,1)</f>
        <v>#REF!</v>
      </c>
      <c r="AK134" s="107" t="e">
        <f>-ROUND(M134/1000,1)</f>
        <v>#REF!</v>
      </c>
      <c r="AL134" s="107" t="e">
        <f>-ROUND(N134/1000,1)</f>
        <v>#REF!</v>
      </c>
      <c r="AM134" s="107" t="e">
        <f>-ROUND(O134/1000,1)</f>
        <v>#REF!</v>
      </c>
      <c r="AN134" s="107" t="e">
        <f t="shared" ref="AN134:AS134" si="146">-ROUND(T134/1000,1)</f>
        <v>#REF!</v>
      </c>
      <c r="AO134" s="107" t="e">
        <f t="shared" si="146"/>
        <v>#REF!</v>
      </c>
      <c r="AP134" s="107" t="e">
        <f t="shared" si="146"/>
        <v>#REF!</v>
      </c>
      <c r="AQ134" s="107" t="e">
        <f t="shared" si="146"/>
        <v>#REF!</v>
      </c>
      <c r="AR134" s="107" t="e">
        <f t="shared" si="146"/>
        <v>#REF!</v>
      </c>
      <c r="AS134" s="107" t="e">
        <f t="shared" si="146"/>
        <v>#REF!</v>
      </c>
      <c r="AT134" s="107" t="e">
        <f>-ROUND(AC134/1000,1)</f>
        <v>#REF!</v>
      </c>
      <c r="AU134" s="108" t="e">
        <f t="shared" ref="AU134:AU197" si="147">AG134+AJ134+AL134+AM134+AN134+AO134+AP134+AQ134+AR134+AS134+AT134</f>
        <v>#REF!</v>
      </c>
      <c r="AW134" s="272">
        <v>-1184.3</v>
      </c>
    </row>
    <row r="135" spans="1:49" ht="15.75" hidden="1" x14ac:dyDescent="0.25">
      <c r="A135" s="102">
        <v>100</v>
      </c>
      <c r="B135" s="93" t="s">
        <v>28</v>
      </c>
      <c r="C135" s="11">
        <v>706</v>
      </c>
      <c r="D135" s="11">
        <v>2020</v>
      </c>
      <c r="E135" s="11" t="s">
        <v>182</v>
      </c>
      <c r="F135" s="37"/>
      <c r="G135" s="37"/>
      <c r="H135" s="37"/>
      <c r="I135" s="37" t="e">
        <f>SUMIF(#REF!,выравнивание!$A135,#REF!)-SUMIFS(#REF!,#REF!,выравнивание!$A135,#REF!,4)</f>
        <v>#REF!</v>
      </c>
      <c r="J135" s="37" t="e">
        <f>SUMIF(#REF!,выравнивание!$A135,#REF!)-SUMIFS(#REF!,#REF!,выравнивание!$A135,#REF!,4)</f>
        <v>#REF!</v>
      </c>
      <c r="K135" s="37" t="e">
        <f>SUMIF(#REF!,выравнивание!$A135,#REF!)-SUMIFS(#REF!,#REF!,выравнивание!$A135,#REF!,4)</f>
        <v>#REF!</v>
      </c>
      <c r="L135" s="37" t="e">
        <f>SUMIF(#REF!,выравнивание!$A135,#REF!)-SUMIFS(#REF!,#REF!,выравнивание!$A135,#REF!,4)</f>
        <v>#REF!</v>
      </c>
      <c r="M135" s="37" t="e">
        <f>SUMIF(#REF!,выравнивание!$A135,#REF!)-SUMIFS(#REF!,#REF!,выравнивание!$A135,#REF!,4)</f>
        <v>#REF!</v>
      </c>
      <c r="N135" s="37" t="e">
        <f>SUMIF(#REF!,выравнивание!$A135,#REF!)-SUMIFS(#REF!,#REF!,выравнивание!$A135,#REF!,4)</f>
        <v>#REF!</v>
      </c>
      <c r="O135" s="37" t="e">
        <f>SUMIF(#REF!,выравнивание!$A135,#REF!)-SUMIFS(#REF!,#REF!,выравнивание!$A135,#REF!,4)</f>
        <v>#REF!</v>
      </c>
      <c r="P135" s="37" t="e">
        <f>SUMIF(#REF!,выравнивание!$A135,#REF!)-SUMIFS(#REF!,#REF!,выравнивание!$A135,#REF!,4)</f>
        <v>#REF!</v>
      </c>
      <c r="Q135" s="37" t="e">
        <f>SUMIF(#REF!,выравнивание!$A135,#REF!)-SUMIFS(#REF!,#REF!,выравнивание!$A135,#REF!,4)</f>
        <v>#REF!</v>
      </c>
      <c r="R135" s="37" t="e">
        <f>SUMIF(#REF!,выравнивание!$A135,#REF!)-SUMIFS(#REF!,#REF!,выравнивание!$A135,#REF!,4)</f>
        <v>#REF!</v>
      </c>
      <c r="S135" s="37" t="e">
        <f>SUMIF(#REF!,выравнивание!$A135,#REF!)-SUMIFS(#REF!,#REF!,выравнивание!$A135,#REF!,4)</f>
        <v>#REF!</v>
      </c>
      <c r="T135" s="37" t="e">
        <f>SUMIF(#REF!,выравнивание!$A135,#REF!)-SUMIFS(#REF!,#REF!,выравнивание!$A135,#REF!,4)</f>
        <v>#REF!</v>
      </c>
      <c r="U135" s="37" t="e">
        <f>SUMIF(#REF!,выравнивание!$A135,#REF!)-SUMIFS(#REF!,#REF!,выравнивание!$A135,#REF!,4)</f>
        <v>#REF!</v>
      </c>
      <c r="V135" s="37" t="e">
        <f>SUMIF(#REF!,выравнивание!$A135,#REF!)-SUMIFS(#REF!,#REF!,выравнивание!$A135,#REF!,4)</f>
        <v>#REF!</v>
      </c>
      <c r="W135" s="37" t="e">
        <f>SUMIF(#REF!,выравнивание!$A135,#REF!)-SUMIFS(#REF!,#REF!,выравнивание!$A135,#REF!,4)</f>
        <v>#REF!</v>
      </c>
      <c r="X135" s="37" t="e">
        <f>SUMIF(#REF!,выравнивание!$A135,#REF!)-SUMIFS(#REF!,#REF!,выравнивание!$A135,#REF!,4)</f>
        <v>#REF!</v>
      </c>
      <c r="Y135" s="37" t="e">
        <f>SUMIF(#REF!,выравнивание!$A135,#REF!)-SUMIFS(#REF!,#REF!,выравнивание!$A135,#REF!,4)</f>
        <v>#REF!</v>
      </c>
      <c r="Z135" s="37" t="e">
        <f>SUMIF(#REF!,выравнивание!$A135,#REF!)-SUMIFS(#REF!,#REF!,выравнивание!$A135,#REF!,4)</f>
        <v>#REF!</v>
      </c>
      <c r="AA135" s="37" t="e">
        <f>SUMIF(#REF!,выравнивание!$A135,#REF!)-SUMIFS(#REF!,#REF!,выравнивание!$A135,#REF!,4)</f>
        <v>#REF!</v>
      </c>
      <c r="AB135" s="37" t="e">
        <f>SUMIF(#REF!,выравнивание!$A135,#REF!)-SUMIFS(#REF!,#REF!,выравнивание!$A135,#REF!,4)</f>
        <v>#REF!</v>
      </c>
      <c r="AC135" s="103" t="e">
        <f>SUMIF(#REF!,выравнивание!$A135,#REF!)-SUMIFS(#REF!,#REF!,выравнивание!$A135,#REF!,4)</f>
        <v>#REF!</v>
      </c>
      <c r="AD135" s="103" t="e">
        <f>SUMIF(#REF!,выравнивание!$A135,#REF!)-SUMIFS(#REF!,#REF!,выравнивание!$A135,#REF!,4)</f>
        <v>#REF!</v>
      </c>
      <c r="AE135" s="84" t="e">
        <f>#REF!*1000</f>
        <v>#REF!</v>
      </c>
      <c r="AF135" s="84" t="e">
        <f>AD135-AE135</f>
        <v>#REF!</v>
      </c>
      <c r="AU135" s="108"/>
    </row>
    <row r="136" spans="1:49" ht="15.75" hidden="1" x14ac:dyDescent="0.25">
      <c r="A136" s="102">
        <v>100</v>
      </c>
      <c r="B136" s="93" t="s">
        <v>28</v>
      </c>
      <c r="C136" s="11">
        <v>706</v>
      </c>
      <c r="D136" s="11">
        <v>2020</v>
      </c>
      <c r="E136" s="11" t="s">
        <v>184</v>
      </c>
      <c r="F136" s="104"/>
      <c r="G136" s="104"/>
      <c r="H136" s="104"/>
      <c r="I136" s="104" t="e">
        <f t="shared" ref="I136:O136" si="148">I135/$AD135</f>
        <v>#REF!</v>
      </c>
      <c r="J136" s="104" t="e">
        <f t="shared" si="148"/>
        <v>#REF!</v>
      </c>
      <c r="K136" s="104" t="e">
        <f t="shared" si="148"/>
        <v>#REF!</v>
      </c>
      <c r="L136" s="104" t="e">
        <f t="shared" si="148"/>
        <v>#REF!</v>
      </c>
      <c r="M136" s="104" t="e">
        <f t="shared" si="148"/>
        <v>#REF!</v>
      </c>
      <c r="N136" s="104" t="e">
        <f t="shared" si="148"/>
        <v>#REF!</v>
      </c>
      <c r="O136" s="104" t="e">
        <f t="shared" si="148"/>
        <v>#REF!</v>
      </c>
      <c r="P136" s="37"/>
      <c r="Q136" s="37"/>
      <c r="R136" s="37"/>
      <c r="S136" s="37"/>
      <c r="T136" s="104" t="e">
        <f t="shared" ref="T136:AB136" si="149">T135/$AD135</f>
        <v>#REF!</v>
      </c>
      <c r="U136" s="104" t="e">
        <f t="shared" si="149"/>
        <v>#REF!</v>
      </c>
      <c r="V136" s="104" t="e">
        <f t="shared" si="149"/>
        <v>#REF!</v>
      </c>
      <c r="W136" s="104" t="e">
        <f t="shared" si="149"/>
        <v>#REF!</v>
      </c>
      <c r="X136" s="104" t="e">
        <f t="shared" si="149"/>
        <v>#REF!</v>
      </c>
      <c r="Y136" s="104" t="e">
        <f t="shared" si="149"/>
        <v>#REF!</v>
      </c>
      <c r="Z136" s="104" t="e">
        <f t="shared" si="149"/>
        <v>#REF!</v>
      </c>
      <c r="AA136" s="104" t="e">
        <f t="shared" si="149"/>
        <v>#REF!</v>
      </c>
      <c r="AB136" s="104" t="e">
        <f t="shared" si="149"/>
        <v>#REF!</v>
      </c>
      <c r="AC136" s="106" t="e">
        <f>1-Z136-Y136-X136-W136-V136-U136-T136-O136-N136-L136-I136</f>
        <v>#REF!</v>
      </c>
      <c r="AD136" s="106" t="e">
        <f>AD135/$AD135</f>
        <v>#REF!</v>
      </c>
      <c r="AE136" s="81"/>
      <c r="AU136" s="108"/>
    </row>
    <row r="137" spans="1:49" ht="15.75" x14ac:dyDescent="0.25">
      <c r="A137" s="102">
        <v>100</v>
      </c>
      <c r="B137" s="93" t="s">
        <v>28</v>
      </c>
      <c r="C137" s="11">
        <v>706</v>
      </c>
      <c r="D137" s="11">
        <v>2020</v>
      </c>
      <c r="E137" s="11" t="s">
        <v>185</v>
      </c>
      <c r="F137" s="37" t="e">
        <f>G137+H137</f>
        <v>#REF!</v>
      </c>
      <c r="G137" s="37" t="e">
        <f>J137+AA137</f>
        <v>#REF!</v>
      </c>
      <c r="H137" s="37" t="e">
        <f>K137+AB137</f>
        <v>#REF!</v>
      </c>
      <c r="I137" s="37" t="e">
        <f>ROUND($AF135*I136,0)</f>
        <v>#REF!</v>
      </c>
      <c r="J137" s="37" t="e">
        <f>ROUND(I137/1.302,0)</f>
        <v>#REF!</v>
      </c>
      <c r="K137" s="37" t="e">
        <f>I137-J137</f>
        <v>#REF!</v>
      </c>
      <c r="L137" s="37" t="e">
        <f>ROUND($AF135*L136,0)</f>
        <v>#REF!</v>
      </c>
      <c r="M137" s="37" t="e">
        <f>ROUND($AF135*M136,0)</f>
        <v>#REF!</v>
      </c>
      <c r="N137" s="37" t="e">
        <f>ROUND($AF135*N136,0)</f>
        <v>#REF!</v>
      </c>
      <c r="O137" s="37" t="e">
        <f>ROUND($AF135*O136,0)</f>
        <v>#REF!</v>
      </c>
      <c r="P137" s="37"/>
      <c r="Q137" s="37"/>
      <c r="R137" s="37"/>
      <c r="S137" s="37"/>
      <c r="T137" s="37" t="e">
        <f t="shared" ref="T137:Z137" si="150">ROUND($AF135*T136,0)</f>
        <v>#REF!</v>
      </c>
      <c r="U137" s="37" t="e">
        <f t="shared" si="150"/>
        <v>#REF!</v>
      </c>
      <c r="V137" s="37" t="e">
        <f t="shared" si="150"/>
        <v>#REF!</v>
      </c>
      <c r="W137" s="37" t="e">
        <f t="shared" si="150"/>
        <v>#REF!</v>
      </c>
      <c r="X137" s="37" t="e">
        <f t="shared" si="150"/>
        <v>#REF!</v>
      </c>
      <c r="Y137" s="37" t="e">
        <f t="shared" si="150"/>
        <v>#REF!</v>
      </c>
      <c r="Z137" s="37" t="e">
        <f t="shared" si="150"/>
        <v>#REF!</v>
      </c>
      <c r="AA137" s="37" t="e">
        <f>ROUND(Z137/1.302,0)</f>
        <v>#REF!</v>
      </c>
      <c r="AB137" s="37" t="e">
        <f>Z137-AA137</f>
        <v>#REF!</v>
      </c>
      <c r="AC137" s="37" t="e">
        <f>ROUND($AF135*AC136,0)</f>
        <v>#REF!</v>
      </c>
      <c r="AD137" s="37" t="e">
        <f>I137+L137+N137+O137+T137+U137+V137+W137+X137+Y137+AC137+Z137</f>
        <v>#REF!</v>
      </c>
      <c r="AE137" s="78" t="e">
        <f>AF135</f>
        <v>#REF!</v>
      </c>
      <c r="AF137" s="78" t="e">
        <f>AE137-AF135</f>
        <v>#REF!</v>
      </c>
      <c r="AG137" s="107" t="e">
        <f>-ROUND(F137/1000,1)</f>
        <v>#REF!</v>
      </c>
      <c r="AH137" s="107" t="e">
        <f>ROUND(AG137/1.302,1)</f>
        <v>#REF!</v>
      </c>
      <c r="AI137" s="107" t="e">
        <f>AG137-AH137</f>
        <v>#REF!</v>
      </c>
      <c r="AJ137" s="107" t="e">
        <f>-ROUND(L137/1000,1)</f>
        <v>#REF!</v>
      </c>
      <c r="AK137" s="107" t="e">
        <f>-ROUND(M137/1000,1)</f>
        <v>#REF!</v>
      </c>
      <c r="AL137" s="107" t="e">
        <f>-ROUND(N137/1000,1)</f>
        <v>#REF!</v>
      </c>
      <c r="AM137" s="107" t="e">
        <f>-ROUND(O137/1000,1)</f>
        <v>#REF!</v>
      </c>
      <c r="AN137" s="107" t="e">
        <f t="shared" ref="AN137:AS137" si="151">-ROUND(T137/1000,1)</f>
        <v>#REF!</v>
      </c>
      <c r="AO137" s="107" t="e">
        <f t="shared" si="151"/>
        <v>#REF!</v>
      </c>
      <c r="AP137" s="107" t="e">
        <f t="shared" si="151"/>
        <v>#REF!</v>
      </c>
      <c r="AQ137" s="107" t="e">
        <f t="shared" si="151"/>
        <v>#REF!</v>
      </c>
      <c r="AR137" s="107" t="e">
        <f t="shared" si="151"/>
        <v>#REF!</v>
      </c>
      <c r="AS137" s="107" t="e">
        <f t="shared" si="151"/>
        <v>#REF!</v>
      </c>
      <c r="AT137" s="107" t="e">
        <f>-ROUND(AC137/1000,1)</f>
        <v>#REF!</v>
      </c>
      <c r="AU137" s="108" t="e">
        <f t="shared" si="147"/>
        <v>#REF!</v>
      </c>
      <c r="AW137" s="272">
        <v>-1224.8</v>
      </c>
    </row>
    <row r="138" spans="1:49" ht="15.75" hidden="1" x14ac:dyDescent="0.25">
      <c r="A138" s="102">
        <v>0</v>
      </c>
      <c r="B138" s="93" t="s">
        <v>24</v>
      </c>
      <c r="C138" s="11">
        <v>706</v>
      </c>
      <c r="D138" s="11">
        <v>2018</v>
      </c>
      <c r="E138" s="11" t="s">
        <v>182</v>
      </c>
      <c r="F138" s="37"/>
      <c r="G138" s="37"/>
      <c r="H138" s="37"/>
      <c r="I138" s="37">
        <f>SUMIF('2020'!$B:$B,выравнивание!$A138,'2020'!BM:BM)-SUMIFS('2020'!BM:BM,'2020'!$B:$B,выравнивание!$A138,'2020'!$G:$G,4)</f>
        <v>1730529</v>
      </c>
      <c r="J138" s="37">
        <f>SUMIF('2020'!$B:$B,выравнивание!$A138,'2020'!BN:BN)-SUMIFS('2020'!BN:BN,'2020'!$B:$B,выравнивание!$A138,'2020'!$G:$G,4)</f>
        <v>1329131.3999999999</v>
      </c>
      <c r="K138" s="37">
        <f>SUMIF('2020'!$B:$B,выравнивание!$A138,'2020'!BO:BO)-SUMIFS('2020'!BO:BO,'2020'!$B:$B,выравнивание!$A138,'2020'!$G:$G,4)</f>
        <v>401397.6</v>
      </c>
      <c r="L138" s="37">
        <f>SUMIF('2020'!$B:$B,выравнивание!$A138,'2020'!BP:BP)-SUMIFS('2020'!BP:BP,'2020'!$B:$B,выравнивание!$A138,'2020'!$G:$G,4)</f>
        <v>61560</v>
      </c>
      <c r="M138" s="37">
        <f>SUMIF('2020'!$B:$B,выравнивание!$A138,'2020'!BQ:BQ)-SUMIFS('2020'!BQ:BQ,'2020'!$B:$B,выравнивание!$A138,'2020'!$G:$G,4)</f>
        <v>12312</v>
      </c>
      <c r="N138" s="37">
        <f>SUMIF('2020'!$B:$B,выравнивание!$A138,'2020'!BR:BR)-SUMIFS('2020'!BR:BR,'2020'!$B:$B,выравнивание!$A138,'2020'!$G:$G,4)</f>
        <v>72990</v>
      </c>
      <c r="O138" s="37">
        <f>SUMIF('2020'!$B:$B,выравнивание!$A138,'2020'!BS:BS)-SUMIFS('2020'!BS:BS,'2020'!$B:$B,выравнивание!$A138,'2020'!$G:$G,4)</f>
        <v>210240</v>
      </c>
      <c r="P138" s="37">
        <f>SUMIF('2020'!$B:$B,выравнивание!$A138,'2020'!BT:BT)-SUMIFS('2020'!BT:BT,'2020'!$B:$B,выравнивание!$A138,'2020'!$G:$G,4)</f>
        <v>7920</v>
      </c>
      <c r="Q138" s="37">
        <f>SUMIF('2020'!$B:$B,выравнивание!$A138,'2020'!BU:BU)-SUMIFS('2020'!BU:BU,'2020'!$B:$B,выравнивание!$A138,'2020'!$G:$G,4)</f>
        <v>188640</v>
      </c>
      <c r="R138" s="37">
        <f>SUMIF('2020'!$B:$B,выравнивание!$A138,'2020'!BV:BV)-SUMIFS('2020'!BV:BV,'2020'!$B:$B,выравнивание!$A138,'2020'!$G:$G,4)</f>
        <v>3960</v>
      </c>
      <c r="S138" s="37">
        <f>SUMIF('2020'!$B:$B,выравнивание!$A138,'2020'!BW:BW)-SUMIFS('2020'!BW:BW,'2020'!$B:$B,выравнивание!$A138,'2020'!$G:$G,4)</f>
        <v>9720</v>
      </c>
      <c r="T138" s="37">
        <f>SUMIF('2020'!$B:$B,выравнивание!$A138,'2020'!BX:BX)-SUMIFS('2020'!BX:BX,'2020'!$B:$B,выравнивание!$A138,'2020'!$G:$G,4)</f>
        <v>63180</v>
      </c>
      <c r="U138" s="37">
        <f>SUMIF('2020'!$B:$B,выравнивание!$A138,'2020'!BY:BY)-SUMIFS('2020'!BY:BY,'2020'!$B:$B,выравнивание!$A138,'2020'!$G:$G,4)</f>
        <v>52200</v>
      </c>
      <c r="V138" s="37">
        <f>SUMIF('2020'!$B:$B,выравнивание!$A138,'2020'!BZ:BZ)-SUMIFS('2020'!BZ:BZ,'2020'!$B:$B,выравнивание!$A138,'2020'!$G:$G,4)</f>
        <v>4860</v>
      </c>
      <c r="W138" s="37">
        <f>SUMIF('2020'!$B:$B,выравнивание!$A138,'2020'!CA:CA)-SUMIFS('2020'!CA:CA,'2020'!$B:$B,выравнивание!$A138,'2020'!$G:$G,4)</f>
        <v>6930</v>
      </c>
      <c r="X138" s="37">
        <f>SUMIF('2020'!$B:$B,выравнивание!$A138,'2020'!CB:CB)-SUMIFS('2020'!CB:CB,'2020'!$B:$B,выравнивание!$A138,'2020'!$G:$G,4)</f>
        <v>1530</v>
      </c>
      <c r="Y138" s="37">
        <f>SUMIF('2020'!$B:$B,выравнивание!$A138,'2020'!CC:CC)-SUMIFS('2020'!CC:CC,'2020'!$B:$B,выравнивание!$A138,'2020'!$G:$G,4)</f>
        <v>1800</v>
      </c>
      <c r="Z138" s="37">
        <f>SUMIF('2020'!$B:$B,выравнивание!$A138,'2020'!CD:CD)-SUMIFS('2020'!CD:CD,'2020'!$B:$B,выравнивание!$A138,'2020'!$G:$G,4)</f>
        <v>296473</v>
      </c>
      <c r="AA138" s="37">
        <f>SUMIF('2020'!$B:$B,выравнивание!$A138,'2020'!CE:CE)-SUMIFS('2020'!CE:CE,'2020'!$B:$B,выравнивание!$A138,'2020'!$G:$G,4)</f>
        <v>227705.8</v>
      </c>
      <c r="AB138" s="37">
        <f>SUMIF('2020'!$B:$B,выравнивание!$A138,'2020'!CF:CF)-SUMIFS('2020'!CF:CF,'2020'!$B:$B,выравнивание!$A138,'2020'!$G:$G,4)</f>
        <v>68767.199999999997</v>
      </c>
      <c r="AC138" s="103">
        <f>SUMIF('2020'!$B:$B,выравнивание!$A138,'2020'!CG:CG)-SUMIFS('2020'!CG:CG,'2020'!$B:$B,выравнивание!$A138,'2020'!$G:$G,4)</f>
        <v>0</v>
      </c>
      <c r="AD138" s="103">
        <f>SUMIF('2020'!$B:$B,выравнивание!$A138,'2020'!CH:CH)-SUMIFS('2020'!CH:CH,'2020'!$B:$B,выравнивание!$A138,'2020'!$G:$G,4)</f>
        <v>2502292</v>
      </c>
      <c r="AE138" s="84">
        <f>'Свод 2020'!AA24*1000</f>
        <v>2657100</v>
      </c>
      <c r="AF138" s="105">
        <f>AD138-AE138</f>
        <v>-154808</v>
      </c>
      <c r="AU138" s="108"/>
    </row>
    <row r="139" spans="1:49" ht="15.75" hidden="1" x14ac:dyDescent="0.25">
      <c r="A139" s="102">
        <v>0</v>
      </c>
      <c r="B139" s="93" t="s">
        <v>24</v>
      </c>
      <c r="C139" s="11">
        <v>706</v>
      </c>
      <c r="D139" s="11">
        <v>2018</v>
      </c>
      <c r="E139" s="11" t="s">
        <v>184</v>
      </c>
      <c r="F139" s="104"/>
      <c r="G139" s="104"/>
      <c r="H139" s="104"/>
      <c r="I139" s="104">
        <f t="shared" ref="I139:O139" si="152">I138/$AD138</f>
        <v>0.69157800000000003</v>
      </c>
      <c r="J139" s="104">
        <f t="shared" si="152"/>
        <v>0.53116600000000003</v>
      </c>
      <c r="K139" s="104">
        <f t="shared" si="152"/>
        <v>0.160412</v>
      </c>
      <c r="L139" s="104">
        <f t="shared" si="152"/>
        <v>2.4601000000000001E-2</v>
      </c>
      <c r="M139" s="104">
        <f t="shared" si="152"/>
        <v>4.9199999999999999E-3</v>
      </c>
      <c r="N139" s="104">
        <f t="shared" si="152"/>
        <v>2.9169E-2</v>
      </c>
      <c r="O139" s="104">
        <f t="shared" si="152"/>
        <v>8.4018999999999996E-2</v>
      </c>
      <c r="P139" s="37"/>
      <c r="Q139" s="37"/>
      <c r="R139" s="37"/>
      <c r="S139" s="37"/>
      <c r="T139" s="104">
        <f t="shared" ref="T139:AB139" si="153">T138/$AD138</f>
        <v>2.5249000000000001E-2</v>
      </c>
      <c r="U139" s="104">
        <f t="shared" si="153"/>
        <v>2.0861000000000001E-2</v>
      </c>
      <c r="V139" s="104">
        <f t="shared" si="153"/>
        <v>1.9419999999999999E-3</v>
      </c>
      <c r="W139" s="104">
        <f t="shared" si="153"/>
        <v>2.7690000000000002E-3</v>
      </c>
      <c r="X139" s="104">
        <f t="shared" si="153"/>
        <v>6.11E-4</v>
      </c>
      <c r="Y139" s="104">
        <f t="shared" si="153"/>
        <v>7.1900000000000002E-4</v>
      </c>
      <c r="Z139" s="104">
        <f t="shared" si="153"/>
        <v>0.118481</v>
      </c>
      <c r="AA139" s="104">
        <f t="shared" si="153"/>
        <v>9.0998999999999997E-2</v>
      </c>
      <c r="AB139" s="104">
        <f t="shared" si="153"/>
        <v>2.7481999999999999E-2</v>
      </c>
      <c r="AC139" s="106">
        <f>1-Z139-Y139-X139-W139-V139-U139-T139-O139-N139-L139-I139</f>
        <v>9.9999999999999995E-7</v>
      </c>
      <c r="AD139" s="106">
        <f>AD138/$AD138</f>
        <v>1</v>
      </c>
      <c r="AE139" s="81"/>
      <c r="AU139" s="108"/>
    </row>
    <row r="140" spans="1:49" ht="15.75" x14ac:dyDescent="0.25">
      <c r="A140" s="102">
        <v>0</v>
      </c>
      <c r="B140" s="93" t="s">
        <v>24</v>
      </c>
      <c r="C140" s="11">
        <v>706</v>
      </c>
      <c r="D140" s="11">
        <v>2018</v>
      </c>
      <c r="E140" s="11" t="s">
        <v>185</v>
      </c>
      <c r="F140" s="37">
        <f>G140+H140</f>
        <v>-125404</v>
      </c>
      <c r="G140" s="37">
        <f>J140+AA140</f>
        <v>-96317</v>
      </c>
      <c r="H140" s="37">
        <f>K140+AB140</f>
        <v>-29087</v>
      </c>
      <c r="I140" s="37">
        <f>ROUND($AF138*I139,0)</f>
        <v>-107062</v>
      </c>
      <c r="J140" s="37">
        <f>ROUND(I140/1.302,0)</f>
        <v>-82229</v>
      </c>
      <c r="K140" s="37">
        <f>I140-J140</f>
        <v>-24833</v>
      </c>
      <c r="L140" s="37">
        <f>ROUND($AF138*L139,0)</f>
        <v>-3808</v>
      </c>
      <c r="M140" s="37">
        <f>ROUND($AF138*M139,0)</f>
        <v>-762</v>
      </c>
      <c r="N140" s="37">
        <f>ROUND($AF138*N139,0)</f>
        <v>-4516</v>
      </c>
      <c r="O140" s="37">
        <f>ROUND($AF138*O139,0)</f>
        <v>-13007</v>
      </c>
      <c r="P140" s="37"/>
      <c r="Q140" s="37"/>
      <c r="R140" s="37"/>
      <c r="S140" s="37"/>
      <c r="T140" s="37">
        <f t="shared" ref="T140:Z140" si="154">ROUND($AF138*T139,0)</f>
        <v>-3909</v>
      </c>
      <c r="U140" s="37">
        <f t="shared" si="154"/>
        <v>-3229</v>
      </c>
      <c r="V140" s="37">
        <f t="shared" si="154"/>
        <v>-301</v>
      </c>
      <c r="W140" s="37">
        <f t="shared" si="154"/>
        <v>-429</v>
      </c>
      <c r="X140" s="37">
        <f t="shared" si="154"/>
        <v>-95</v>
      </c>
      <c r="Y140" s="37">
        <f t="shared" si="154"/>
        <v>-111</v>
      </c>
      <c r="Z140" s="37">
        <f t="shared" si="154"/>
        <v>-18342</v>
      </c>
      <c r="AA140" s="37">
        <f>ROUND(Z140/1.302,0)</f>
        <v>-14088</v>
      </c>
      <c r="AB140" s="37">
        <f>Z140-AA140</f>
        <v>-4254</v>
      </c>
      <c r="AC140" s="37">
        <f>ROUND($AF138*AC139,0)</f>
        <v>0</v>
      </c>
      <c r="AD140" s="37">
        <f>I140+L140+N140+O140+T140+U140+V140+W140+X140+Y140+AC140+Z140</f>
        <v>-154809</v>
      </c>
      <c r="AE140" s="78">
        <f>AF138</f>
        <v>-154808</v>
      </c>
      <c r="AF140" s="78">
        <f>AE140-AF138</f>
        <v>0</v>
      </c>
      <c r="AG140" s="107">
        <f>-ROUND(F140/1000,1)</f>
        <v>125.4</v>
      </c>
      <c r="AH140" s="107">
        <f>ROUND(AG140/1.302,1)</f>
        <v>96.3</v>
      </c>
      <c r="AI140" s="107">
        <f>AG140-AH140</f>
        <v>29.1</v>
      </c>
      <c r="AJ140" s="107">
        <f>-ROUND(L140/1000,1)</f>
        <v>3.8</v>
      </c>
      <c r="AK140" s="107">
        <f>-ROUND(M140/1000,1)</f>
        <v>0.8</v>
      </c>
      <c r="AL140" s="107">
        <f>-ROUND(N140/1000,1)</f>
        <v>4.5</v>
      </c>
      <c r="AM140" s="107">
        <f>-ROUND(O140/1000,1)</f>
        <v>13</v>
      </c>
      <c r="AN140" s="107">
        <f t="shared" ref="AN140:AS140" si="155">-ROUND(T140/1000,1)</f>
        <v>3.9</v>
      </c>
      <c r="AO140" s="107">
        <f t="shared" si="155"/>
        <v>3.2</v>
      </c>
      <c r="AP140" s="107">
        <f t="shared" si="155"/>
        <v>0.3</v>
      </c>
      <c r="AQ140" s="107">
        <f t="shared" si="155"/>
        <v>0.4</v>
      </c>
      <c r="AR140" s="107">
        <f t="shared" si="155"/>
        <v>0.1</v>
      </c>
      <c r="AS140" s="107">
        <f t="shared" si="155"/>
        <v>0.1</v>
      </c>
      <c r="AT140" s="107">
        <f>-ROUND(AC140/1000,1)</f>
        <v>0</v>
      </c>
      <c r="AU140" s="108">
        <f t="shared" si="147"/>
        <v>154.69999999999999</v>
      </c>
      <c r="AW140" s="272">
        <v>-677.2</v>
      </c>
    </row>
    <row r="141" spans="1:49" ht="15.75" hidden="1" x14ac:dyDescent="0.25">
      <c r="A141" s="102">
        <v>0</v>
      </c>
      <c r="B141" s="93" t="s">
        <v>24</v>
      </c>
      <c r="C141" s="11">
        <v>706</v>
      </c>
      <c r="D141" s="11">
        <v>2019</v>
      </c>
      <c r="E141" s="11" t="s">
        <v>182</v>
      </c>
      <c r="F141" s="37"/>
      <c r="G141" s="37"/>
      <c r="H141" s="37"/>
      <c r="I141" s="37" t="e">
        <f>SUMIF(#REF!,выравнивание!$A141,#REF!)-SUMIFS(#REF!,#REF!,выравнивание!$A141,#REF!,4)</f>
        <v>#REF!</v>
      </c>
      <c r="J141" s="37" t="e">
        <f>SUMIF(#REF!,выравнивание!$A141,#REF!)-SUMIFS(#REF!,#REF!,выравнивание!$A141,#REF!,4)</f>
        <v>#REF!</v>
      </c>
      <c r="K141" s="37" t="e">
        <f>SUMIF(#REF!,выравнивание!$A141,#REF!)-SUMIFS(#REF!,#REF!,выравнивание!$A141,#REF!,4)</f>
        <v>#REF!</v>
      </c>
      <c r="L141" s="37" t="e">
        <f>SUMIF(#REF!,выравнивание!$A141,#REF!)-SUMIFS(#REF!,#REF!,выравнивание!$A141,#REF!,4)</f>
        <v>#REF!</v>
      </c>
      <c r="M141" s="37" t="e">
        <f>SUMIF(#REF!,выравнивание!$A141,#REF!)-SUMIFS(#REF!,#REF!,выравнивание!$A141,#REF!,4)</f>
        <v>#REF!</v>
      </c>
      <c r="N141" s="37" t="e">
        <f>SUMIF(#REF!,выравнивание!$A141,#REF!)-SUMIFS(#REF!,#REF!,выравнивание!$A141,#REF!,4)</f>
        <v>#REF!</v>
      </c>
      <c r="O141" s="37" t="e">
        <f>SUMIF(#REF!,выравнивание!$A141,#REF!)-SUMIFS(#REF!,#REF!,выравнивание!$A141,#REF!,4)</f>
        <v>#REF!</v>
      </c>
      <c r="P141" s="37" t="e">
        <f>SUMIF(#REF!,выравнивание!$A141,#REF!)-SUMIFS(#REF!,#REF!,выравнивание!$A141,#REF!,4)</f>
        <v>#REF!</v>
      </c>
      <c r="Q141" s="37" t="e">
        <f>SUMIF(#REF!,выравнивание!$A141,#REF!)-SUMIFS(#REF!,#REF!,выравнивание!$A141,#REF!,4)</f>
        <v>#REF!</v>
      </c>
      <c r="R141" s="37" t="e">
        <f>SUMIF(#REF!,выравнивание!$A141,#REF!)-SUMIFS(#REF!,#REF!,выравнивание!$A141,#REF!,4)</f>
        <v>#REF!</v>
      </c>
      <c r="S141" s="37" t="e">
        <f>SUMIF(#REF!,выравнивание!$A141,#REF!)-SUMIFS(#REF!,#REF!,выравнивание!$A141,#REF!,4)</f>
        <v>#REF!</v>
      </c>
      <c r="T141" s="37" t="e">
        <f>SUMIF(#REF!,выравнивание!$A141,#REF!)-SUMIFS(#REF!,#REF!,выравнивание!$A141,#REF!,4)</f>
        <v>#REF!</v>
      </c>
      <c r="U141" s="37" t="e">
        <f>SUMIF(#REF!,выравнивание!$A141,#REF!)-SUMIFS(#REF!,#REF!,выравнивание!$A141,#REF!,4)</f>
        <v>#REF!</v>
      </c>
      <c r="V141" s="37" t="e">
        <f>SUMIF(#REF!,выравнивание!$A141,#REF!)-SUMIFS(#REF!,#REF!,выравнивание!$A141,#REF!,4)</f>
        <v>#REF!</v>
      </c>
      <c r="W141" s="37" t="e">
        <f>SUMIF(#REF!,выравнивание!$A141,#REF!)-SUMIFS(#REF!,#REF!,выравнивание!$A141,#REF!,4)</f>
        <v>#REF!</v>
      </c>
      <c r="X141" s="37" t="e">
        <f>SUMIF(#REF!,выравнивание!$A141,#REF!)-SUMIFS(#REF!,#REF!,выравнивание!$A141,#REF!,4)</f>
        <v>#REF!</v>
      </c>
      <c r="Y141" s="37" t="e">
        <f>SUMIF(#REF!,выравнивание!$A141,#REF!)-SUMIFS(#REF!,#REF!,выравнивание!$A141,#REF!,4)</f>
        <v>#REF!</v>
      </c>
      <c r="Z141" s="37" t="e">
        <f>SUMIF(#REF!,выравнивание!$A141,#REF!)-SUMIFS(#REF!,#REF!,выравнивание!$A141,#REF!,4)</f>
        <v>#REF!</v>
      </c>
      <c r="AA141" s="37" t="e">
        <f>SUMIF(#REF!,выравнивание!$A141,#REF!)-SUMIFS(#REF!,#REF!,выравнивание!$A141,#REF!,4)</f>
        <v>#REF!</v>
      </c>
      <c r="AB141" s="37" t="e">
        <f>SUMIF(#REF!,выравнивание!$A141,#REF!)-SUMIFS(#REF!,#REF!,выравнивание!$A141,#REF!,4)</f>
        <v>#REF!</v>
      </c>
      <c r="AC141" s="103" t="e">
        <f>SUMIF(#REF!,выравнивание!$A141,#REF!)-SUMIFS(#REF!,#REF!,выравнивание!$A141,#REF!,4)</f>
        <v>#REF!</v>
      </c>
      <c r="AD141" s="103" t="e">
        <f>SUMIF(#REF!,выравнивание!$A141,#REF!)-SUMIFS(#REF!,#REF!,выравнивание!$A141,#REF!,4)</f>
        <v>#REF!</v>
      </c>
      <c r="AE141" s="84" t="e">
        <f>#REF!*1000</f>
        <v>#REF!</v>
      </c>
      <c r="AF141" s="105" t="e">
        <f>AD141-AE141</f>
        <v>#REF!</v>
      </c>
      <c r="AU141" s="108"/>
    </row>
    <row r="142" spans="1:49" ht="15.75" hidden="1" x14ac:dyDescent="0.25">
      <c r="A142" s="102">
        <v>0</v>
      </c>
      <c r="B142" s="93" t="s">
        <v>24</v>
      </c>
      <c r="C142" s="11">
        <v>706</v>
      </c>
      <c r="D142" s="11">
        <v>2019</v>
      </c>
      <c r="E142" s="11" t="s">
        <v>184</v>
      </c>
      <c r="F142" s="104"/>
      <c r="G142" s="104"/>
      <c r="H142" s="104"/>
      <c r="I142" s="104" t="e">
        <f t="shared" ref="I142:O142" si="156">I141/$AD141</f>
        <v>#REF!</v>
      </c>
      <c r="J142" s="104" t="e">
        <f t="shared" si="156"/>
        <v>#REF!</v>
      </c>
      <c r="K142" s="104" t="e">
        <f t="shared" si="156"/>
        <v>#REF!</v>
      </c>
      <c r="L142" s="104" t="e">
        <f t="shared" si="156"/>
        <v>#REF!</v>
      </c>
      <c r="M142" s="104" t="e">
        <f t="shared" si="156"/>
        <v>#REF!</v>
      </c>
      <c r="N142" s="104" t="e">
        <f t="shared" si="156"/>
        <v>#REF!</v>
      </c>
      <c r="O142" s="104" t="e">
        <f t="shared" si="156"/>
        <v>#REF!</v>
      </c>
      <c r="P142" s="37"/>
      <c r="Q142" s="37"/>
      <c r="R142" s="37"/>
      <c r="S142" s="37"/>
      <c r="T142" s="104" t="e">
        <f t="shared" ref="T142:AB142" si="157">T141/$AD141</f>
        <v>#REF!</v>
      </c>
      <c r="U142" s="104" t="e">
        <f t="shared" si="157"/>
        <v>#REF!</v>
      </c>
      <c r="V142" s="104" t="e">
        <f t="shared" si="157"/>
        <v>#REF!</v>
      </c>
      <c r="W142" s="104" t="e">
        <f t="shared" si="157"/>
        <v>#REF!</v>
      </c>
      <c r="X142" s="104" t="e">
        <f t="shared" si="157"/>
        <v>#REF!</v>
      </c>
      <c r="Y142" s="104" t="e">
        <f t="shared" si="157"/>
        <v>#REF!</v>
      </c>
      <c r="Z142" s="104" t="e">
        <f t="shared" si="157"/>
        <v>#REF!</v>
      </c>
      <c r="AA142" s="104" t="e">
        <f t="shared" si="157"/>
        <v>#REF!</v>
      </c>
      <c r="AB142" s="104" t="e">
        <f t="shared" si="157"/>
        <v>#REF!</v>
      </c>
      <c r="AC142" s="106" t="e">
        <f>1-Z142-Y142-X142-W142-V142-U142-T142-O142-N142-L142-I142</f>
        <v>#REF!</v>
      </c>
      <c r="AD142" s="106" t="e">
        <f>AD141/$AD141</f>
        <v>#REF!</v>
      </c>
      <c r="AE142" s="81"/>
      <c r="AU142" s="108"/>
    </row>
    <row r="143" spans="1:49" ht="15.75" x14ac:dyDescent="0.25">
      <c r="A143" s="102">
        <v>0</v>
      </c>
      <c r="B143" s="93" t="s">
        <v>24</v>
      </c>
      <c r="C143" s="11">
        <v>706</v>
      </c>
      <c r="D143" s="11">
        <v>2019</v>
      </c>
      <c r="E143" s="11" t="s">
        <v>185</v>
      </c>
      <c r="F143" s="37" t="e">
        <f>G143+H143</f>
        <v>#REF!</v>
      </c>
      <c r="G143" s="37" t="e">
        <f>J143+AA143</f>
        <v>#REF!</v>
      </c>
      <c r="H143" s="37" t="e">
        <f>K143+AB143</f>
        <v>#REF!</v>
      </c>
      <c r="I143" s="37" t="e">
        <f>ROUND($AF141*I142,0)</f>
        <v>#REF!</v>
      </c>
      <c r="J143" s="37" t="e">
        <f>ROUND(I143/1.302,0)</f>
        <v>#REF!</v>
      </c>
      <c r="K143" s="37" t="e">
        <f>I143-J143</f>
        <v>#REF!</v>
      </c>
      <c r="L143" s="37" t="e">
        <f>ROUND($AF141*L142,0)</f>
        <v>#REF!</v>
      </c>
      <c r="M143" s="37" t="e">
        <f>ROUND($AF141*M142,0)</f>
        <v>#REF!</v>
      </c>
      <c r="N143" s="37" t="e">
        <f>ROUND($AF141*N142,0)</f>
        <v>#REF!</v>
      </c>
      <c r="O143" s="37" t="e">
        <f>ROUND($AF141*O142,0)</f>
        <v>#REF!</v>
      </c>
      <c r="P143" s="37"/>
      <c r="Q143" s="37"/>
      <c r="R143" s="37"/>
      <c r="S143" s="37"/>
      <c r="T143" s="37" t="e">
        <f t="shared" ref="T143:Z143" si="158">ROUND($AF141*T142,0)</f>
        <v>#REF!</v>
      </c>
      <c r="U143" s="37" t="e">
        <f t="shared" si="158"/>
        <v>#REF!</v>
      </c>
      <c r="V143" s="37" t="e">
        <f t="shared" si="158"/>
        <v>#REF!</v>
      </c>
      <c r="W143" s="37" t="e">
        <f t="shared" si="158"/>
        <v>#REF!</v>
      </c>
      <c r="X143" s="37" t="e">
        <f t="shared" si="158"/>
        <v>#REF!</v>
      </c>
      <c r="Y143" s="37" t="e">
        <f t="shared" si="158"/>
        <v>#REF!</v>
      </c>
      <c r="Z143" s="37" t="e">
        <f t="shared" si="158"/>
        <v>#REF!</v>
      </c>
      <c r="AA143" s="37" t="e">
        <f>ROUND(Z143/1.302,0)</f>
        <v>#REF!</v>
      </c>
      <c r="AB143" s="37" t="e">
        <f>Z143-AA143</f>
        <v>#REF!</v>
      </c>
      <c r="AC143" s="37" t="e">
        <f>ROUND($AF141*AC142,0)</f>
        <v>#REF!</v>
      </c>
      <c r="AD143" s="37" t="e">
        <f>I143+L143+N143+O143+T143+U143+V143+W143+X143+Y143+AC143+Z143</f>
        <v>#REF!</v>
      </c>
      <c r="AE143" s="78" t="e">
        <f>AF141</f>
        <v>#REF!</v>
      </c>
      <c r="AF143" s="78" t="e">
        <f>AE143-AF141</f>
        <v>#REF!</v>
      </c>
      <c r="AG143" s="107" t="e">
        <f>-ROUND(F143/1000,1)</f>
        <v>#REF!</v>
      </c>
      <c r="AH143" s="107" t="e">
        <f>ROUND(AG143/1.302,1)</f>
        <v>#REF!</v>
      </c>
      <c r="AI143" s="107" t="e">
        <f>AG143-AH143</f>
        <v>#REF!</v>
      </c>
      <c r="AJ143" s="107" t="e">
        <f>-ROUND(L143/1000,1)</f>
        <v>#REF!</v>
      </c>
      <c r="AK143" s="107" t="e">
        <f>-ROUND(M143/1000,1)</f>
        <v>#REF!</v>
      </c>
      <c r="AL143" s="107" t="e">
        <f>-ROUND(N143/1000,1)</f>
        <v>#REF!</v>
      </c>
      <c r="AM143" s="107" t="e">
        <f>-ROUND(O143/1000,1)</f>
        <v>#REF!</v>
      </c>
      <c r="AN143" s="107" t="e">
        <f t="shared" ref="AN143:AS143" si="159">-ROUND(T143/1000,1)</f>
        <v>#REF!</v>
      </c>
      <c r="AO143" s="107" t="e">
        <f t="shared" si="159"/>
        <v>#REF!</v>
      </c>
      <c r="AP143" s="107" t="e">
        <f t="shared" si="159"/>
        <v>#REF!</v>
      </c>
      <c r="AQ143" s="107" t="e">
        <f t="shared" si="159"/>
        <v>#REF!</v>
      </c>
      <c r="AR143" s="107" t="e">
        <f t="shared" si="159"/>
        <v>#REF!</v>
      </c>
      <c r="AS143" s="107" t="e">
        <f t="shared" si="159"/>
        <v>#REF!</v>
      </c>
      <c r="AT143" s="107" t="e">
        <f>-ROUND(AC143/1000,1)</f>
        <v>#REF!</v>
      </c>
      <c r="AU143" s="108" t="e">
        <f t="shared" si="147"/>
        <v>#REF!</v>
      </c>
      <c r="AW143" s="272">
        <v>-706.3</v>
      </c>
    </row>
    <row r="144" spans="1:49" ht="15.75" hidden="1" x14ac:dyDescent="0.25">
      <c r="A144" s="102">
        <v>0</v>
      </c>
      <c r="B144" s="93" t="s">
        <v>24</v>
      </c>
      <c r="C144" s="11">
        <v>706</v>
      </c>
      <c r="D144" s="11">
        <v>2020</v>
      </c>
      <c r="E144" s="11" t="s">
        <v>182</v>
      </c>
      <c r="F144" s="37"/>
      <c r="G144" s="37"/>
      <c r="H144" s="37"/>
      <c r="I144" s="37" t="e">
        <f>SUMIF(#REF!,выравнивание!$A144,#REF!)-SUMIFS(#REF!,#REF!,выравнивание!$A144,#REF!,4)</f>
        <v>#REF!</v>
      </c>
      <c r="J144" s="37" t="e">
        <f>SUMIF(#REF!,выравнивание!$A144,#REF!)-SUMIFS(#REF!,#REF!,выравнивание!$A144,#REF!,4)</f>
        <v>#REF!</v>
      </c>
      <c r="K144" s="37" t="e">
        <f>SUMIF(#REF!,выравнивание!$A144,#REF!)-SUMIFS(#REF!,#REF!,выравнивание!$A144,#REF!,4)</f>
        <v>#REF!</v>
      </c>
      <c r="L144" s="37" t="e">
        <f>SUMIF(#REF!,выравнивание!$A144,#REF!)-SUMIFS(#REF!,#REF!,выравнивание!$A144,#REF!,4)</f>
        <v>#REF!</v>
      </c>
      <c r="M144" s="37" t="e">
        <f>SUMIF(#REF!,выравнивание!$A144,#REF!)-SUMIFS(#REF!,#REF!,выравнивание!$A144,#REF!,4)</f>
        <v>#REF!</v>
      </c>
      <c r="N144" s="37" t="e">
        <f>SUMIF(#REF!,выравнивание!$A144,#REF!)-SUMIFS(#REF!,#REF!,выравнивание!$A144,#REF!,4)</f>
        <v>#REF!</v>
      </c>
      <c r="O144" s="37" t="e">
        <f>SUMIF(#REF!,выравнивание!$A144,#REF!)-SUMIFS(#REF!,#REF!,выравнивание!$A144,#REF!,4)</f>
        <v>#REF!</v>
      </c>
      <c r="P144" s="37" t="e">
        <f>SUMIF(#REF!,выравнивание!$A144,#REF!)-SUMIFS(#REF!,#REF!,выравнивание!$A144,#REF!,4)</f>
        <v>#REF!</v>
      </c>
      <c r="Q144" s="37" t="e">
        <f>SUMIF(#REF!,выравнивание!$A144,#REF!)-SUMIFS(#REF!,#REF!,выравнивание!$A144,#REF!,4)</f>
        <v>#REF!</v>
      </c>
      <c r="R144" s="37" t="e">
        <f>SUMIF(#REF!,выравнивание!$A144,#REF!)-SUMIFS(#REF!,#REF!,выравнивание!$A144,#REF!,4)</f>
        <v>#REF!</v>
      </c>
      <c r="S144" s="37" t="e">
        <f>SUMIF(#REF!,выравнивание!$A144,#REF!)-SUMIFS(#REF!,#REF!,выравнивание!$A144,#REF!,4)</f>
        <v>#REF!</v>
      </c>
      <c r="T144" s="37" t="e">
        <f>SUMIF(#REF!,выравнивание!$A144,#REF!)-SUMIFS(#REF!,#REF!,выравнивание!$A144,#REF!,4)</f>
        <v>#REF!</v>
      </c>
      <c r="U144" s="37" t="e">
        <f>SUMIF(#REF!,выравнивание!$A144,#REF!)-SUMIFS(#REF!,#REF!,выравнивание!$A144,#REF!,4)</f>
        <v>#REF!</v>
      </c>
      <c r="V144" s="37" t="e">
        <f>SUMIF(#REF!,выравнивание!$A144,#REF!)-SUMIFS(#REF!,#REF!,выравнивание!$A144,#REF!,4)</f>
        <v>#REF!</v>
      </c>
      <c r="W144" s="37" t="e">
        <f>SUMIF(#REF!,выравнивание!$A144,#REF!)-SUMIFS(#REF!,#REF!,выравнивание!$A144,#REF!,4)</f>
        <v>#REF!</v>
      </c>
      <c r="X144" s="37" t="e">
        <f>SUMIF(#REF!,выравнивание!$A144,#REF!)-SUMIFS(#REF!,#REF!,выравнивание!$A144,#REF!,4)</f>
        <v>#REF!</v>
      </c>
      <c r="Y144" s="37" t="e">
        <f>SUMIF(#REF!,выравнивание!$A144,#REF!)-SUMIFS(#REF!,#REF!,выравнивание!$A144,#REF!,4)</f>
        <v>#REF!</v>
      </c>
      <c r="Z144" s="37" t="e">
        <f>SUMIF(#REF!,выравнивание!$A144,#REF!)-SUMIFS(#REF!,#REF!,выравнивание!$A144,#REF!,4)</f>
        <v>#REF!</v>
      </c>
      <c r="AA144" s="37" t="e">
        <f>SUMIF(#REF!,выравнивание!$A144,#REF!)-SUMIFS(#REF!,#REF!,выравнивание!$A144,#REF!,4)</f>
        <v>#REF!</v>
      </c>
      <c r="AB144" s="37" t="e">
        <f>SUMIF(#REF!,выравнивание!$A144,#REF!)-SUMIFS(#REF!,#REF!,выравнивание!$A144,#REF!,4)</f>
        <v>#REF!</v>
      </c>
      <c r="AC144" s="103" t="e">
        <f>SUMIF(#REF!,выравнивание!$A144,#REF!)-SUMIFS(#REF!,#REF!,выравнивание!$A144,#REF!,4)</f>
        <v>#REF!</v>
      </c>
      <c r="AD144" s="103" t="e">
        <f>SUMIF(#REF!,выравнивание!$A144,#REF!)-SUMIFS(#REF!,#REF!,выравнивание!$A144,#REF!,4)</f>
        <v>#REF!</v>
      </c>
      <c r="AE144" s="84" t="e">
        <f>#REF!*1000</f>
        <v>#REF!</v>
      </c>
      <c r="AF144" s="84" t="e">
        <f>AD144-AE144</f>
        <v>#REF!</v>
      </c>
      <c r="AU144" s="108"/>
    </row>
    <row r="145" spans="1:49" ht="15.75" hidden="1" x14ac:dyDescent="0.25">
      <c r="A145" s="102">
        <v>0</v>
      </c>
      <c r="B145" s="93" t="s">
        <v>24</v>
      </c>
      <c r="C145" s="11">
        <v>706</v>
      </c>
      <c r="D145" s="11">
        <v>2020</v>
      </c>
      <c r="E145" s="11" t="s">
        <v>184</v>
      </c>
      <c r="F145" s="104"/>
      <c r="G145" s="104"/>
      <c r="H145" s="104"/>
      <c r="I145" s="104" t="e">
        <f t="shared" ref="I145:O145" si="160">I144/$AD144</f>
        <v>#REF!</v>
      </c>
      <c r="J145" s="104" t="e">
        <f t="shared" si="160"/>
        <v>#REF!</v>
      </c>
      <c r="K145" s="104" t="e">
        <f t="shared" si="160"/>
        <v>#REF!</v>
      </c>
      <c r="L145" s="104" t="e">
        <f t="shared" si="160"/>
        <v>#REF!</v>
      </c>
      <c r="M145" s="104" t="e">
        <f t="shared" si="160"/>
        <v>#REF!</v>
      </c>
      <c r="N145" s="104" t="e">
        <f t="shared" si="160"/>
        <v>#REF!</v>
      </c>
      <c r="O145" s="104" t="e">
        <f t="shared" si="160"/>
        <v>#REF!</v>
      </c>
      <c r="P145" s="103"/>
      <c r="Q145" s="103"/>
      <c r="R145" s="103"/>
      <c r="S145" s="103"/>
      <c r="T145" s="104" t="e">
        <f t="shared" ref="T145:AB145" si="161">T144/$AD144</f>
        <v>#REF!</v>
      </c>
      <c r="U145" s="104" t="e">
        <f t="shared" si="161"/>
        <v>#REF!</v>
      </c>
      <c r="V145" s="104" t="e">
        <f t="shared" si="161"/>
        <v>#REF!</v>
      </c>
      <c r="W145" s="104" t="e">
        <f t="shared" si="161"/>
        <v>#REF!</v>
      </c>
      <c r="X145" s="104" t="e">
        <f t="shared" si="161"/>
        <v>#REF!</v>
      </c>
      <c r="Y145" s="104" t="e">
        <f t="shared" si="161"/>
        <v>#REF!</v>
      </c>
      <c r="Z145" s="104" t="e">
        <f t="shared" si="161"/>
        <v>#REF!</v>
      </c>
      <c r="AA145" s="104" t="e">
        <f t="shared" si="161"/>
        <v>#REF!</v>
      </c>
      <c r="AB145" s="104" t="e">
        <f t="shared" si="161"/>
        <v>#REF!</v>
      </c>
      <c r="AC145" s="106" t="e">
        <f>1-Z145-Y145-X145-W145-V145-U145-T145-O145-N145-L145-I145</f>
        <v>#REF!</v>
      </c>
      <c r="AD145" s="106" t="e">
        <f>AD144/$AD144</f>
        <v>#REF!</v>
      </c>
      <c r="AE145" s="81"/>
      <c r="AU145" s="108"/>
    </row>
    <row r="146" spans="1:49" ht="15.75" x14ac:dyDescent="0.25">
      <c r="A146" s="102">
        <v>0</v>
      </c>
      <c r="B146" s="93" t="s">
        <v>24</v>
      </c>
      <c r="C146" s="11">
        <v>706</v>
      </c>
      <c r="D146" s="11">
        <v>2020</v>
      </c>
      <c r="E146" s="11" t="s">
        <v>185</v>
      </c>
      <c r="F146" s="37" t="e">
        <f>G146+H146</f>
        <v>#REF!</v>
      </c>
      <c r="G146" s="37" t="e">
        <f>J146+AA146</f>
        <v>#REF!</v>
      </c>
      <c r="H146" s="37" t="e">
        <f>K146+AB146</f>
        <v>#REF!</v>
      </c>
      <c r="I146" s="37" t="e">
        <f>ROUND($AF144*I145,0)</f>
        <v>#REF!</v>
      </c>
      <c r="J146" s="37" t="e">
        <f>ROUND(I146/1.302,0)</f>
        <v>#REF!</v>
      </c>
      <c r="K146" s="37" t="e">
        <f>I146-J146</f>
        <v>#REF!</v>
      </c>
      <c r="L146" s="37" t="e">
        <f>ROUND($AF144*L145,0)</f>
        <v>#REF!</v>
      </c>
      <c r="M146" s="37" t="e">
        <f>ROUND($AF144*M145,0)</f>
        <v>#REF!</v>
      </c>
      <c r="N146" s="37" t="e">
        <f>ROUND($AF144*N145,0)</f>
        <v>#REF!</v>
      </c>
      <c r="O146" s="37" t="e">
        <f>ROUND($AF144*O145,0)</f>
        <v>#REF!</v>
      </c>
      <c r="P146" s="103"/>
      <c r="Q146" s="103"/>
      <c r="R146" s="103"/>
      <c r="S146" s="103"/>
      <c r="T146" s="37" t="e">
        <f t="shared" ref="T146:Z146" si="162">ROUND($AF144*T145,0)</f>
        <v>#REF!</v>
      </c>
      <c r="U146" s="37" t="e">
        <f t="shared" si="162"/>
        <v>#REF!</v>
      </c>
      <c r="V146" s="37" t="e">
        <f t="shared" si="162"/>
        <v>#REF!</v>
      </c>
      <c r="W146" s="37" t="e">
        <f t="shared" si="162"/>
        <v>#REF!</v>
      </c>
      <c r="X146" s="37" t="e">
        <f t="shared" si="162"/>
        <v>#REF!</v>
      </c>
      <c r="Y146" s="37" t="e">
        <f t="shared" si="162"/>
        <v>#REF!</v>
      </c>
      <c r="Z146" s="37" t="e">
        <f t="shared" si="162"/>
        <v>#REF!</v>
      </c>
      <c r="AA146" s="37" t="e">
        <f>ROUND(Z146/1.302,0)</f>
        <v>#REF!</v>
      </c>
      <c r="AB146" s="37" t="e">
        <f>Z146-AA146</f>
        <v>#REF!</v>
      </c>
      <c r="AC146" s="37" t="e">
        <f>ROUND($AF144*AC145,0)</f>
        <v>#REF!</v>
      </c>
      <c r="AD146" s="37" t="e">
        <f>I146+L146+N146+O146+T146+U146+V146+W146+X146+Y146+AC146+Z146</f>
        <v>#REF!</v>
      </c>
      <c r="AE146" s="78" t="e">
        <f>AF144</f>
        <v>#REF!</v>
      </c>
      <c r="AF146" s="78" t="e">
        <f>AE146-AF144</f>
        <v>#REF!</v>
      </c>
      <c r="AG146" s="107" t="e">
        <f>-ROUND(F146/1000,1)</f>
        <v>#REF!</v>
      </c>
      <c r="AH146" s="107" t="e">
        <f>ROUND(AG146/1.302,1)</f>
        <v>#REF!</v>
      </c>
      <c r="AI146" s="107" t="e">
        <f>AG146-AH146</f>
        <v>#REF!</v>
      </c>
      <c r="AJ146" s="107" t="e">
        <f>-ROUND(L146/1000,1)</f>
        <v>#REF!</v>
      </c>
      <c r="AK146" s="107" t="e">
        <f>-ROUND(M146/1000,1)</f>
        <v>#REF!</v>
      </c>
      <c r="AL146" s="107" t="e">
        <f>-ROUND(N146/1000,1)</f>
        <v>#REF!</v>
      </c>
      <c r="AM146" s="107" t="e">
        <f>-ROUND(O146/1000,1)</f>
        <v>#REF!</v>
      </c>
      <c r="AN146" s="107" t="e">
        <f t="shared" ref="AN146:AS146" si="163">-ROUND(T146/1000,1)</f>
        <v>#REF!</v>
      </c>
      <c r="AO146" s="107" t="e">
        <f t="shared" si="163"/>
        <v>#REF!</v>
      </c>
      <c r="AP146" s="107" t="e">
        <f t="shared" si="163"/>
        <v>#REF!</v>
      </c>
      <c r="AQ146" s="107" t="e">
        <f t="shared" si="163"/>
        <v>#REF!</v>
      </c>
      <c r="AR146" s="107" t="e">
        <f t="shared" si="163"/>
        <v>#REF!</v>
      </c>
      <c r="AS146" s="107" t="e">
        <f t="shared" si="163"/>
        <v>#REF!</v>
      </c>
      <c r="AT146" s="107" t="e">
        <f>-ROUND(AC146/1000,1)</f>
        <v>#REF!</v>
      </c>
      <c r="AU146" s="108" t="e">
        <f t="shared" si="147"/>
        <v>#REF!</v>
      </c>
      <c r="AW146" s="272">
        <v>-728.7</v>
      </c>
    </row>
    <row r="147" spans="1:49" hidden="1" x14ac:dyDescent="0.25">
      <c r="A147" s="6">
        <v>3</v>
      </c>
      <c r="B147" s="92" t="s">
        <v>17</v>
      </c>
      <c r="C147" s="11">
        <v>706</v>
      </c>
      <c r="D147" s="11">
        <v>2018</v>
      </c>
      <c r="E147" s="11" t="s">
        <v>182</v>
      </c>
      <c r="F147" s="100"/>
      <c r="G147" s="100"/>
      <c r="H147" s="100"/>
      <c r="I147" s="100">
        <f>SUMIFS('2020'!BM:BM,'2020'!$B:$B,выравнивание!$A147,'2020'!$G:$G,4)</f>
        <v>4633430</v>
      </c>
      <c r="J147" s="100">
        <f>SUMIFS('2020'!BN:BN,'2020'!$B:$B,выравнивание!$A147,'2020'!$G:$G,4)</f>
        <v>3558702</v>
      </c>
      <c r="K147" s="100">
        <f>SUMIFS('2020'!BO:BO,'2020'!$B:$B,выравнивание!$A147,'2020'!$G:$G,4)</f>
        <v>1074728</v>
      </c>
      <c r="L147" s="100">
        <f>SUMIFS('2020'!BP:BP,'2020'!$B:$B,выравнивание!$A147,'2020'!$G:$G,4)</f>
        <v>305600</v>
      </c>
      <c r="M147" s="100">
        <f>SUMIFS('2020'!BQ:BQ,'2020'!$B:$B,выравнивание!$A147,'2020'!$G:$G,4)</f>
        <v>61120</v>
      </c>
      <c r="N147" s="100">
        <f>SUMIFS('2020'!BR:BR,'2020'!$B:$B,выравнивание!$A147,'2020'!$G:$G,4)</f>
        <v>635200</v>
      </c>
      <c r="O147" s="100">
        <f>SUMIFS('2020'!BS:BS,'2020'!$B:$B,выравнивание!$A147,'2020'!$G:$G,4)</f>
        <v>2194660</v>
      </c>
      <c r="P147" s="100">
        <f>SUMIFS('2020'!BT:BT,'2020'!$B:$B,выравнивание!$A147,'2020'!$G:$G,4)</f>
        <v>74520</v>
      </c>
      <c r="Q147" s="100">
        <f>SUMIFS('2020'!BU:BU,'2020'!$B:$B,выравнивание!$A147,'2020'!$G:$G,4)</f>
        <v>1472000</v>
      </c>
      <c r="R147" s="100">
        <f>SUMIFS('2020'!BV:BV,'2020'!$B:$B,выравнивание!$A147,'2020'!$G:$G,4)</f>
        <v>529740</v>
      </c>
      <c r="S147" s="100">
        <f>SUMIFS('2020'!BW:BW,'2020'!$B:$B,выравнивание!$A147,'2020'!$G:$G,4)</f>
        <v>118400</v>
      </c>
      <c r="T147" s="100">
        <f>SUMIFS('2020'!BX:BX,'2020'!$B:$B,выравнивание!$A147,'2020'!$G:$G,4)</f>
        <v>714355</v>
      </c>
      <c r="U147" s="100">
        <f>SUMIFS('2020'!BY:BY,'2020'!$B:$B,выравнивание!$A147,'2020'!$G:$G,4)</f>
        <v>1379200</v>
      </c>
      <c r="V147" s="100">
        <f>SUMIFS('2020'!BZ:BZ,'2020'!$B:$B,выравнивание!$A147,'2020'!$G:$G,4)</f>
        <v>49600</v>
      </c>
      <c r="W147" s="100">
        <f>SUMIFS('2020'!CA:CA,'2020'!$B:$B,выравнивание!$A147,'2020'!$G:$G,4)</f>
        <v>198400</v>
      </c>
      <c r="X147" s="100">
        <f>SUMIFS('2020'!CB:CB,'2020'!$B:$B,выравнивание!$A147,'2020'!$G:$G,4)</f>
        <v>8000</v>
      </c>
      <c r="Y147" s="100">
        <f>SUMIFS('2020'!CC:CC,'2020'!$B:$B,выравнивание!$A147,'2020'!$G:$G,4)</f>
        <v>411200</v>
      </c>
      <c r="Z147" s="100">
        <f>SUMIFS('2020'!CD:CD,'2020'!$B:$B,выравнивание!$A147,'2020'!$G:$G,4)</f>
        <v>3707159</v>
      </c>
      <c r="AA147" s="100">
        <f>SUMIFS('2020'!CE:CE,'2020'!$B:$B,выравнивание!$A147,'2020'!$G:$G,4)</f>
        <v>2847280.4</v>
      </c>
      <c r="AB147" s="100">
        <f>SUMIFS('2020'!CF:CF,'2020'!$B:$B,выравнивание!$A147,'2020'!$G:$G,4)</f>
        <v>859878.6</v>
      </c>
      <c r="AC147" s="100">
        <f>SUMIFS('2020'!CG:CG,'2020'!$B:$B,выравнивание!$A147,'2020'!$G:$G,4)</f>
        <v>104000</v>
      </c>
      <c r="AD147" s="100">
        <f>SUMIFS('2020'!CH:CH,'2020'!$B:$B,выравнивание!$A147,'2020'!$G:$G,4)</f>
        <v>14340804</v>
      </c>
      <c r="AE147" s="84">
        <f>SUMIF('Свод 2020'!$A$44:$A$57,выравнивание!$A147,'Свод 2020'!$AA$44:$AA$57)*1000-SUMIF('Свод 2020'!$A$44:$A$57,выравнивание!$A147,'Свод 2020'!$S$44:$S$57)*1000</f>
        <v>10375700</v>
      </c>
      <c r="AF147" s="105">
        <f>AD147-AE147</f>
        <v>3965104</v>
      </c>
      <c r="AU147" s="108"/>
    </row>
    <row r="148" spans="1:49" hidden="1" x14ac:dyDescent="0.25">
      <c r="A148" s="6">
        <v>3</v>
      </c>
      <c r="B148" s="92" t="s">
        <v>17</v>
      </c>
      <c r="C148" s="11">
        <v>706</v>
      </c>
      <c r="D148" s="11">
        <v>2018</v>
      </c>
      <c r="E148" s="11" t="s">
        <v>184</v>
      </c>
      <c r="F148" s="104"/>
      <c r="G148" s="104"/>
      <c r="H148" s="104"/>
      <c r="I148" s="104">
        <f t="shared" ref="I148:O148" si="164">I147/$AD147</f>
        <v>0.32309399999999999</v>
      </c>
      <c r="J148" s="104">
        <f t="shared" si="164"/>
        <v>0.24815200000000001</v>
      </c>
      <c r="K148" s="104">
        <f t="shared" si="164"/>
        <v>7.4941999999999995E-2</v>
      </c>
      <c r="L148" s="104">
        <f t="shared" si="164"/>
        <v>2.1309999999999999E-2</v>
      </c>
      <c r="M148" s="104">
        <f t="shared" si="164"/>
        <v>4.2620000000000002E-3</v>
      </c>
      <c r="N148" s="104">
        <f t="shared" si="164"/>
        <v>4.4292999999999999E-2</v>
      </c>
      <c r="O148" s="104">
        <f t="shared" si="164"/>
        <v>0.15303600000000001</v>
      </c>
      <c r="P148" s="100"/>
      <c r="Q148" s="100"/>
      <c r="R148" s="100"/>
      <c r="S148" s="100"/>
      <c r="T148" s="104">
        <f t="shared" ref="T148:AB148" si="165">T147/$AD147</f>
        <v>4.9813000000000003E-2</v>
      </c>
      <c r="U148" s="104">
        <f t="shared" si="165"/>
        <v>9.6172999999999995E-2</v>
      </c>
      <c r="V148" s="104">
        <f t="shared" si="165"/>
        <v>3.4589999999999998E-3</v>
      </c>
      <c r="W148" s="104">
        <f t="shared" si="165"/>
        <v>1.3835E-2</v>
      </c>
      <c r="X148" s="104">
        <f t="shared" si="165"/>
        <v>5.5800000000000001E-4</v>
      </c>
      <c r="Y148" s="104">
        <f t="shared" si="165"/>
        <v>2.8673000000000001E-2</v>
      </c>
      <c r="Z148" s="104">
        <f t="shared" si="165"/>
        <v>0.25850400000000001</v>
      </c>
      <c r="AA148" s="104">
        <f t="shared" si="165"/>
        <v>0.198544</v>
      </c>
      <c r="AB148" s="104">
        <f t="shared" si="165"/>
        <v>5.9959999999999999E-2</v>
      </c>
      <c r="AC148" s="106">
        <f>1-Z148-Y148-X148-W148-V148-U148-T148-O148-N148-L148-I148</f>
        <v>7.2519999999999998E-3</v>
      </c>
      <c r="AD148" s="106">
        <f>AD147/$AD147</f>
        <v>1</v>
      </c>
      <c r="AE148" s="81"/>
      <c r="AU148" s="108"/>
    </row>
    <row r="149" spans="1:49" x14ac:dyDescent="0.25">
      <c r="A149" s="6">
        <v>3</v>
      </c>
      <c r="B149" s="92" t="s">
        <v>17</v>
      </c>
      <c r="C149" s="11">
        <v>704</v>
      </c>
      <c r="D149" s="11">
        <v>2018</v>
      </c>
      <c r="E149" s="11" t="s">
        <v>185</v>
      </c>
      <c r="F149" s="37">
        <f>G149+H149</f>
        <v>2306096</v>
      </c>
      <c r="G149" s="37">
        <f>J149+AA149</f>
        <v>1771196</v>
      </c>
      <c r="H149" s="37">
        <f>K149+AB149</f>
        <v>534900</v>
      </c>
      <c r="I149" s="37">
        <f>ROUND($AF147*I148,0)</f>
        <v>1281101</v>
      </c>
      <c r="J149" s="37">
        <f>ROUND(I149/1.302,0)</f>
        <v>983949</v>
      </c>
      <c r="K149" s="37">
        <f>I149-J149</f>
        <v>297152</v>
      </c>
      <c r="L149" s="37">
        <f>ROUND($AF147*L148,0)</f>
        <v>84496</v>
      </c>
      <c r="M149" s="37">
        <f>ROUND($AF147*M148,0)</f>
        <v>16899</v>
      </c>
      <c r="N149" s="37">
        <f>ROUND($AF147*N148,0)</f>
        <v>175626</v>
      </c>
      <c r="O149" s="37">
        <f>ROUND($AF147*O148,0)</f>
        <v>606804</v>
      </c>
      <c r="P149" s="100"/>
      <c r="Q149" s="100"/>
      <c r="R149" s="100"/>
      <c r="S149" s="100"/>
      <c r="T149" s="37">
        <f t="shared" ref="T149:Z149" si="166">ROUND($AF147*T148,0)</f>
        <v>197514</v>
      </c>
      <c r="U149" s="37">
        <f t="shared" si="166"/>
        <v>381336</v>
      </c>
      <c r="V149" s="37">
        <f t="shared" si="166"/>
        <v>13715</v>
      </c>
      <c r="W149" s="37">
        <f t="shared" si="166"/>
        <v>54857</v>
      </c>
      <c r="X149" s="37">
        <f t="shared" si="166"/>
        <v>2213</v>
      </c>
      <c r="Y149" s="37">
        <f t="shared" si="166"/>
        <v>113691</v>
      </c>
      <c r="Z149" s="37">
        <f t="shared" si="166"/>
        <v>1024995</v>
      </c>
      <c r="AA149" s="37">
        <f>ROUND(Z149/1.302,0)</f>
        <v>787247</v>
      </c>
      <c r="AB149" s="37">
        <f>Z149-AA149</f>
        <v>237748</v>
      </c>
      <c r="AC149" s="37">
        <f>ROUND($AF147*AC148,0)</f>
        <v>28755</v>
      </c>
      <c r="AD149" s="37">
        <f>I149+L149+N149+O149+T149+U149+V149+W149+X149+Y149+AC149+Z149</f>
        <v>3965103</v>
      </c>
      <c r="AE149" s="78">
        <f>AF147</f>
        <v>3965104</v>
      </c>
      <c r="AF149" s="78">
        <f>AE149-AF147</f>
        <v>0</v>
      </c>
      <c r="AG149" s="107">
        <f>-ROUND(F149/1000,1)</f>
        <v>-2306.1</v>
      </c>
      <c r="AH149" s="107">
        <f>ROUND(AG149/1.302,1)</f>
        <v>-1771.2</v>
      </c>
      <c r="AI149" s="107">
        <f>AG149-AH149</f>
        <v>-534.9</v>
      </c>
      <c r="AJ149" s="107">
        <f>-ROUND(L149/1000,1)</f>
        <v>-84.5</v>
      </c>
      <c r="AK149" s="107">
        <f>-ROUND(M149/1000,1)</f>
        <v>-16.899999999999999</v>
      </c>
      <c r="AL149" s="107">
        <f>-ROUND(N149/1000,1)</f>
        <v>-175.6</v>
      </c>
      <c r="AM149" s="107">
        <f>-ROUND(O149/1000,1)</f>
        <v>-606.79999999999995</v>
      </c>
      <c r="AN149" s="107">
        <f t="shared" ref="AN149:AS149" si="167">-ROUND(T149/1000,1)</f>
        <v>-197.5</v>
      </c>
      <c r="AO149" s="107">
        <f t="shared" si="167"/>
        <v>-381.3</v>
      </c>
      <c r="AP149" s="107">
        <f t="shared" si="167"/>
        <v>-13.7</v>
      </c>
      <c r="AQ149" s="107">
        <f t="shared" si="167"/>
        <v>-54.9</v>
      </c>
      <c r="AR149" s="107">
        <f t="shared" si="167"/>
        <v>-2.2000000000000002</v>
      </c>
      <c r="AS149" s="107">
        <f t="shared" si="167"/>
        <v>-113.7</v>
      </c>
      <c r="AT149" s="107">
        <f>-ROUND(AC149/1000,1)</f>
        <v>-28.8</v>
      </c>
      <c r="AU149" s="108">
        <f t="shared" si="147"/>
        <v>-3965.1</v>
      </c>
    </row>
    <row r="150" spans="1:49" hidden="1" x14ac:dyDescent="0.25">
      <c r="A150" s="6">
        <v>3</v>
      </c>
      <c r="B150" s="92" t="s">
        <v>17</v>
      </c>
      <c r="C150" s="11">
        <v>704</v>
      </c>
      <c r="D150" s="11">
        <v>2019</v>
      </c>
      <c r="E150" s="11" t="s">
        <v>182</v>
      </c>
      <c r="F150" s="97"/>
      <c r="G150" s="97"/>
      <c r="H150" s="97"/>
      <c r="I150" s="97" t="e">
        <f>SUMIFS(#REF!,#REF!,выравнивание!$A150,#REF!,4)</f>
        <v>#REF!</v>
      </c>
      <c r="J150" s="97" t="e">
        <f>SUMIFS(#REF!,#REF!,выравнивание!$A150,#REF!,4)</f>
        <v>#REF!</v>
      </c>
      <c r="K150" s="97" t="e">
        <f>SUMIFS(#REF!,#REF!,выравнивание!$A150,#REF!,4)</f>
        <v>#REF!</v>
      </c>
      <c r="L150" s="97" t="e">
        <f>SUMIFS(#REF!,#REF!,выравнивание!$A150,#REF!,4)</f>
        <v>#REF!</v>
      </c>
      <c r="M150" s="97" t="e">
        <f>SUMIFS(#REF!,#REF!,выравнивание!$A150,#REF!,4)</f>
        <v>#REF!</v>
      </c>
      <c r="N150" s="97" t="e">
        <f>SUMIFS(#REF!,#REF!,выравнивание!$A150,#REF!,4)</f>
        <v>#REF!</v>
      </c>
      <c r="O150" s="97" t="e">
        <f>SUMIFS(#REF!,#REF!,выравнивание!$A150,#REF!,4)</f>
        <v>#REF!</v>
      </c>
      <c r="P150" s="97" t="e">
        <f>SUMIFS(#REF!,#REF!,выравнивание!$A150,#REF!,4)</f>
        <v>#REF!</v>
      </c>
      <c r="Q150" s="97" t="e">
        <f>SUMIFS(#REF!,#REF!,выравнивание!$A150,#REF!,4)</f>
        <v>#REF!</v>
      </c>
      <c r="R150" s="97" t="e">
        <f>SUMIFS(#REF!,#REF!,выравнивание!$A150,#REF!,4)</f>
        <v>#REF!</v>
      </c>
      <c r="S150" s="97" t="e">
        <f>SUMIFS(#REF!,#REF!,выравнивание!$A150,#REF!,4)</f>
        <v>#REF!</v>
      </c>
      <c r="T150" s="97" t="e">
        <f>SUMIFS(#REF!,#REF!,выравнивание!$A150,#REF!,4)</f>
        <v>#REF!</v>
      </c>
      <c r="U150" s="97" t="e">
        <f>SUMIFS(#REF!,#REF!,выравнивание!$A150,#REF!,4)</f>
        <v>#REF!</v>
      </c>
      <c r="V150" s="97" t="e">
        <f>SUMIFS(#REF!,#REF!,выравнивание!$A150,#REF!,4)</f>
        <v>#REF!</v>
      </c>
      <c r="W150" s="97" t="e">
        <f>SUMIFS(#REF!,#REF!,выравнивание!$A150,#REF!,4)</f>
        <v>#REF!</v>
      </c>
      <c r="X150" s="97" t="e">
        <f>SUMIFS(#REF!,#REF!,выравнивание!$A150,#REF!,4)</f>
        <v>#REF!</v>
      </c>
      <c r="Y150" s="97" t="e">
        <f>SUMIFS(#REF!,#REF!,выравнивание!$A150,#REF!,4)</f>
        <v>#REF!</v>
      </c>
      <c r="Z150" s="97" t="e">
        <f>SUMIFS(#REF!,#REF!,выравнивание!$A150,#REF!,4)</f>
        <v>#REF!</v>
      </c>
      <c r="AA150" s="97" t="e">
        <f>SUMIFS(#REF!,#REF!,выравнивание!$A150,#REF!,4)</f>
        <v>#REF!</v>
      </c>
      <c r="AB150" s="97" t="e">
        <f>SUMIFS(#REF!,#REF!,выравнивание!$A150,#REF!,4)</f>
        <v>#REF!</v>
      </c>
      <c r="AC150" s="100" t="e">
        <f>SUMIFS(#REF!,#REF!,выравнивание!$A150,#REF!,4)</f>
        <v>#REF!</v>
      </c>
      <c r="AD150" s="100" t="e">
        <f>SUMIFS(#REF!,#REF!,выравнивание!$A150,#REF!,4)</f>
        <v>#REF!</v>
      </c>
      <c r="AE150" s="103" t="e">
        <f>SUMIF(#REF!,выравнивание!$A150,#REF!)*1000-SUMIF(#REF!,выравнивание!$A150,#REF!)*1000</f>
        <v>#REF!</v>
      </c>
      <c r="AF150" s="105" t="e">
        <f>AD150-AE150</f>
        <v>#REF!</v>
      </c>
      <c r="AU150" s="108"/>
    </row>
    <row r="151" spans="1:49" hidden="1" x14ac:dyDescent="0.25">
      <c r="A151" s="6">
        <v>3</v>
      </c>
      <c r="B151" s="92" t="s">
        <v>17</v>
      </c>
      <c r="C151" s="11">
        <v>704</v>
      </c>
      <c r="D151" s="11">
        <v>2019</v>
      </c>
      <c r="E151" s="11" t="s">
        <v>184</v>
      </c>
      <c r="F151" s="104"/>
      <c r="G151" s="104"/>
      <c r="H151" s="104"/>
      <c r="I151" s="104" t="e">
        <f t="shared" ref="I151:O151" si="168">I150/$AD150</f>
        <v>#REF!</v>
      </c>
      <c r="J151" s="104" t="e">
        <f t="shared" si="168"/>
        <v>#REF!</v>
      </c>
      <c r="K151" s="104" t="e">
        <f t="shared" si="168"/>
        <v>#REF!</v>
      </c>
      <c r="L151" s="104" t="e">
        <f t="shared" si="168"/>
        <v>#REF!</v>
      </c>
      <c r="M151" s="104" t="e">
        <f t="shared" si="168"/>
        <v>#REF!</v>
      </c>
      <c r="N151" s="104" t="e">
        <f t="shared" si="168"/>
        <v>#REF!</v>
      </c>
      <c r="O151" s="104" t="e">
        <f t="shared" si="168"/>
        <v>#REF!</v>
      </c>
      <c r="P151" s="97"/>
      <c r="Q151" s="97"/>
      <c r="R151" s="97"/>
      <c r="S151" s="97"/>
      <c r="T151" s="104" t="e">
        <f t="shared" ref="T151:AB151" si="169">T150/$AD150</f>
        <v>#REF!</v>
      </c>
      <c r="U151" s="104" t="e">
        <f t="shared" si="169"/>
        <v>#REF!</v>
      </c>
      <c r="V151" s="104" t="e">
        <f t="shared" si="169"/>
        <v>#REF!</v>
      </c>
      <c r="W151" s="104" t="e">
        <f t="shared" si="169"/>
        <v>#REF!</v>
      </c>
      <c r="X151" s="104" t="e">
        <f t="shared" si="169"/>
        <v>#REF!</v>
      </c>
      <c r="Y151" s="104" t="e">
        <f t="shared" si="169"/>
        <v>#REF!</v>
      </c>
      <c r="Z151" s="104" t="e">
        <f t="shared" si="169"/>
        <v>#REF!</v>
      </c>
      <c r="AA151" s="104" t="e">
        <f t="shared" si="169"/>
        <v>#REF!</v>
      </c>
      <c r="AB151" s="104" t="e">
        <f t="shared" si="169"/>
        <v>#REF!</v>
      </c>
      <c r="AC151" s="106" t="e">
        <f>1-Z151-Y151-X151-W151-V151-U151-T151-O151-N151-L151-I151</f>
        <v>#REF!</v>
      </c>
      <c r="AD151" s="106" t="e">
        <f>AD150/$AD150</f>
        <v>#REF!</v>
      </c>
      <c r="AE151" s="81"/>
      <c r="AU151" s="108"/>
    </row>
    <row r="152" spans="1:49" x14ac:dyDescent="0.25">
      <c r="A152" s="6">
        <v>3</v>
      </c>
      <c r="B152" s="92" t="s">
        <v>17</v>
      </c>
      <c r="C152" s="11">
        <v>704</v>
      </c>
      <c r="D152" s="11">
        <v>2019</v>
      </c>
      <c r="E152" s="11" t="s">
        <v>185</v>
      </c>
      <c r="F152" s="37" t="e">
        <f>G152+H152</f>
        <v>#REF!</v>
      </c>
      <c r="G152" s="37" t="e">
        <f>J152+AA152</f>
        <v>#REF!</v>
      </c>
      <c r="H152" s="37" t="e">
        <f>K152+AB152</f>
        <v>#REF!</v>
      </c>
      <c r="I152" s="37" t="e">
        <f>ROUND($AF150*I151,0)</f>
        <v>#REF!</v>
      </c>
      <c r="J152" s="37" t="e">
        <f>ROUND(I152/1.302,0)</f>
        <v>#REF!</v>
      </c>
      <c r="K152" s="37" t="e">
        <f>I152-J152</f>
        <v>#REF!</v>
      </c>
      <c r="L152" s="37" t="e">
        <f>ROUND($AF150*L151,0)</f>
        <v>#REF!</v>
      </c>
      <c r="M152" s="37" t="e">
        <f>ROUND($AF150*M151,0)</f>
        <v>#REF!</v>
      </c>
      <c r="N152" s="37" t="e">
        <f>ROUND($AF150*N151,0)</f>
        <v>#REF!</v>
      </c>
      <c r="O152" s="37" t="e">
        <f>ROUND($AF150*O151,0)</f>
        <v>#REF!</v>
      </c>
      <c r="P152" s="97"/>
      <c r="Q152" s="97"/>
      <c r="R152" s="97"/>
      <c r="S152" s="97"/>
      <c r="T152" s="37" t="e">
        <f t="shared" ref="T152:Z152" si="170">ROUND($AF150*T151,0)</f>
        <v>#REF!</v>
      </c>
      <c r="U152" s="37" t="e">
        <f t="shared" si="170"/>
        <v>#REF!</v>
      </c>
      <c r="V152" s="37" t="e">
        <f t="shared" si="170"/>
        <v>#REF!</v>
      </c>
      <c r="W152" s="37" t="e">
        <f t="shared" si="170"/>
        <v>#REF!</v>
      </c>
      <c r="X152" s="37" t="e">
        <f t="shared" si="170"/>
        <v>#REF!</v>
      </c>
      <c r="Y152" s="37" t="e">
        <f t="shared" si="170"/>
        <v>#REF!</v>
      </c>
      <c r="Z152" s="37" t="e">
        <f t="shared" si="170"/>
        <v>#REF!</v>
      </c>
      <c r="AA152" s="37" t="e">
        <f>ROUND(Z152/1.302,0)</f>
        <v>#REF!</v>
      </c>
      <c r="AB152" s="37" t="e">
        <f>Z152-AA152</f>
        <v>#REF!</v>
      </c>
      <c r="AC152" s="37" t="e">
        <f>ROUND($AF150*AC151,0)</f>
        <v>#REF!</v>
      </c>
      <c r="AD152" s="37" t="e">
        <f>I152+L152+N152+O152+T152+U152+V152+W152+X152+Y152+AC152+Z152</f>
        <v>#REF!</v>
      </c>
      <c r="AE152" s="78" t="e">
        <f>AF150</f>
        <v>#REF!</v>
      </c>
      <c r="AF152" s="78" t="e">
        <f>AE152-AF150</f>
        <v>#REF!</v>
      </c>
      <c r="AG152" s="107" t="e">
        <f>-ROUND(F152/1000,1)</f>
        <v>#REF!</v>
      </c>
      <c r="AH152" s="107" t="e">
        <f>ROUND(AG152/1.302,1)</f>
        <v>#REF!</v>
      </c>
      <c r="AI152" s="107" t="e">
        <f>AG152-AH152</f>
        <v>#REF!</v>
      </c>
      <c r="AJ152" s="107" t="e">
        <f>-ROUND(L152/1000,1)</f>
        <v>#REF!</v>
      </c>
      <c r="AK152" s="107" t="e">
        <f>-ROUND(M152/1000,1)</f>
        <v>#REF!</v>
      </c>
      <c r="AL152" s="107" t="e">
        <f>-ROUND(N152/1000,1)</f>
        <v>#REF!</v>
      </c>
      <c r="AM152" s="107" t="e">
        <f>-ROUND(O152/1000,1)</f>
        <v>#REF!</v>
      </c>
      <c r="AN152" s="107" t="e">
        <f t="shared" ref="AN152:AS152" si="171">-ROUND(T152/1000,1)</f>
        <v>#REF!</v>
      </c>
      <c r="AO152" s="107" t="e">
        <f t="shared" si="171"/>
        <v>#REF!</v>
      </c>
      <c r="AP152" s="107" t="e">
        <f t="shared" si="171"/>
        <v>#REF!</v>
      </c>
      <c r="AQ152" s="107" t="e">
        <f t="shared" si="171"/>
        <v>#REF!</v>
      </c>
      <c r="AR152" s="107" t="e">
        <f t="shared" si="171"/>
        <v>#REF!</v>
      </c>
      <c r="AS152" s="107" t="e">
        <f t="shared" si="171"/>
        <v>#REF!</v>
      </c>
      <c r="AT152" s="107" t="e">
        <f>-ROUND(AC152/1000,1)</f>
        <v>#REF!</v>
      </c>
      <c r="AU152" s="108" t="e">
        <f t="shared" si="147"/>
        <v>#REF!</v>
      </c>
    </row>
    <row r="153" spans="1:49" hidden="1" x14ac:dyDescent="0.25">
      <c r="A153" s="6">
        <v>3</v>
      </c>
      <c r="B153" s="92" t="s">
        <v>17</v>
      </c>
      <c r="C153" s="11">
        <v>704</v>
      </c>
      <c r="D153" s="11">
        <v>2020</v>
      </c>
      <c r="E153" s="11" t="s">
        <v>182</v>
      </c>
      <c r="F153" s="97"/>
      <c r="G153" s="97"/>
      <c r="H153" s="97"/>
      <c r="I153" s="97" t="e">
        <f>SUMIFS(#REF!,#REF!,выравнивание!$A153,#REF!,4)</f>
        <v>#REF!</v>
      </c>
      <c r="J153" s="97" t="e">
        <f>SUMIFS(#REF!,#REF!,выравнивание!$A153,#REF!,4)</f>
        <v>#REF!</v>
      </c>
      <c r="K153" s="97" t="e">
        <f>SUMIFS(#REF!,#REF!,выравнивание!$A153,#REF!,4)</f>
        <v>#REF!</v>
      </c>
      <c r="L153" s="97" t="e">
        <f>SUMIFS(#REF!,#REF!,выравнивание!$A153,#REF!,4)</f>
        <v>#REF!</v>
      </c>
      <c r="M153" s="97" t="e">
        <f>SUMIFS(#REF!,#REF!,выравнивание!$A153,#REF!,4)</f>
        <v>#REF!</v>
      </c>
      <c r="N153" s="97" t="e">
        <f>SUMIFS(#REF!,#REF!,выравнивание!$A153,#REF!,4)</f>
        <v>#REF!</v>
      </c>
      <c r="O153" s="97" t="e">
        <f>SUMIFS(#REF!,#REF!,выравнивание!$A153,#REF!,4)</f>
        <v>#REF!</v>
      </c>
      <c r="P153" s="97" t="e">
        <f>SUMIFS(#REF!,#REF!,выравнивание!$A153,#REF!,4)</f>
        <v>#REF!</v>
      </c>
      <c r="Q153" s="97" t="e">
        <f>SUMIFS(#REF!,#REF!,выравнивание!$A153,#REF!,4)</f>
        <v>#REF!</v>
      </c>
      <c r="R153" s="97" t="e">
        <f>SUMIFS(#REF!,#REF!,выравнивание!$A153,#REF!,4)</f>
        <v>#REF!</v>
      </c>
      <c r="S153" s="97" t="e">
        <f>SUMIFS(#REF!,#REF!,выравнивание!$A153,#REF!,4)</f>
        <v>#REF!</v>
      </c>
      <c r="T153" s="97" t="e">
        <f>SUMIFS(#REF!,#REF!,выравнивание!$A153,#REF!,4)</f>
        <v>#REF!</v>
      </c>
      <c r="U153" s="97" t="e">
        <f>SUMIFS(#REF!,#REF!,выравнивание!$A153,#REF!,4)</f>
        <v>#REF!</v>
      </c>
      <c r="V153" s="97" t="e">
        <f>SUMIFS(#REF!,#REF!,выравнивание!$A153,#REF!,4)</f>
        <v>#REF!</v>
      </c>
      <c r="W153" s="97" t="e">
        <f>SUMIFS(#REF!,#REF!,выравнивание!$A153,#REF!,4)</f>
        <v>#REF!</v>
      </c>
      <c r="X153" s="97" t="e">
        <f>SUMIFS(#REF!,#REF!,выравнивание!$A153,#REF!,4)</f>
        <v>#REF!</v>
      </c>
      <c r="Y153" s="97" t="e">
        <f>SUMIFS(#REF!,#REF!,выравнивание!$A153,#REF!,4)</f>
        <v>#REF!</v>
      </c>
      <c r="Z153" s="97" t="e">
        <f>SUMIFS(#REF!,#REF!,выравнивание!$A153,#REF!,4)</f>
        <v>#REF!</v>
      </c>
      <c r="AA153" s="97" t="e">
        <f>SUMIFS(#REF!,#REF!,выравнивание!$A153,#REF!,4)</f>
        <v>#REF!</v>
      </c>
      <c r="AB153" s="97" t="e">
        <f>SUMIFS(#REF!,#REF!,выравнивание!$A153,#REF!,4)</f>
        <v>#REF!</v>
      </c>
      <c r="AC153" s="100" t="e">
        <f>SUMIFS(#REF!,#REF!,выравнивание!$A153,#REF!,4)</f>
        <v>#REF!</v>
      </c>
      <c r="AD153" s="100" t="e">
        <f>SUMIFS(#REF!,#REF!,выравнивание!$A153,#REF!,4)</f>
        <v>#REF!</v>
      </c>
      <c r="AE153" s="103" t="e">
        <f>SUMIF(#REF!,выравнивание!$A153,#REF!)*1000-SUMIF(#REF!,выравнивание!$A153,#REF!)*1000</f>
        <v>#REF!</v>
      </c>
      <c r="AF153" s="84" t="e">
        <f>AD153-AE153</f>
        <v>#REF!</v>
      </c>
      <c r="AU153" s="108"/>
    </row>
    <row r="154" spans="1:49" hidden="1" x14ac:dyDescent="0.25">
      <c r="A154" s="6">
        <v>3</v>
      </c>
      <c r="B154" s="92" t="s">
        <v>17</v>
      </c>
      <c r="C154" s="11">
        <v>704</v>
      </c>
      <c r="D154" s="11">
        <v>2020</v>
      </c>
      <c r="E154" s="11" t="s">
        <v>184</v>
      </c>
      <c r="F154" s="104"/>
      <c r="G154" s="104"/>
      <c r="H154" s="104"/>
      <c r="I154" s="104" t="e">
        <f t="shared" ref="I154:O154" si="172">I153/$AD153</f>
        <v>#REF!</v>
      </c>
      <c r="J154" s="104" t="e">
        <f t="shared" si="172"/>
        <v>#REF!</v>
      </c>
      <c r="K154" s="104" t="e">
        <f t="shared" si="172"/>
        <v>#REF!</v>
      </c>
      <c r="L154" s="104" t="e">
        <f t="shared" si="172"/>
        <v>#REF!</v>
      </c>
      <c r="M154" s="104" t="e">
        <f t="shared" si="172"/>
        <v>#REF!</v>
      </c>
      <c r="N154" s="104" t="e">
        <f t="shared" si="172"/>
        <v>#REF!</v>
      </c>
      <c r="O154" s="104" t="e">
        <f t="shared" si="172"/>
        <v>#REF!</v>
      </c>
      <c r="P154" s="100"/>
      <c r="Q154" s="100"/>
      <c r="R154" s="100"/>
      <c r="S154" s="100"/>
      <c r="T154" s="104" t="e">
        <f t="shared" ref="T154:AB154" si="173">T153/$AD153</f>
        <v>#REF!</v>
      </c>
      <c r="U154" s="104" t="e">
        <f t="shared" si="173"/>
        <v>#REF!</v>
      </c>
      <c r="V154" s="104" t="e">
        <f t="shared" si="173"/>
        <v>#REF!</v>
      </c>
      <c r="W154" s="104" t="e">
        <f t="shared" si="173"/>
        <v>#REF!</v>
      </c>
      <c r="X154" s="104" t="e">
        <f t="shared" si="173"/>
        <v>#REF!</v>
      </c>
      <c r="Y154" s="104" t="e">
        <f t="shared" si="173"/>
        <v>#REF!</v>
      </c>
      <c r="Z154" s="104" t="e">
        <f t="shared" si="173"/>
        <v>#REF!</v>
      </c>
      <c r="AA154" s="104" t="e">
        <f t="shared" si="173"/>
        <v>#REF!</v>
      </c>
      <c r="AB154" s="104" t="e">
        <f t="shared" si="173"/>
        <v>#REF!</v>
      </c>
      <c r="AC154" s="106" t="e">
        <f>1-Z154-Y154-X154-W154-V154-U154-T154-O154-N154-L154-I154</f>
        <v>#REF!</v>
      </c>
      <c r="AD154" s="106" t="e">
        <f>AD153/$AD153</f>
        <v>#REF!</v>
      </c>
      <c r="AE154" s="81"/>
      <c r="AU154" s="108"/>
    </row>
    <row r="155" spans="1:49" x14ac:dyDescent="0.25">
      <c r="A155" s="6">
        <v>3</v>
      </c>
      <c r="B155" s="92" t="s">
        <v>17</v>
      </c>
      <c r="C155" s="11">
        <v>704</v>
      </c>
      <c r="D155" s="11">
        <v>2020</v>
      </c>
      <c r="E155" s="11" t="s">
        <v>185</v>
      </c>
      <c r="F155" s="37" t="e">
        <f>G155+H155</f>
        <v>#REF!</v>
      </c>
      <c r="G155" s="37" t="e">
        <f>J155+AA155</f>
        <v>#REF!</v>
      </c>
      <c r="H155" s="37" t="e">
        <f>K155+AB155</f>
        <v>#REF!</v>
      </c>
      <c r="I155" s="37" t="e">
        <f>ROUND($AF153*I154,0)</f>
        <v>#REF!</v>
      </c>
      <c r="J155" s="37" t="e">
        <f>ROUND(I155/1.302,0)</f>
        <v>#REF!</v>
      </c>
      <c r="K155" s="37" t="e">
        <f>I155-J155</f>
        <v>#REF!</v>
      </c>
      <c r="L155" s="37" t="e">
        <f>ROUND($AF153*L154,0)</f>
        <v>#REF!</v>
      </c>
      <c r="M155" s="37" t="e">
        <f>ROUND($AF153*M154,0)</f>
        <v>#REF!</v>
      </c>
      <c r="N155" s="37" t="e">
        <f>ROUND($AF153*N154,0)</f>
        <v>#REF!</v>
      </c>
      <c r="O155" s="37" t="e">
        <f>ROUND($AF153*O154,0)</f>
        <v>#REF!</v>
      </c>
      <c r="P155" s="100"/>
      <c r="Q155" s="100"/>
      <c r="R155" s="100"/>
      <c r="S155" s="100"/>
      <c r="T155" s="37" t="e">
        <f t="shared" ref="T155:Z155" si="174">ROUND($AF153*T154,0)</f>
        <v>#REF!</v>
      </c>
      <c r="U155" s="37" t="e">
        <f t="shared" si="174"/>
        <v>#REF!</v>
      </c>
      <c r="V155" s="37" t="e">
        <f t="shared" si="174"/>
        <v>#REF!</v>
      </c>
      <c r="W155" s="37" t="e">
        <f t="shared" si="174"/>
        <v>#REF!</v>
      </c>
      <c r="X155" s="37" t="e">
        <f t="shared" si="174"/>
        <v>#REF!</v>
      </c>
      <c r="Y155" s="37" t="e">
        <f t="shared" si="174"/>
        <v>#REF!</v>
      </c>
      <c r="Z155" s="37" t="e">
        <f t="shared" si="174"/>
        <v>#REF!</v>
      </c>
      <c r="AA155" s="37" t="e">
        <f>ROUND(Z155/1.302,0)</f>
        <v>#REF!</v>
      </c>
      <c r="AB155" s="37" t="e">
        <f>Z155-AA155</f>
        <v>#REF!</v>
      </c>
      <c r="AC155" s="37" t="e">
        <f>ROUND($AF153*AC154,0)</f>
        <v>#REF!</v>
      </c>
      <c r="AD155" s="37" t="e">
        <f>I155+L155+N155+O155+T155+U155+V155+W155+X155+Y155+AC155+Z155</f>
        <v>#REF!</v>
      </c>
      <c r="AE155" s="78" t="e">
        <f>AF153</f>
        <v>#REF!</v>
      </c>
      <c r="AF155" s="78" t="e">
        <f>AE155-AF153</f>
        <v>#REF!</v>
      </c>
      <c r="AG155" s="107" t="e">
        <f>-ROUND(F155/1000,1)</f>
        <v>#REF!</v>
      </c>
      <c r="AH155" s="107" t="e">
        <f>ROUND(AG155/1.302,1)</f>
        <v>#REF!</v>
      </c>
      <c r="AI155" s="107" t="e">
        <f>AG155-AH155</f>
        <v>#REF!</v>
      </c>
      <c r="AJ155" s="107" t="e">
        <f>-ROUND(L155/1000,1)</f>
        <v>#REF!</v>
      </c>
      <c r="AK155" s="107" t="e">
        <f>-ROUND(M155/1000,1)</f>
        <v>#REF!</v>
      </c>
      <c r="AL155" s="107" t="e">
        <f>-ROUND(N155/1000,1)</f>
        <v>#REF!</v>
      </c>
      <c r="AM155" s="107" t="e">
        <f>-ROUND(O155/1000,1)</f>
        <v>#REF!</v>
      </c>
      <c r="AN155" s="107" t="e">
        <f t="shared" ref="AN155:AS155" si="175">-ROUND(T155/1000,1)</f>
        <v>#REF!</v>
      </c>
      <c r="AO155" s="107" t="e">
        <f t="shared" si="175"/>
        <v>#REF!</v>
      </c>
      <c r="AP155" s="107" t="e">
        <f t="shared" si="175"/>
        <v>#REF!</v>
      </c>
      <c r="AQ155" s="107" t="e">
        <f t="shared" si="175"/>
        <v>#REF!</v>
      </c>
      <c r="AR155" s="107" t="e">
        <f t="shared" si="175"/>
        <v>#REF!</v>
      </c>
      <c r="AS155" s="107" t="e">
        <f t="shared" si="175"/>
        <v>#REF!</v>
      </c>
      <c r="AT155" s="107" t="e">
        <f>-ROUND(AC155/1000,1)</f>
        <v>#REF!</v>
      </c>
      <c r="AU155" s="108" t="e">
        <f t="shared" si="147"/>
        <v>#REF!</v>
      </c>
    </row>
    <row r="156" spans="1:49" hidden="1" x14ac:dyDescent="0.25">
      <c r="A156" s="6">
        <v>5</v>
      </c>
      <c r="B156" s="92" t="s">
        <v>19</v>
      </c>
      <c r="C156" s="11">
        <v>704</v>
      </c>
      <c r="D156" s="11">
        <v>2018</v>
      </c>
      <c r="E156" s="11" t="s">
        <v>182</v>
      </c>
      <c r="F156" s="100"/>
      <c r="G156" s="100"/>
      <c r="H156" s="100"/>
      <c r="I156" s="100">
        <f>SUMIFS('2020'!BM:BM,'2020'!$B:$B,выравнивание!$A156,'2020'!$G:$G,4)</f>
        <v>13444899</v>
      </c>
      <c r="J156" s="100">
        <f>SUMIFS('2020'!BN:BN,'2020'!$B:$B,выравнивание!$A156,'2020'!$G:$G,4)</f>
        <v>10326343.4</v>
      </c>
      <c r="K156" s="100">
        <f>SUMIFS('2020'!BO:BO,'2020'!$B:$B,выравнивание!$A156,'2020'!$G:$G,4)</f>
        <v>3118555.6</v>
      </c>
      <c r="L156" s="100">
        <f>SUMIFS('2020'!BP:BP,'2020'!$B:$B,выравнивание!$A156,'2020'!$G:$G,4)</f>
        <v>774380</v>
      </c>
      <c r="M156" s="100">
        <f>SUMIFS('2020'!BQ:BQ,'2020'!$B:$B,выравнивание!$A156,'2020'!$G:$G,4)</f>
        <v>154876</v>
      </c>
      <c r="N156" s="100">
        <f>SUMIFS('2020'!BR:BR,'2020'!$B:$B,выравнивание!$A156,'2020'!$G:$G,4)</f>
        <v>1627540</v>
      </c>
      <c r="O156" s="100">
        <f>SUMIFS('2020'!BS:BS,'2020'!$B:$B,выравнивание!$A156,'2020'!$G:$G,4)</f>
        <v>5501320</v>
      </c>
      <c r="P156" s="100">
        <f>SUMIFS('2020'!BT:BT,'2020'!$B:$B,выравнивание!$A156,'2020'!$G:$G,4)</f>
        <v>198720</v>
      </c>
      <c r="Q156" s="100">
        <f>SUMIFS('2020'!BU:BU,'2020'!$B:$B,выравнивание!$A156,'2020'!$G:$G,4)</f>
        <v>3639200</v>
      </c>
      <c r="R156" s="100">
        <f>SUMIFS('2020'!BV:BV,'2020'!$B:$B,выравнивание!$A156,'2020'!$G:$G,4)</f>
        <v>1354080</v>
      </c>
      <c r="S156" s="100">
        <f>SUMIFS('2020'!BW:BW,'2020'!$B:$B,выравнивание!$A156,'2020'!$G:$G,4)</f>
        <v>309320</v>
      </c>
      <c r="T156" s="100">
        <f>SUMIFS('2020'!BX:BX,'2020'!$B:$B,выравнивание!$A156,'2020'!$G:$G,4)</f>
        <v>1762573</v>
      </c>
      <c r="U156" s="100">
        <f>SUMIFS('2020'!BY:BY,'2020'!$B:$B,выравнивание!$A156,'2020'!$G:$G,4)</f>
        <v>3603160</v>
      </c>
      <c r="V156" s="100">
        <f>SUMIFS('2020'!BZ:BZ,'2020'!$B:$B,выравнивание!$A156,'2020'!$G:$G,4)</f>
        <v>129580</v>
      </c>
      <c r="W156" s="100">
        <f>SUMIFS('2020'!CA:CA,'2020'!$B:$B,выравнивание!$A156,'2020'!$G:$G,4)</f>
        <v>518320</v>
      </c>
      <c r="X156" s="100">
        <f>SUMIFS('2020'!CB:CB,'2020'!$B:$B,выравнивание!$A156,'2020'!$G:$G,4)</f>
        <v>20900</v>
      </c>
      <c r="Y156" s="100">
        <f>SUMIFS('2020'!CC:CC,'2020'!$B:$B,выравнивание!$A156,'2020'!$G:$G,4)</f>
        <v>1017140</v>
      </c>
      <c r="Z156" s="100">
        <f>SUMIFS('2020'!CD:CD,'2020'!$B:$B,выравнивание!$A156,'2020'!$G:$G,4)</f>
        <v>10657354</v>
      </c>
      <c r="AA156" s="100">
        <f>SUMIFS('2020'!CE:CE,'2020'!$B:$B,выравнивание!$A156,'2020'!$G:$G,4)</f>
        <v>8185371.7000000002</v>
      </c>
      <c r="AB156" s="100">
        <f>SUMIFS('2020'!CF:CF,'2020'!$B:$B,выравнивание!$A156,'2020'!$G:$G,4)</f>
        <v>2471982.2999999998</v>
      </c>
      <c r="AC156" s="100">
        <f>SUMIFS('2020'!CG:CG,'2020'!$B:$B,выравнивание!$A156,'2020'!$G:$G,4)</f>
        <v>271700</v>
      </c>
      <c r="AD156" s="100">
        <f>SUMIFS('2020'!CH:CH,'2020'!$B:$B,выравнивание!$A156,'2020'!$G:$G,4)</f>
        <v>39328866</v>
      </c>
      <c r="AE156" s="84">
        <f>SUMIF('Свод 2020'!$A$44:$A$57,выравнивание!$A156,'Свод 2020'!$AA$44:$AA$57)*1000-SUMIF('Свод 2020'!$A$44:$A$57,выравнивание!$A156,'Свод 2020'!$S$44:$S$57)*1000</f>
        <v>28454800</v>
      </c>
      <c r="AF156" s="105">
        <f>AD156-AE156</f>
        <v>10874066</v>
      </c>
      <c r="AU156" s="108"/>
    </row>
    <row r="157" spans="1:49" hidden="1" x14ac:dyDescent="0.25">
      <c r="A157" s="6">
        <v>5</v>
      </c>
      <c r="B157" s="92" t="s">
        <v>19</v>
      </c>
      <c r="C157" s="11">
        <v>704</v>
      </c>
      <c r="D157" s="11">
        <v>2018</v>
      </c>
      <c r="E157" s="11" t="s">
        <v>184</v>
      </c>
      <c r="F157" s="104"/>
      <c r="G157" s="104"/>
      <c r="H157" s="104"/>
      <c r="I157" s="104">
        <f t="shared" ref="I157:O157" si="176">I156/$AD156</f>
        <v>0.341858</v>
      </c>
      <c r="J157" s="104">
        <f t="shared" si="176"/>
        <v>0.26256400000000002</v>
      </c>
      <c r="K157" s="104">
        <f t="shared" si="176"/>
        <v>7.9294000000000003E-2</v>
      </c>
      <c r="L157" s="104">
        <f t="shared" si="176"/>
        <v>1.9689999999999999E-2</v>
      </c>
      <c r="M157" s="104">
        <f t="shared" si="176"/>
        <v>3.9379999999999997E-3</v>
      </c>
      <c r="N157" s="104">
        <f t="shared" si="176"/>
        <v>4.1383000000000003E-2</v>
      </c>
      <c r="O157" s="104">
        <f t="shared" si="176"/>
        <v>0.13988</v>
      </c>
      <c r="P157" s="100"/>
      <c r="Q157" s="100"/>
      <c r="R157" s="100"/>
      <c r="S157" s="100"/>
      <c r="T157" s="104">
        <f t="shared" ref="T157:AB157" si="177">T156/$AD156</f>
        <v>4.4816000000000002E-2</v>
      </c>
      <c r="U157" s="104">
        <f t="shared" si="177"/>
        <v>9.1616000000000003E-2</v>
      </c>
      <c r="V157" s="104">
        <f t="shared" si="177"/>
        <v>3.2950000000000002E-3</v>
      </c>
      <c r="W157" s="104">
        <f t="shared" si="177"/>
        <v>1.3179E-2</v>
      </c>
      <c r="X157" s="104">
        <f t="shared" si="177"/>
        <v>5.31E-4</v>
      </c>
      <c r="Y157" s="104">
        <f t="shared" si="177"/>
        <v>2.5862E-2</v>
      </c>
      <c r="Z157" s="104">
        <f t="shared" si="177"/>
        <v>0.27098</v>
      </c>
      <c r="AA157" s="104">
        <f t="shared" si="177"/>
        <v>0.20812600000000001</v>
      </c>
      <c r="AB157" s="104">
        <f t="shared" si="177"/>
        <v>6.2853999999999993E-2</v>
      </c>
      <c r="AC157" s="106">
        <f>1-Z157-Y157-X157-W157-V157-U157-T157-O157-N157-L157-I157</f>
        <v>6.9100000000000003E-3</v>
      </c>
      <c r="AD157" s="106">
        <f>AD156/$AD156</f>
        <v>1</v>
      </c>
      <c r="AE157" s="81"/>
      <c r="AU157" s="108"/>
    </row>
    <row r="158" spans="1:49" x14ac:dyDescent="0.25">
      <c r="A158" s="6">
        <v>5</v>
      </c>
      <c r="B158" s="92" t="s">
        <v>19</v>
      </c>
      <c r="C158" s="11">
        <v>704</v>
      </c>
      <c r="D158" s="11">
        <v>2018</v>
      </c>
      <c r="E158" s="11" t="s">
        <v>185</v>
      </c>
      <c r="F158" s="37">
        <f>G158+H158</f>
        <v>6664040</v>
      </c>
      <c r="G158" s="37">
        <f>J158+AA158</f>
        <v>5118310</v>
      </c>
      <c r="H158" s="37">
        <f>K158+AB158</f>
        <v>1545730</v>
      </c>
      <c r="I158" s="37">
        <f>ROUND($AF156*I157,0)</f>
        <v>3717386</v>
      </c>
      <c r="J158" s="37">
        <f>ROUND(I158/1.302,0)</f>
        <v>2855135</v>
      </c>
      <c r="K158" s="37">
        <f>I158-J158</f>
        <v>862251</v>
      </c>
      <c r="L158" s="37">
        <f>ROUND($AF156*L157,0)</f>
        <v>214110</v>
      </c>
      <c r="M158" s="37">
        <f>ROUND($AF156*M157,0)</f>
        <v>42822</v>
      </c>
      <c r="N158" s="37">
        <f>ROUND($AF156*N157,0)</f>
        <v>450001</v>
      </c>
      <c r="O158" s="37">
        <f>ROUND($AF156*O157,0)</f>
        <v>1521064</v>
      </c>
      <c r="P158" s="100"/>
      <c r="Q158" s="100"/>
      <c r="R158" s="100"/>
      <c r="S158" s="100"/>
      <c r="T158" s="37">
        <f t="shared" ref="T158:Z158" si="178">ROUND($AF156*T157,0)</f>
        <v>487332</v>
      </c>
      <c r="U158" s="37">
        <f t="shared" si="178"/>
        <v>996238</v>
      </c>
      <c r="V158" s="37">
        <f t="shared" si="178"/>
        <v>35830</v>
      </c>
      <c r="W158" s="37">
        <f t="shared" si="178"/>
        <v>143309</v>
      </c>
      <c r="X158" s="37">
        <f t="shared" si="178"/>
        <v>5774</v>
      </c>
      <c r="Y158" s="37">
        <f t="shared" si="178"/>
        <v>281225</v>
      </c>
      <c r="Z158" s="37">
        <f t="shared" si="178"/>
        <v>2946654</v>
      </c>
      <c r="AA158" s="37">
        <f>ROUND(Z158/1.302,0)</f>
        <v>2263175</v>
      </c>
      <c r="AB158" s="37">
        <f>Z158-AA158</f>
        <v>683479</v>
      </c>
      <c r="AC158" s="37">
        <f>ROUND($AF156*AC157,0)</f>
        <v>75140</v>
      </c>
      <c r="AD158" s="37">
        <f>I158+L158+N158+O158+T158+U158+V158+W158+X158+Y158+AC158+Z158</f>
        <v>10874063</v>
      </c>
      <c r="AE158" s="78">
        <f>AF156</f>
        <v>10874066</v>
      </c>
      <c r="AF158" s="78">
        <f>AE158-AF156</f>
        <v>0</v>
      </c>
      <c r="AG158" s="107">
        <f>-ROUND(F158/1000,1)</f>
        <v>-6664</v>
      </c>
      <c r="AH158" s="107">
        <f>ROUND(AG158/1.302,1)</f>
        <v>-5118.3</v>
      </c>
      <c r="AI158" s="107">
        <f>AG158-AH158</f>
        <v>-1545.7</v>
      </c>
      <c r="AJ158" s="107">
        <f>-ROUND(L158/1000,1)</f>
        <v>-214.1</v>
      </c>
      <c r="AK158" s="107">
        <f>-ROUND(M158/1000,1)</f>
        <v>-42.8</v>
      </c>
      <c r="AL158" s="107">
        <f>-ROUND(N158/1000,1)</f>
        <v>-450</v>
      </c>
      <c r="AM158" s="107">
        <f>-ROUND(O158/1000,1)</f>
        <v>-1521.1</v>
      </c>
      <c r="AN158" s="107">
        <f t="shared" ref="AN158:AS158" si="179">-ROUND(T158/1000,1)</f>
        <v>-487.3</v>
      </c>
      <c r="AO158" s="107">
        <f t="shared" si="179"/>
        <v>-996.2</v>
      </c>
      <c r="AP158" s="107">
        <f t="shared" si="179"/>
        <v>-35.799999999999997</v>
      </c>
      <c r="AQ158" s="107">
        <f t="shared" si="179"/>
        <v>-143.30000000000001</v>
      </c>
      <c r="AR158" s="107">
        <f t="shared" si="179"/>
        <v>-5.8</v>
      </c>
      <c r="AS158" s="107">
        <f t="shared" si="179"/>
        <v>-281.2</v>
      </c>
      <c r="AT158" s="107">
        <f>-ROUND(AC158/1000,1)</f>
        <v>-75.099999999999994</v>
      </c>
      <c r="AU158" s="108">
        <f t="shared" si="147"/>
        <v>-10873.9</v>
      </c>
    </row>
    <row r="159" spans="1:49" hidden="1" x14ac:dyDescent="0.25">
      <c r="A159" s="6">
        <v>5</v>
      </c>
      <c r="B159" s="92" t="s">
        <v>19</v>
      </c>
      <c r="C159" s="11">
        <v>704</v>
      </c>
      <c r="D159" s="11">
        <v>2019</v>
      </c>
      <c r="E159" s="11" t="s">
        <v>182</v>
      </c>
      <c r="F159" s="97"/>
      <c r="G159" s="97"/>
      <c r="H159" s="97"/>
      <c r="I159" s="97" t="e">
        <f>SUMIFS(#REF!,#REF!,выравнивание!$A159,#REF!,4)</f>
        <v>#REF!</v>
      </c>
      <c r="J159" s="97" t="e">
        <f>SUMIFS(#REF!,#REF!,выравнивание!$A159,#REF!,4)</f>
        <v>#REF!</v>
      </c>
      <c r="K159" s="97" t="e">
        <f>SUMIFS(#REF!,#REF!,выравнивание!$A159,#REF!,4)</f>
        <v>#REF!</v>
      </c>
      <c r="L159" s="97" t="e">
        <f>SUMIFS(#REF!,#REF!,выравнивание!$A159,#REF!,4)</f>
        <v>#REF!</v>
      </c>
      <c r="M159" s="97" t="e">
        <f>SUMIFS(#REF!,#REF!,выравнивание!$A159,#REF!,4)</f>
        <v>#REF!</v>
      </c>
      <c r="N159" s="97" t="e">
        <f>SUMIFS(#REF!,#REF!,выравнивание!$A159,#REF!,4)</f>
        <v>#REF!</v>
      </c>
      <c r="O159" s="97" t="e">
        <f>SUMIFS(#REF!,#REF!,выравнивание!$A159,#REF!,4)</f>
        <v>#REF!</v>
      </c>
      <c r="P159" s="97" t="e">
        <f>SUMIFS(#REF!,#REF!,выравнивание!$A159,#REF!,4)</f>
        <v>#REF!</v>
      </c>
      <c r="Q159" s="97" t="e">
        <f>SUMIFS(#REF!,#REF!,выравнивание!$A159,#REF!,4)</f>
        <v>#REF!</v>
      </c>
      <c r="R159" s="97" t="e">
        <f>SUMIFS(#REF!,#REF!,выравнивание!$A159,#REF!,4)</f>
        <v>#REF!</v>
      </c>
      <c r="S159" s="97" t="e">
        <f>SUMIFS(#REF!,#REF!,выравнивание!$A159,#REF!,4)</f>
        <v>#REF!</v>
      </c>
      <c r="T159" s="97" t="e">
        <f>SUMIFS(#REF!,#REF!,выравнивание!$A159,#REF!,4)</f>
        <v>#REF!</v>
      </c>
      <c r="U159" s="97" t="e">
        <f>SUMIFS(#REF!,#REF!,выравнивание!$A159,#REF!,4)</f>
        <v>#REF!</v>
      </c>
      <c r="V159" s="97" t="e">
        <f>SUMIFS(#REF!,#REF!,выравнивание!$A159,#REF!,4)</f>
        <v>#REF!</v>
      </c>
      <c r="W159" s="97" t="e">
        <f>SUMIFS(#REF!,#REF!,выравнивание!$A159,#REF!,4)</f>
        <v>#REF!</v>
      </c>
      <c r="X159" s="97" t="e">
        <f>SUMIFS(#REF!,#REF!,выравнивание!$A159,#REF!,4)</f>
        <v>#REF!</v>
      </c>
      <c r="Y159" s="97" t="e">
        <f>SUMIFS(#REF!,#REF!,выравнивание!$A159,#REF!,4)</f>
        <v>#REF!</v>
      </c>
      <c r="Z159" s="97" t="e">
        <f>SUMIFS(#REF!,#REF!,выравнивание!$A159,#REF!,4)</f>
        <v>#REF!</v>
      </c>
      <c r="AA159" s="97" t="e">
        <f>SUMIFS(#REF!,#REF!,выравнивание!$A159,#REF!,4)</f>
        <v>#REF!</v>
      </c>
      <c r="AB159" s="97" t="e">
        <f>SUMIFS(#REF!,#REF!,выравнивание!$A159,#REF!,4)</f>
        <v>#REF!</v>
      </c>
      <c r="AC159" s="100" t="e">
        <f>SUMIFS(#REF!,#REF!,выравнивание!$A159,#REF!,4)</f>
        <v>#REF!</v>
      </c>
      <c r="AD159" s="100" t="e">
        <f>SUMIFS(#REF!,#REF!,выравнивание!$A159,#REF!,4)</f>
        <v>#REF!</v>
      </c>
      <c r="AE159" s="103" t="e">
        <f>SUMIF(#REF!,выравнивание!$A159,#REF!)*1000-SUMIF(#REF!,выравнивание!$A159,#REF!)*1000</f>
        <v>#REF!</v>
      </c>
      <c r="AF159" s="105" t="e">
        <f>AD159-AE159</f>
        <v>#REF!</v>
      </c>
      <c r="AU159" s="108"/>
    </row>
    <row r="160" spans="1:49" hidden="1" x14ac:dyDescent="0.25">
      <c r="A160" s="6">
        <v>5</v>
      </c>
      <c r="B160" s="92" t="s">
        <v>19</v>
      </c>
      <c r="C160" s="11">
        <v>704</v>
      </c>
      <c r="D160" s="11">
        <v>2019</v>
      </c>
      <c r="E160" s="11" t="s">
        <v>184</v>
      </c>
      <c r="F160" s="104"/>
      <c r="G160" s="104"/>
      <c r="H160" s="104"/>
      <c r="I160" s="104" t="e">
        <f t="shared" ref="I160:O160" si="180">I159/$AD159</f>
        <v>#REF!</v>
      </c>
      <c r="J160" s="104" t="e">
        <f t="shared" si="180"/>
        <v>#REF!</v>
      </c>
      <c r="K160" s="104" t="e">
        <f t="shared" si="180"/>
        <v>#REF!</v>
      </c>
      <c r="L160" s="104" t="e">
        <f t="shared" si="180"/>
        <v>#REF!</v>
      </c>
      <c r="M160" s="104" t="e">
        <f t="shared" si="180"/>
        <v>#REF!</v>
      </c>
      <c r="N160" s="104" t="e">
        <f t="shared" si="180"/>
        <v>#REF!</v>
      </c>
      <c r="O160" s="104" t="e">
        <f t="shared" si="180"/>
        <v>#REF!</v>
      </c>
      <c r="P160" s="97"/>
      <c r="Q160" s="97"/>
      <c r="R160" s="97"/>
      <c r="S160" s="97"/>
      <c r="T160" s="104" t="e">
        <f t="shared" ref="T160:AB160" si="181">T159/$AD159</f>
        <v>#REF!</v>
      </c>
      <c r="U160" s="104" t="e">
        <f t="shared" si="181"/>
        <v>#REF!</v>
      </c>
      <c r="V160" s="104" t="e">
        <f t="shared" si="181"/>
        <v>#REF!</v>
      </c>
      <c r="W160" s="104" t="e">
        <f t="shared" si="181"/>
        <v>#REF!</v>
      </c>
      <c r="X160" s="104" t="e">
        <f t="shared" si="181"/>
        <v>#REF!</v>
      </c>
      <c r="Y160" s="104" t="e">
        <f t="shared" si="181"/>
        <v>#REF!</v>
      </c>
      <c r="Z160" s="104" t="e">
        <f t="shared" si="181"/>
        <v>#REF!</v>
      </c>
      <c r="AA160" s="104" t="e">
        <f t="shared" si="181"/>
        <v>#REF!</v>
      </c>
      <c r="AB160" s="104" t="e">
        <f t="shared" si="181"/>
        <v>#REF!</v>
      </c>
      <c r="AC160" s="106" t="e">
        <f>1-Z160-Y160-X160-W160-V160-U160-T160-O160-N160-L160-I160</f>
        <v>#REF!</v>
      </c>
      <c r="AD160" s="106" t="e">
        <f>AD159/$AD159</f>
        <v>#REF!</v>
      </c>
      <c r="AE160" s="81"/>
      <c r="AU160" s="108"/>
    </row>
    <row r="161" spans="1:47" x14ac:dyDescent="0.25">
      <c r="A161" s="6">
        <v>5</v>
      </c>
      <c r="B161" s="92" t="s">
        <v>19</v>
      </c>
      <c r="C161" s="11">
        <v>704</v>
      </c>
      <c r="D161" s="11">
        <v>2019</v>
      </c>
      <c r="E161" s="11" t="s">
        <v>185</v>
      </c>
      <c r="F161" s="37" t="e">
        <f>G161+H161</f>
        <v>#REF!</v>
      </c>
      <c r="G161" s="37" t="e">
        <f>J161+AA161</f>
        <v>#REF!</v>
      </c>
      <c r="H161" s="37" t="e">
        <f>K161+AB161</f>
        <v>#REF!</v>
      </c>
      <c r="I161" s="37" t="e">
        <f>ROUND($AF159*I160,0)</f>
        <v>#REF!</v>
      </c>
      <c r="J161" s="37" t="e">
        <f>ROUND(I161/1.302,0)</f>
        <v>#REF!</v>
      </c>
      <c r="K161" s="37" t="e">
        <f>I161-J161</f>
        <v>#REF!</v>
      </c>
      <c r="L161" s="37" t="e">
        <f>ROUND($AF159*L160,0)</f>
        <v>#REF!</v>
      </c>
      <c r="M161" s="37" t="e">
        <f>ROUND($AF159*M160,0)</f>
        <v>#REF!</v>
      </c>
      <c r="N161" s="37" t="e">
        <f>ROUND($AF159*N160,0)</f>
        <v>#REF!</v>
      </c>
      <c r="O161" s="37" t="e">
        <f>ROUND($AF159*O160,0)</f>
        <v>#REF!</v>
      </c>
      <c r="P161" s="97"/>
      <c r="Q161" s="97"/>
      <c r="R161" s="97"/>
      <c r="S161" s="97"/>
      <c r="T161" s="37" t="e">
        <f t="shared" ref="T161:Z161" si="182">ROUND($AF159*T160,0)</f>
        <v>#REF!</v>
      </c>
      <c r="U161" s="37" t="e">
        <f t="shared" si="182"/>
        <v>#REF!</v>
      </c>
      <c r="V161" s="37" t="e">
        <f t="shared" si="182"/>
        <v>#REF!</v>
      </c>
      <c r="W161" s="37" t="e">
        <f t="shared" si="182"/>
        <v>#REF!</v>
      </c>
      <c r="X161" s="37" t="e">
        <f t="shared" si="182"/>
        <v>#REF!</v>
      </c>
      <c r="Y161" s="37" t="e">
        <f t="shared" si="182"/>
        <v>#REF!</v>
      </c>
      <c r="Z161" s="37" t="e">
        <f t="shared" si="182"/>
        <v>#REF!</v>
      </c>
      <c r="AA161" s="37" t="e">
        <f>ROUND(Z161/1.302,0)</f>
        <v>#REF!</v>
      </c>
      <c r="AB161" s="37" t="e">
        <f>Z161-AA161</f>
        <v>#REF!</v>
      </c>
      <c r="AC161" s="37" t="e">
        <f>ROUND($AF159*AC160,0)</f>
        <v>#REF!</v>
      </c>
      <c r="AD161" s="37" t="e">
        <f>I161+L161+N161+O161+T161+U161+V161+W161+X161+Y161+AC161+Z161</f>
        <v>#REF!</v>
      </c>
      <c r="AE161" s="78" t="e">
        <f>AF159</f>
        <v>#REF!</v>
      </c>
      <c r="AF161" s="78" t="e">
        <f>AE161-AF159</f>
        <v>#REF!</v>
      </c>
      <c r="AG161" s="107" t="e">
        <f>-ROUND(F161/1000,1)</f>
        <v>#REF!</v>
      </c>
      <c r="AH161" s="107" t="e">
        <f>ROUND(AG161/1.302,1)</f>
        <v>#REF!</v>
      </c>
      <c r="AI161" s="107" t="e">
        <f>AG161-AH161</f>
        <v>#REF!</v>
      </c>
      <c r="AJ161" s="107" t="e">
        <f>-ROUND(L161/1000,1)</f>
        <v>#REF!</v>
      </c>
      <c r="AK161" s="107" t="e">
        <f>-ROUND(M161/1000,1)</f>
        <v>#REF!</v>
      </c>
      <c r="AL161" s="107" t="e">
        <f>-ROUND(N161/1000,1)</f>
        <v>#REF!</v>
      </c>
      <c r="AM161" s="107" t="e">
        <f>-ROUND(O161/1000,1)</f>
        <v>#REF!</v>
      </c>
      <c r="AN161" s="107" t="e">
        <f t="shared" ref="AN161:AS161" si="183">-ROUND(T161/1000,1)</f>
        <v>#REF!</v>
      </c>
      <c r="AO161" s="107" t="e">
        <f t="shared" si="183"/>
        <v>#REF!</v>
      </c>
      <c r="AP161" s="107" t="e">
        <f t="shared" si="183"/>
        <v>#REF!</v>
      </c>
      <c r="AQ161" s="107" t="e">
        <f t="shared" si="183"/>
        <v>#REF!</v>
      </c>
      <c r="AR161" s="107" t="e">
        <f t="shared" si="183"/>
        <v>#REF!</v>
      </c>
      <c r="AS161" s="107" t="e">
        <f t="shared" si="183"/>
        <v>#REF!</v>
      </c>
      <c r="AT161" s="107" t="e">
        <f>-ROUND(AC161/1000,1)</f>
        <v>#REF!</v>
      </c>
      <c r="AU161" s="108" t="e">
        <f t="shared" si="147"/>
        <v>#REF!</v>
      </c>
    </row>
    <row r="162" spans="1:47" hidden="1" x14ac:dyDescent="0.25">
      <c r="A162" s="6">
        <v>5</v>
      </c>
      <c r="B162" s="92" t="s">
        <v>19</v>
      </c>
      <c r="C162" s="11">
        <v>704</v>
      </c>
      <c r="D162" s="11">
        <v>2020</v>
      </c>
      <c r="E162" s="11" t="s">
        <v>182</v>
      </c>
      <c r="F162" s="97"/>
      <c r="G162" s="97"/>
      <c r="H162" s="97"/>
      <c r="I162" s="97" t="e">
        <f>SUMIFS(#REF!,#REF!,выравнивание!$A162,#REF!,4)</f>
        <v>#REF!</v>
      </c>
      <c r="J162" s="97" t="e">
        <f>SUMIFS(#REF!,#REF!,выравнивание!$A162,#REF!,4)</f>
        <v>#REF!</v>
      </c>
      <c r="K162" s="97" t="e">
        <f>SUMIFS(#REF!,#REF!,выравнивание!$A162,#REF!,4)</f>
        <v>#REF!</v>
      </c>
      <c r="L162" s="97" t="e">
        <f>SUMIFS(#REF!,#REF!,выравнивание!$A162,#REF!,4)</f>
        <v>#REF!</v>
      </c>
      <c r="M162" s="97" t="e">
        <f>SUMIFS(#REF!,#REF!,выравнивание!$A162,#REF!,4)</f>
        <v>#REF!</v>
      </c>
      <c r="N162" s="97" t="e">
        <f>SUMIFS(#REF!,#REF!,выравнивание!$A162,#REF!,4)</f>
        <v>#REF!</v>
      </c>
      <c r="O162" s="97" t="e">
        <f>SUMIFS(#REF!,#REF!,выравнивание!$A162,#REF!,4)</f>
        <v>#REF!</v>
      </c>
      <c r="P162" s="97" t="e">
        <f>SUMIFS(#REF!,#REF!,выравнивание!$A162,#REF!,4)</f>
        <v>#REF!</v>
      </c>
      <c r="Q162" s="97" t="e">
        <f>SUMIFS(#REF!,#REF!,выравнивание!$A162,#REF!,4)</f>
        <v>#REF!</v>
      </c>
      <c r="R162" s="97" t="e">
        <f>SUMIFS(#REF!,#REF!,выравнивание!$A162,#REF!,4)</f>
        <v>#REF!</v>
      </c>
      <c r="S162" s="97" t="e">
        <f>SUMIFS(#REF!,#REF!,выравнивание!$A162,#REF!,4)</f>
        <v>#REF!</v>
      </c>
      <c r="T162" s="97" t="e">
        <f>SUMIFS(#REF!,#REF!,выравнивание!$A162,#REF!,4)</f>
        <v>#REF!</v>
      </c>
      <c r="U162" s="97" t="e">
        <f>SUMIFS(#REF!,#REF!,выравнивание!$A162,#REF!,4)</f>
        <v>#REF!</v>
      </c>
      <c r="V162" s="97" t="e">
        <f>SUMIFS(#REF!,#REF!,выравнивание!$A162,#REF!,4)</f>
        <v>#REF!</v>
      </c>
      <c r="W162" s="97" t="e">
        <f>SUMIFS(#REF!,#REF!,выравнивание!$A162,#REF!,4)</f>
        <v>#REF!</v>
      </c>
      <c r="X162" s="97" t="e">
        <f>SUMIFS(#REF!,#REF!,выравнивание!$A162,#REF!,4)</f>
        <v>#REF!</v>
      </c>
      <c r="Y162" s="97" t="e">
        <f>SUMIFS(#REF!,#REF!,выравнивание!$A162,#REF!,4)</f>
        <v>#REF!</v>
      </c>
      <c r="Z162" s="97" t="e">
        <f>SUMIFS(#REF!,#REF!,выравнивание!$A162,#REF!,4)</f>
        <v>#REF!</v>
      </c>
      <c r="AA162" s="97" t="e">
        <f>SUMIFS(#REF!,#REF!,выравнивание!$A162,#REF!,4)</f>
        <v>#REF!</v>
      </c>
      <c r="AB162" s="97" t="e">
        <f>SUMIFS(#REF!,#REF!,выравнивание!$A162,#REF!,4)</f>
        <v>#REF!</v>
      </c>
      <c r="AC162" s="100" t="e">
        <f>SUMIFS(#REF!,#REF!,выравнивание!$A162,#REF!,4)</f>
        <v>#REF!</v>
      </c>
      <c r="AD162" s="100" t="e">
        <f>SUMIFS(#REF!,#REF!,выравнивание!$A162,#REF!,4)</f>
        <v>#REF!</v>
      </c>
      <c r="AE162" s="103" t="e">
        <f>SUMIF(#REF!,выравнивание!$A162,#REF!)*1000-SUMIF(#REF!,выравнивание!$A162,#REF!)*1000</f>
        <v>#REF!</v>
      </c>
      <c r="AF162" s="84" t="e">
        <f>AD162-AE162</f>
        <v>#REF!</v>
      </c>
      <c r="AU162" s="108">
        <f t="shared" si="147"/>
        <v>0</v>
      </c>
    </row>
    <row r="163" spans="1:47" hidden="1" x14ac:dyDescent="0.25">
      <c r="A163" s="6">
        <v>5</v>
      </c>
      <c r="B163" s="92" t="s">
        <v>19</v>
      </c>
      <c r="C163" s="11">
        <v>704</v>
      </c>
      <c r="D163" s="11">
        <v>2020</v>
      </c>
      <c r="E163" s="11" t="s">
        <v>184</v>
      </c>
      <c r="F163" s="104"/>
      <c r="G163" s="104"/>
      <c r="H163" s="104"/>
      <c r="I163" s="104" t="e">
        <f t="shared" ref="I163:O163" si="184">I162/$AD162</f>
        <v>#REF!</v>
      </c>
      <c r="J163" s="104" t="e">
        <f t="shared" si="184"/>
        <v>#REF!</v>
      </c>
      <c r="K163" s="104" t="e">
        <f t="shared" si="184"/>
        <v>#REF!</v>
      </c>
      <c r="L163" s="104" t="e">
        <f t="shared" si="184"/>
        <v>#REF!</v>
      </c>
      <c r="M163" s="104" t="e">
        <f t="shared" si="184"/>
        <v>#REF!</v>
      </c>
      <c r="N163" s="104" t="e">
        <f t="shared" si="184"/>
        <v>#REF!</v>
      </c>
      <c r="O163" s="104" t="e">
        <f t="shared" si="184"/>
        <v>#REF!</v>
      </c>
      <c r="P163" s="100"/>
      <c r="Q163" s="100"/>
      <c r="R163" s="100"/>
      <c r="S163" s="100"/>
      <c r="T163" s="104" t="e">
        <f t="shared" ref="T163:AB163" si="185">T162/$AD162</f>
        <v>#REF!</v>
      </c>
      <c r="U163" s="104" t="e">
        <f t="shared" si="185"/>
        <v>#REF!</v>
      </c>
      <c r="V163" s="104" t="e">
        <f t="shared" si="185"/>
        <v>#REF!</v>
      </c>
      <c r="W163" s="104" t="e">
        <f t="shared" si="185"/>
        <v>#REF!</v>
      </c>
      <c r="X163" s="104" t="e">
        <f t="shared" si="185"/>
        <v>#REF!</v>
      </c>
      <c r="Y163" s="104" t="e">
        <f t="shared" si="185"/>
        <v>#REF!</v>
      </c>
      <c r="Z163" s="104" t="e">
        <f t="shared" si="185"/>
        <v>#REF!</v>
      </c>
      <c r="AA163" s="104" t="e">
        <f t="shared" si="185"/>
        <v>#REF!</v>
      </c>
      <c r="AB163" s="104" t="e">
        <f t="shared" si="185"/>
        <v>#REF!</v>
      </c>
      <c r="AC163" s="106" t="e">
        <f>1-Z163-Y163-X163-W163-V163-U163-T163-O163-N163-L163-I163</f>
        <v>#REF!</v>
      </c>
      <c r="AD163" s="106" t="e">
        <f>AD162/$AD162</f>
        <v>#REF!</v>
      </c>
      <c r="AE163" s="81"/>
      <c r="AU163" s="108">
        <f t="shared" si="147"/>
        <v>0</v>
      </c>
    </row>
    <row r="164" spans="1:47" x14ac:dyDescent="0.25">
      <c r="A164" s="6">
        <v>5</v>
      </c>
      <c r="B164" s="92" t="s">
        <v>19</v>
      </c>
      <c r="C164" s="11">
        <v>704</v>
      </c>
      <c r="D164" s="11">
        <v>2020</v>
      </c>
      <c r="E164" s="11" t="s">
        <v>185</v>
      </c>
      <c r="F164" s="37" t="e">
        <f>G164+H164</f>
        <v>#REF!</v>
      </c>
      <c r="G164" s="37" t="e">
        <f>J164+AA164</f>
        <v>#REF!</v>
      </c>
      <c r="H164" s="37" t="e">
        <f>K164+AB164</f>
        <v>#REF!</v>
      </c>
      <c r="I164" s="37" t="e">
        <f>ROUND($AF162*I163,0)</f>
        <v>#REF!</v>
      </c>
      <c r="J164" s="37" t="e">
        <f>ROUND(I164/1.302,0)</f>
        <v>#REF!</v>
      </c>
      <c r="K164" s="37" t="e">
        <f>I164-J164</f>
        <v>#REF!</v>
      </c>
      <c r="L164" s="37" t="e">
        <f>ROUND($AF162*L163,0)</f>
        <v>#REF!</v>
      </c>
      <c r="M164" s="37" t="e">
        <f>ROUND($AF162*M163,0)</f>
        <v>#REF!</v>
      </c>
      <c r="N164" s="37" t="e">
        <f>ROUND($AF162*N163,0)</f>
        <v>#REF!</v>
      </c>
      <c r="O164" s="37" t="e">
        <f>ROUND($AF162*O163,0)</f>
        <v>#REF!</v>
      </c>
      <c r="P164" s="100"/>
      <c r="Q164" s="100"/>
      <c r="R164" s="100"/>
      <c r="S164" s="100"/>
      <c r="T164" s="37" t="e">
        <f t="shared" ref="T164:Z164" si="186">ROUND($AF162*T163,0)</f>
        <v>#REF!</v>
      </c>
      <c r="U164" s="37" t="e">
        <f t="shared" si="186"/>
        <v>#REF!</v>
      </c>
      <c r="V164" s="37" t="e">
        <f t="shared" si="186"/>
        <v>#REF!</v>
      </c>
      <c r="W164" s="37" t="e">
        <f t="shared" si="186"/>
        <v>#REF!</v>
      </c>
      <c r="X164" s="37" t="e">
        <f t="shared" si="186"/>
        <v>#REF!</v>
      </c>
      <c r="Y164" s="37" t="e">
        <f t="shared" si="186"/>
        <v>#REF!</v>
      </c>
      <c r="Z164" s="37" t="e">
        <f t="shared" si="186"/>
        <v>#REF!</v>
      </c>
      <c r="AA164" s="37" t="e">
        <f>ROUND(Z164/1.302,0)</f>
        <v>#REF!</v>
      </c>
      <c r="AB164" s="37" t="e">
        <f>Z164-AA164</f>
        <v>#REF!</v>
      </c>
      <c r="AC164" s="37" t="e">
        <f>ROUND($AF162*AC163,0)</f>
        <v>#REF!</v>
      </c>
      <c r="AD164" s="37" t="e">
        <f>I164+L164+N164+O164+T164+U164+V164+W164+X164+Y164+AC164+Z164</f>
        <v>#REF!</v>
      </c>
      <c r="AE164" s="78" t="e">
        <f>AF162</f>
        <v>#REF!</v>
      </c>
      <c r="AF164" s="78" t="e">
        <f>AE164-AF162</f>
        <v>#REF!</v>
      </c>
      <c r="AG164" s="107" t="e">
        <f>-ROUND(F164/1000,1)</f>
        <v>#REF!</v>
      </c>
      <c r="AH164" s="107" t="e">
        <f>ROUND(AG164/1.302,1)</f>
        <v>#REF!</v>
      </c>
      <c r="AI164" s="107" t="e">
        <f>AG164-AH164</f>
        <v>#REF!</v>
      </c>
      <c r="AJ164" s="107" t="e">
        <f>-ROUND(L164/1000,1)</f>
        <v>#REF!</v>
      </c>
      <c r="AK164" s="107" t="e">
        <f>-ROUND(M164/1000,1)</f>
        <v>#REF!</v>
      </c>
      <c r="AL164" s="107" t="e">
        <f>-ROUND(N164/1000,1)</f>
        <v>#REF!</v>
      </c>
      <c r="AM164" s="107" t="e">
        <f>-ROUND(O164/1000,1)</f>
        <v>#REF!</v>
      </c>
      <c r="AN164" s="107" t="e">
        <f t="shared" ref="AN164:AS164" si="187">-ROUND(T164/1000,1)</f>
        <v>#REF!</v>
      </c>
      <c r="AO164" s="107" t="e">
        <f t="shared" si="187"/>
        <v>#REF!</v>
      </c>
      <c r="AP164" s="107" t="e">
        <f t="shared" si="187"/>
        <v>#REF!</v>
      </c>
      <c r="AQ164" s="107" t="e">
        <f t="shared" si="187"/>
        <v>#REF!</v>
      </c>
      <c r="AR164" s="107" t="e">
        <f t="shared" si="187"/>
        <v>#REF!</v>
      </c>
      <c r="AS164" s="107" t="e">
        <f t="shared" si="187"/>
        <v>#REF!</v>
      </c>
      <c r="AT164" s="107" t="e">
        <f>-ROUND(AC164/1000,1)</f>
        <v>#REF!</v>
      </c>
      <c r="AU164" s="108" t="e">
        <f t="shared" si="147"/>
        <v>#REF!</v>
      </c>
    </row>
    <row r="165" spans="1:47" hidden="1" x14ac:dyDescent="0.25">
      <c r="A165" s="6">
        <v>8</v>
      </c>
      <c r="B165" s="92" t="s">
        <v>22</v>
      </c>
      <c r="C165" s="11">
        <v>704</v>
      </c>
      <c r="D165" s="11">
        <v>2018</v>
      </c>
      <c r="E165" s="11" t="s">
        <v>182</v>
      </c>
      <c r="F165" s="100"/>
      <c r="G165" s="100"/>
      <c r="H165" s="100"/>
      <c r="I165" s="100">
        <f>SUMIFS('2020'!BM:BM,'2020'!$B:$B,выравнивание!$A165,'2020'!$G:$G,4)</f>
        <v>0</v>
      </c>
      <c r="J165" s="100">
        <f>SUMIFS('2020'!BN:BN,'2020'!$B:$B,выравнивание!$A165,'2020'!$G:$G,4)</f>
        <v>0</v>
      </c>
      <c r="K165" s="100">
        <f>SUMIFS('2020'!BO:BO,'2020'!$B:$B,выравнивание!$A165,'2020'!$G:$G,4)</f>
        <v>0</v>
      </c>
      <c r="L165" s="100">
        <f>SUMIFS('2020'!BP:BP,'2020'!$B:$B,выравнивание!$A165,'2020'!$G:$G,4)</f>
        <v>0</v>
      </c>
      <c r="M165" s="100">
        <f>SUMIFS('2020'!BQ:BQ,'2020'!$B:$B,выравнивание!$A165,'2020'!$G:$G,4)</f>
        <v>0</v>
      </c>
      <c r="N165" s="100">
        <f>SUMIFS('2020'!BR:BR,'2020'!$B:$B,выравнивание!$A165,'2020'!$G:$G,4)</f>
        <v>0</v>
      </c>
      <c r="O165" s="100">
        <f>SUMIFS('2020'!BS:BS,'2020'!$B:$B,выравнивание!$A165,'2020'!$G:$G,4)</f>
        <v>0</v>
      </c>
      <c r="P165" s="100">
        <f>SUMIFS('2020'!BT:BT,'2020'!$B:$B,выравнивание!$A165,'2020'!$G:$G,4)</f>
        <v>0</v>
      </c>
      <c r="Q165" s="100">
        <f>SUMIFS('2020'!BU:BU,'2020'!$B:$B,выравнивание!$A165,'2020'!$G:$G,4)</f>
        <v>0</v>
      </c>
      <c r="R165" s="100">
        <f>SUMIFS('2020'!BV:BV,'2020'!$B:$B,выравнивание!$A165,'2020'!$G:$G,4)</f>
        <v>0</v>
      </c>
      <c r="S165" s="100">
        <f>SUMIFS('2020'!BW:BW,'2020'!$B:$B,выравнивание!$A165,'2020'!$G:$G,4)</f>
        <v>0</v>
      </c>
      <c r="T165" s="100">
        <f>SUMIFS('2020'!BX:BX,'2020'!$B:$B,выравнивание!$A165,'2020'!$G:$G,4)</f>
        <v>0</v>
      </c>
      <c r="U165" s="100">
        <f>SUMIFS('2020'!BY:BY,'2020'!$B:$B,выравнивание!$A165,'2020'!$G:$G,4)</f>
        <v>0</v>
      </c>
      <c r="V165" s="100">
        <f>SUMIFS('2020'!BZ:BZ,'2020'!$B:$B,выравнивание!$A165,'2020'!$G:$G,4)</f>
        <v>0</v>
      </c>
      <c r="W165" s="100">
        <f>SUMIFS('2020'!CA:CA,'2020'!$B:$B,выравнивание!$A165,'2020'!$G:$G,4)</f>
        <v>0</v>
      </c>
      <c r="X165" s="100">
        <f>SUMIFS('2020'!CB:CB,'2020'!$B:$B,выравнивание!$A165,'2020'!$G:$G,4)</f>
        <v>0</v>
      </c>
      <c r="Y165" s="100">
        <f>SUMIFS('2020'!CC:CC,'2020'!$B:$B,выравнивание!$A165,'2020'!$G:$G,4)</f>
        <v>0</v>
      </c>
      <c r="Z165" s="100">
        <f>SUMIFS('2020'!CD:CD,'2020'!$B:$B,выравнивание!$A165,'2020'!$G:$G,4)</f>
        <v>0</v>
      </c>
      <c r="AA165" s="100">
        <f>SUMIFS('2020'!CE:CE,'2020'!$B:$B,выравнивание!$A165,'2020'!$G:$G,4)</f>
        <v>0</v>
      </c>
      <c r="AB165" s="100">
        <f>SUMIFS('2020'!CF:CF,'2020'!$B:$B,выравнивание!$A165,'2020'!$G:$G,4)</f>
        <v>0</v>
      </c>
      <c r="AC165" s="100">
        <f>SUMIFS('2020'!CG:CG,'2020'!$B:$B,выравнивание!$A165,'2020'!$G:$G,4)</f>
        <v>0</v>
      </c>
      <c r="AD165" s="100">
        <f>SUMIFS('2020'!CH:CH,'2020'!$B:$B,выравнивание!$A165,'2020'!$G:$G,4)</f>
        <v>0</v>
      </c>
      <c r="AE165" s="84">
        <f>SUMIF('Свод 2020'!$A$44:$A$57,выравнивание!$A165,'Свод 2020'!$AA$44:$AA$57)*1000-SUMIF('Свод 2020'!$A$44:$A$57,выравнивание!$A165,'Свод 2020'!$S$44:$S$57)*1000</f>
        <v>0</v>
      </c>
      <c r="AF165" s="105">
        <f>AD165-AE165</f>
        <v>0</v>
      </c>
      <c r="AU165" s="108">
        <f t="shared" si="147"/>
        <v>0</v>
      </c>
    </row>
    <row r="166" spans="1:47" hidden="1" x14ac:dyDescent="0.25">
      <c r="A166" s="6">
        <v>8</v>
      </c>
      <c r="B166" s="92" t="s">
        <v>22</v>
      </c>
      <c r="C166" s="11">
        <v>704</v>
      </c>
      <c r="D166" s="11">
        <v>2018</v>
      </c>
      <c r="E166" s="11" t="s">
        <v>184</v>
      </c>
      <c r="F166" s="104"/>
      <c r="G166" s="104"/>
      <c r="H166" s="104"/>
      <c r="I166" s="104" t="e">
        <f t="shared" ref="I166:O166" si="188">I165/$AD165</f>
        <v>#DIV/0!</v>
      </c>
      <c r="J166" s="104" t="e">
        <f t="shared" si="188"/>
        <v>#DIV/0!</v>
      </c>
      <c r="K166" s="104" t="e">
        <f t="shared" si="188"/>
        <v>#DIV/0!</v>
      </c>
      <c r="L166" s="104" t="e">
        <f t="shared" si="188"/>
        <v>#DIV/0!</v>
      </c>
      <c r="M166" s="104" t="e">
        <f t="shared" si="188"/>
        <v>#DIV/0!</v>
      </c>
      <c r="N166" s="104" t="e">
        <f t="shared" si="188"/>
        <v>#DIV/0!</v>
      </c>
      <c r="O166" s="104" t="e">
        <f t="shared" si="188"/>
        <v>#DIV/0!</v>
      </c>
      <c r="P166" s="100"/>
      <c r="Q166" s="100"/>
      <c r="R166" s="100"/>
      <c r="S166" s="100"/>
      <c r="T166" s="104" t="e">
        <f t="shared" ref="T166:AB166" si="189">T165/$AD165</f>
        <v>#DIV/0!</v>
      </c>
      <c r="U166" s="104" t="e">
        <f t="shared" si="189"/>
        <v>#DIV/0!</v>
      </c>
      <c r="V166" s="104" t="e">
        <f t="shared" si="189"/>
        <v>#DIV/0!</v>
      </c>
      <c r="W166" s="104" t="e">
        <f t="shared" si="189"/>
        <v>#DIV/0!</v>
      </c>
      <c r="X166" s="104" t="e">
        <f t="shared" si="189"/>
        <v>#DIV/0!</v>
      </c>
      <c r="Y166" s="104" t="e">
        <f t="shared" si="189"/>
        <v>#DIV/0!</v>
      </c>
      <c r="Z166" s="104" t="e">
        <f t="shared" si="189"/>
        <v>#DIV/0!</v>
      </c>
      <c r="AA166" s="104" t="e">
        <f t="shared" si="189"/>
        <v>#DIV/0!</v>
      </c>
      <c r="AB166" s="104" t="e">
        <f t="shared" si="189"/>
        <v>#DIV/0!</v>
      </c>
      <c r="AC166" s="106" t="e">
        <f>1-Z166-Y166-X166-W166-V166-U166-T166-O166-N166-L166-I166</f>
        <v>#DIV/0!</v>
      </c>
      <c r="AD166" s="106" t="e">
        <f>AD165/$AD165</f>
        <v>#DIV/0!</v>
      </c>
      <c r="AE166" s="81"/>
      <c r="AU166" s="108">
        <f t="shared" si="147"/>
        <v>0</v>
      </c>
    </row>
    <row r="167" spans="1:47" x14ac:dyDescent="0.25">
      <c r="A167" s="6">
        <v>8</v>
      </c>
      <c r="B167" s="92" t="s">
        <v>22</v>
      </c>
      <c r="C167" s="11">
        <v>704</v>
      </c>
      <c r="D167" s="11">
        <v>2018</v>
      </c>
      <c r="E167" s="11" t="s">
        <v>185</v>
      </c>
      <c r="F167" s="37" t="e">
        <f>G167+H167</f>
        <v>#DIV/0!</v>
      </c>
      <c r="G167" s="37" t="e">
        <f>J167+AA167</f>
        <v>#DIV/0!</v>
      </c>
      <c r="H167" s="37" t="e">
        <f>K167+AB167</f>
        <v>#DIV/0!</v>
      </c>
      <c r="I167" s="37" t="e">
        <f>ROUND($AF165*I166,0)</f>
        <v>#DIV/0!</v>
      </c>
      <c r="J167" s="37" t="e">
        <f>ROUND(I167/1.302,0)</f>
        <v>#DIV/0!</v>
      </c>
      <c r="K167" s="37" t="e">
        <f>I167-J167</f>
        <v>#DIV/0!</v>
      </c>
      <c r="L167" s="37" t="e">
        <f>ROUND($AF165*L166,0)</f>
        <v>#DIV/0!</v>
      </c>
      <c r="M167" s="37" t="e">
        <f>ROUND($AF165*M166,0)</f>
        <v>#DIV/0!</v>
      </c>
      <c r="N167" s="37" t="e">
        <f>ROUND($AF165*N166,0)</f>
        <v>#DIV/0!</v>
      </c>
      <c r="O167" s="37" t="e">
        <f>ROUND($AF165*O166,0)</f>
        <v>#DIV/0!</v>
      </c>
      <c r="P167" s="100"/>
      <c r="Q167" s="100"/>
      <c r="R167" s="100"/>
      <c r="S167" s="100"/>
      <c r="T167" s="37" t="e">
        <f t="shared" ref="T167:Z167" si="190">ROUND($AF165*T166,0)</f>
        <v>#DIV/0!</v>
      </c>
      <c r="U167" s="37" t="e">
        <f t="shared" si="190"/>
        <v>#DIV/0!</v>
      </c>
      <c r="V167" s="37" t="e">
        <f t="shared" si="190"/>
        <v>#DIV/0!</v>
      </c>
      <c r="W167" s="37" t="e">
        <f t="shared" si="190"/>
        <v>#DIV/0!</v>
      </c>
      <c r="X167" s="37" t="e">
        <f t="shared" si="190"/>
        <v>#DIV/0!</v>
      </c>
      <c r="Y167" s="37" t="e">
        <f t="shared" si="190"/>
        <v>#DIV/0!</v>
      </c>
      <c r="Z167" s="37" t="e">
        <f t="shared" si="190"/>
        <v>#DIV/0!</v>
      </c>
      <c r="AA167" s="37" t="e">
        <f>ROUND(Z167/1.302,0)</f>
        <v>#DIV/0!</v>
      </c>
      <c r="AB167" s="37" t="e">
        <f>Z167-AA167</f>
        <v>#DIV/0!</v>
      </c>
      <c r="AC167" s="37" t="e">
        <f>ROUND($AF165*AC166,0)</f>
        <v>#DIV/0!</v>
      </c>
      <c r="AD167" s="37" t="e">
        <f>I167+L167+N167+O167+T167+U167+V167+W167+X167+Y167+AC167+Z167</f>
        <v>#DIV/0!</v>
      </c>
      <c r="AE167" s="78">
        <f>AF165</f>
        <v>0</v>
      </c>
      <c r="AF167" s="78">
        <f>AE167-AF165</f>
        <v>0</v>
      </c>
      <c r="AG167" s="107" t="e">
        <f>-ROUND(F167/1000,1)</f>
        <v>#DIV/0!</v>
      </c>
      <c r="AH167" s="107" t="e">
        <f>ROUND(AG167/1.302,1)</f>
        <v>#DIV/0!</v>
      </c>
      <c r="AI167" s="107" t="e">
        <f>AG167-AH167</f>
        <v>#DIV/0!</v>
      </c>
      <c r="AJ167" s="107" t="e">
        <f>-ROUND(L167/1000,1)</f>
        <v>#DIV/0!</v>
      </c>
      <c r="AK167" s="107" t="e">
        <f>-ROUND(M167/1000,1)</f>
        <v>#DIV/0!</v>
      </c>
      <c r="AL167" s="107" t="e">
        <f>-ROUND(N167/1000,1)</f>
        <v>#DIV/0!</v>
      </c>
      <c r="AM167" s="107" t="e">
        <f>-ROUND(O167/1000,1)</f>
        <v>#DIV/0!</v>
      </c>
      <c r="AN167" s="107" t="e">
        <f t="shared" ref="AN167:AS167" si="191">-ROUND(T167/1000,1)</f>
        <v>#DIV/0!</v>
      </c>
      <c r="AO167" s="107" t="e">
        <f t="shared" si="191"/>
        <v>#DIV/0!</v>
      </c>
      <c r="AP167" s="107" t="e">
        <f t="shared" si="191"/>
        <v>#DIV/0!</v>
      </c>
      <c r="AQ167" s="107" t="e">
        <f t="shared" si="191"/>
        <v>#DIV/0!</v>
      </c>
      <c r="AR167" s="107" t="e">
        <f t="shared" si="191"/>
        <v>#DIV/0!</v>
      </c>
      <c r="AS167" s="107" t="e">
        <f t="shared" si="191"/>
        <v>#DIV/0!</v>
      </c>
      <c r="AT167" s="107" t="e">
        <f>-ROUND(AC167/1000,1)</f>
        <v>#DIV/0!</v>
      </c>
      <c r="AU167" s="108" t="e">
        <f t="shared" si="147"/>
        <v>#DIV/0!</v>
      </c>
    </row>
    <row r="168" spans="1:47" hidden="1" x14ac:dyDescent="0.25">
      <c r="A168" s="6">
        <v>8</v>
      </c>
      <c r="B168" s="92" t="s">
        <v>22</v>
      </c>
      <c r="C168" s="11">
        <v>704</v>
      </c>
      <c r="D168" s="11">
        <v>2019</v>
      </c>
      <c r="E168" s="11" t="s">
        <v>182</v>
      </c>
      <c r="F168" s="97"/>
      <c r="G168" s="97"/>
      <c r="H168" s="97"/>
      <c r="I168" s="97" t="e">
        <f>SUMIFS(#REF!,#REF!,выравнивание!$A168,#REF!,4)</f>
        <v>#REF!</v>
      </c>
      <c r="J168" s="97" t="e">
        <f>SUMIFS(#REF!,#REF!,выравнивание!$A168,#REF!,4)</f>
        <v>#REF!</v>
      </c>
      <c r="K168" s="97" t="e">
        <f>SUMIFS(#REF!,#REF!,выравнивание!$A168,#REF!,4)</f>
        <v>#REF!</v>
      </c>
      <c r="L168" s="97" t="e">
        <f>SUMIFS(#REF!,#REF!,выравнивание!$A168,#REF!,4)</f>
        <v>#REF!</v>
      </c>
      <c r="M168" s="97" t="e">
        <f>SUMIFS(#REF!,#REF!,выравнивание!$A168,#REF!,4)</f>
        <v>#REF!</v>
      </c>
      <c r="N168" s="97" t="e">
        <f>SUMIFS(#REF!,#REF!,выравнивание!$A168,#REF!,4)</f>
        <v>#REF!</v>
      </c>
      <c r="O168" s="97" t="e">
        <f>SUMIFS(#REF!,#REF!,выравнивание!$A168,#REF!,4)</f>
        <v>#REF!</v>
      </c>
      <c r="P168" s="97" t="e">
        <f>SUMIFS(#REF!,#REF!,выравнивание!$A168,#REF!,4)</f>
        <v>#REF!</v>
      </c>
      <c r="Q168" s="97" t="e">
        <f>SUMIFS(#REF!,#REF!,выравнивание!$A168,#REF!,4)</f>
        <v>#REF!</v>
      </c>
      <c r="R168" s="97" t="e">
        <f>SUMIFS(#REF!,#REF!,выравнивание!$A168,#REF!,4)</f>
        <v>#REF!</v>
      </c>
      <c r="S168" s="97" t="e">
        <f>SUMIFS(#REF!,#REF!,выравнивание!$A168,#REF!,4)</f>
        <v>#REF!</v>
      </c>
      <c r="T168" s="97" t="e">
        <f>SUMIFS(#REF!,#REF!,выравнивание!$A168,#REF!,4)</f>
        <v>#REF!</v>
      </c>
      <c r="U168" s="97" t="e">
        <f>SUMIFS(#REF!,#REF!,выравнивание!$A168,#REF!,4)</f>
        <v>#REF!</v>
      </c>
      <c r="V168" s="97" t="e">
        <f>SUMIFS(#REF!,#REF!,выравнивание!$A168,#REF!,4)</f>
        <v>#REF!</v>
      </c>
      <c r="W168" s="97" t="e">
        <f>SUMIFS(#REF!,#REF!,выравнивание!$A168,#REF!,4)</f>
        <v>#REF!</v>
      </c>
      <c r="X168" s="97" t="e">
        <f>SUMIFS(#REF!,#REF!,выравнивание!$A168,#REF!,4)</f>
        <v>#REF!</v>
      </c>
      <c r="Y168" s="97" t="e">
        <f>SUMIFS(#REF!,#REF!,выравнивание!$A168,#REF!,4)</f>
        <v>#REF!</v>
      </c>
      <c r="Z168" s="97" t="e">
        <f>SUMIFS(#REF!,#REF!,выравнивание!$A168,#REF!,4)</f>
        <v>#REF!</v>
      </c>
      <c r="AA168" s="97" t="e">
        <f>SUMIFS(#REF!,#REF!,выравнивание!$A168,#REF!,4)</f>
        <v>#REF!</v>
      </c>
      <c r="AB168" s="97" t="e">
        <f>SUMIFS(#REF!,#REF!,выравнивание!$A168,#REF!,4)</f>
        <v>#REF!</v>
      </c>
      <c r="AC168" s="100" t="e">
        <f>SUMIFS(#REF!,#REF!,выравнивание!$A168,#REF!,4)</f>
        <v>#REF!</v>
      </c>
      <c r="AD168" s="100" t="e">
        <f>SUMIFS(#REF!,#REF!,выравнивание!$A168,#REF!,4)</f>
        <v>#REF!</v>
      </c>
      <c r="AE168" s="103" t="e">
        <f>SUMIF(#REF!,выравнивание!$A168,#REF!)*1000-SUMIF(#REF!,выравнивание!$A168,#REF!)*1000</f>
        <v>#REF!</v>
      </c>
      <c r="AF168" s="105" t="e">
        <f>AD168-AE168</f>
        <v>#REF!</v>
      </c>
      <c r="AU168" s="108">
        <f t="shared" si="147"/>
        <v>0</v>
      </c>
    </row>
    <row r="169" spans="1:47" hidden="1" x14ac:dyDescent="0.25">
      <c r="A169" s="6">
        <v>8</v>
      </c>
      <c r="B169" s="92" t="s">
        <v>22</v>
      </c>
      <c r="C169" s="11">
        <v>704</v>
      </c>
      <c r="D169" s="11">
        <v>2019</v>
      </c>
      <c r="E169" s="11" t="s">
        <v>184</v>
      </c>
      <c r="F169" s="104"/>
      <c r="G169" s="104"/>
      <c r="H169" s="104"/>
      <c r="I169" s="104" t="e">
        <f t="shared" ref="I169:O169" si="192">I168/$AD168</f>
        <v>#REF!</v>
      </c>
      <c r="J169" s="104" t="e">
        <f t="shared" si="192"/>
        <v>#REF!</v>
      </c>
      <c r="K169" s="104" t="e">
        <f t="shared" si="192"/>
        <v>#REF!</v>
      </c>
      <c r="L169" s="104" t="e">
        <f t="shared" si="192"/>
        <v>#REF!</v>
      </c>
      <c r="M169" s="104" t="e">
        <f t="shared" si="192"/>
        <v>#REF!</v>
      </c>
      <c r="N169" s="104" t="e">
        <f t="shared" si="192"/>
        <v>#REF!</v>
      </c>
      <c r="O169" s="104" t="e">
        <f t="shared" si="192"/>
        <v>#REF!</v>
      </c>
      <c r="P169" s="97"/>
      <c r="Q169" s="97"/>
      <c r="R169" s="97"/>
      <c r="S169" s="97"/>
      <c r="T169" s="104" t="e">
        <f t="shared" ref="T169:AB169" si="193">T168/$AD168</f>
        <v>#REF!</v>
      </c>
      <c r="U169" s="104" t="e">
        <f t="shared" si="193"/>
        <v>#REF!</v>
      </c>
      <c r="V169" s="104" t="e">
        <f t="shared" si="193"/>
        <v>#REF!</v>
      </c>
      <c r="W169" s="104" t="e">
        <f t="shared" si="193"/>
        <v>#REF!</v>
      </c>
      <c r="X169" s="104" t="e">
        <f t="shared" si="193"/>
        <v>#REF!</v>
      </c>
      <c r="Y169" s="104" t="e">
        <f t="shared" si="193"/>
        <v>#REF!</v>
      </c>
      <c r="Z169" s="104" t="e">
        <f t="shared" si="193"/>
        <v>#REF!</v>
      </c>
      <c r="AA169" s="104" t="e">
        <f t="shared" si="193"/>
        <v>#REF!</v>
      </c>
      <c r="AB169" s="104" t="e">
        <f t="shared" si="193"/>
        <v>#REF!</v>
      </c>
      <c r="AC169" s="106" t="e">
        <f>1-Z169-Y169-X169-W169-V169-U169-T169-O169-N169-L169-I169</f>
        <v>#REF!</v>
      </c>
      <c r="AD169" s="106" t="e">
        <f>AD168/$AD168</f>
        <v>#REF!</v>
      </c>
      <c r="AE169" s="81"/>
      <c r="AU169" s="108">
        <f t="shared" si="147"/>
        <v>0</v>
      </c>
    </row>
    <row r="170" spans="1:47" x14ac:dyDescent="0.25">
      <c r="A170" s="6">
        <v>8</v>
      </c>
      <c r="B170" s="92" t="s">
        <v>22</v>
      </c>
      <c r="C170" s="11">
        <v>704</v>
      </c>
      <c r="D170" s="11">
        <v>2019</v>
      </c>
      <c r="E170" s="11" t="s">
        <v>185</v>
      </c>
      <c r="F170" s="37" t="e">
        <f>G170+H170</f>
        <v>#REF!</v>
      </c>
      <c r="G170" s="37" t="e">
        <f>J170+AA170</f>
        <v>#REF!</v>
      </c>
      <c r="H170" s="37" t="e">
        <f>K170+AB170</f>
        <v>#REF!</v>
      </c>
      <c r="I170" s="37" t="e">
        <f>ROUND($AF168*I169,0)</f>
        <v>#REF!</v>
      </c>
      <c r="J170" s="37" t="e">
        <f>ROUND(I170/1.302,0)</f>
        <v>#REF!</v>
      </c>
      <c r="K170" s="37" t="e">
        <f>I170-J170</f>
        <v>#REF!</v>
      </c>
      <c r="L170" s="37" t="e">
        <f>ROUND($AF168*L169,0)</f>
        <v>#REF!</v>
      </c>
      <c r="M170" s="37" t="e">
        <f>ROUND($AF168*M169,0)</f>
        <v>#REF!</v>
      </c>
      <c r="N170" s="37" t="e">
        <f>ROUND($AF168*N169,0)</f>
        <v>#REF!</v>
      </c>
      <c r="O170" s="37" t="e">
        <f>ROUND($AF168*O169,0)</f>
        <v>#REF!</v>
      </c>
      <c r="P170" s="97"/>
      <c r="Q170" s="97"/>
      <c r="R170" s="97"/>
      <c r="S170" s="97"/>
      <c r="T170" s="37" t="e">
        <f t="shared" ref="T170:Z170" si="194">ROUND($AF168*T169,0)</f>
        <v>#REF!</v>
      </c>
      <c r="U170" s="37" t="e">
        <f t="shared" si="194"/>
        <v>#REF!</v>
      </c>
      <c r="V170" s="37" t="e">
        <f t="shared" si="194"/>
        <v>#REF!</v>
      </c>
      <c r="W170" s="37" t="e">
        <f t="shared" si="194"/>
        <v>#REF!</v>
      </c>
      <c r="X170" s="37" t="e">
        <f t="shared" si="194"/>
        <v>#REF!</v>
      </c>
      <c r="Y170" s="37" t="e">
        <f t="shared" si="194"/>
        <v>#REF!</v>
      </c>
      <c r="Z170" s="37" t="e">
        <f t="shared" si="194"/>
        <v>#REF!</v>
      </c>
      <c r="AA170" s="37" t="e">
        <f>ROUND(Z170/1.302,0)</f>
        <v>#REF!</v>
      </c>
      <c r="AB170" s="37" t="e">
        <f>Z170-AA170</f>
        <v>#REF!</v>
      </c>
      <c r="AC170" s="37" t="e">
        <f>ROUND($AF168*AC169,0)</f>
        <v>#REF!</v>
      </c>
      <c r="AD170" s="37" t="e">
        <f>I170+L170+N170+O170+T170+U170+V170+W170+X170+Y170+AC170+Z170</f>
        <v>#REF!</v>
      </c>
      <c r="AE170" s="78" t="e">
        <f>AF168</f>
        <v>#REF!</v>
      </c>
      <c r="AF170" s="78" t="e">
        <f>AE170-AF168</f>
        <v>#REF!</v>
      </c>
      <c r="AG170" s="107" t="e">
        <f>-ROUND(F170/1000,1)</f>
        <v>#REF!</v>
      </c>
      <c r="AH170" s="107" t="e">
        <f>ROUND(AG170/1.302,1)</f>
        <v>#REF!</v>
      </c>
      <c r="AI170" s="107" t="e">
        <f>AG170-AH170</f>
        <v>#REF!</v>
      </c>
      <c r="AJ170" s="107" t="e">
        <f>-ROUND(L170/1000,1)</f>
        <v>#REF!</v>
      </c>
      <c r="AK170" s="107" t="e">
        <f>-ROUND(M170/1000,1)</f>
        <v>#REF!</v>
      </c>
      <c r="AL170" s="107" t="e">
        <f>-ROUND(N170/1000,1)</f>
        <v>#REF!</v>
      </c>
      <c r="AM170" s="107" t="e">
        <f>-ROUND(O170/1000,1)</f>
        <v>#REF!</v>
      </c>
      <c r="AN170" s="107" t="e">
        <f t="shared" ref="AN170:AS170" si="195">-ROUND(T170/1000,1)</f>
        <v>#REF!</v>
      </c>
      <c r="AO170" s="107" t="e">
        <f t="shared" si="195"/>
        <v>#REF!</v>
      </c>
      <c r="AP170" s="107" t="e">
        <f t="shared" si="195"/>
        <v>#REF!</v>
      </c>
      <c r="AQ170" s="107" t="e">
        <f t="shared" si="195"/>
        <v>#REF!</v>
      </c>
      <c r="AR170" s="107" t="e">
        <f t="shared" si="195"/>
        <v>#REF!</v>
      </c>
      <c r="AS170" s="107" t="e">
        <f t="shared" si="195"/>
        <v>#REF!</v>
      </c>
      <c r="AT170" s="107" t="e">
        <f>-ROUND(AC170/1000,1)</f>
        <v>#REF!</v>
      </c>
      <c r="AU170" s="108" t="e">
        <f t="shared" si="147"/>
        <v>#REF!</v>
      </c>
    </row>
    <row r="171" spans="1:47" hidden="1" x14ac:dyDescent="0.25">
      <c r="A171" s="6">
        <v>8</v>
      </c>
      <c r="B171" s="92" t="s">
        <v>22</v>
      </c>
      <c r="C171" s="11">
        <v>704</v>
      </c>
      <c r="D171" s="11">
        <v>2020</v>
      </c>
      <c r="E171" s="11" t="s">
        <v>182</v>
      </c>
      <c r="F171" s="97"/>
      <c r="G171" s="97"/>
      <c r="H171" s="97"/>
      <c r="I171" s="97" t="e">
        <f>SUMIFS(#REF!,#REF!,выравнивание!$A171,#REF!,4)</f>
        <v>#REF!</v>
      </c>
      <c r="J171" s="97" t="e">
        <f>SUMIFS(#REF!,#REF!,выравнивание!$A171,#REF!,4)</f>
        <v>#REF!</v>
      </c>
      <c r="K171" s="97" t="e">
        <f>SUMIFS(#REF!,#REF!,выравнивание!$A171,#REF!,4)</f>
        <v>#REF!</v>
      </c>
      <c r="L171" s="97" t="e">
        <f>SUMIFS(#REF!,#REF!,выравнивание!$A171,#REF!,4)</f>
        <v>#REF!</v>
      </c>
      <c r="M171" s="97" t="e">
        <f>SUMIFS(#REF!,#REF!,выравнивание!$A171,#REF!,4)</f>
        <v>#REF!</v>
      </c>
      <c r="N171" s="97" t="e">
        <f>SUMIFS(#REF!,#REF!,выравнивание!$A171,#REF!,4)</f>
        <v>#REF!</v>
      </c>
      <c r="O171" s="97" t="e">
        <f>SUMIFS(#REF!,#REF!,выравнивание!$A171,#REF!,4)</f>
        <v>#REF!</v>
      </c>
      <c r="P171" s="97" t="e">
        <f>SUMIFS(#REF!,#REF!,выравнивание!$A171,#REF!,4)</f>
        <v>#REF!</v>
      </c>
      <c r="Q171" s="97" t="e">
        <f>SUMIFS(#REF!,#REF!,выравнивание!$A171,#REF!,4)</f>
        <v>#REF!</v>
      </c>
      <c r="R171" s="97" t="e">
        <f>SUMIFS(#REF!,#REF!,выравнивание!$A171,#REF!,4)</f>
        <v>#REF!</v>
      </c>
      <c r="S171" s="97" t="e">
        <f>SUMIFS(#REF!,#REF!,выравнивание!$A171,#REF!,4)</f>
        <v>#REF!</v>
      </c>
      <c r="T171" s="97" t="e">
        <f>SUMIFS(#REF!,#REF!,выравнивание!$A171,#REF!,4)</f>
        <v>#REF!</v>
      </c>
      <c r="U171" s="97" t="e">
        <f>SUMIFS(#REF!,#REF!,выравнивание!$A171,#REF!,4)</f>
        <v>#REF!</v>
      </c>
      <c r="V171" s="97" t="e">
        <f>SUMIFS(#REF!,#REF!,выравнивание!$A171,#REF!,4)</f>
        <v>#REF!</v>
      </c>
      <c r="W171" s="97" t="e">
        <f>SUMIFS(#REF!,#REF!,выравнивание!$A171,#REF!,4)</f>
        <v>#REF!</v>
      </c>
      <c r="X171" s="97" t="e">
        <f>SUMIFS(#REF!,#REF!,выравнивание!$A171,#REF!,4)</f>
        <v>#REF!</v>
      </c>
      <c r="Y171" s="97" t="e">
        <f>SUMIFS(#REF!,#REF!,выравнивание!$A171,#REF!,4)</f>
        <v>#REF!</v>
      </c>
      <c r="Z171" s="97" t="e">
        <f>SUMIFS(#REF!,#REF!,выравнивание!$A171,#REF!,4)</f>
        <v>#REF!</v>
      </c>
      <c r="AA171" s="97" t="e">
        <f>SUMIFS(#REF!,#REF!,выравнивание!$A171,#REF!,4)</f>
        <v>#REF!</v>
      </c>
      <c r="AB171" s="97" t="e">
        <f>SUMIFS(#REF!,#REF!,выравнивание!$A171,#REF!,4)</f>
        <v>#REF!</v>
      </c>
      <c r="AC171" s="100" t="e">
        <f>SUMIFS(#REF!,#REF!,выравнивание!$A171,#REF!,4)</f>
        <v>#REF!</v>
      </c>
      <c r="AD171" s="100" t="e">
        <f>SUMIFS(#REF!,#REF!,выравнивание!$A171,#REF!,4)</f>
        <v>#REF!</v>
      </c>
      <c r="AE171" s="103" t="e">
        <f>SUMIF(#REF!,выравнивание!$A171,#REF!)*1000-SUMIF(#REF!,выравнивание!$A171,#REF!)*1000</f>
        <v>#REF!</v>
      </c>
      <c r="AF171" s="84" t="e">
        <f>AD171-AE171</f>
        <v>#REF!</v>
      </c>
      <c r="AU171" s="108">
        <f t="shared" si="147"/>
        <v>0</v>
      </c>
    </row>
    <row r="172" spans="1:47" hidden="1" x14ac:dyDescent="0.25">
      <c r="A172" s="6">
        <v>8</v>
      </c>
      <c r="B172" s="92" t="s">
        <v>22</v>
      </c>
      <c r="C172" s="11">
        <v>704</v>
      </c>
      <c r="D172" s="11">
        <v>2020</v>
      </c>
      <c r="E172" s="11" t="s">
        <v>184</v>
      </c>
      <c r="F172" s="104"/>
      <c r="G172" s="104"/>
      <c r="H172" s="104"/>
      <c r="I172" s="104" t="e">
        <f t="shared" ref="I172:O172" si="196">I171/$AD171</f>
        <v>#REF!</v>
      </c>
      <c r="J172" s="104" t="e">
        <f t="shared" si="196"/>
        <v>#REF!</v>
      </c>
      <c r="K172" s="104" t="e">
        <f t="shared" si="196"/>
        <v>#REF!</v>
      </c>
      <c r="L172" s="104" t="e">
        <f t="shared" si="196"/>
        <v>#REF!</v>
      </c>
      <c r="M172" s="104" t="e">
        <f t="shared" si="196"/>
        <v>#REF!</v>
      </c>
      <c r="N172" s="104" t="e">
        <f t="shared" si="196"/>
        <v>#REF!</v>
      </c>
      <c r="O172" s="104" t="e">
        <f t="shared" si="196"/>
        <v>#REF!</v>
      </c>
      <c r="P172" s="100"/>
      <c r="Q172" s="100"/>
      <c r="R172" s="100"/>
      <c r="S172" s="100"/>
      <c r="T172" s="104" t="e">
        <f t="shared" ref="T172:AB172" si="197">T171/$AD171</f>
        <v>#REF!</v>
      </c>
      <c r="U172" s="104" t="e">
        <f t="shared" si="197"/>
        <v>#REF!</v>
      </c>
      <c r="V172" s="104" t="e">
        <f t="shared" si="197"/>
        <v>#REF!</v>
      </c>
      <c r="W172" s="104" t="e">
        <f t="shared" si="197"/>
        <v>#REF!</v>
      </c>
      <c r="X172" s="104" t="e">
        <f t="shared" si="197"/>
        <v>#REF!</v>
      </c>
      <c r="Y172" s="104" t="e">
        <f t="shared" si="197"/>
        <v>#REF!</v>
      </c>
      <c r="Z172" s="104" t="e">
        <f t="shared" si="197"/>
        <v>#REF!</v>
      </c>
      <c r="AA172" s="104" t="e">
        <f t="shared" si="197"/>
        <v>#REF!</v>
      </c>
      <c r="AB172" s="104" t="e">
        <f t="shared" si="197"/>
        <v>#REF!</v>
      </c>
      <c r="AC172" s="106" t="e">
        <f>1-Z172-Y172-X172-W172-V172-U172-T172-O172-N172-L172-I172</f>
        <v>#REF!</v>
      </c>
      <c r="AD172" s="106" t="e">
        <f>AD171/$AD171</f>
        <v>#REF!</v>
      </c>
      <c r="AE172" s="81"/>
      <c r="AU172" s="108">
        <f t="shared" si="147"/>
        <v>0</v>
      </c>
    </row>
    <row r="173" spans="1:47" x14ac:dyDescent="0.25">
      <c r="A173" s="6">
        <v>8</v>
      </c>
      <c r="B173" s="92" t="s">
        <v>22</v>
      </c>
      <c r="C173" s="11">
        <v>704</v>
      </c>
      <c r="D173" s="11">
        <v>2020</v>
      </c>
      <c r="E173" s="11" t="s">
        <v>185</v>
      </c>
      <c r="F173" s="37" t="e">
        <f>G173+H173</f>
        <v>#REF!</v>
      </c>
      <c r="G173" s="37" t="e">
        <f>J173+AA173</f>
        <v>#REF!</v>
      </c>
      <c r="H173" s="37" t="e">
        <f>K173+AB173</f>
        <v>#REF!</v>
      </c>
      <c r="I173" s="37" t="e">
        <f>ROUND($AF171*I172,0)</f>
        <v>#REF!</v>
      </c>
      <c r="J173" s="37" t="e">
        <f>ROUND(I173/1.302,0)</f>
        <v>#REF!</v>
      </c>
      <c r="K173" s="37" t="e">
        <f>I173-J173</f>
        <v>#REF!</v>
      </c>
      <c r="L173" s="37" t="e">
        <f>ROUND($AF171*L172,0)</f>
        <v>#REF!</v>
      </c>
      <c r="M173" s="37" t="e">
        <f>ROUND($AF171*M172,0)</f>
        <v>#REF!</v>
      </c>
      <c r="N173" s="37" t="e">
        <f>ROUND($AF171*N172,0)</f>
        <v>#REF!</v>
      </c>
      <c r="O173" s="37" t="e">
        <f>ROUND($AF171*O172,0)</f>
        <v>#REF!</v>
      </c>
      <c r="P173" s="100"/>
      <c r="Q173" s="100"/>
      <c r="R173" s="100"/>
      <c r="S173" s="100"/>
      <c r="T173" s="37" t="e">
        <f t="shared" ref="T173:Z173" si="198">ROUND($AF171*T172,0)</f>
        <v>#REF!</v>
      </c>
      <c r="U173" s="37" t="e">
        <f t="shared" si="198"/>
        <v>#REF!</v>
      </c>
      <c r="V173" s="37" t="e">
        <f t="shared" si="198"/>
        <v>#REF!</v>
      </c>
      <c r="W173" s="37" t="e">
        <f t="shared" si="198"/>
        <v>#REF!</v>
      </c>
      <c r="X173" s="37" t="e">
        <f t="shared" si="198"/>
        <v>#REF!</v>
      </c>
      <c r="Y173" s="37" t="e">
        <f t="shared" si="198"/>
        <v>#REF!</v>
      </c>
      <c r="Z173" s="37" t="e">
        <f t="shared" si="198"/>
        <v>#REF!</v>
      </c>
      <c r="AA173" s="37" t="e">
        <f>ROUND(Z173/1.302,0)</f>
        <v>#REF!</v>
      </c>
      <c r="AB173" s="37" t="e">
        <f>Z173-AA173</f>
        <v>#REF!</v>
      </c>
      <c r="AC173" s="37" t="e">
        <f>ROUND($AF171*AC172,0)</f>
        <v>#REF!</v>
      </c>
      <c r="AD173" s="37" t="e">
        <f>I173+L173+N173+O173+T173+U173+V173+W173+X173+Y173+AC173+Z173</f>
        <v>#REF!</v>
      </c>
      <c r="AE173" s="78" t="e">
        <f>AF171</f>
        <v>#REF!</v>
      </c>
      <c r="AF173" s="78" t="e">
        <f>AE173-AF171</f>
        <v>#REF!</v>
      </c>
      <c r="AG173" s="107" t="e">
        <f>-ROUND(F173/1000,1)</f>
        <v>#REF!</v>
      </c>
      <c r="AH173" s="107" t="e">
        <f>ROUND(AG173/1.302,1)</f>
        <v>#REF!</v>
      </c>
      <c r="AI173" s="107" t="e">
        <f>AG173-AH173</f>
        <v>#REF!</v>
      </c>
      <c r="AJ173" s="107" t="e">
        <f>-ROUND(L173/1000,1)</f>
        <v>#REF!</v>
      </c>
      <c r="AK173" s="107" t="e">
        <f>-ROUND(M173/1000,1)</f>
        <v>#REF!</v>
      </c>
      <c r="AL173" s="107" t="e">
        <f>-ROUND(N173/1000,1)</f>
        <v>#REF!</v>
      </c>
      <c r="AM173" s="107" t="e">
        <f>-ROUND(O173/1000,1)</f>
        <v>#REF!</v>
      </c>
      <c r="AN173" s="107" t="e">
        <f t="shared" ref="AN173:AS173" si="199">-ROUND(T173/1000,1)</f>
        <v>#REF!</v>
      </c>
      <c r="AO173" s="107" t="e">
        <f t="shared" si="199"/>
        <v>#REF!</v>
      </c>
      <c r="AP173" s="107" t="e">
        <f t="shared" si="199"/>
        <v>#REF!</v>
      </c>
      <c r="AQ173" s="107" t="e">
        <f t="shared" si="199"/>
        <v>#REF!</v>
      </c>
      <c r="AR173" s="107" t="e">
        <f t="shared" si="199"/>
        <v>#REF!</v>
      </c>
      <c r="AS173" s="107" t="e">
        <f t="shared" si="199"/>
        <v>#REF!</v>
      </c>
      <c r="AT173" s="107" t="e">
        <f>-ROUND(AC173/1000,1)</f>
        <v>#REF!</v>
      </c>
      <c r="AU173" s="108" t="e">
        <f t="shared" si="147"/>
        <v>#REF!</v>
      </c>
    </row>
    <row r="174" spans="1:47" hidden="1" x14ac:dyDescent="0.25">
      <c r="A174" s="6">
        <v>12</v>
      </c>
      <c r="B174" s="92" t="s">
        <v>27</v>
      </c>
      <c r="C174" s="11">
        <v>704</v>
      </c>
      <c r="D174" s="11">
        <v>2018</v>
      </c>
      <c r="E174" s="11" t="s">
        <v>182</v>
      </c>
      <c r="F174" s="100"/>
      <c r="G174" s="100"/>
      <c r="H174" s="100"/>
      <c r="I174" s="100">
        <f>SUMIFS('2020'!BM:BM,'2020'!$B:$B,выравнивание!$A174,'2020'!$G:$G,4)</f>
        <v>24011137</v>
      </c>
      <c r="J174" s="100">
        <f>SUMIFS('2020'!BN:BN,'2020'!$B:$B,выравнивание!$A174,'2020'!$G:$G,4)</f>
        <v>18441733.5</v>
      </c>
      <c r="K174" s="100">
        <f>SUMIFS('2020'!BO:BO,'2020'!$B:$B,выравнивание!$A174,'2020'!$G:$G,4)</f>
        <v>5569403.5</v>
      </c>
      <c r="L174" s="100">
        <f>SUMIFS('2020'!BP:BP,'2020'!$B:$B,выравнивание!$A174,'2020'!$G:$G,4)</f>
        <v>1371120</v>
      </c>
      <c r="M174" s="100">
        <f>SUMIFS('2020'!BQ:BQ,'2020'!$B:$B,выравнивание!$A174,'2020'!$G:$G,4)</f>
        <v>274224</v>
      </c>
      <c r="N174" s="100">
        <f>SUMIFS('2020'!BR:BR,'2020'!$B:$B,выравнивание!$A174,'2020'!$G:$G,4)</f>
        <v>2870130</v>
      </c>
      <c r="O174" s="100">
        <f>SUMIFS('2020'!BS:BS,'2020'!$B:$B,выравнивание!$A174,'2020'!$G:$G,4)</f>
        <v>9770620</v>
      </c>
      <c r="P174" s="100">
        <f>SUMIFS('2020'!BT:BT,'2020'!$B:$B,выравнивание!$A174,'2020'!$G:$G,4)</f>
        <v>345000</v>
      </c>
      <c r="Q174" s="100">
        <f>SUMIFS('2020'!BU:BU,'2020'!$B:$B,выравнивание!$A174,'2020'!$G:$G,4)</f>
        <v>6502200</v>
      </c>
      <c r="R174" s="100">
        <f>SUMIFS('2020'!BV:BV,'2020'!$B:$B,выравнивание!$A174,'2020'!$G:$G,4)</f>
        <v>2381740</v>
      </c>
      <c r="S174" s="100">
        <f>SUMIFS('2020'!BW:BW,'2020'!$B:$B,выравнивание!$A174,'2020'!$G:$G,4)</f>
        <v>541680</v>
      </c>
      <c r="T174" s="100">
        <f>SUMIFS('2020'!BX:BX,'2020'!$B:$B,выравнивание!$A174,'2020'!$G:$G,4)</f>
        <v>3550610</v>
      </c>
      <c r="U174" s="100">
        <f>SUMIFS('2020'!BY:BY,'2020'!$B:$B,выравнивание!$A174,'2020'!$G:$G,4)</f>
        <v>6309840</v>
      </c>
      <c r="V174" s="100">
        <f>SUMIFS('2020'!BZ:BZ,'2020'!$B:$B,выравнивание!$A174,'2020'!$G:$G,4)</f>
        <v>226920</v>
      </c>
      <c r="W174" s="100">
        <f>SUMIFS('2020'!CA:CA,'2020'!$B:$B,выравнивание!$A174,'2020'!$G:$G,4)</f>
        <v>907680</v>
      </c>
      <c r="X174" s="100">
        <f>SUMIFS('2020'!CB:CB,'2020'!$B:$B,выравнивание!$A174,'2020'!$G:$G,4)</f>
        <v>36600</v>
      </c>
      <c r="Y174" s="100">
        <f>SUMIFS('2020'!CC:CC,'2020'!$B:$B,выравнивание!$A174,'2020'!$G:$G,4)</f>
        <v>1816980</v>
      </c>
      <c r="Z174" s="100">
        <f>SUMIFS('2020'!CD:CD,'2020'!$B:$B,выравнивание!$A174,'2020'!$G:$G,4)</f>
        <v>19087051</v>
      </c>
      <c r="AA174" s="100">
        <f>SUMIFS('2020'!CE:CE,'2020'!$B:$B,выравнивание!$A174,'2020'!$G:$G,4)</f>
        <v>14659793.4</v>
      </c>
      <c r="AB174" s="100">
        <f>SUMIFS('2020'!CF:CF,'2020'!$B:$B,выравнивание!$A174,'2020'!$G:$G,4)</f>
        <v>4427257.5999999996</v>
      </c>
      <c r="AC174" s="100">
        <f>SUMIFS('2020'!CG:CG,'2020'!$B:$B,выравнивание!$A174,'2020'!$G:$G,4)</f>
        <v>469300</v>
      </c>
      <c r="AD174" s="100">
        <f>SUMIFS('2020'!CH:CH,'2020'!$B:$B,выравнивание!$A174,'2020'!$G:$G,4)</f>
        <v>70427988</v>
      </c>
      <c r="AE174" s="84">
        <f>SUMIF('Свод 2020'!$A$44:$A$57,выравнивание!$A174,'Свод 2020'!$AA$44:$AA$57)*1000-SUMIF('Свод 2020'!$A$44:$A$57,выравнивание!$A174,'Свод 2020'!$S$44:$S$57)*1000</f>
        <v>50955200</v>
      </c>
      <c r="AF174" s="105">
        <f>AD174-AE174</f>
        <v>19472788</v>
      </c>
      <c r="AU174" s="108">
        <f t="shared" si="147"/>
        <v>0</v>
      </c>
    </row>
    <row r="175" spans="1:47" hidden="1" x14ac:dyDescent="0.25">
      <c r="A175" s="6">
        <v>12</v>
      </c>
      <c r="B175" s="92" t="s">
        <v>27</v>
      </c>
      <c r="C175" s="11">
        <v>704</v>
      </c>
      <c r="D175" s="11">
        <v>2018</v>
      </c>
      <c r="E175" s="11" t="s">
        <v>184</v>
      </c>
      <c r="F175" s="104"/>
      <c r="G175" s="104"/>
      <c r="H175" s="104"/>
      <c r="I175" s="104">
        <f t="shared" ref="I175:O175" si="200">I174/$AD174</f>
        <v>0.34093200000000001</v>
      </c>
      <c r="J175" s="104">
        <f t="shared" si="200"/>
        <v>0.26185199999999997</v>
      </c>
      <c r="K175" s="104">
        <f t="shared" si="200"/>
        <v>7.9078999999999997E-2</v>
      </c>
      <c r="L175" s="104">
        <f t="shared" si="200"/>
        <v>1.9467999999999999E-2</v>
      </c>
      <c r="M175" s="104">
        <f t="shared" si="200"/>
        <v>3.8939999999999999E-3</v>
      </c>
      <c r="N175" s="104">
        <f t="shared" si="200"/>
        <v>4.0752999999999998E-2</v>
      </c>
      <c r="O175" s="104">
        <f t="shared" si="200"/>
        <v>0.13873199999999999</v>
      </c>
      <c r="P175" s="100"/>
      <c r="Q175" s="100"/>
      <c r="R175" s="100"/>
      <c r="S175" s="100"/>
      <c r="T175" s="104">
        <f t="shared" ref="T175:AB175" si="201">T174/$AD174</f>
        <v>5.0415000000000001E-2</v>
      </c>
      <c r="U175" s="104">
        <f t="shared" si="201"/>
        <v>8.9593000000000006E-2</v>
      </c>
      <c r="V175" s="104">
        <f t="shared" si="201"/>
        <v>3.222E-3</v>
      </c>
      <c r="W175" s="104">
        <f t="shared" si="201"/>
        <v>1.2888E-2</v>
      </c>
      <c r="X175" s="104">
        <f t="shared" si="201"/>
        <v>5.1999999999999995E-4</v>
      </c>
      <c r="Y175" s="104">
        <f t="shared" si="201"/>
        <v>2.5798999999999999E-2</v>
      </c>
      <c r="Z175" s="104">
        <f t="shared" si="201"/>
        <v>0.27101500000000001</v>
      </c>
      <c r="AA175" s="104">
        <f t="shared" si="201"/>
        <v>0.208153</v>
      </c>
      <c r="AB175" s="104">
        <f t="shared" si="201"/>
        <v>6.2862000000000001E-2</v>
      </c>
      <c r="AC175" s="106">
        <f>1-Z175-Y175-X175-W175-V175-U175-T175-O175-N175-L175-I175</f>
        <v>6.6629999999999997E-3</v>
      </c>
      <c r="AD175" s="106">
        <f>AD174/$AD174</f>
        <v>1</v>
      </c>
      <c r="AE175" s="81"/>
      <c r="AU175" s="108">
        <f t="shared" si="147"/>
        <v>0</v>
      </c>
    </row>
    <row r="176" spans="1:47" x14ac:dyDescent="0.25">
      <c r="A176" s="6">
        <v>12</v>
      </c>
      <c r="B176" s="92" t="s">
        <v>27</v>
      </c>
      <c r="C176" s="11">
        <v>704</v>
      </c>
      <c r="D176" s="11">
        <v>2018</v>
      </c>
      <c r="E176" s="11" t="s">
        <v>185</v>
      </c>
      <c r="F176" s="37">
        <f>G176+H176</f>
        <v>11916315</v>
      </c>
      <c r="G176" s="37">
        <f>J176+AA176</f>
        <v>9152315</v>
      </c>
      <c r="H176" s="37">
        <f>K176+AB176</f>
        <v>2764000</v>
      </c>
      <c r="I176" s="37">
        <f>ROUND($AF174*I175,0)</f>
        <v>6638897</v>
      </c>
      <c r="J176" s="37">
        <f>ROUND(I176/1.302,0)</f>
        <v>5098999</v>
      </c>
      <c r="K176" s="37">
        <f>I176-J176</f>
        <v>1539898</v>
      </c>
      <c r="L176" s="37">
        <f>ROUND($AF174*L175,0)</f>
        <v>379096</v>
      </c>
      <c r="M176" s="37">
        <f>ROUND($AF174*M175,0)</f>
        <v>75827</v>
      </c>
      <c r="N176" s="37">
        <f>ROUND($AF174*N175,0)</f>
        <v>793575</v>
      </c>
      <c r="O176" s="37">
        <f>ROUND($AF174*O175,0)</f>
        <v>2701499</v>
      </c>
      <c r="P176" s="100"/>
      <c r="Q176" s="100"/>
      <c r="R176" s="100"/>
      <c r="S176" s="100"/>
      <c r="T176" s="37">
        <f t="shared" ref="T176:Z176" si="202">ROUND($AF174*T175,0)</f>
        <v>981721</v>
      </c>
      <c r="U176" s="37">
        <f t="shared" si="202"/>
        <v>1744625</v>
      </c>
      <c r="V176" s="37">
        <f t="shared" si="202"/>
        <v>62741</v>
      </c>
      <c r="W176" s="37">
        <f t="shared" si="202"/>
        <v>250965</v>
      </c>
      <c r="X176" s="37">
        <f t="shared" si="202"/>
        <v>10126</v>
      </c>
      <c r="Y176" s="37">
        <f t="shared" si="202"/>
        <v>502378</v>
      </c>
      <c r="Z176" s="37">
        <f t="shared" si="202"/>
        <v>5277418</v>
      </c>
      <c r="AA176" s="37">
        <f>ROUND(Z176/1.302,0)</f>
        <v>4053316</v>
      </c>
      <c r="AB176" s="37">
        <f>Z176-AA176</f>
        <v>1224102</v>
      </c>
      <c r="AC176" s="37">
        <f>ROUND($AF174*AC175,0)</f>
        <v>129747</v>
      </c>
      <c r="AD176" s="37">
        <f>I176+L176+N176+O176+T176+U176+V176+W176+X176+Y176+AC176+Z176</f>
        <v>19472788</v>
      </c>
      <c r="AE176" s="78">
        <f>AF174</f>
        <v>19472788</v>
      </c>
      <c r="AF176" s="78">
        <f>AE176-AF174</f>
        <v>0</v>
      </c>
      <c r="AG176" s="107">
        <f>-ROUND(F176/1000,1)</f>
        <v>-11916.3</v>
      </c>
      <c r="AH176" s="107">
        <f>ROUND(AG176/1.302,1)</f>
        <v>-9152.2999999999993</v>
      </c>
      <c r="AI176" s="107">
        <f>AG176-AH176</f>
        <v>-2764</v>
      </c>
      <c r="AJ176" s="107">
        <f>-ROUND(L176/1000,1)</f>
        <v>-379.1</v>
      </c>
      <c r="AK176" s="107">
        <f>-ROUND(M176/1000,1)</f>
        <v>-75.8</v>
      </c>
      <c r="AL176" s="107">
        <f>-ROUND(N176/1000,1)</f>
        <v>-793.6</v>
      </c>
      <c r="AM176" s="107">
        <f>-ROUND(O176/1000,1)</f>
        <v>-2701.5</v>
      </c>
      <c r="AN176" s="107">
        <f t="shared" ref="AN176:AS176" si="203">-ROUND(T176/1000,1)</f>
        <v>-981.7</v>
      </c>
      <c r="AO176" s="107">
        <f t="shared" si="203"/>
        <v>-1744.6</v>
      </c>
      <c r="AP176" s="107">
        <f t="shared" si="203"/>
        <v>-62.7</v>
      </c>
      <c r="AQ176" s="107">
        <f t="shared" si="203"/>
        <v>-251</v>
      </c>
      <c r="AR176" s="107">
        <f t="shared" si="203"/>
        <v>-10.1</v>
      </c>
      <c r="AS176" s="107">
        <f t="shared" si="203"/>
        <v>-502.4</v>
      </c>
      <c r="AT176" s="107">
        <f>-ROUND(AC176/1000,1)</f>
        <v>-129.69999999999999</v>
      </c>
      <c r="AU176" s="108">
        <f t="shared" si="147"/>
        <v>-19472.7</v>
      </c>
    </row>
    <row r="177" spans="1:47" hidden="1" x14ac:dyDescent="0.25">
      <c r="A177" s="6">
        <v>12</v>
      </c>
      <c r="B177" s="92" t="s">
        <v>27</v>
      </c>
      <c r="C177" s="11">
        <v>704</v>
      </c>
      <c r="D177" s="11">
        <v>2019</v>
      </c>
      <c r="E177" s="11" t="s">
        <v>182</v>
      </c>
      <c r="F177" s="97"/>
      <c r="G177" s="97"/>
      <c r="H177" s="97"/>
      <c r="I177" s="97" t="e">
        <f>SUMIFS(#REF!,#REF!,выравнивание!$A177,#REF!,4)</f>
        <v>#REF!</v>
      </c>
      <c r="J177" s="97" t="e">
        <f>SUMIFS(#REF!,#REF!,выравнивание!$A177,#REF!,4)</f>
        <v>#REF!</v>
      </c>
      <c r="K177" s="97" t="e">
        <f>SUMIFS(#REF!,#REF!,выравнивание!$A177,#REF!,4)</f>
        <v>#REF!</v>
      </c>
      <c r="L177" s="97" t="e">
        <f>SUMIFS(#REF!,#REF!,выравнивание!$A177,#REF!,4)</f>
        <v>#REF!</v>
      </c>
      <c r="M177" s="97" t="e">
        <f>SUMIFS(#REF!,#REF!,выравнивание!$A177,#REF!,4)</f>
        <v>#REF!</v>
      </c>
      <c r="N177" s="97" t="e">
        <f>SUMIFS(#REF!,#REF!,выравнивание!$A177,#REF!,4)</f>
        <v>#REF!</v>
      </c>
      <c r="O177" s="97" t="e">
        <f>SUMIFS(#REF!,#REF!,выравнивание!$A177,#REF!,4)</f>
        <v>#REF!</v>
      </c>
      <c r="P177" s="97" t="e">
        <f>SUMIFS(#REF!,#REF!,выравнивание!$A177,#REF!,4)</f>
        <v>#REF!</v>
      </c>
      <c r="Q177" s="97" t="e">
        <f>SUMIFS(#REF!,#REF!,выравнивание!$A177,#REF!,4)</f>
        <v>#REF!</v>
      </c>
      <c r="R177" s="97" t="e">
        <f>SUMIFS(#REF!,#REF!,выравнивание!$A177,#REF!,4)</f>
        <v>#REF!</v>
      </c>
      <c r="S177" s="97" t="e">
        <f>SUMIFS(#REF!,#REF!,выравнивание!$A177,#REF!,4)</f>
        <v>#REF!</v>
      </c>
      <c r="T177" s="97" t="e">
        <f>SUMIFS(#REF!,#REF!,выравнивание!$A177,#REF!,4)</f>
        <v>#REF!</v>
      </c>
      <c r="U177" s="97" t="e">
        <f>SUMIFS(#REF!,#REF!,выравнивание!$A177,#REF!,4)</f>
        <v>#REF!</v>
      </c>
      <c r="V177" s="97" t="e">
        <f>SUMIFS(#REF!,#REF!,выравнивание!$A177,#REF!,4)</f>
        <v>#REF!</v>
      </c>
      <c r="W177" s="97" t="e">
        <f>SUMIFS(#REF!,#REF!,выравнивание!$A177,#REF!,4)</f>
        <v>#REF!</v>
      </c>
      <c r="X177" s="97" t="e">
        <f>SUMIFS(#REF!,#REF!,выравнивание!$A177,#REF!,4)</f>
        <v>#REF!</v>
      </c>
      <c r="Y177" s="97" t="e">
        <f>SUMIFS(#REF!,#REF!,выравнивание!$A177,#REF!,4)</f>
        <v>#REF!</v>
      </c>
      <c r="Z177" s="97" t="e">
        <f>SUMIFS(#REF!,#REF!,выравнивание!$A177,#REF!,4)</f>
        <v>#REF!</v>
      </c>
      <c r="AA177" s="97" t="e">
        <f>SUMIFS(#REF!,#REF!,выравнивание!$A177,#REF!,4)</f>
        <v>#REF!</v>
      </c>
      <c r="AB177" s="97" t="e">
        <f>SUMIFS(#REF!,#REF!,выравнивание!$A177,#REF!,4)</f>
        <v>#REF!</v>
      </c>
      <c r="AC177" s="100" t="e">
        <f>SUMIFS(#REF!,#REF!,выравнивание!$A177,#REF!,4)</f>
        <v>#REF!</v>
      </c>
      <c r="AD177" s="100" t="e">
        <f>SUMIFS(#REF!,#REF!,выравнивание!$A177,#REF!,4)</f>
        <v>#REF!</v>
      </c>
      <c r="AE177" s="103" t="e">
        <f>SUMIF(#REF!,выравнивание!$A177,#REF!)*1000-SUMIF(#REF!,выравнивание!$A177,#REF!)*1000</f>
        <v>#REF!</v>
      </c>
      <c r="AF177" s="105" t="e">
        <f>AD177-AE177</f>
        <v>#REF!</v>
      </c>
      <c r="AU177" s="108">
        <f t="shared" si="147"/>
        <v>0</v>
      </c>
    </row>
    <row r="178" spans="1:47" hidden="1" x14ac:dyDescent="0.25">
      <c r="A178" s="6">
        <v>12</v>
      </c>
      <c r="B178" s="92" t="s">
        <v>27</v>
      </c>
      <c r="C178" s="11">
        <v>704</v>
      </c>
      <c r="D178" s="11">
        <v>2019</v>
      </c>
      <c r="E178" s="11" t="s">
        <v>184</v>
      </c>
      <c r="F178" s="104"/>
      <c r="G178" s="104"/>
      <c r="H178" s="104"/>
      <c r="I178" s="104" t="e">
        <f t="shared" ref="I178:O178" si="204">I177/$AD177</f>
        <v>#REF!</v>
      </c>
      <c r="J178" s="104" t="e">
        <f t="shared" si="204"/>
        <v>#REF!</v>
      </c>
      <c r="K178" s="104" t="e">
        <f t="shared" si="204"/>
        <v>#REF!</v>
      </c>
      <c r="L178" s="104" t="e">
        <f t="shared" si="204"/>
        <v>#REF!</v>
      </c>
      <c r="M178" s="104" t="e">
        <f t="shared" si="204"/>
        <v>#REF!</v>
      </c>
      <c r="N178" s="104" t="e">
        <f t="shared" si="204"/>
        <v>#REF!</v>
      </c>
      <c r="O178" s="104" t="e">
        <f t="shared" si="204"/>
        <v>#REF!</v>
      </c>
      <c r="P178" s="100"/>
      <c r="Q178" s="100"/>
      <c r="R178" s="100"/>
      <c r="S178" s="100"/>
      <c r="T178" s="104" t="e">
        <f t="shared" ref="T178:AB178" si="205">T177/$AD177</f>
        <v>#REF!</v>
      </c>
      <c r="U178" s="104" t="e">
        <f t="shared" si="205"/>
        <v>#REF!</v>
      </c>
      <c r="V178" s="104" t="e">
        <f t="shared" si="205"/>
        <v>#REF!</v>
      </c>
      <c r="W178" s="104" t="e">
        <f t="shared" si="205"/>
        <v>#REF!</v>
      </c>
      <c r="X178" s="104" t="e">
        <f t="shared" si="205"/>
        <v>#REF!</v>
      </c>
      <c r="Y178" s="104" t="e">
        <f t="shared" si="205"/>
        <v>#REF!</v>
      </c>
      <c r="Z178" s="104" t="e">
        <f t="shared" si="205"/>
        <v>#REF!</v>
      </c>
      <c r="AA178" s="104" t="e">
        <f t="shared" si="205"/>
        <v>#REF!</v>
      </c>
      <c r="AB178" s="104" t="e">
        <f t="shared" si="205"/>
        <v>#REF!</v>
      </c>
      <c r="AC178" s="106" t="e">
        <f>1-Z178-Y178-X178-W178-V178-U178-T178-O178-N178-L178-I178</f>
        <v>#REF!</v>
      </c>
      <c r="AD178" s="106" t="e">
        <f>AD177/$AD177</f>
        <v>#REF!</v>
      </c>
      <c r="AE178" s="81"/>
      <c r="AU178" s="108">
        <f t="shared" si="147"/>
        <v>0</v>
      </c>
    </row>
    <row r="179" spans="1:47" x14ac:dyDescent="0.25">
      <c r="A179" s="6">
        <v>12</v>
      </c>
      <c r="B179" s="92" t="s">
        <v>27</v>
      </c>
      <c r="C179" s="11">
        <v>704</v>
      </c>
      <c r="D179" s="11">
        <v>2019</v>
      </c>
      <c r="E179" s="11" t="s">
        <v>185</v>
      </c>
      <c r="F179" s="37" t="e">
        <f>G179+H179</f>
        <v>#REF!</v>
      </c>
      <c r="G179" s="37" t="e">
        <f>J179+AA179</f>
        <v>#REF!</v>
      </c>
      <c r="H179" s="37" t="e">
        <f>K179+AB179</f>
        <v>#REF!</v>
      </c>
      <c r="I179" s="37" t="e">
        <f>ROUND($AF177*I178,0)</f>
        <v>#REF!</v>
      </c>
      <c r="J179" s="37" t="e">
        <f>ROUND(I179/1.302,0)</f>
        <v>#REF!</v>
      </c>
      <c r="K179" s="37" t="e">
        <f>I179-J179</f>
        <v>#REF!</v>
      </c>
      <c r="L179" s="37" t="e">
        <f>ROUND($AF177*L178,0)</f>
        <v>#REF!</v>
      </c>
      <c r="M179" s="37" t="e">
        <f>ROUND($AF177*M178,0)</f>
        <v>#REF!</v>
      </c>
      <c r="N179" s="37" t="e">
        <f>ROUND($AF177*N178,0)</f>
        <v>#REF!</v>
      </c>
      <c r="O179" s="37" t="e">
        <f>ROUND($AF177*O178,0)</f>
        <v>#REF!</v>
      </c>
      <c r="P179" s="100"/>
      <c r="Q179" s="100"/>
      <c r="R179" s="100"/>
      <c r="S179" s="100"/>
      <c r="T179" s="37" t="e">
        <f t="shared" ref="T179:Z179" si="206">ROUND($AF177*T178,0)</f>
        <v>#REF!</v>
      </c>
      <c r="U179" s="37" t="e">
        <f t="shared" si="206"/>
        <v>#REF!</v>
      </c>
      <c r="V179" s="37" t="e">
        <f t="shared" si="206"/>
        <v>#REF!</v>
      </c>
      <c r="W179" s="37" t="e">
        <f t="shared" si="206"/>
        <v>#REF!</v>
      </c>
      <c r="X179" s="37" t="e">
        <f t="shared" si="206"/>
        <v>#REF!</v>
      </c>
      <c r="Y179" s="37" t="e">
        <f t="shared" si="206"/>
        <v>#REF!</v>
      </c>
      <c r="Z179" s="37" t="e">
        <f t="shared" si="206"/>
        <v>#REF!</v>
      </c>
      <c r="AA179" s="37" t="e">
        <f>ROUND(Z179/1.302,0)</f>
        <v>#REF!</v>
      </c>
      <c r="AB179" s="37" t="e">
        <f>Z179-AA179</f>
        <v>#REF!</v>
      </c>
      <c r="AC179" s="37" t="e">
        <f>ROUND($AF177*AC178,0)</f>
        <v>#REF!</v>
      </c>
      <c r="AD179" s="37" t="e">
        <f>I179+L179+N179+O179+T179+U179+V179+W179+X179+Y179+AC179+Z179</f>
        <v>#REF!</v>
      </c>
      <c r="AE179" s="78" t="e">
        <f>AF177</f>
        <v>#REF!</v>
      </c>
      <c r="AF179" s="78" t="e">
        <f>AE179-AF177</f>
        <v>#REF!</v>
      </c>
      <c r="AG179" s="107" t="e">
        <f>-ROUND(F179/1000,1)</f>
        <v>#REF!</v>
      </c>
      <c r="AH179" s="107" t="e">
        <f>ROUND(AG179/1.302,1)</f>
        <v>#REF!</v>
      </c>
      <c r="AI179" s="107" t="e">
        <f>AG179-AH179</f>
        <v>#REF!</v>
      </c>
      <c r="AJ179" s="107" t="e">
        <f>-ROUND(L179/1000,1)</f>
        <v>#REF!</v>
      </c>
      <c r="AK179" s="107" t="e">
        <f>-ROUND(M179/1000,1)</f>
        <v>#REF!</v>
      </c>
      <c r="AL179" s="107" t="e">
        <f>-ROUND(N179/1000,1)</f>
        <v>#REF!</v>
      </c>
      <c r="AM179" s="107" t="e">
        <f>-ROUND(O179/1000,1)</f>
        <v>#REF!</v>
      </c>
      <c r="AN179" s="107" t="e">
        <f t="shared" ref="AN179:AS179" si="207">-ROUND(T179/1000,1)</f>
        <v>#REF!</v>
      </c>
      <c r="AO179" s="107" t="e">
        <f t="shared" si="207"/>
        <v>#REF!</v>
      </c>
      <c r="AP179" s="107" t="e">
        <f t="shared" si="207"/>
        <v>#REF!</v>
      </c>
      <c r="AQ179" s="107" t="e">
        <f t="shared" si="207"/>
        <v>#REF!</v>
      </c>
      <c r="AR179" s="107" t="e">
        <f t="shared" si="207"/>
        <v>#REF!</v>
      </c>
      <c r="AS179" s="107" t="e">
        <f t="shared" si="207"/>
        <v>#REF!</v>
      </c>
      <c r="AT179" s="107" t="e">
        <f>-ROUND(AC179/1000,1)</f>
        <v>#REF!</v>
      </c>
      <c r="AU179" s="108" t="e">
        <f t="shared" si="147"/>
        <v>#REF!</v>
      </c>
    </row>
    <row r="180" spans="1:47" hidden="1" x14ac:dyDescent="0.25">
      <c r="A180" s="6">
        <v>12</v>
      </c>
      <c r="B180" s="92" t="s">
        <v>27</v>
      </c>
      <c r="C180" s="11">
        <v>704</v>
      </c>
      <c r="D180" s="11">
        <v>2020</v>
      </c>
      <c r="E180" s="11" t="s">
        <v>182</v>
      </c>
      <c r="F180" s="97"/>
      <c r="G180" s="97"/>
      <c r="H180" s="97"/>
      <c r="I180" s="97" t="e">
        <f>SUMIFS(#REF!,#REF!,выравнивание!$A180,#REF!,4)</f>
        <v>#REF!</v>
      </c>
      <c r="J180" s="97" t="e">
        <f>SUMIFS(#REF!,#REF!,выравнивание!$A180,#REF!,4)</f>
        <v>#REF!</v>
      </c>
      <c r="K180" s="97" t="e">
        <f>SUMIFS(#REF!,#REF!,выравнивание!$A180,#REF!,4)</f>
        <v>#REF!</v>
      </c>
      <c r="L180" s="97" t="e">
        <f>SUMIFS(#REF!,#REF!,выравнивание!$A180,#REF!,4)</f>
        <v>#REF!</v>
      </c>
      <c r="M180" s="97" t="e">
        <f>SUMIFS(#REF!,#REF!,выравнивание!$A180,#REF!,4)</f>
        <v>#REF!</v>
      </c>
      <c r="N180" s="97" t="e">
        <f>SUMIFS(#REF!,#REF!,выравнивание!$A180,#REF!,4)</f>
        <v>#REF!</v>
      </c>
      <c r="O180" s="97" t="e">
        <f>SUMIFS(#REF!,#REF!,выравнивание!$A180,#REF!,4)</f>
        <v>#REF!</v>
      </c>
      <c r="P180" s="97" t="e">
        <f>SUMIFS(#REF!,#REF!,выравнивание!$A180,#REF!,4)</f>
        <v>#REF!</v>
      </c>
      <c r="Q180" s="97" t="e">
        <f>SUMIFS(#REF!,#REF!,выравнивание!$A180,#REF!,4)</f>
        <v>#REF!</v>
      </c>
      <c r="R180" s="97" t="e">
        <f>SUMIFS(#REF!,#REF!,выравнивание!$A180,#REF!,4)</f>
        <v>#REF!</v>
      </c>
      <c r="S180" s="97" t="e">
        <f>SUMIFS(#REF!,#REF!,выравнивание!$A180,#REF!,4)</f>
        <v>#REF!</v>
      </c>
      <c r="T180" s="97" t="e">
        <f>SUMIFS(#REF!,#REF!,выравнивание!$A180,#REF!,4)</f>
        <v>#REF!</v>
      </c>
      <c r="U180" s="97" t="e">
        <f>SUMIFS(#REF!,#REF!,выравнивание!$A180,#REF!,4)</f>
        <v>#REF!</v>
      </c>
      <c r="V180" s="97" t="e">
        <f>SUMIFS(#REF!,#REF!,выравнивание!$A180,#REF!,4)</f>
        <v>#REF!</v>
      </c>
      <c r="W180" s="97" t="e">
        <f>SUMIFS(#REF!,#REF!,выравнивание!$A180,#REF!,4)</f>
        <v>#REF!</v>
      </c>
      <c r="X180" s="97" t="e">
        <f>SUMIFS(#REF!,#REF!,выравнивание!$A180,#REF!,4)</f>
        <v>#REF!</v>
      </c>
      <c r="Y180" s="97" t="e">
        <f>SUMIFS(#REF!,#REF!,выравнивание!$A180,#REF!,4)</f>
        <v>#REF!</v>
      </c>
      <c r="Z180" s="97" t="e">
        <f>SUMIFS(#REF!,#REF!,выравнивание!$A180,#REF!,4)</f>
        <v>#REF!</v>
      </c>
      <c r="AA180" s="97" t="e">
        <f>SUMIFS(#REF!,#REF!,выравнивание!$A180,#REF!,4)</f>
        <v>#REF!</v>
      </c>
      <c r="AB180" s="97" t="e">
        <f>SUMIFS(#REF!,#REF!,выравнивание!$A180,#REF!,4)</f>
        <v>#REF!</v>
      </c>
      <c r="AC180" s="100" t="e">
        <f>SUMIFS(#REF!,#REF!,выравнивание!$A180,#REF!,4)</f>
        <v>#REF!</v>
      </c>
      <c r="AD180" s="100" t="e">
        <f>SUMIFS(#REF!,#REF!,выравнивание!$A180,#REF!,4)</f>
        <v>#REF!</v>
      </c>
      <c r="AE180" s="103" t="e">
        <f>SUMIF(#REF!,выравнивание!$A180,#REF!)*1000-SUMIF(#REF!,выравнивание!$A180,#REF!)*1000</f>
        <v>#REF!</v>
      </c>
      <c r="AF180" s="84" t="e">
        <f>AD180-AE180</f>
        <v>#REF!</v>
      </c>
      <c r="AU180" s="108">
        <f t="shared" si="147"/>
        <v>0</v>
      </c>
    </row>
    <row r="181" spans="1:47" hidden="1" x14ac:dyDescent="0.25">
      <c r="A181" s="6">
        <v>12</v>
      </c>
      <c r="B181" s="92" t="s">
        <v>27</v>
      </c>
      <c r="C181" s="11">
        <v>704</v>
      </c>
      <c r="D181" s="11">
        <v>2020</v>
      </c>
      <c r="E181" s="11" t="s">
        <v>184</v>
      </c>
      <c r="F181" s="104"/>
      <c r="G181" s="104"/>
      <c r="H181" s="104"/>
      <c r="I181" s="104" t="e">
        <f t="shared" ref="I181:O181" si="208">I180/$AD180</f>
        <v>#REF!</v>
      </c>
      <c r="J181" s="104" t="e">
        <f t="shared" si="208"/>
        <v>#REF!</v>
      </c>
      <c r="K181" s="104" t="e">
        <f t="shared" si="208"/>
        <v>#REF!</v>
      </c>
      <c r="L181" s="104" t="e">
        <f t="shared" si="208"/>
        <v>#REF!</v>
      </c>
      <c r="M181" s="104" t="e">
        <f t="shared" si="208"/>
        <v>#REF!</v>
      </c>
      <c r="N181" s="104" t="e">
        <f t="shared" si="208"/>
        <v>#REF!</v>
      </c>
      <c r="O181" s="104" t="e">
        <f t="shared" si="208"/>
        <v>#REF!</v>
      </c>
      <c r="P181" s="100"/>
      <c r="Q181" s="100"/>
      <c r="R181" s="100"/>
      <c r="S181" s="100"/>
      <c r="T181" s="104" t="e">
        <f t="shared" ref="T181:AB181" si="209">T180/$AD180</f>
        <v>#REF!</v>
      </c>
      <c r="U181" s="104" t="e">
        <f t="shared" si="209"/>
        <v>#REF!</v>
      </c>
      <c r="V181" s="104" t="e">
        <f t="shared" si="209"/>
        <v>#REF!</v>
      </c>
      <c r="W181" s="104" t="e">
        <f t="shared" si="209"/>
        <v>#REF!</v>
      </c>
      <c r="X181" s="104" t="e">
        <f t="shared" si="209"/>
        <v>#REF!</v>
      </c>
      <c r="Y181" s="104" t="e">
        <f t="shared" si="209"/>
        <v>#REF!</v>
      </c>
      <c r="Z181" s="104" t="e">
        <f t="shared" si="209"/>
        <v>#REF!</v>
      </c>
      <c r="AA181" s="104" t="e">
        <f t="shared" si="209"/>
        <v>#REF!</v>
      </c>
      <c r="AB181" s="104" t="e">
        <f t="shared" si="209"/>
        <v>#REF!</v>
      </c>
      <c r="AC181" s="106" t="e">
        <f>1-Z181-Y181-X181-W181-V181-U181-T181-O181-N181-L181-I181</f>
        <v>#REF!</v>
      </c>
      <c r="AD181" s="106" t="e">
        <f>AD180/$AD180</f>
        <v>#REF!</v>
      </c>
      <c r="AE181" s="81"/>
      <c r="AU181" s="108">
        <f t="shared" si="147"/>
        <v>0</v>
      </c>
    </row>
    <row r="182" spans="1:47" x14ac:dyDescent="0.25">
      <c r="A182" s="6">
        <v>12</v>
      </c>
      <c r="B182" s="92" t="s">
        <v>27</v>
      </c>
      <c r="C182" s="11">
        <v>704</v>
      </c>
      <c r="D182" s="11">
        <v>2020</v>
      </c>
      <c r="E182" s="11" t="s">
        <v>185</v>
      </c>
      <c r="F182" s="37" t="e">
        <f>G182+H182</f>
        <v>#REF!</v>
      </c>
      <c r="G182" s="37" t="e">
        <f>J182+AA182</f>
        <v>#REF!</v>
      </c>
      <c r="H182" s="37" t="e">
        <f>K182+AB182</f>
        <v>#REF!</v>
      </c>
      <c r="I182" s="37" t="e">
        <f>ROUND($AF180*I181,0)</f>
        <v>#REF!</v>
      </c>
      <c r="J182" s="37" t="e">
        <f>ROUND(I182/1.302,0)</f>
        <v>#REF!</v>
      </c>
      <c r="K182" s="37" t="e">
        <f>I182-J182</f>
        <v>#REF!</v>
      </c>
      <c r="L182" s="37" t="e">
        <f>ROUND($AF180*L181,0)</f>
        <v>#REF!</v>
      </c>
      <c r="M182" s="37" t="e">
        <f>ROUND($AF180*M181,0)</f>
        <v>#REF!</v>
      </c>
      <c r="N182" s="37" t="e">
        <f>ROUND($AF180*N181,0)</f>
        <v>#REF!</v>
      </c>
      <c r="O182" s="37" t="e">
        <f>ROUND($AF180*O181,0)</f>
        <v>#REF!</v>
      </c>
      <c r="P182" s="100"/>
      <c r="Q182" s="100"/>
      <c r="R182" s="100"/>
      <c r="S182" s="100"/>
      <c r="T182" s="37" t="e">
        <f t="shared" ref="T182:Z182" si="210">ROUND($AF180*T181,0)</f>
        <v>#REF!</v>
      </c>
      <c r="U182" s="37" t="e">
        <f t="shared" si="210"/>
        <v>#REF!</v>
      </c>
      <c r="V182" s="37" t="e">
        <f t="shared" si="210"/>
        <v>#REF!</v>
      </c>
      <c r="W182" s="37" t="e">
        <f t="shared" si="210"/>
        <v>#REF!</v>
      </c>
      <c r="X182" s="37" t="e">
        <f t="shared" si="210"/>
        <v>#REF!</v>
      </c>
      <c r="Y182" s="37" t="e">
        <f t="shared" si="210"/>
        <v>#REF!</v>
      </c>
      <c r="Z182" s="37" t="e">
        <f t="shared" si="210"/>
        <v>#REF!</v>
      </c>
      <c r="AA182" s="37" t="e">
        <f>ROUND(Z182/1.302,0)</f>
        <v>#REF!</v>
      </c>
      <c r="AB182" s="37" t="e">
        <f>Z182-AA182</f>
        <v>#REF!</v>
      </c>
      <c r="AC182" s="37" t="e">
        <f>ROUND($AF180*AC181,0)</f>
        <v>#REF!</v>
      </c>
      <c r="AD182" s="37" t="e">
        <f>I182+L182+N182+O182+T182+U182+V182+W182+X182+Y182+AC182+Z182</f>
        <v>#REF!</v>
      </c>
      <c r="AE182" s="78" t="e">
        <f>AF180</f>
        <v>#REF!</v>
      </c>
      <c r="AF182" s="78" t="e">
        <f>AE182-AF180</f>
        <v>#REF!</v>
      </c>
      <c r="AG182" s="107" t="e">
        <f>-ROUND(F182/1000,1)</f>
        <v>#REF!</v>
      </c>
      <c r="AH182" s="107" t="e">
        <f>ROUND(AG182/1.302,1)</f>
        <v>#REF!</v>
      </c>
      <c r="AI182" s="107" t="e">
        <f>AG182-AH182</f>
        <v>#REF!</v>
      </c>
      <c r="AJ182" s="107" t="e">
        <f>-ROUND(L182/1000,1)</f>
        <v>#REF!</v>
      </c>
      <c r="AK182" s="107" t="e">
        <f>-ROUND(M182/1000,1)</f>
        <v>#REF!</v>
      </c>
      <c r="AL182" s="107" t="e">
        <f>-ROUND(N182/1000,1)</f>
        <v>#REF!</v>
      </c>
      <c r="AM182" s="107" t="e">
        <f>-ROUND(O182/1000,1)</f>
        <v>#REF!</v>
      </c>
      <c r="AN182" s="107" t="e">
        <f t="shared" ref="AN182:AS182" si="211">-ROUND(T182/1000,1)</f>
        <v>#REF!</v>
      </c>
      <c r="AO182" s="107" t="e">
        <f t="shared" si="211"/>
        <v>#REF!</v>
      </c>
      <c r="AP182" s="107" t="e">
        <f t="shared" si="211"/>
        <v>#REF!</v>
      </c>
      <c r="AQ182" s="107" t="e">
        <f t="shared" si="211"/>
        <v>#REF!</v>
      </c>
      <c r="AR182" s="107" t="e">
        <f t="shared" si="211"/>
        <v>#REF!</v>
      </c>
      <c r="AS182" s="107" t="e">
        <f t="shared" si="211"/>
        <v>#REF!</v>
      </c>
      <c r="AT182" s="107" t="e">
        <f>-ROUND(AC182/1000,1)</f>
        <v>#REF!</v>
      </c>
      <c r="AU182" s="108" t="e">
        <f t="shared" si="147"/>
        <v>#REF!</v>
      </c>
    </row>
    <row r="183" spans="1:47" ht="15.75" hidden="1" x14ac:dyDescent="0.25">
      <c r="A183" s="40">
        <v>21</v>
      </c>
      <c r="B183" s="94" t="s">
        <v>173</v>
      </c>
      <c r="C183" s="11">
        <v>704</v>
      </c>
      <c r="D183" s="11">
        <v>2018</v>
      </c>
      <c r="E183" s="11" t="s">
        <v>182</v>
      </c>
      <c r="F183" s="100"/>
      <c r="G183" s="100"/>
      <c r="H183" s="100"/>
      <c r="I183" s="100">
        <f>SUMIFS('2020'!BM:BM,'2020'!$B:$B,выравнивание!$A183,'2020'!$G:$G,4)</f>
        <v>11292587</v>
      </c>
      <c r="J183" s="100">
        <f>SUMIFS('2020'!BN:BN,'2020'!$B:$B,выравнивание!$A183,'2020'!$G:$G,4)</f>
        <v>8673261.8000000007</v>
      </c>
      <c r="K183" s="100">
        <f>SUMIFS('2020'!BO:BO,'2020'!$B:$B,выравнивание!$A183,'2020'!$G:$G,4)</f>
        <v>2619325.2000000002</v>
      </c>
      <c r="L183" s="100">
        <f>SUMIFS('2020'!BP:BP,'2020'!$B:$B,выравнивание!$A183,'2020'!$G:$G,4)</f>
        <v>828940</v>
      </c>
      <c r="M183" s="100">
        <f>SUMIFS('2020'!BQ:BQ,'2020'!$B:$B,выравнивание!$A183,'2020'!$G:$G,4)</f>
        <v>165788</v>
      </c>
      <c r="N183" s="100">
        <f>SUMIFS('2020'!BR:BR,'2020'!$B:$B,выравнивание!$A183,'2020'!$G:$G,4)</f>
        <v>1722980</v>
      </c>
      <c r="O183" s="100">
        <f>SUMIFS('2020'!BS:BS,'2020'!$B:$B,выравнивание!$A183,'2020'!$G:$G,4)</f>
        <v>5951430</v>
      </c>
      <c r="P183" s="100">
        <f>SUMIFS('2020'!BT:BT,'2020'!$B:$B,выравнивание!$A183,'2020'!$G:$G,4)</f>
        <v>0</v>
      </c>
      <c r="Q183" s="100">
        <f>SUMIFS('2020'!BU:BU,'2020'!$B:$B,выравнивание!$A183,'2020'!$G:$G,4)</f>
        <v>0</v>
      </c>
      <c r="R183" s="100">
        <f>SUMIFS('2020'!BV:BV,'2020'!$B:$B,выравнивание!$A183,'2020'!$G:$G,4)</f>
        <v>0</v>
      </c>
      <c r="S183" s="100">
        <f>SUMIFS('2020'!BW:BW,'2020'!$B:$B,выравнивание!$A183,'2020'!$G:$G,4)</f>
        <v>0</v>
      </c>
      <c r="T183" s="100">
        <f>SUMIFS('2020'!BX:BX,'2020'!$B:$B,выравнивание!$A183,'2020'!$G:$G,4)</f>
        <v>2283640</v>
      </c>
      <c r="U183" s="100">
        <f>SUMIFS('2020'!BY:BY,'2020'!$B:$B,выравнивание!$A183,'2020'!$G:$G,4)</f>
        <v>3741080</v>
      </c>
      <c r="V183" s="100">
        <f>SUMIFS('2020'!BZ:BZ,'2020'!$B:$B,выравнивание!$A183,'2020'!$G:$G,4)</f>
        <v>134540</v>
      </c>
      <c r="W183" s="100">
        <f>SUMIFS('2020'!CA:CA,'2020'!$B:$B,выравнивание!$A183,'2020'!$G:$G,4)</f>
        <v>538160</v>
      </c>
      <c r="X183" s="100">
        <f>SUMIFS('2020'!CB:CB,'2020'!$B:$B,выравнивание!$A183,'2020'!$G:$G,4)</f>
        <v>21700</v>
      </c>
      <c r="Y183" s="100">
        <f>SUMIFS('2020'!CC:CC,'2020'!$B:$B,выравнивание!$A183,'2020'!$G:$G,4)</f>
        <v>1115380</v>
      </c>
      <c r="Z183" s="100">
        <f>SUMIFS('2020'!CD:CD,'2020'!$B:$B,выравнивание!$A183,'2020'!$G:$G,4)</f>
        <v>9035081</v>
      </c>
      <c r="AA183" s="100">
        <f>SUMIFS('2020'!CE:CE,'2020'!$B:$B,выравнивание!$A183,'2020'!$G:$G,4)</f>
        <v>6939386.2999999998</v>
      </c>
      <c r="AB183" s="100">
        <f>SUMIFS('2020'!CF:CF,'2020'!$B:$B,выравнивание!$A183,'2020'!$G:$G,4)</f>
        <v>2095694.7</v>
      </c>
      <c r="AC183" s="100">
        <f>SUMIFS('2020'!CG:CG,'2020'!$B:$B,выравнивание!$A183,'2020'!$G:$G,4)</f>
        <v>282100</v>
      </c>
      <c r="AD183" s="100">
        <f>SUMIFS('2020'!CH:CH,'2020'!$B:$B,выравнивание!$A183,'2020'!$G:$G,4)</f>
        <v>36947618</v>
      </c>
      <c r="AE183" s="84">
        <f>SUMIF('Свод 2020'!$A$44:$A$57,выравнивание!$A183,'Свод 2020'!$AA$44:$AA$57)*1000-SUMIF('Свод 2020'!$A$44:$A$57,выравнивание!$A183,'Свод 2020'!$S$44:$S$57)*1000</f>
        <v>26731900</v>
      </c>
      <c r="AF183" s="105">
        <f>AD183-AE183</f>
        <v>10215718</v>
      </c>
      <c r="AU183" s="108">
        <f t="shared" si="147"/>
        <v>0</v>
      </c>
    </row>
    <row r="184" spans="1:47" ht="15.75" hidden="1" x14ac:dyDescent="0.25">
      <c r="A184" s="40">
        <v>21</v>
      </c>
      <c r="B184" s="94" t="s">
        <v>173</v>
      </c>
      <c r="C184" s="11">
        <v>704</v>
      </c>
      <c r="D184" s="11">
        <v>2018</v>
      </c>
      <c r="E184" s="11" t="s">
        <v>184</v>
      </c>
      <c r="F184" s="104"/>
      <c r="G184" s="104"/>
      <c r="H184" s="104"/>
      <c r="I184" s="104">
        <f t="shared" ref="I184:O184" si="212">I183/$AD183</f>
        <v>0.30563800000000002</v>
      </c>
      <c r="J184" s="104">
        <f t="shared" si="212"/>
        <v>0.23474500000000001</v>
      </c>
      <c r="K184" s="104">
        <f t="shared" si="212"/>
        <v>7.0892999999999998E-2</v>
      </c>
      <c r="L184" s="104">
        <f t="shared" si="212"/>
        <v>2.2436000000000001E-2</v>
      </c>
      <c r="M184" s="104">
        <f t="shared" si="212"/>
        <v>4.4869999999999997E-3</v>
      </c>
      <c r="N184" s="104">
        <f t="shared" si="212"/>
        <v>4.6633000000000001E-2</v>
      </c>
      <c r="O184" s="104">
        <f t="shared" si="212"/>
        <v>0.161078</v>
      </c>
      <c r="P184" s="100"/>
      <c r="Q184" s="100"/>
      <c r="R184" s="100"/>
      <c r="S184" s="100"/>
      <c r="T184" s="104">
        <f t="shared" ref="T184:AB184" si="213">T183/$AD183</f>
        <v>6.1808000000000002E-2</v>
      </c>
      <c r="U184" s="104">
        <f t="shared" si="213"/>
        <v>0.101254</v>
      </c>
      <c r="V184" s="104">
        <f t="shared" si="213"/>
        <v>3.6410000000000001E-3</v>
      </c>
      <c r="W184" s="104">
        <f t="shared" si="213"/>
        <v>1.4565E-2</v>
      </c>
      <c r="X184" s="104">
        <f t="shared" si="213"/>
        <v>5.8699999999999996E-4</v>
      </c>
      <c r="Y184" s="104">
        <f t="shared" si="213"/>
        <v>3.0188E-2</v>
      </c>
      <c r="Z184" s="104">
        <f t="shared" si="213"/>
        <v>0.24453800000000001</v>
      </c>
      <c r="AA184" s="104">
        <f t="shared" si="213"/>
        <v>0.18781700000000001</v>
      </c>
      <c r="AB184" s="104">
        <f t="shared" si="213"/>
        <v>5.6721000000000001E-2</v>
      </c>
      <c r="AC184" s="106">
        <f>1-Z184-Y184-X184-W184-V184-U184-T184-O184-N184-L184-I184</f>
        <v>7.6340000000000002E-3</v>
      </c>
      <c r="AD184" s="106">
        <f>AD183/$AD183</f>
        <v>1</v>
      </c>
      <c r="AE184" s="81"/>
      <c r="AU184" s="108">
        <f t="shared" si="147"/>
        <v>0</v>
      </c>
    </row>
    <row r="185" spans="1:47" ht="15.75" x14ac:dyDescent="0.25">
      <c r="A185" s="40">
        <v>21</v>
      </c>
      <c r="B185" s="94" t="s">
        <v>173</v>
      </c>
      <c r="C185" s="11">
        <v>704</v>
      </c>
      <c r="D185" s="11">
        <v>2018</v>
      </c>
      <c r="E185" s="11" t="s">
        <v>185</v>
      </c>
      <c r="F185" s="37">
        <f>G185+H185</f>
        <v>5620443</v>
      </c>
      <c r="G185" s="37">
        <f>J185+AA185</f>
        <v>4316776</v>
      </c>
      <c r="H185" s="37">
        <f>K185+AB185</f>
        <v>1303667</v>
      </c>
      <c r="I185" s="37">
        <f>ROUND($AF183*I184,0)</f>
        <v>3122312</v>
      </c>
      <c r="J185" s="37">
        <f>ROUND(I185/1.302,0)</f>
        <v>2398089</v>
      </c>
      <c r="K185" s="37">
        <f>I185-J185</f>
        <v>724223</v>
      </c>
      <c r="L185" s="37">
        <f>ROUND($AF183*L184,0)</f>
        <v>229200</v>
      </c>
      <c r="M185" s="37">
        <f>ROUND($AF183*M184,0)</f>
        <v>45838</v>
      </c>
      <c r="N185" s="37">
        <f>ROUND($AF183*N184,0)</f>
        <v>476390</v>
      </c>
      <c r="O185" s="37">
        <f>ROUND($AF183*O184,0)</f>
        <v>1645527</v>
      </c>
      <c r="P185" s="100"/>
      <c r="Q185" s="100"/>
      <c r="R185" s="100"/>
      <c r="S185" s="100"/>
      <c r="T185" s="37">
        <f t="shared" ref="T185:Z185" si="214">ROUND($AF183*T184,0)</f>
        <v>631413</v>
      </c>
      <c r="U185" s="37">
        <f t="shared" si="214"/>
        <v>1034382</v>
      </c>
      <c r="V185" s="37">
        <f t="shared" si="214"/>
        <v>37195</v>
      </c>
      <c r="W185" s="37">
        <f t="shared" si="214"/>
        <v>148792</v>
      </c>
      <c r="X185" s="37">
        <f t="shared" si="214"/>
        <v>5997</v>
      </c>
      <c r="Y185" s="37">
        <f t="shared" si="214"/>
        <v>308392</v>
      </c>
      <c r="Z185" s="37">
        <f t="shared" si="214"/>
        <v>2498131</v>
      </c>
      <c r="AA185" s="37">
        <f>ROUND(Z185/1.302,0)</f>
        <v>1918687</v>
      </c>
      <c r="AB185" s="37">
        <f>Z185-AA185</f>
        <v>579444</v>
      </c>
      <c r="AC185" s="37">
        <f>ROUND($AF183*AC184,0)</f>
        <v>77987</v>
      </c>
      <c r="AD185" s="37">
        <f>I185+L185+N185+O185+T185+U185+V185+W185+X185+Y185+AC185+Z185</f>
        <v>10215718</v>
      </c>
      <c r="AE185" s="78">
        <f>AF183</f>
        <v>10215718</v>
      </c>
      <c r="AF185" s="78">
        <f>AE185-AF183</f>
        <v>0</v>
      </c>
      <c r="AG185" s="107">
        <f>-ROUND(F185/1000,1)</f>
        <v>-5620.4</v>
      </c>
      <c r="AH185" s="107">
        <f>ROUND(AG185/1.302,1)</f>
        <v>-4316.7</v>
      </c>
      <c r="AI185" s="107">
        <f>AG185-AH185</f>
        <v>-1303.7</v>
      </c>
      <c r="AJ185" s="107">
        <f>-ROUND(L185/1000,1)</f>
        <v>-229.2</v>
      </c>
      <c r="AK185" s="107">
        <f>-ROUND(M185/1000,1)</f>
        <v>-45.8</v>
      </c>
      <c r="AL185" s="107">
        <f>-ROUND(N185/1000,1)</f>
        <v>-476.4</v>
      </c>
      <c r="AM185" s="107">
        <f>-ROUND(O185/1000,1)</f>
        <v>-1645.5</v>
      </c>
      <c r="AN185" s="107">
        <f t="shared" ref="AN185:AS185" si="215">-ROUND(T185/1000,1)</f>
        <v>-631.4</v>
      </c>
      <c r="AO185" s="107">
        <f t="shared" si="215"/>
        <v>-1034.4000000000001</v>
      </c>
      <c r="AP185" s="107">
        <f t="shared" si="215"/>
        <v>-37.200000000000003</v>
      </c>
      <c r="AQ185" s="107">
        <f t="shared" si="215"/>
        <v>-148.80000000000001</v>
      </c>
      <c r="AR185" s="107">
        <f t="shared" si="215"/>
        <v>-6</v>
      </c>
      <c r="AS185" s="107">
        <f t="shared" si="215"/>
        <v>-308.39999999999998</v>
      </c>
      <c r="AT185" s="107">
        <f>-ROUND(AC185/1000,1)</f>
        <v>-78</v>
      </c>
      <c r="AU185" s="108">
        <f t="shared" si="147"/>
        <v>-10215.700000000001</v>
      </c>
    </row>
    <row r="186" spans="1:47" ht="15.75" hidden="1" x14ac:dyDescent="0.25">
      <c r="A186" s="40">
        <v>21</v>
      </c>
      <c r="B186" s="94" t="s">
        <v>173</v>
      </c>
      <c r="C186" s="11">
        <v>704</v>
      </c>
      <c r="D186" s="11">
        <v>2019</v>
      </c>
      <c r="E186" s="11" t="s">
        <v>182</v>
      </c>
      <c r="F186" s="97"/>
      <c r="G186" s="97"/>
      <c r="H186" s="97"/>
      <c r="I186" s="97" t="e">
        <f>SUMIFS(#REF!,#REF!,выравнивание!$A186,#REF!,4)</f>
        <v>#REF!</v>
      </c>
      <c r="J186" s="97" t="e">
        <f>SUMIFS(#REF!,#REF!,выравнивание!$A186,#REF!,4)</f>
        <v>#REF!</v>
      </c>
      <c r="K186" s="97" t="e">
        <f>SUMIFS(#REF!,#REF!,выравнивание!$A186,#REF!,4)</f>
        <v>#REF!</v>
      </c>
      <c r="L186" s="97" t="e">
        <f>SUMIFS(#REF!,#REF!,выравнивание!$A186,#REF!,4)</f>
        <v>#REF!</v>
      </c>
      <c r="M186" s="97" t="e">
        <f>SUMIFS(#REF!,#REF!,выравнивание!$A186,#REF!,4)</f>
        <v>#REF!</v>
      </c>
      <c r="N186" s="97" t="e">
        <f>SUMIFS(#REF!,#REF!,выравнивание!$A186,#REF!,4)</f>
        <v>#REF!</v>
      </c>
      <c r="O186" s="97" t="e">
        <f>SUMIFS(#REF!,#REF!,выравнивание!$A186,#REF!,4)</f>
        <v>#REF!</v>
      </c>
      <c r="P186" s="97" t="e">
        <f>SUMIFS(#REF!,#REF!,выравнивание!$A186,#REF!,4)</f>
        <v>#REF!</v>
      </c>
      <c r="Q186" s="97" t="e">
        <f>SUMIFS(#REF!,#REF!,выравнивание!$A186,#REF!,4)</f>
        <v>#REF!</v>
      </c>
      <c r="R186" s="97" t="e">
        <f>SUMIFS(#REF!,#REF!,выравнивание!$A186,#REF!,4)</f>
        <v>#REF!</v>
      </c>
      <c r="S186" s="97" t="e">
        <f>SUMIFS(#REF!,#REF!,выравнивание!$A186,#REF!,4)</f>
        <v>#REF!</v>
      </c>
      <c r="T186" s="97" t="e">
        <f>SUMIFS(#REF!,#REF!,выравнивание!$A186,#REF!,4)</f>
        <v>#REF!</v>
      </c>
      <c r="U186" s="97" t="e">
        <f>SUMIFS(#REF!,#REF!,выравнивание!$A186,#REF!,4)</f>
        <v>#REF!</v>
      </c>
      <c r="V186" s="97" t="e">
        <f>SUMIFS(#REF!,#REF!,выравнивание!$A186,#REF!,4)</f>
        <v>#REF!</v>
      </c>
      <c r="W186" s="97" t="e">
        <f>SUMIFS(#REF!,#REF!,выравнивание!$A186,#REF!,4)</f>
        <v>#REF!</v>
      </c>
      <c r="X186" s="97" t="e">
        <f>SUMIFS(#REF!,#REF!,выравнивание!$A186,#REF!,4)</f>
        <v>#REF!</v>
      </c>
      <c r="Y186" s="97" t="e">
        <f>SUMIFS(#REF!,#REF!,выравнивание!$A186,#REF!,4)</f>
        <v>#REF!</v>
      </c>
      <c r="Z186" s="97" t="e">
        <f>SUMIFS(#REF!,#REF!,выравнивание!$A186,#REF!,4)</f>
        <v>#REF!</v>
      </c>
      <c r="AA186" s="97" t="e">
        <f>SUMIFS(#REF!,#REF!,выравнивание!$A186,#REF!,4)</f>
        <v>#REF!</v>
      </c>
      <c r="AB186" s="97" t="e">
        <f>SUMIFS(#REF!,#REF!,выравнивание!$A186,#REF!,4)</f>
        <v>#REF!</v>
      </c>
      <c r="AC186" s="100" t="e">
        <f>SUMIFS(#REF!,#REF!,выравнивание!$A186,#REF!,4)</f>
        <v>#REF!</v>
      </c>
      <c r="AD186" s="100" t="e">
        <f>SUMIFS(#REF!,#REF!,выравнивание!$A186,#REF!,4)</f>
        <v>#REF!</v>
      </c>
      <c r="AE186" s="103" t="e">
        <f>SUMIF(#REF!,выравнивание!$A186,#REF!)*1000-SUMIF(#REF!,выравнивание!$A186,#REF!)*1000</f>
        <v>#REF!</v>
      </c>
      <c r="AF186" s="105" t="e">
        <f>AD186-AE186</f>
        <v>#REF!</v>
      </c>
      <c r="AU186" s="108">
        <f t="shared" si="147"/>
        <v>0</v>
      </c>
    </row>
    <row r="187" spans="1:47" ht="15.75" hidden="1" x14ac:dyDescent="0.25">
      <c r="A187" s="40">
        <v>21</v>
      </c>
      <c r="B187" s="94" t="s">
        <v>173</v>
      </c>
      <c r="C187" s="11">
        <v>704</v>
      </c>
      <c r="D187" s="11">
        <v>2019</v>
      </c>
      <c r="E187" s="11" t="s">
        <v>184</v>
      </c>
      <c r="F187" s="104"/>
      <c r="G187" s="104"/>
      <c r="H187" s="104"/>
      <c r="I187" s="104" t="e">
        <f t="shared" ref="I187:O187" si="216">I186/$AD186</f>
        <v>#REF!</v>
      </c>
      <c r="J187" s="104" t="e">
        <f t="shared" si="216"/>
        <v>#REF!</v>
      </c>
      <c r="K187" s="104" t="e">
        <f t="shared" si="216"/>
        <v>#REF!</v>
      </c>
      <c r="L187" s="104" t="e">
        <f t="shared" si="216"/>
        <v>#REF!</v>
      </c>
      <c r="M187" s="104" t="e">
        <f t="shared" si="216"/>
        <v>#REF!</v>
      </c>
      <c r="N187" s="104" t="e">
        <f t="shared" si="216"/>
        <v>#REF!</v>
      </c>
      <c r="O187" s="104" t="e">
        <f t="shared" si="216"/>
        <v>#REF!</v>
      </c>
      <c r="P187" s="100"/>
      <c r="Q187" s="100"/>
      <c r="R187" s="100"/>
      <c r="S187" s="100"/>
      <c r="T187" s="104" t="e">
        <f t="shared" ref="T187:AB187" si="217">T186/$AD186</f>
        <v>#REF!</v>
      </c>
      <c r="U187" s="104" t="e">
        <f t="shared" si="217"/>
        <v>#REF!</v>
      </c>
      <c r="V187" s="104" t="e">
        <f t="shared" si="217"/>
        <v>#REF!</v>
      </c>
      <c r="W187" s="104" t="e">
        <f t="shared" si="217"/>
        <v>#REF!</v>
      </c>
      <c r="X187" s="104" t="e">
        <f t="shared" si="217"/>
        <v>#REF!</v>
      </c>
      <c r="Y187" s="104" t="e">
        <f t="shared" si="217"/>
        <v>#REF!</v>
      </c>
      <c r="Z187" s="104" t="e">
        <f t="shared" si="217"/>
        <v>#REF!</v>
      </c>
      <c r="AA187" s="104" t="e">
        <f t="shared" si="217"/>
        <v>#REF!</v>
      </c>
      <c r="AB187" s="104" t="e">
        <f t="shared" si="217"/>
        <v>#REF!</v>
      </c>
      <c r="AC187" s="106" t="e">
        <f>1-Z187-Y187-X187-W187-V187-U187-T187-O187-N187-L187-I187</f>
        <v>#REF!</v>
      </c>
      <c r="AD187" s="106" t="e">
        <f>AD186/$AD186</f>
        <v>#REF!</v>
      </c>
      <c r="AE187" s="81"/>
      <c r="AU187" s="108">
        <f t="shared" si="147"/>
        <v>0</v>
      </c>
    </row>
    <row r="188" spans="1:47" ht="15.75" x14ac:dyDescent="0.25">
      <c r="A188" s="40">
        <v>21</v>
      </c>
      <c r="B188" s="94" t="s">
        <v>173</v>
      </c>
      <c r="C188" s="11">
        <v>704</v>
      </c>
      <c r="D188" s="11">
        <v>2019</v>
      </c>
      <c r="E188" s="11" t="s">
        <v>185</v>
      </c>
      <c r="F188" s="37" t="e">
        <f>G188+H188</f>
        <v>#REF!</v>
      </c>
      <c r="G188" s="37" t="e">
        <f>J188+AA188</f>
        <v>#REF!</v>
      </c>
      <c r="H188" s="37" t="e">
        <f>K188+AB188</f>
        <v>#REF!</v>
      </c>
      <c r="I188" s="37" t="e">
        <f>ROUND($AF186*I187,0)</f>
        <v>#REF!</v>
      </c>
      <c r="J188" s="37" t="e">
        <f>ROUND(I188/1.302,0)</f>
        <v>#REF!</v>
      </c>
      <c r="K188" s="37" t="e">
        <f>I188-J188</f>
        <v>#REF!</v>
      </c>
      <c r="L188" s="37" t="e">
        <f>ROUND($AF186*L187,0)</f>
        <v>#REF!</v>
      </c>
      <c r="M188" s="37" t="e">
        <f>ROUND($AF186*M187,0)</f>
        <v>#REF!</v>
      </c>
      <c r="N188" s="37" t="e">
        <f>ROUND($AF186*N187,0)</f>
        <v>#REF!</v>
      </c>
      <c r="O188" s="37" t="e">
        <f>ROUND($AF186*O187,0)</f>
        <v>#REF!</v>
      </c>
      <c r="P188" s="100"/>
      <c r="Q188" s="100"/>
      <c r="R188" s="100"/>
      <c r="S188" s="100"/>
      <c r="T188" s="37" t="e">
        <f t="shared" ref="T188:Z188" si="218">ROUND($AF186*T187,0)</f>
        <v>#REF!</v>
      </c>
      <c r="U188" s="37" t="e">
        <f t="shared" si="218"/>
        <v>#REF!</v>
      </c>
      <c r="V188" s="37" t="e">
        <f t="shared" si="218"/>
        <v>#REF!</v>
      </c>
      <c r="W188" s="37" t="e">
        <f t="shared" si="218"/>
        <v>#REF!</v>
      </c>
      <c r="X188" s="37" t="e">
        <f t="shared" si="218"/>
        <v>#REF!</v>
      </c>
      <c r="Y188" s="37" t="e">
        <f t="shared" si="218"/>
        <v>#REF!</v>
      </c>
      <c r="Z188" s="37" t="e">
        <f t="shared" si="218"/>
        <v>#REF!</v>
      </c>
      <c r="AA188" s="37" t="e">
        <f>ROUND(Z188/1.302,0)</f>
        <v>#REF!</v>
      </c>
      <c r="AB188" s="37" t="e">
        <f>Z188-AA188</f>
        <v>#REF!</v>
      </c>
      <c r="AC188" s="37" t="e">
        <f>ROUND($AF186*AC187,0)</f>
        <v>#REF!</v>
      </c>
      <c r="AD188" s="37" t="e">
        <f>I188+L188+N188+O188+T188+U188+V188+W188+X188+Y188+AC188+Z188</f>
        <v>#REF!</v>
      </c>
      <c r="AE188" s="78" t="e">
        <f>AF186</f>
        <v>#REF!</v>
      </c>
      <c r="AF188" s="78" t="e">
        <f>AE188-AF186</f>
        <v>#REF!</v>
      </c>
      <c r="AG188" s="107" t="e">
        <f>-ROUND(F188/1000,1)</f>
        <v>#REF!</v>
      </c>
      <c r="AH188" s="107" t="e">
        <f>ROUND(AG188/1.302,1)</f>
        <v>#REF!</v>
      </c>
      <c r="AI188" s="107" t="e">
        <f>AG188-AH188</f>
        <v>#REF!</v>
      </c>
      <c r="AJ188" s="107" t="e">
        <f>-ROUND(L188/1000,1)</f>
        <v>#REF!</v>
      </c>
      <c r="AK188" s="107" t="e">
        <f>-ROUND(M188/1000,1)</f>
        <v>#REF!</v>
      </c>
      <c r="AL188" s="107" t="e">
        <f>-ROUND(N188/1000,1)</f>
        <v>#REF!</v>
      </c>
      <c r="AM188" s="107" t="e">
        <f>-ROUND(O188/1000,1)</f>
        <v>#REF!</v>
      </c>
      <c r="AN188" s="107" t="e">
        <f t="shared" ref="AN188:AS188" si="219">-ROUND(T188/1000,1)</f>
        <v>#REF!</v>
      </c>
      <c r="AO188" s="107" t="e">
        <f t="shared" si="219"/>
        <v>#REF!</v>
      </c>
      <c r="AP188" s="107" t="e">
        <f t="shared" si="219"/>
        <v>#REF!</v>
      </c>
      <c r="AQ188" s="107" t="e">
        <f t="shared" si="219"/>
        <v>#REF!</v>
      </c>
      <c r="AR188" s="107" t="e">
        <f t="shared" si="219"/>
        <v>#REF!</v>
      </c>
      <c r="AS188" s="107" t="e">
        <f t="shared" si="219"/>
        <v>#REF!</v>
      </c>
      <c r="AT188" s="107" t="e">
        <f>-ROUND(AC188/1000,1)</f>
        <v>#REF!</v>
      </c>
      <c r="AU188" s="108" t="e">
        <f t="shared" si="147"/>
        <v>#REF!</v>
      </c>
    </row>
    <row r="189" spans="1:47" ht="15.75" hidden="1" x14ac:dyDescent="0.25">
      <c r="A189" s="40">
        <v>21</v>
      </c>
      <c r="B189" s="94" t="s">
        <v>173</v>
      </c>
      <c r="C189" s="11">
        <v>704</v>
      </c>
      <c r="D189" s="11">
        <v>2020</v>
      </c>
      <c r="E189" s="11" t="s">
        <v>182</v>
      </c>
      <c r="F189" s="97"/>
      <c r="G189" s="97"/>
      <c r="H189" s="97"/>
      <c r="I189" s="97" t="e">
        <f>SUMIFS(#REF!,#REF!,выравнивание!$A189,#REF!,4)</f>
        <v>#REF!</v>
      </c>
      <c r="J189" s="97" t="e">
        <f>SUMIFS(#REF!,#REF!,выравнивание!$A189,#REF!,4)</f>
        <v>#REF!</v>
      </c>
      <c r="K189" s="97" t="e">
        <f>SUMIFS(#REF!,#REF!,выравнивание!$A189,#REF!,4)</f>
        <v>#REF!</v>
      </c>
      <c r="L189" s="97" t="e">
        <f>SUMIFS(#REF!,#REF!,выравнивание!$A189,#REF!,4)</f>
        <v>#REF!</v>
      </c>
      <c r="M189" s="97" t="e">
        <f>SUMIFS(#REF!,#REF!,выравнивание!$A189,#REF!,4)</f>
        <v>#REF!</v>
      </c>
      <c r="N189" s="97" t="e">
        <f>SUMIFS(#REF!,#REF!,выравнивание!$A189,#REF!,4)</f>
        <v>#REF!</v>
      </c>
      <c r="O189" s="97" t="e">
        <f>SUMIFS(#REF!,#REF!,выравнивание!$A189,#REF!,4)</f>
        <v>#REF!</v>
      </c>
      <c r="P189" s="97" t="e">
        <f>SUMIFS(#REF!,#REF!,выравнивание!$A189,#REF!,4)</f>
        <v>#REF!</v>
      </c>
      <c r="Q189" s="97" t="e">
        <f>SUMIFS(#REF!,#REF!,выравнивание!$A189,#REF!,4)</f>
        <v>#REF!</v>
      </c>
      <c r="R189" s="97" t="e">
        <f>SUMIFS(#REF!,#REF!,выравнивание!$A189,#REF!,4)</f>
        <v>#REF!</v>
      </c>
      <c r="S189" s="97" t="e">
        <f>SUMIFS(#REF!,#REF!,выравнивание!$A189,#REF!,4)</f>
        <v>#REF!</v>
      </c>
      <c r="T189" s="97" t="e">
        <f>SUMIFS(#REF!,#REF!,выравнивание!$A189,#REF!,4)</f>
        <v>#REF!</v>
      </c>
      <c r="U189" s="97" t="e">
        <f>SUMIFS(#REF!,#REF!,выравнивание!$A189,#REF!,4)</f>
        <v>#REF!</v>
      </c>
      <c r="V189" s="97" t="e">
        <f>SUMIFS(#REF!,#REF!,выравнивание!$A189,#REF!,4)</f>
        <v>#REF!</v>
      </c>
      <c r="W189" s="97" t="e">
        <f>SUMIFS(#REF!,#REF!,выравнивание!$A189,#REF!,4)</f>
        <v>#REF!</v>
      </c>
      <c r="X189" s="97" t="e">
        <f>SUMIFS(#REF!,#REF!,выравнивание!$A189,#REF!,4)</f>
        <v>#REF!</v>
      </c>
      <c r="Y189" s="97" t="e">
        <f>SUMIFS(#REF!,#REF!,выравнивание!$A189,#REF!,4)</f>
        <v>#REF!</v>
      </c>
      <c r="Z189" s="97" t="e">
        <f>SUMIFS(#REF!,#REF!,выравнивание!$A189,#REF!,4)</f>
        <v>#REF!</v>
      </c>
      <c r="AA189" s="97" t="e">
        <f>SUMIFS(#REF!,#REF!,выравнивание!$A189,#REF!,4)</f>
        <v>#REF!</v>
      </c>
      <c r="AB189" s="97" t="e">
        <f>SUMIFS(#REF!,#REF!,выравнивание!$A189,#REF!,4)</f>
        <v>#REF!</v>
      </c>
      <c r="AC189" s="100" t="e">
        <f>SUMIFS(#REF!,#REF!,выравнивание!$A189,#REF!,4)</f>
        <v>#REF!</v>
      </c>
      <c r="AD189" s="100" t="e">
        <f>SUMIFS(#REF!,#REF!,выравнивание!$A189,#REF!,4)</f>
        <v>#REF!</v>
      </c>
      <c r="AE189" s="103" t="e">
        <f>SUMIF(#REF!,выравнивание!$A189,#REF!)*1000-SUMIF(#REF!,выравнивание!$A189,#REF!)*1000</f>
        <v>#REF!</v>
      </c>
      <c r="AF189" s="84" t="e">
        <f>AD189-AE189</f>
        <v>#REF!</v>
      </c>
      <c r="AU189" s="108">
        <f t="shared" si="147"/>
        <v>0</v>
      </c>
    </row>
    <row r="190" spans="1:47" ht="15.75" hidden="1" x14ac:dyDescent="0.25">
      <c r="A190" s="40">
        <v>21</v>
      </c>
      <c r="B190" s="94" t="s">
        <v>173</v>
      </c>
      <c r="C190" s="11">
        <v>704</v>
      </c>
      <c r="D190" s="11">
        <v>2020</v>
      </c>
      <c r="E190" s="11" t="s">
        <v>184</v>
      </c>
      <c r="F190" s="104"/>
      <c r="G190" s="104"/>
      <c r="H190" s="104"/>
      <c r="I190" s="104" t="e">
        <f t="shared" ref="I190:O190" si="220">I189/$AD189</f>
        <v>#REF!</v>
      </c>
      <c r="J190" s="104" t="e">
        <f t="shared" si="220"/>
        <v>#REF!</v>
      </c>
      <c r="K190" s="104" t="e">
        <f t="shared" si="220"/>
        <v>#REF!</v>
      </c>
      <c r="L190" s="104" t="e">
        <f t="shared" si="220"/>
        <v>#REF!</v>
      </c>
      <c r="M190" s="104" t="e">
        <f t="shared" si="220"/>
        <v>#REF!</v>
      </c>
      <c r="N190" s="104" t="e">
        <f t="shared" si="220"/>
        <v>#REF!</v>
      </c>
      <c r="O190" s="104" t="e">
        <f t="shared" si="220"/>
        <v>#REF!</v>
      </c>
      <c r="P190" s="100"/>
      <c r="Q190" s="100"/>
      <c r="R190" s="100"/>
      <c r="S190" s="100"/>
      <c r="T190" s="104" t="e">
        <f t="shared" ref="T190:AB190" si="221">T189/$AD189</f>
        <v>#REF!</v>
      </c>
      <c r="U190" s="104" t="e">
        <f t="shared" si="221"/>
        <v>#REF!</v>
      </c>
      <c r="V190" s="104" t="e">
        <f t="shared" si="221"/>
        <v>#REF!</v>
      </c>
      <c r="W190" s="104" t="e">
        <f t="shared" si="221"/>
        <v>#REF!</v>
      </c>
      <c r="X190" s="104" t="e">
        <f t="shared" si="221"/>
        <v>#REF!</v>
      </c>
      <c r="Y190" s="104" t="e">
        <f t="shared" si="221"/>
        <v>#REF!</v>
      </c>
      <c r="Z190" s="104" t="e">
        <f t="shared" si="221"/>
        <v>#REF!</v>
      </c>
      <c r="AA190" s="104" t="e">
        <f t="shared" si="221"/>
        <v>#REF!</v>
      </c>
      <c r="AB190" s="104" t="e">
        <f t="shared" si="221"/>
        <v>#REF!</v>
      </c>
      <c r="AC190" s="106" t="e">
        <f>1-Z190-Y190-X190-W190-V190-U190-T190-O190-N190-L190-I190</f>
        <v>#REF!</v>
      </c>
      <c r="AD190" s="106" t="e">
        <f>AD189/$AD189</f>
        <v>#REF!</v>
      </c>
      <c r="AE190" s="81"/>
      <c r="AU190" s="108">
        <f t="shared" si="147"/>
        <v>0</v>
      </c>
    </row>
    <row r="191" spans="1:47" ht="15.75" x14ac:dyDescent="0.25">
      <c r="A191" s="40">
        <v>21</v>
      </c>
      <c r="B191" s="94" t="s">
        <v>173</v>
      </c>
      <c r="C191" s="11">
        <v>704</v>
      </c>
      <c r="D191" s="11">
        <v>2020</v>
      </c>
      <c r="E191" s="11" t="s">
        <v>185</v>
      </c>
      <c r="F191" s="37" t="e">
        <f>G191+H191</f>
        <v>#REF!</v>
      </c>
      <c r="G191" s="37" t="e">
        <f>J191+AA191</f>
        <v>#REF!</v>
      </c>
      <c r="H191" s="37" t="e">
        <f>K191+AB191</f>
        <v>#REF!</v>
      </c>
      <c r="I191" s="37" t="e">
        <f>ROUND($AF189*I190,0)</f>
        <v>#REF!</v>
      </c>
      <c r="J191" s="37" t="e">
        <f>ROUND(I191/1.302,0)</f>
        <v>#REF!</v>
      </c>
      <c r="K191" s="37" t="e">
        <f>I191-J191</f>
        <v>#REF!</v>
      </c>
      <c r="L191" s="37" t="e">
        <f>ROUND($AF189*L190,0)</f>
        <v>#REF!</v>
      </c>
      <c r="M191" s="37" t="e">
        <f>ROUND($AF189*M190,0)</f>
        <v>#REF!</v>
      </c>
      <c r="N191" s="37" t="e">
        <f>ROUND($AF189*N190,0)</f>
        <v>#REF!</v>
      </c>
      <c r="O191" s="37" t="e">
        <f>ROUND($AF189*O190,0)</f>
        <v>#REF!</v>
      </c>
      <c r="P191" s="100"/>
      <c r="Q191" s="100"/>
      <c r="R191" s="100"/>
      <c r="S191" s="100"/>
      <c r="T191" s="37" t="e">
        <f t="shared" ref="T191:Z191" si="222">ROUND($AF189*T190,0)</f>
        <v>#REF!</v>
      </c>
      <c r="U191" s="37" t="e">
        <f t="shared" si="222"/>
        <v>#REF!</v>
      </c>
      <c r="V191" s="37" t="e">
        <f t="shared" si="222"/>
        <v>#REF!</v>
      </c>
      <c r="W191" s="37" t="e">
        <f t="shared" si="222"/>
        <v>#REF!</v>
      </c>
      <c r="X191" s="37" t="e">
        <f t="shared" si="222"/>
        <v>#REF!</v>
      </c>
      <c r="Y191" s="37" t="e">
        <f t="shared" si="222"/>
        <v>#REF!</v>
      </c>
      <c r="Z191" s="37" t="e">
        <f t="shared" si="222"/>
        <v>#REF!</v>
      </c>
      <c r="AA191" s="37" t="e">
        <f>ROUND(Z191/1.302,0)</f>
        <v>#REF!</v>
      </c>
      <c r="AB191" s="37" t="e">
        <f>Z191-AA191</f>
        <v>#REF!</v>
      </c>
      <c r="AC191" s="37" t="e">
        <f>ROUND($AF189*AC190,0)</f>
        <v>#REF!</v>
      </c>
      <c r="AD191" s="37" t="e">
        <f>I191+L191+N191+O191+T191+U191+V191+W191+X191+Y191+AC191+Z191</f>
        <v>#REF!</v>
      </c>
      <c r="AE191" s="78" t="e">
        <f>AF189</f>
        <v>#REF!</v>
      </c>
      <c r="AF191" s="78" t="e">
        <f>AE191-AF189</f>
        <v>#REF!</v>
      </c>
      <c r="AG191" s="107" t="e">
        <f>-ROUND(F191/1000,1)</f>
        <v>#REF!</v>
      </c>
      <c r="AH191" s="107" t="e">
        <f>ROUND(AG191/1.302,1)</f>
        <v>#REF!</v>
      </c>
      <c r="AI191" s="107" t="e">
        <f>AG191-AH191</f>
        <v>#REF!</v>
      </c>
      <c r="AJ191" s="107" t="e">
        <f>-ROUND(L191/1000,1)</f>
        <v>#REF!</v>
      </c>
      <c r="AK191" s="107" t="e">
        <f>-ROUND(M191/1000,1)</f>
        <v>#REF!</v>
      </c>
      <c r="AL191" s="107" t="e">
        <f>-ROUND(N191/1000,1)</f>
        <v>#REF!</v>
      </c>
      <c r="AM191" s="107" t="e">
        <f>-ROUND(O191/1000,1)</f>
        <v>#REF!</v>
      </c>
      <c r="AN191" s="107" t="e">
        <f t="shared" ref="AN191:AS191" si="223">-ROUND(T191/1000,1)</f>
        <v>#REF!</v>
      </c>
      <c r="AO191" s="107" t="e">
        <f t="shared" si="223"/>
        <v>#REF!</v>
      </c>
      <c r="AP191" s="107" t="e">
        <f t="shared" si="223"/>
        <v>#REF!</v>
      </c>
      <c r="AQ191" s="107" t="e">
        <f t="shared" si="223"/>
        <v>#REF!</v>
      </c>
      <c r="AR191" s="107" t="e">
        <f t="shared" si="223"/>
        <v>#REF!</v>
      </c>
      <c r="AS191" s="107" t="e">
        <f t="shared" si="223"/>
        <v>#REF!</v>
      </c>
      <c r="AT191" s="107" t="e">
        <f>-ROUND(AC191/1000,1)</f>
        <v>#REF!</v>
      </c>
      <c r="AU191" s="108" t="e">
        <f t="shared" si="147"/>
        <v>#REF!</v>
      </c>
    </row>
    <row r="192" spans="1:47" ht="15.75" hidden="1" x14ac:dyDescent="0.25">
      <c r="A192" s="40">
        <v>22</v>
      </c>
      <c r="B192" s="95" t="s">
        <v>174</v>
      </c>
      <c r="C192" s="11">
        <v>704</v>
      </c>
      <c r="D192" s="11">
        <v>2018</v>
      </c>
      <c r="E192" s="11" t="s">
        <v>182</v>
      </c>
      <c r="F192" s="100"/>
      <c r="G192" s="100"/>
      <c r="H192" s="100"/>
      <c r="I192" s="100">
        <f>SUMIFS('2020'!BM:BM,'2020'!$B:$B,выравнивание!$A192,'2020'!$G:$G,4)</f>
        <v>18010907</v>
      </c>
      <c r="J192" s="100">
        <f>SUMIFS('2020'!BN:BN,'2020'!$B:$B,выравнивание!$A192,'2020'!$G:$G,4)</f>
        <v>13833261.9</v>
      </c>
      <c r="K192" s="100">
        <f>SUMIFS('2020'!BO:BO,'2020'!$B:$B,выравнивание!$A192,'2020'!$G:$G,4)</f>
        <v>4177645.1</v>
      </c>
      <c r="L192" s="100">
        <f>SUMIFS('2020'!BP:BP,'2020'!$B:$B,выравнивание!$A192,'2020'!$G:$G,4)</f>
        <v>858545</v>
      </c>
      <c r="M192" s="100">
        <f>SUMIFS('2020'!BQ:BQ,'2020'!$B:$B,выравнивание!$A192,'2020'!$G:$G,4)</f>
        <v>171709</v>
      </c>
      <c r="N192" s="100">
        <f>SUMIFS('2020'!BR:BR,'2020'!$B:$B,выравнивание!$A192,'2020'!$G:$G,4)</f>
        <v>1784515</v>
      </c>
      <c r="O192" s="100">
        <f>SUMIFS('2020'!BS:BS,'2020'!$B:$B,выравнивание!$A192,'2020'!$G:$G,4)</f>
        <v>6144665</v>
      </c>
      <c r="P192" s="100">
        <f>SUMIFS('2020'!BT:BT,'2020'!$B:$B,выравнивание!$A192,'2020'!$G:$G,4)</f>
        <v>0</v>
      </c>
      <c r="Q192" s="100">
        <f>SUMIFS('2020'!BU:BU,'2020'!$B:$B,выравнивание!$A192,'2020'!$G:$G,4)</f>
        <v>0</v>
      </c>
      <c r="R192" s="100">
        <f>SUMIFS('2020'!BV:BV,'2020'!$B:$B,выравнивание!$A192,'2020'!$G:$G,4)</f>
        <v>0</v>
      </c>
      <c r="S192" s="100">
        <f>SUMIFS('2020'!BW:BW,'2020'!$B:$B,выравнивание!$A192,'2020'!$G:$G,4)</f>
        <v>0</v>
      </c>
      <c r="T192" s="100">
        <f>SUMIFS('2020'!BX:BX,'2020'!$B:$B,выравнивание!$A192,'2020'!$G:$G,4)</f>
        <v>2434761</v>
      </c>
      <c r="U192" s="100">
        <f>SUMIFS('2020'!BY:BY,'2020'!$B:$B,выравнивание!$A192,'2020'!$G:$G,4)</f>
        <v>3874690</v>
      </c>
      <c r="V192" s="100">
        <f>SUMIFS('2020'!BZ:BZ,'2020'!$B:$B,выравнивание!$A192,'2020'!$G:$G,4)</f>
        <v>139345</v>
      </c>
      <c r="W192" s="100">
        <f>SUMIFS('2020'!CA:CA,'2020'!$B:$B,выравнивание!$A192,'2020'!$G:$G,4)</f>
        <v>557380</v>
      </c>
      <c r="X192" s="100">
        <f>SUMIFS('2020'!CB:CB,'2020'!$B:$B,выравнивание!$A192,'2020'!$G:$G,4)</f>
        <v>22475</v>
      </c>
      <c r="Y192" s="100">
        <f>SUMIFS('2020'!CC:CC,'2020'!$B:$B,выравнивание!$A192,'2020'!$G:$G,4)</f>
        <v>1155215</v>
      </c>
      <c r="Z192" s="100">
        <f>SUMIFS('2020'!CD:CD,'2020'!$B:$B,выравнивание!$A192,'2020'!$G:$G,4)</f>
        <v>14410340</v>
      </c>
      <c r="AA192" s="100">
        <f>SUMIFS('2020'!CE:CE,'2020'!$B:$B,выравнивание!$A192,'2020'!$G:$G,4)</f>
        <v>11067849.5</v>
      </c>
      <c r="AB192" s="100">
        <f>SUMIFS('2020'!CF:CF,'2020'!$B:$B,выравнивание!$A192,'2020'!$G:$G,4)</f>
        <v>3342490.5</v>
      </c>
      <c r="AC192" s="100">
        <f>SUMIFS('2020'!CG:CG,'2020'!$B:$B,выравнивание!$A192,'2020'!$G:$G,4)</f>
        <v>288600</v>
      </c>
      <c r="AD192" s="100">
        <f>SUMIFS('2020'!CH:CH,'2020'!$B:$B,выравнивание!$A192,'2020'!$G:$G,4)</f>
        <v>49681438</v>
      </c>
      <c r="AE192" s="84">
        <f>SUMIF('Свод 2020'!$A$44:$A$57,выравнивание!$A192,'Свод 2020'!$AA$44:$AA$57)*1000-SUMIF('Свод 2020'!$A$44:$A$57,выравнивание!$A192,'Свод 2020'!$S$44:$S$57)*1000</f>
        <v>35944900</v>
      </c>
      <c r="AF192" s="105">
        <f>AD192-AE192</f>
        <v>13736538</v>
      </c>
      <c r="AU192" s="108">
        <f t="shared" si="147"/>
        <v>0</v>
      </c>
    </row>
    <row r="193" spans="1:47" ht="15.75" hidden="1" x14ac:dyDescent="0.25">
      <c r="A193" s="40">
        <v>22</v>
      </c>
      <c r="B193" s="95" t="s">
        <v>174</v>
      </c>
      <c r="C193" s="11">
        <v>704</v>
      </c>
      <c r="D193" s="11">
        <v>2018</v>
      </c>
      <c r="E193" s="11" t="s">
        <v>184</v>
      </c>
      <c r="F193" s="104"/>
      <c r="G193" s="104"/>
      <c r="H193" s="104"/>
      <c r="I193" s="104">
        <f t="shared" ref="I193:O193" si="224">I192/$AD192</f>
        <v>0.36252800000000002</v>
      </c>
      <c r="J193" s="104">
        <f t="shared" si="224"/>
        <v>0.27843899999999999</v>
      </c>
      <c r="K193" s="104">
        <f t="shared" si="224"/>
        <v>8.4088999999999997E-2</v>
      </c>
      <c r="L193" s="104">
        <f t="shared" si="224"/>
        <v>1.7281000000000001E-2</v>
      </c>
      <c r="M193" s="104">
        <f t="shared" si="224"/>
        <v>3.4559999999999999E-3</v>
      </c>
      <c r="N193" s="104">
        <f t="shared" si="224"/>
        <v>3.5919E-2</v>
      </c>
      <c r="O193" s="104">
        <f t="shared" si="224"/>
        <v>0.123681</v>
      </c>
      <c r="P193" s="100"/>
      <c r="Q193" s="100"/>
      <c r="R193" s="100"/>
      <c r="S193" s="100"/>
      <c r="T193" s="104">
        <f t="shared" ref="T193:AB193" si="225">T192/$AD192</f>
        <v>4.9007000000000002E-2</v>
      </c>
      <c r="U193" s="104">
        <f t="shared" si="225"/>
        <v>7.7991000000000005E-2</v>
      </c>
      <c r="V193" s="104">
        <f t="shared" si="225"/>
        <v>2.8050000000000002E-3</v>
      </c>
      <c r="W193" s="104">
        <f t="shared" si="225"/>
        <v>1.1219E-2</v>
      </c>
      <c r="X193" s="104">
        <f t="shared" si="225"/>
        <v>4.5199999999999998E-4</v>
      </c>
      <c r="Y193" s="104">
        <f t="shared" si="225"/>
        <v>2.3251999999999998E-2</v>
      </c>
      <c r="Z193" s="104">
        <f t="shared" si="225"/>
        <v>0.29005500000000001</v>
      </c>
      <c r="AA193" s="104">
        <f t="shared" si="225"/>
        <v>0.222776</v>
      </c>
      <c r="AB193" s="104">
        <f t="shared" si="225"/>
        <v>6.7278000000000004E-2</v>
      </c>
      <c r="AC193" s="106">
        <f>1-Z193-Y193-X193-W193-V193-U193-T193-O193-N193-L193-I193</f>
        <v>5.8100000000000001E-3</v>
      </c>
      <c r="AD193" s="106">
        <f>AD192/$AD192</f>
        <v>1</v>
      </c>
      <c r="AE193" s="81"/>
      <c r="AU193" s="108">
        <f t="shared" si="147"/>
        <v>0</v>
      </c>
    </row>
    <row r="194" spans="1:47" ht="15.75" x14ac:dyDescent="0.25">
      <c r="A194" s="40">
        <v>22</v>
      </c>
      <c r="B194" s="95" t="s">
        <v>174</v>
      </c>
      <c r="C194" s="11">
        <v>704</v>
      </c>
      <c r="D194" s="11">
        <v>2018</v>
      </c>
      <c r="E194" s="11" t="s">
        <v>185</v>
      </c>
      <c r="F194" s="37">
        <f>G194+H194</f>
        <v>8964232</v>
      </c>
      <c r="G194" s="37">
        <f>J194+AA194</f>
        <v>6884971</v>
      </c>
      <c r="H194" s="37">
        <f>K194+AB194</f>
        <v>2079261</v>
      </c>
      <c r="I194" s="37">
        <f>ROUND($AF192*I193,0)</f>
        <v>4979880</v>
      </c>
      <c r="J194" s="37">
        <f>ROUND(I194/1.302,0)</f>
        <v>3824793</v>
      </c>
      <c r="K194" s="37">
        <f>I194-J194</f>
        <v>1155087</v>
      </c>
      <c r="L194" s="37">
        <f>ROUND($AF192*L193,0)</f>
        <v>237381</v>
      </c>
      <c r="M194" s="37">
        <f>ROUND($AF192*M193,0)</f>
        <v>47473</v>
      </c>
      <c r="N194" s="37">
        <f>ROUND($AF192*N193,0)</f>
        <v>493403</v>
      </c>
      <c r="O194" s="37">
        <f>ROUND($AF192*O193,0)</f>
        <v>1698949</v>
      </c>
      <c r="P194" s="100"/>
      <c r="Q194" s="100"/>
      <c r="R194" s="100"/>
      <c r="S194" s="100"/>
      <c r="T194" s="37">
        <f t="shared" ref="T194:Z194" si="226">ROUND($AF192*T193,0)</f>
        <v>673187</v>
      </c>
      <c r="U194" s="37">
        <f t="shared" si="226"/>
        <v>1071326</v>
      </c>
      <c r="V194" s="37">
        <f t="shared" si="226"/>
        <v>38531</v>
      </c>
      <c r="W194" s="37">
        <f t="shared" si="226"/>
        <v>154110</v>
      </c>
      <c r="X194" s="37">
        <f t="shared" si="226"/>
        <v>6209</v>
      </c>
      <c r="Y194" s="37">
        <f t="shared" si="226"/>
        <v>319402</v>
      </c>
      <c r="Z194" s="37">
        <f t="shared" si="226"/>
        <v>3984352</v>
      </c>
      <c r="AA194" s="37">
        <f>ROUND(Z194/1.302,0)</f>
        <v>3060178</v>
      </c>
      <c r="AB194" s="37">
        <f>Z194-AA194</f>
        <v>924174</v>
      </c>
      <c r="AC194" s="37">
        <f>ROUND($AF192*AC193,0)</f>
        <v>79809</v>
      </c>
      <c r="AD194" s="37">
        <f>I194+L194+N194+O194+T194+U194+V194+W194+X194+Y194+AC194+Z194</f>
        <v>13736539</v>
      </c>
      <c r="AE194" s="78">
        <f>AF192</f>
        <v>13736538</v>
      </c>
      <c r="AF194" s="78">
        <f>AE194-AF192</f>
        <v>0</v>
      </c>
      <c r="AG194" s="107">
        <f>-ROUND(F194/1000,1)</f>
        <v>-8964.2000000000007</v>
      </c>
      <c r="AH194" s="107">
        <f>ROUND(AG194/1.302,1)</f>
        <v>-6884.9</v>
      </c>
      <c r="AI194" s="107">
        <f>AG194-AH194</f>
        <v>-2079.3000000000002</v>
      </c>
      <c r="AJ194" s="107">
        <f>-ROUND(L194/1000,1)</f>
        <v>-237.4</v>
      </c>
      <c r="AK194" s="107">
        <f>-ROUND(M194/1000,1)</f>
        <v>-47.5</v>
      </c>
      <c r="AL194" s="107">
        <f>-ROUND(N194/1000,1)</f>
        <v>-493.4</v>
      </c>
      <c r="AM194" s="107">
        <f>-ROUND(O194/1000,1)</f>
        <v>-1698.9</v>
      </c>
      <c r="AN194" s="107">
        <f t="shared" ref="AN194:AS194" si="227">-ROUND(T194/1000,1)</f>
        <v>-673.2</v>
      </c>
      <c r="AO194" s="107">
        <f t="shared" si="227"/>
        <v>-1071.3</v>
      </c>
      <c r="AP194" s="107">
        <f t="shared" si="227"/>
        <v>-38.5</v>
      </c>
      <c r="AQ194" s="107">
        <f t="shared" si="227"/>
        <v>-154.1</v>
      </c>
      <c r="AR194" s="107">
        <f t="shared" si="227"/>
        <v>-6.2</v>
      </c>
      <c r="AS194" s="107">
        <f t="shared" si="227"/>
        <v>-319.39999999999998</v>
      </c>
      <c r="AT194" s="107">
        <f>-ROUND(AC194/1000,1)</f>
        <v>-79.8</v>
      </c>
      <c r="AU194" s="108">
        <f t="shared" si="147"/>
        <v>-13736.4</v>
      </c>
    </row>
    <row r="195" spans="1:47" ht="15.75" hidden="1" x14ac:dyDescent="0.25">
      <c r="A195" s="40">
        <v>22</v>
      </c>
      <c r="B195" s="95" t="s">
        <v>174</v>
      </c>
      <c r="C195" s="11">
        <v>704</v>
      </c>
      <c r="D195" s="11">
        <v>2019</v>
      </c>
      <c r="E195" s="11" t="s">
        <v>182</v>
      </c>
      <c r="F195" s="97"/>
      <c r="G195" s="97"/>
      <c r="H195" s="97"/>
      <c r="I195" s="97" t="e">
        <f>SUMIFS(#REF!,#REF!,выравнивание!$A195,#REF!,4)</f>
        <v>#REF!</v>
      </c>
      <c r="J195" s="97" t="e">
        <f>SUMIFS(#REF!,#REF!,выравнивание!$A195,#REF!,4)</f>
        <v>#REF!</v>
      </c>
      <c r="K195" s="97" t="e">
        <f>SUMIFS(#REF!,#REF!,выравнивание!$A195,#REF!,4)</f>
        <v>#REF!</v>
      </c>
      <c r="L195" s="97" t="e">
        <f>SUMIFS(#REF!,#REF!,выравнивание!$A195,#REF!,4)</f>
        <v>#REF!</v>
      </c>
      <c r="M195" s="97" t="e">
        <f>SUMIFS(#REF!,#REF!,выравнивание!$A195,#REF!,4)</f>
        <v>#REF!</v>
      </c>
      <c r="N195" s="97" t="e">
        <f>SUMIFS(#REF!,#REF!,выравнивание!$A195,#REF!,4)</f>
        <v>#REF!</v>
      </c>
      <c r="O195" s="97" t="e">
        <f>SUMIFS(#REF!,#REF!,выравнивание!$A195,#REF!,4)</f>
        <v>#REF!</v>
      </c>
      <c r="P195" s="97" t="e">
        <f>SUMIFS(#REF!,#REF!,выравнивание!$A195,#REF!,4)</f>
        <v>#REF!</v>
      </c>
      <c r="Q195" s="97" t="e">
        <f>SUMIFS(#REF!,#REF!,выравнивание!$A195,#REF!,4)</f>
        <v>#REF!</v>
      </c>
      <c r="R195" s="97" t="e">
        <f>SUMIFS(#REF!,#REF!,выравнивание!$A195,#REF!,4)</f>
        <v>#REF!</v>
      </c>
      <c r="S195" s="97" t="e">
        <f>SUMIFS(#REF!,#REF!,выравнивание!$A195,#REF!,4)</f>
        <v>#REF!</v>
      </c>
      <c r="T195" s="97" t="e">
        <f>SUMIFS(#REF!,#REF!,выравнивание!$A195,#REF!,4)</f>
        <v>#REF!</v>
      </c>
      <c r="U195" s="97" t="e">
        <f>SUMIFS(#REF!,#REF!,выравнивание!$A195,#REF!,4)</f>
        <v>#REF!</v>
      </c>
      <c r="V195" s="97" t="e">
        <f>SUMIFS(#REF!,#REF!,выравнивание!$A195,#REF!,4)</f>
        <v>#REF!</v>
      </c>
      <c r="W195" s="97" t="e">
        <f>SUMIFS(#REF!,#REF!,выравнивание!$A195,#REF!,4)</f>
        <v>#REF!</v>
      </c>
      <c r="X195" s="97" t="e">
        <f>SUMIFS(#REF!,#REF!,выравнивание!$A195,#REF!,4)</f>
        <v>#REF!</v>
      </c>
      <c r="Y195" s="97" t="e">
        <f>SUMIFS(#REF!,#REF!,выравнивание!$A195,#REF!,4)</f>
        <v>#REF!</v>
      </c>
      <c r="Z195" s="97" t="e">
        <f>SUMIFS(#REF!,#REF!,выравнивание!$A195,#REF!,4)</f>
        <v>#REF!</v>
      </c>
      <c r="AA195" s="97" t="e">
        <f>SUMIFS(#REF!,#REF!,выравнивание!$A195,#REF!,4)</f>
        <v>#REF!</v>
      </c>
      <c r="AB195" s="97" t="e">
        <f>SUMIFS(#REF!,#REF!,выравнивание!$A195,#REF!,4)</f>
        <v>#REF!</v>
      </c>
      <c r="AC195" s="100" t="e">
        <f>SUMIFS(#REF!,#REF!,выравнивание!$A195,#REF!,4)</f>
        <v>#REF!</v>
      </c>
      <c r="AD195" s="100" t="e">
        <f>SUMIFS(#REF!,#REF!,выравнивание!$A195,#REF!,4)</f>
        <v>#REF!</v>
      </c>
      <c r="AE195" s="103" t="e">
        <f>SUMIF(#REF!,выравнивание!$A195,#REF!)*1000-SUMIF(#REF!,выравнивание!$A195,#REF!)*1000</f>
        <v>#REF!</v>
      </c>
      <c r="AF195" s="105" t="e">
        <f>AD195-AE195</f>
        <v>#REF!</v>
      </c>
      <c r="AU195" s="108">
        <f t="shared" si="147"/>
        <v>0</v>
      </c>
    </row>
    <row r="196" spans="1:47" ht="15.75" hidden="1" x14ac:dyDescent="0.25">
      <c r="A196" s="40">
        <v>22</v>
      </c>
      <c r="B196" s="95" t="s">
        <v>174</v>
      </c>
      <c r="C196" s="11">
        <v>704</v>
      </c>
      <c r="D196" s="11">
        <v>2019</v>
      </c>
      <c r="E196" s="11" t="s">
        <v>184</v>
      </c>
      <c r="F196" s="104"/>
      <c r="G196" s="104"/>
      <c r="H196" s="104"/>
      <c r="I196" s="104" t="e">
        <f t="shared" ref="I196:O196" si="228">I195/$AD195</f>
        <v>#REF!</v>
      </c>
      <c r="J196" s="104" t="e">
        <f t="shared" si="228"/>
        <v>#REF!</v>
      </c>
      <c r="K196" s="104" t="e">
        <f t="shared" si="228"/>
        <v>#REF!</v>
      </c>
      <c r="L196" s="104" t="e">
        <f t="shared" si="228"/>
        <v>#REF!</v>
      </c>
      <c r="M196" s="104" t="e">
        <f t="shared" si="228"/>
        <v>#REF!</v>
      </c>
      <c r="N196" s="104" t="e">
        <f t="shared" si="228"/>
        <v>#REF!</v>
      </c>
      <c r="O196" s="104" t="e">
        <f t="shared" si="228"/>
        <v>#REF!</v>
      </c>
      <c r="P196" s="100"/>
      <c r="Q196" s="100"/>
      <c r="R196" s="100"/>
      <c r="S196" s="100"/>
      <c r="T196" s="104" t="e">
        <f t="shared" ref="T196:AB196" si="229">T195/$AD195</f>
        <v>#REF!</v>
      </c>
      <c r="U196" s="104" t="e">
        <f t="shared" si="229"/>
        <v>#REF!</v>
      </c>
      <c r="V196" s="104" t="e">
        <f t="shared" si="229"/>
        <v>#REF!</v>
      </c>
      <c r="W196" s="104" t="e">
        <f t="shared" si="229"/>
        <v>#REF!</v>
      </c>
      <c r="X196" s="104" t="e">
        <f t="shared" si="229"/>
        <v>#REF!</v>
      </c>
      <c r="Y196" s="104" t="e">
        <f t="shared" si="229"/>
        <v>#REF!</v>
      </c>
      <c r="Z196" s="104" t="e">
        <f t="shared" si="229"/>
        <v>#REF!</v>
      </c>
      <c r="AA196" s="104" t="e">
        <f t="shared" si="229"/>
        <v>#REF!</v>
      </c>
      <c r="AB196" s="104" t="e">
        <f t="shared" si="229"/>
        <v>#REF!</v>
      </c>
      <c r="AC196" s="106" t="e">
        <f>1-Z196-Y196-X196-W196-V196-U196-T196-O196-N196-L196-I196</f>
        <v>#REF!</v>
      </c>
      <c r="AD196" s="106" t="e">
        <f>AD195/$AD195</f>
        <v>#REF!</v>
      </c>
      <c r="AE196" s="81"/>
      <c r="AU196" s="108">
        <f t="shared" si="147"/>
        <v>0</v>
      </c>
    </row>
    <row r="197" spans="1:47" ht="15.75" x14ac:dyDescent="0.25">
      <c r="A197" s="40">
        <v>22</v>
      </c>
      <c r="B197" s="95" t="s">
        <v>174</v>
      </c>
      <c r="C197" s="11">
        <v>704</v>
      </c>
      <c r="D197" s="11">
        <v>2019</v>
      </c>
      <c r="E197" s="11" t="s">
        <v>185</v>
      </c>
      <c r="F197" s="37" t="e">
        <f>G197+H197</f>
        <v>#REF!</v>
      </c>
      <c r="G197" s="37" t="e">
        <f>J197+AA197</f>
        <v>#REF!</v>
      </c>
      <c r="H197" s="37" t="e">
        <f>K197+AB197</f>
        <v>#REF!</v>
      </c>
      <c r="I197" s="37" t="e">
        <f>ROUND($AF195*I196,0)</f>
        <v>#REF!</v>
      </c>
      <c r="J197" s="37" t="e">
        <f>ROUND(I197/1.302,0)</f>
        <v>#REF!</v>
      </c>
      <c r="K197" s="37" t="e">
        <f>I197-J197</f>
        <v>#REF!</v>
      </c>
      <c r="L197" s="37" t="e">
        <f>ROUND($AF195*L196,0)</f>
        <v>#REF!</v>
      </c>
      <c r="M197" s="37" t="e">
        <f>ROUND($AF195*M196,0)</f>
        <v>#REF!</v>
      </c>
      <c r="N197" s="37" t="e">
        <f>ROUND($AF195*N196,0)</f>
        <v>#REF!</v>
      </c>
      <c r="O197" s="37" t="e">
        <f>ROUND($AF195*O196,0)</f>
        <v>#REF!</v>
      </c>
      <c r="P197" s="100"/>
      <c r="Q197" s="100"/>
      <c r="R197" s="100"/>
      <c r="S197" s="100"/>
      <c r="T197" s="37" t="e">
        <f t="shared" ref="T197:Z197" si="230">ROUND($AF195*T196,0)</f>
        <v>#REF!</v>
      </c>
      <c r="U197" s="37" t="e">
        <f t="shared" si="230"/>
        <v>#REF!</v>
      </c>
      <c r="V197" s="37" t="e">
        <f t="shared" si="230"/>
        <v>#REF!</v>
      </c>
      <c r="W197" s="37" t="e">
        <f t="shared" si="230"/>
        <v>#REF!</v>
      </c>
      <c r="X197" s="37" t="e">
        <f t="shared" si="230"/>
        <v>#REF!</v>
      </c>
      <c r="Y197" s="37" t="e">
        <f t="shared" si="230"/>
        <v>#REF!</v>
      </c>
      <c r="Z197" s="37" t="e">
        <f t="shared" si="230"/>
        <v>#REF!</v>
      </c>
      <c r="AA197" s="37" t="e">
        <f>ROUND(Z197/1.302,0)</f>
        <v>#REF!</v>
      </c>
      <c r="AB197" s="37" t="e">
        <f>Z197-AA197</f>
        <v>#REF!</v>
      </c>
      <c r="AC197" s="37" t="e">
        <f>ROUND($AF195*AC196,0)</f>
        <v>#REF!</v>
      </c>
      <c r="AD197" s="37" t="e">
        <f>I197+L197+N197+O197+T197+U197+V197+W197+X197+Y197+AC197+Z197</f>
        <v>#REF!</v>
      </c>
      <c r="AE197" s="78" t="e">
        <f>AF195</f>
        <v>#REF!</v>
      </c>
      <c r="AF197" s="78" t="e">
        <f>AE197-AF195</f>
        <v>#REF!</v>
      </c>
      <c r="AG197" s="107" t="e">
        <f>-ROUND(F197/1000,1)</f>
        <v>#REF!</v>
      </c>
      <c r="AH197" s="107" t="e">
        <f>ROUND(AG197/1.302,1)</f>
        <v>#REF!</v>
      </c>
      <c r="AI197" s="107" t="e">
        <f>AG197-AH197</f>
        <v>#REF!</v>
      </c>
      <c r="AJ197" s="107" t="e">
        <f>-ROUND(L197/1000,1)</f>
        <v>#REF!</v>
      </c>
      <c r="AK197" s="107" t="e">
        <f>-ROUND(M197/1000,1)</f>
        <v>#REF!</v>
      </c>
      <c r="AL197" s="107" t="e">
        <f>-ROUND(N197/1000,1)</f>
        <v>#REF!</v>
      </c>
      <c r="AM197" s="107" t="e">
        <f>-ROUND(O197/1000,1)</f>
        <v>#REF!</v>
      </c>
      <c r="AN197" s="107" t="e">
        <f t="shared" ref="AN197:AS197" si="231">-ROUND(T197/1000,1)</f>
        <v>#REF!</v>
      </c>
      <c r="AO197" s="107" t="e">
        <f t="shared" si="231"/>
        <v>#REF!</v>
      </c>
      <c r="AP197" s="107" t="e">
        <f t="shared" si="231"/>
        <v>#REF!</v>
      </c>
      <c r="AQ197" s="107" t="e">
        <f t="shared" si="231"/>
        <v>#REF!</v>
      </c>
      <c r="AR197" s="107" t="e">
        <f t="shared" si="231"/>
        <v>#REF!</v>
      </c>
      <c r="AS197" s="107" t="e">
        <f t="shared" si="231"/>
        <v>#REF!</v>
      </c>
      <c r="AT197" s="107" t="e">
        <f>-ROUND(AC197/1000,1)</f>
        <v>#REF!</v>
      </c>
      <c r="AU197" s="108" t="e">
        <f t="shared" si="147"/>
        <v>#REF!</v>
      </c>
    </row>
    <row r="198" spans="1:47" ht="15.75" hidden="1" x14ac:dyDescent="0.25">
      <c r="A198" s="40">
        <v>22</v>
      </c>
      <c r="B198" s="95" t="s">
        <v>174</v>
      </c>
      <c r="C198" s="11">
        <v>704</v>
      </c>
      <c r="D198" s="11">
        <v>2020</v>
      </c>
      <c r="E198" s="11" t="s">
        <v>182</v>
      </c>
      <c r="F198" s="97"/>
      <c r="G198" s="97"/>
      <c r="H198" s="97"/>
      <c r="I198" s="97" t="e">
        <f>SUMIFS(#REF!,#REF!,выравнивание!$A198,#REF!,4)</f>
        <v>#REF!</v>
      </c>
      <c r="J198" s="97" t="e">
        <f>SUMIFS(#REF!,#REF!,выравнивание!$A198,#REF!,4)</f>
        <v>#REF!</v>
      </c>
      <c r="K198" s="97" t="e">
        <f>SUMIFS(#REF!,#REF!,выравнивание!$A198,#REF!,4)</f>
        <v>#REF!</v>
      </c>
      <c r="L198" s="97" t="e">
        <f>SUMIFS(#REF!,#REF!,выравнивание!$A198,#REF!,4)</f>
        <v>#REF!</v>
      </c>
      <c r="M198" s="97" t="e">
        <f>SUMIFS(#REF!,#REF!,выравнивание!$A198,#REF!,4)</f>
        <v>#REF!</v>
      </c>
      <c r="N198" s="97" t="e">
        <f>SUMIFS(#REF!,#REF!,выравнивание!$A198,#REF!,4)</f>
        <v>#REF!</v>
      </c>
      <c r="O198" s="97" t="e">
        <f>SUMIFS(#REF!,#REF!,выравнивание!$A198,#REF!,4)</f>
        <v>#REF!</v>
      </c>
      <c r="P198" s="97" t="e">
        <f>SUMIFS(#REF!,#REF!,выравнивание!$A198,#REF!,4)</f>
        <v>#REF!</v>
      </c>
      <c r="Q198" s="97" t="e">
        <f>SUMIFS(#REF!,#REF!,выравнивание!$A198,#REF!,4)</f>
        <v>#REF!</v>
      </c>
      <c r="R198" s="97" t="e">
        <f>SUMIFS(#REF!,#REF!,выравнивание!$A198,#REF!,4)</f>
        <v>#REF!</v>
      </c>
      <c r="S198" s="97" t="e">
        <f>SUMIFS(#REF!,#REF!,выравнивание!$A198,#REF!,4)</f>
        <v>#REF!</v>
      </c>
      <c r="T198" s="97" t="e">
        <f>SUMIFS(#REF!,#REF!,выравнивание!$A198,#REF!,4)</f>
        <v>#REF!</v>
      </c>
      <c r="U198" s="97" t="e">
        <f>SUMIFS(#REF!,#REF!,выравнивание!$A198,#REF!,4)</f>
        <v>#REF!</v>
      </c>
      <c r="V198" s="97" t="e">
        <f>SUMIFS(#REF!,#REF!,выравнивание!$A198,#REF!,4)</f>
        <v>#REF!</v>
      </c>
      <c r="W198" s="97" t="e">
        <f>SUMIFS(#REF!,#REF!,выравнивание!$A198,#REF!,4)</f>
        <v>#REF!</v>
      </c>
      <c r="X198" s="97" t="e">
        <f>SUMIFS(#REF!,#REF!,выравнивание!$A198,#REF!,4)</f>
        <v>#REF!</v>
      </c>
      <c r="Y198" s="97" t="e">
        <f>SUMIFS(#REF!,#REF!,выравнивание!$A198,#REF!,4)</f>
        <v>#REF!</v>
      </c>
      <c r="Z198" s="97" t="e">
        <f>SUMIFS(#REF!,#REF!,выравнивание!$A198,#REF!,4)</f>
        <v>#REF!</v>
      </c>
      <c r="AA198" s="97" t="e">
        <f>SUMIFS(#REF!,#REF!,выравнивание!$A198,#REF!,4)</f>
        <v>#REF!</v>
      </c>
      <c r="AB198" s="97" t="e">
        <f>SUMIFS(#REF!,#REF!,выравнивание!$A198,#REF!,4)</f>
        <v>#REF!</v>
      </c>
      <c r="AC198" s="100" t="e">
        <f>SUMIFS(#REF!,#REF!,выравнивание!$A198,#REF!,4)</f>
        <v>#REF!</v>
      </c>
      <c r="AD198" s="100" t="e">
        <f>SUMIFS(#REF!,#REF!,выравнивание!$A198,#REF!,4)</f>
        <v>#REF!</v>
      </c>
      <c r="AE198" s="103" t="e">
        <f>SUMIF(#REF!,выравнивание!$A198,#REF!)*1000-SUMIF(#REF!,выравнивание!$A198,#REF!)*1000</f>
        <v>#REF!</v>
      </c>
      <c r="AF198" s="84" t="e">
        <f>AD198-AE198</f>
        <v>#REF!</v>
      </c>
      <c r="AU198" s="108">
        <f t="shared" ref="AU198:AU260" si="232">AG198+AJ198+AL198+AM198+AN198+AO198+AP198+AQ198+AR198+AS198+AT198</f>
        <v>0</v>
      </c>
    </row>
    <row r="199" spans="1:47" ht="15.75" hidden="1" x14ac:dyDescent="0.25">
      <c r="A199" s="40">
        <v>22</v>
      </c>
      <c r="B199" s="95" t="s">
        <v>174</v>
      </c>
      <c r="C199" s="11">
        <v>704</v>
      </c>
      <c r="D199" s="11">
        <v>2020</v>
      </c>
      <c r="E199" s="11" t="s">
        <v>184</v>
      </c>
      <c r="F199" s="104"/>
      <c r="G199" s="104"/>
      <c r="H199" s="104"/>
      <c r="I199" s="104" t="e">
        <f t="shared" ref="I199:O199" si="233">I198/$AD198</f>
        <v>#REF!</v>
      </c>
      <c r="J199" s="104" t="e">
        <f t="shared" si="233"/>
        <v>#REF!</v>
      </c>
      <c r="K199" s="104" t="e">
        <f t="shared" si="233"/>
        <v>#REF!</v>
      </c>
      <c r="L199" s="104" t="e">
        <f t="shared" si="233"/>
        <v>#REF!</v>
      </c>
      <c r="M199" s="104" t="e">
        <f t="shared" si="233"/>
        <v>#REF!</v>
      </c>
      <c r="N199" s="104" t="e">
        <f t="shared" si="233"/>
        <v>#REF!</v>
      </c>
      <c r="O199" s="104" t="e">
        <f t="shared" si="233"/>
        <v>#REF!</v>
      </c>
      <c r="P199" s="100"/>
      <c r="Q199" s="100"/>
      <c r="R199" s="100"/>
      <c r="S199" s="100"/>
      <c r="T199" s="104" t="e">
        <f t="shared" ref="T199:AB199" si="234">T198/$AD198</f>
        <v>#REF!</v>
      </c>
      <c r="U199" s="104" t="e">
        <f t="shared" si="234"/>
        <v>#REF!</v>
      </c>
      <c r="V199" s="104" t="e">
        <f t="shared" si="234"/>
        <v>#REF!</v>
      </c>
      <c r="W199" s="104" t="e">
        <f t="shared" si="234"/>
        <v>#REF!</v>
      </c>
      <c r="X199" s="104" t="e">
        <f t="shared" si="234"/>
        <v>#REF!</v>
      </c>
      <c r="Y199" s="104" t="e">
        <f t="shared" si="234"/>
        <v>#REF!</v>
      </c>
      <c r="Z199" s="104" t="e">
        <f t="shared" si="234"/>
        <v>#REF!</v>
      </c>
      <c r="AA199" s="104" t="e">
        <f t="shared" si="234"/>
        <v>#REF!</v>
      </c>
      <c r="AB199" s="104" t="e">
        <f t="shared" si="234"/>
        <v>#REF!</v>
      </c>
      <c r="AC199" s="106" t="e">
        <f>1-Z199-Y199-X199-W199-V199-U199-T199-O199-N199-L199-I199</f>
        <v>#REF!</v>
      </c>
      <c r="AD199" s="106" t="e">
        <f>AD198/$AD198</f>
        <v>#REF!</v>
      </c>
      <c r="AE199" s="81"/>
      <c r="AU199" s="108">
        <f t="shared" si="232"/>
        <v>0</v>
      </c>
    </row>
    <row r="200" spans="1:47" ht="15.75" x14ac:dyDescent="0.25">
      <c r="A200" s="40">
        <v>22</v>
      </c>
      <c r="B200" s="95" t="s">
        <v>174</v>
      </c>
      <c r="C200" s="11">
        <v>704</v>
      </c>
      <c r="D200" s="11">
        <v>2020</v>
      </c>
      <c r="E200" s="11" t="s">
        <v>185</v>
      </c>
      <c r="F200" s="37" t="e">
        <f>G200+H200</f>
        <v>#REF!</v>
      </c>
      <c r="G200" s="37" t="e">
        <f>J200+AA200</f>
        <v>#REF!</v>
      </c>
      <c r="H200" s="37" t="e">
        <f>K200+AB200</f>
        <v>#REF!</v>
      </c>
      <c r="I200" s="37" t="e">
        <f>ROUND($AF198*I199,0)</f>
        <v>#REF!</v>
      </c>
      <c r="J200" s="37" t="e">
        <f>ROUND(I200/1.302,0)</f>
        <v>#REF!</v>
      </c>
      <c r="K200" s="37" t="e">
        <f>I200-J200</f>
        <v>#REF!</v>
      </c>
      <c r="L200" s="37" t="e">
        <f>ROUND($AF198*L199,0)</f>
        <v>#REF!</v>
      </c>
      <c r="M200" s="37" t="e">
        <f>ROUND($AF198*M199,0)</f>
        <v>#REF!</v>
      </c>
      <c r="N200" s="37" t="e">
        <f>ROUND($AF198*N199,0)</f>
        <v>#REF!</v>
      </c>
      <c r="O200" s="37" t="e">
        <f>ROUND($AF198*O199,0)</f>
        <v>#REF!</v>
      </c>
      <c r="P200" s="100"/>
      <c r="Q200" s="100"/>
      <c r="R200" s="100"/>
      <c r="S200" s="100"/>
      <c r="T200" s="37" t="e">
        <f t="shared" ref="T200:Z200" si="235">ROUND($AF198*T199,0)</f>
        <v>#REF!</v>
      </c>
      <c r="U200" s="37" t="e">
        <f t="shared" si="235"/>
        <v>#REF!</v>
      </c>
      <c r="V200" s="37" t="e">
        <f t="shared" si="235"/>
        <v>#REF!</v>
      </c>
      <c r="W200" s="37" t="e">
        <f t="shared" si="235"/>
        <v>#REF!</v>
      </c>
      <c r="X200" s="37" t="e">
        <f t="shared" si="235"/>
        <v>#REF!</v>
      </c>
      <c r="Y200" s="37" t="e">
        <f t="shared" si="235"/>
        <v>#REF!</v>
      </c>
      <c r="Z200" s="37" t="e">
        <f t="shared" si="235"/>
        <v>#REF!</v>
      </c>
      <c r="AA200" s="37" t="e">
        <f>ROUND(Z200/1.302,0)</f>
        <v>#REF!</v>
      </c>
      <c r="AB200" s="37" t="e">
        <f>Z200-AA200</f>
        <v>#REF!</v>
      </c>
      <c r="AC200" s="37" t="e">
        <f>ROUND($AF198*AC199,0)</f>
        <v>#REF!</v>
      </c>
      <c r="AD200" s="37" t="e">
        <f>I200+L200+N200+O200+T200+U200+V200+W200+X200+Y200+AC200+Z200</f>
        <v>#REF!</v>
      </c>
      <c r="AE200" s="78" t="e">
        <f>AF198</f>
        <v>#REF!</v>
      </c>
      <c r="AF200" s="78" t="e">
        <f>AE200-AF198</f>
        <v>#REF!</v>
      </c>
      <c r="AG200" s="107" t="e">
        <f>-ROUND(F200/1000,1)</f>
        <v>#REF!</v>
      </c>
      <c r="AH200" s="107" t="e">
        <f>ROUND(AG200/1.302,1)</f>
        <v>#REF!</v>
      </c>
      <c r="AI200" s="107" t="e">
        <f>AG200-AH200</f>
        <v>#REF!</v>
      </c>
      <c r="AJ200" s="107" t="e">
        <f>-ROUND(L200/1000,1)</f>
        <v>#REF!</v>
      </c>
      <c r="AK200" s="107" t="e">
        <f>-ROUND(M200/1000,1)</f>
        <v>#REF!</v>
      </c>
      <c r="AL200" s="107" t="e">
        <f>-ROUND(N200/1000,1)</f>
        <v>#REF!</v>
      </c>
      <c r="AM200" s="107" t="e">
        <f>-ROUND(O200/1000,1)</f>
        <v>#REF!</v>
      </c>
      <c r="AN200" s="107" t="e">
        <f t="shared" ref="AN200:AS200" si="236">-ROUND(T200/1000,1)</f>
        <v>#REF!</v>
      </c>
      <c r="AO200" s="107" t="e">
        <f t="shared" si="236"/>
        <v>#REF!</v>
      </c>
      <c r="AP200" s="107" t="e">
        <f t="shared" si="236"/>
        <v>#REF!</v>
      </c>
      <c r="AQ200" s="107" t="e">
        <f t="shared" si="236"/>
        <v>#REF!</v>
      </c>
      <c r="AR200" s="107" t="e">
        <f t="shared" si="236"/>
        <v>#REF!</v>
      </c>
      <c r="AS200" s="107" t="e">
        <f t="shared" si="236"/>
        <v>#REF!</v>
      </c>
      <c r="AT200" s="107" t="e">
        <f>-ROUND(AC200/1000,1)</f>
        <v>#REF!</v>
      </c>
      <c r="AU200" s="108" t="e">
        <f t="shared" si="232"/>
        <v>#REF!</v>
      </c>
    </row>
    <row r="201" spans="1:47" ht="15.75" hidden="1" x14ac:dyDescent="0.25">
      <c r="A201" s="40">
        <v>23</v>
      </c>
      <c r="B201" s="94" t="s">
        <v>175</v>
      </c>
      <c r="C201" s="11">
        <v>704</v>
      </c>
      <c r="D201" s="11">
        <v>2018</v>
      </c>
      <c r="E201" s="11" t="s">
        <v>182</v>
      </c>
      <c r="F201" s="100"/>
      <c r="G201" s="100"/>
      <c r="H201" s="100"/>
      <c r="I201" s="100">
        <f>SUMIFS('2020'!BM:BM,'2020'!$B:$B,выравнивание!$A201,'2020'!$G:$G,4)</f>
        <v>3593159</v>
      </c>
      <c r="J201" s="100">
        <f>SUMIFS('2020'!BN:BN,'2020'!$B:$B,выравнивание!$A201,'2020'!$G:$G,4)</f>
        <v>2759722.7</v>
      </c>
      <c r="K201" s="100">
        <f>SUMIFS('2020'!BO:BO,'2020'!$B:$B,выравнивание!$A201,'2020'!$G:$G,4)</f>
        <v>833436.3</v>
      </c>
      <c r="L201" s="100">
        <f>SUMIFS('2020'!BP:BP,'2020'!$B:$B,выравнивание!$A201,'2020'!$G:$G,4)</f>
        <v>213920</v>
      </c>
      <c r="M201" s="100">
        <f>SUMIFS('2020'!BQ:BQ,'2020'!$B:$B,выравнивание!$A201,'2020'!$G:$G,4)</f>
        <v>42784</v>
      </c>
      <c r="N201" s="100">
        <f>SUMIFS('2020'!BR:BR,'2020'!$B:$B,выравнивание!$A201,'2020'!$G:$G,4)</f>
        <v>444640</v>
      </c>
      <c r="O201" s="100">
        <f>SUMIFS('2020'!BS:BS,'2020'!$B:$B,выравнивание!$A201,'2020'!$G:$G,4)</f>
        <v>1531040</v>
      </c>
      <c r="P201" s="100">
        <f>SUMIFS('2020'!BT:BT,'2020'!$B:$B,выравнивание!$A201,'2020'!$G:$G,4)</f>
        <v>0</v>
      </c>
      <c r="Q201" s="100">
        <f>SUMIFS('2020'!BU:BU,'2020'!$B:$B,выравнивание!$A201,'2020'!$G:$G,4)</f>
        <v>0</v>
      </c>
      <c r="R201" s="100">
        <f>SUMIFS('2020'!BV:BV,'2020'!$B:$B,выравнивание!$A201,'2020'!$G:$G,4)</f>
        <v>0</v>
      </c>
      <c r="S201" s="100">
        <f>SUMIFS('2020'!BW:BW,'2020'!$B:$B,выравнивание!$A201,'2020'!$G:$G,4)</f>
        <v>0</v>
      </c>
      <c r="T201" s="100">
        <f>SUMIFS('2020'!BX:BX,'2020'!$B:$B,выравнивание!$A201,'2020'!$G:$G,4)</f>
        <v>549436</v>
      </c>
      <c r="U201" s="100">
        <f>SUMIFS('2020'!BY:BY,'2020'!$B:$B,выравнивание!$A201,'2020'!$G:$G,4)</f>
        <v>965440</v>
      </c>
      <c r="V201" s="100">
        <f>SUMIFS('2020'!BZ:BZ,'2020'!$B:$B,выравнивание!$A201,'2020'!$G:$G,4)</f>
        <v>34720</v>
      </c>
      <c r="W201" s="100">
        <f>SUMIFS('2020'!CA:CA,'2020'!$B:$B,выравнивание!$A201,'2020'!$G:$G,4)</f>
        <v>138880</v>
      </c>
      <c r="X201" s="100">
        <f>SUMIFS('2020'!CB:CB,'2020'!$B:$B,выравнивание!$A201,'2020'!$G:$G,4)</f>
        <v>5600</v>
      </c>
      <c r="Y201" s="100">
        <f>SUMIFS('2020'!CC:CC,'2020'!$B:$B,выравнивание!$A201,'2020'!$G:$G,4)</f>
        <v>287840</v>
      </c>
      <c r="Z201" s="100">
        <f>SUMIFS('2020'!CD:CD,'2020'!$B:$B,выравнивание!$A201,'2020'!$G:$G,4)</f>
        <v>2874850</v>
      </c>
      <c r="AA201" s="100">
        <f>SUMIFS('2020'!CE:CE,'2020'!$B:$B,выравнивание!$A201,'2020'!$G:$G,4)</f>
        <v>2208026.1</v>
      </c>
      <c r="AB201" s="100">
        <f>SUMIFS('2020'!CF:CF,'2020'!$B:$B,выравнивание!$A201,'2020'!$G:$G,4)</f>
        <v>666823.9</v>
      </c>
      <c r="AC201" s="100">
        <f>SUMIFS('2020'!CG:CG,'2020'!$B:$B,выравнивание!$A201,'2020'!$G:$G,4)</f>
        <v>72800</v>
      </c>
      <c r="AD201" s="100">
        <f>SUMIFS('2020'!CH:CH,'2020'!$B:$B,выравнивание!$A201,'2020'!$G:$G,4)</f>
        <v>10712325</v>
      </c>
      <c r="AE201" s="84">
        <f>SUMIF('Свод 2020'!$A$44:$A$57,выравнивание!$A201,'Свод 2020'!$AA$44:$AA$57)*1000-SUMIF('Свод 2020'!$A$44:$A$57,выравнивание!$A201,'Свод 2020'!$S$44:$S$57)*1000</f>
        <v>7750400</v>
      </c>
      <c r="AF201" s="105">
        <f>AD201-AE201</f>
        <v>2961925</v>
      </c>
      <c r="AU201" s="108">
        <f t="shared" si="232"/>
        <v>0</v>
      </c>
    </row>
    <row r="202" spans="1:47" ht="15.75" hidden="1" x14ac:dyDescent="0.25">
      <c r="A202" s="40">
        <v>23</v>
      </c>
      <c r="B202" s="94" t="s">
        <v>175</v>
      </c>
      <c r="C202" s="11">
        <v>704</v>
      </c>
      <c r="D202" s="11">
        <v>2018</v>
      </c>
      <c r="E202" s="11" t="s">
        <v>184</v>
      </c>
      <c r="F202" s="104"/>
      <c r="G202" s="104"/>
      <c r="H202" s="104"/>
      <c r="I202" s="104">
        <f t="shared" ref="I202:O202" si="237">I201/$AD201</f>
        <v>0.33542300000000003</v>
      </c>
      <c r="J202" s="104">
        <f t="shared" si="237"/>
        <v>0.25762099999999999</v>
      </c>
      <c r="K202" s="104">
        <f t="shared" si="237"/>
        <v>7.7801999999999996E-2</v>
      </c>
      <c r="L202" s="104">
        <f t="shared" si="237"/>
        <v>1.9970000000000002E-2</v>
      </c>
      <c r="M202" s="104">
        <f t="shared" si="237"/>
        <v>3.9940000000000002E-3</v>
      </c>
      <c r="N202" s="104">
        <f t="shared" si="237"/>
        <v>4.1507000000000002E-2</v>
      </c>
      <c r="O202" s="104">
        <f t="shared" si="237"/>
        <v>0.14292299999999999</v>
      </c>
      <c r="P202" s="100"/>
      <c r="Q202" s="100"/>
      <c r="R202" s="100"/>
      <c r="S202" s="100"/>
      <c r="T202" s="104">
        <f t="shared" ref="T202:AB202" si="238">T201/$AD201</f>
        <v>5.1290000000000002E-2</v>
      </c>
      <c r="U202" s="104">
        <f t="shared" si="238"/>
        <v>9.0123999999999996E-2</v>
      </c>
      <c r="V202" s="104">
        <f t="shared" si="238"/>
        <v>3.241E-3</v>
      </c>
      <c r="W202" s="104">
        <f t="shared" si="238"/>
        <v>1.2965000000000001E-2</v>
      </c>
      <c r="X202" s="104">
        <f t="shared" si="238"/>
        <v>5.2300000000000003E-4</v>
      </c>
      <c r="Y202" s="104">
        <f t="shared" si="238"/>
        <v>2.6870000000000002E-2</v>
      </c>
      <c r="Z202" s="104">
        <f t="shared" si="238"/>
        <v>0.268368</v>
      </c>
      <c r="AA202" s="104">
        <f t="shared" si="238"/>
        <v>0.20612</v>
      </c>
      <c r="AB202" s="104">
        <f t="shared" si="238"/>
        <v>6.2247999999999998E-2</v>
      </c>
      <c r="AC202" s="106">
        <f>1-Z202-Y202-X202-W202-V202-U202-T202-O202-N202-L202-I202</f>
        <v>6.796E-3</v>
      </c>
      <c r="AD202" s="106">
        <f>AD201/$AD201</f>
        <v>1</v>
      </c>
      <c r="AE202" s="81"/>
      <c r="AU202" s="108">
        <f t="shared" si="232"/>
        <v>0</v>
      </c>
    </row>
    <row r="203" spans="1:47" ht="15.75" x14ac:dyDescent="0.25">
      <c r="A203" s="40">
        <v>23</v>
      </c>
      <c r="B203" s="94" t="s">
        <v>175</v>
      </c>
      <c r="C203" s="11">
        <v>704</v>
      </c>
      <c r="D203" s="11">
        <v>2018</v>
      </c>
      <c r="E203" s="11" t="s">
        <v>185</v>
      </c>
      <c r="F203" s="37">
        <f>G203+H203</f>
        <v>1788384</v>
      </c>
      <c r="G203" s="37">
        <f>J203+AA203</f>
        <v>1373567</v>
      </c>
      <c r="H203" s="37">
        <f>K203+AB203</f>
        <v>414817</v>
      </c>
      <c r="I203" s="37">
        <f>ROUND($AF201*I202,0)</f>
        <v>993498</v>
      </c>
      <c r="J203" s="37">
        <f>ROUND(I203/1.302,0)</f>
        <v>763055</v>
      </c>
      <c r="K203" s="37">
        <f>I203-J203</f>
        <v>230443</v>
      </c>
      <c r="L203" s="37">
        <f>ROUND($AF201*L202,0)</f>
        <v>59150</v>
      </c>
      <c r="M203" s="37">
        <f>ROUND($AF201*M202,0)</f>
        <v>11830</v>
      </c>
      <c r="N203" s="37">
        <f>ROUND($AF201*N202,0)</f>
        <v>122941</v>
      </c>
      <c r="O203" s="37">
        <f>ROUND($AF201*O202,0)</f>
        <v>423327</v>
      </c>
      <c r="P203" s="100"/>
      <c r="Q203" s="100"/>
      <c r="R203" s="100"/>
      <c r="S203" s="100"/>
      <c r="T203" s="37">
        <f t="shared" ref="T203:Z203" si="239">ROUND($AF201*T202,0)</f>
        <v>151917</v>
      </c>
      <c r="U203" s="37">
        <f t="shared" si="239"/>
        <v>266941</v>
      </c>
      <c r="V203" s="37">
        <f t="shared" si="239"/>
        <v>9600</v>
      </c>
      <c r="W203" s="37">
        <f t="shared" si="239"/>
        <v>38401</v>
      </c>
      <c r="X203" s="37">
        <f t="shared" si="239"/>
        <v>1549</v>
      </c>
      <c r="Y203" s="37">
        <f t="shared" si="239"/>
        <v>79587</v>
      </c>
      <c r="Z203" s="37">
        <f t="shared" si="239"/>
        <v>794886</v>
      </c>
      <c r="AA203" s="37">
        <f>ROUND(Z203/1.302,0)</f>
        <v>610512</v>
      </c>
      <c r="AB203" s="37">
        <f>Z203-AA203</f>
        <v>184374</v>
      </c>
      <c r="AC203" s="37">
        <f>ROUND($AF201*AC202,0)</f>
        <v>20129</v>
      </c>
      <c r="AD203" s="37">
        <f>I203+L203+N203+O203+T203+U203+V203+W203+X203+Y203+AC203+Z203</f>
        <v>2961926</v>
      </c>
      <c r="AE203" s="78">
        <f>AF201</f>
        <v>2961925</v>
      </c>
      <c r="AF203" s="78">
        <f>AE203-AF201</f>
        <v>0</v>
      </c>
      <c r="AG203" s="107">
        <f>-ROUND(F203/1000,1)</f>
        <v>-1788.4</v>
      </c>
      <c r="AH203" s="107">
        <f>ROUND(AG203/1.302,1)</f>
        <v>-1373.6</v>
      </c>
      <c r="AI203" s="107">
        <f>AG203-AH203</f>
        <v>-414.8</v>
      </c>
      <c r="AJ203" s="107">
        <f>-ROUND(L203/1000,1)</f>
        <v>-59.2</v>
      </c>
      <c r="AK203" s="107">
        <f>-ROUND(M203/1000,1)</f>
        <v>-11.8</v>
      </c>
      <c r="AL203" s="107">
        <f>-ROUND(N203/1000,1)</f>
        <v>-122.9</v>
      </c>
      <c r="AM203" s="107">
        <f>-ROUND(O203/1000,1)</f>
        <v>-423.3</v>
      </c>
      <c r="AN203" s="107">
        <f t="shared" ref="AN203:AS203" si="240">-ROUND(T203/1000,1)</f>
        <v>-151.9</v>
      </c>
      <c r="AO203" s="107">
        <f t="shared" si="240"/>
        <v>-266.89999999999998</v>
      </c>
      <c r="AP203" s="107">
        <f t="shared" si="240"/>
        <v>-9.6</v>
      </c>
      <c r="AQ203" s="107">
        <f t="shared" si="240"/>
        <v>-38.4</v>
      </c>
      <c r="AR203" s="107">
        <f t="shared" si="240"/>
        <v>-1.5</v>
      </c>
      <c r="AS203" s="107">
        <f t="shared" si="240"/>
        <v>-79.599999999999994</v>
      </c>
      <c r="AT203" s="107">
        <f>-ROUND(AC203/1000,1)</f>
        <v>-20.100000000000001</v>
      </c>
      <c r="AU203" s="108">
        <f t="shared" si="232"/>
        <v>-2961.8</v>
      </c>
    </row>
    <row r="204" spans="1:47" ht="15.75" hidden="1" x14ac:dyDescent="0.25">
      <c r="A204" s="40">
        <v>23</v>
      </c>
      <c r="B204" s="94" t="s">
        <v>175</v>
      </c>
      <c r="C204" s="11">
        <v>704</v>
      </c>
      <c r="D204" s="11">
        <v>2019</v>
      </c>
      <c r="E204" s="11" t="s">
        <v>182</v>
      </c>
      <c r="F204" s="97"/>
      <c r="G204" s="97"/>
      <c r="H204" s="97"/>
      <c r="I204" s="97" t="e">
        <f>SUMIFS(#REF!,#REF!,выравнивание!$A204,#REF!,4)</f>
        <v>#REF!</v>
      </c>
      <c r="J204" s="97" t="e">
        <f>SUMIFS(#REF!,#REF!,выравнивание!$A204,#REF!,4)</f>
        <v>#REF!</v>
      </c>
      <c r="K204" s="97" t="e">
        <f>SUMIFS(#REF!,#REF!,выравнивание!$A204,#REF!,4)</f>
        <v>#REF!</v>
      </c>
      <c r="L204" s="97" t="e">
        <f>SUMIFS(#REF!,#REF!,выравнивание!$A204,#REF!,4)</f>
        <v>#REF!</v>
      </c>
      <c r="M204" s="97" t="e">
        <f>SUMIFS(#REF!,#REF!,выравнивание!$A204,#REF!,4)</f>
        <v>#REF!</v>
      </c>
      <c r="N204" s="97" t="e">
        <f>SUMIFS(#REF!,#REF!,выравнивание!$A204,#REF!,4)</f>
        <v>#REF!</v>
      </c>
      <c r="O204" s="97" t="e">
        <f>SUMIFS(#REF!,#REF!,выравнивание!$A204,#REF!,4)</f>
        <v>#REF!</v>
      </c>
      <c r="P204" s="97" t="e">
        <f>SUMIFS(#REF!,#REF!,выравнивание!$A204,#REF!,4)</f>
        <v>#REF!</v>
      </c>
      <c r="Q204" s="97" t="e">
        <f>SUMIFS(#REF!,#REF!,выравнивание!$A204,#REF!,4)</f>
        <v>#REF!</v>
      </c>
      <c r="R204" s="97" t="e">
        <f>SUMIFS(#REF!,#REF!,выравнивание!$A204,#REF!,4)</f>
        <v>#REF!</v>
      </c>
      <c r="S204" s="97" t="e">
        <f>SUMIFS(#REF!,#REF!,выравнивание!$A204,#REF!,4)</f>
        <v>#REF!</v>
      </c>
      <c r="T204" s="97" t="e">
        <f>SUMIFS(#REF!,#REF!,выравнивание!$A204,#REF!,4)</f>
        <v>#REF!</v>
      </c>
      <c r="U204" s="97" t="e">
        <f>SUMIFS(#REF!,#REF!,выравнивание!$A204,#REF!,4)</f>
        <v>#REF!</v>
      </c>
      <c r="V204" s="97" t="e">
        <f>SUMIFS(#REF!,#REF!,выравнивание!$A204,#REF!,4)</f>
        <v>#REF!</v>
      </c>
      <c r="W204" s="97" t="e">
        <f>SUMIFS(#REF!,#REF!,выравнивание!$A204,#REF!,4)</f>
        <v>#REF!</v>
      </c>
      <c r="X204" s="97" t="e">
        <f>SUMIFS(#REF!,#REF!,выравнивание!$A204,#REF!,4)</f>
        <v>#REF!</v>
      </c>
      <c r="Y204" s="97" t="e">
        <f>SUMIFS(#REF!,#REF!,выравнивание!$A204,#REF!,4)</f>
        <v>#REF!</v>
      </c>
      <c r="Z204" s="97" t="e">
        <f>SUMIFS(#REF!,#REF!,выравнивание!$A204,#REF!,4)</f>
        <v>#REF!</v>
      </c>
      <c r="AA204" s="97" t="e">
        <f>SUMIFS(#REF!,#REF!,выравнивание!$A204,#REF!,4)</f>
        <v>#REF!</v>
      </c>
      <c r="AB204" s="97" t="e">
        <f>SUMIFS(#REF!,#REF!,выравнивание!$A204,#REF!,4)</f>
        <v>#REF!</v>
      </c>
      <c r="AC204" s="100" t="e">
        <f>SUMIFS(#REF!,#REF!,выравнивание!$A204,#REF!,4)</f>
        <v>#REF!</v>
      </c>
      <c r="AD204" s="100" t="e">
        <f>SUMIFS(#REF!,#REF!,выравнивание!$A204,#REF!,4)</f>
        <v>#REF!</v>
      </c>
      <c r="AE204" s="103" t="e">
        <f>SUMIF(#REF!,выравнивание!$A204,#REF!)*1000-SUMIF(#REF!,выравнивание!$A204,#REF!)*1000</f>
        <v>#REF!</v>
      </c>
      <c r="AF204" s="105" t="e">
        <f>AD204-AE204</f>
        <v>#REF!</v>
      </c>
      <c r="AU204" s="108">
        <f t="shared" si="232"/>
        <v>0</v>
      </c>
    </row>
    <row r="205" spans="1:47" ht="15.75" hidden="1" x14ac:dyDescent="0.25">
      <c r="A205" s="40">
        <v>23</v>
      </c>
      <c r="B205" s="94" t="s">
        <v>175</v>
      </c>
      <c r="C205" s="11">
        <v>704</v>
      </c>
      <c r="D205" s="11">
        <v>2019</v>
      </c>
      <c r="E205" s="11" t="s">
        <v>184</v>
      </c>
      <c r="F205" s="104"/>
      <c r="G205" s="104"/>
      <c r="H205" s="104"/>
      <c r="I205" s="104" t="e">
        <f t="shared" ref="I205:O205" si="241">I204/$AD204</f>
        <v>#REF!</v>
      </c>
      <c r="J205" s="104" t="e">
        <f t="shared" si="241"/>
        <v>#REF!</v>
      </c>
      <c r="K205" s="104" t="e">
        <f t="shared" si="241"/>
        <v>#REF!</v>
      </c>
      <c r="L205" s="104" t="e">
        <f t="shared" si="241"/>
        <v>#REF!</v>
      </c>
      <c r="M205" s="104" t="e">
        <f t="shared" si="241"/>
        <v>#REF!</v>
      </c>
      <c r="N205" s="104" t="e">
        <f t="shared" si="241"/>
        <v>#REF!</v>
      </c>
      <c r="O205" s="104" t="e">
        <f t="shared" si="241"/>
        <v>#REF!</v>
      </c>
      <c r="P205" s="100"/>
      <c r="Q205" s="100"/>
      <c r="R205" s="100"/>
      <c r="S205" s="100"/>
      <c r="T205" s="104" t="e">
        <f t="shared" ref="T205:AB205" si="242">T204/$AD204</f>
        <v>#REF!</v>
      </c>
      <c r="U205" s="104" t="e">
        <f t="shared" si="242"/>
        <v>#REF!</v>
      </c>
      <c r="V205" s="104" t="e">
        <f t="shared" si="242"/>
        <v>#REF!</v>
      </c>
      <c r="W205" s="104" t="e">
        <f t="shared" si="242"/>
        <v>#REF!</v>
      </c>
      <c r="X205" s="104" t="e">
        <f t="shared" si="242"/>
        <v>#REF!</v>
      </c>
      <c r="Y205" s="104" t="e">
        <f t="shared" si="242"/>
        <v>#REF!</v>
      </c>
      <c r="Z205" s="104" t="e">
        <f t="shared" si="242"/>
        <v>#REF!</v>
      </c>
      <c r="AA205" s="104" t="e">
        <f t="shared" si="242"/>
        <v>#REF!</v>
      </c>
      <c r="AB205" s="104" t="e">
        <f t="shared" si="242"/>
        <v>#REF!</v>
      </c>
      <c r="AC205" s="106" t="e">
        <f>1-Z205-Y205-X205-W205-V205-U205-T205-O205-N205-L205-I205</f>
        <v>#REF!</v>
      </c>
      <c r="AD205" s="106" t="e">
        <f>AD204/$AD204</f>
        <v>#REF!</v>
      </c>
      <c r="AE205" s="81"/>
      <c r="AU205" s="108">
        <f t="shared" si="232"/>
        <v>0</v>
      </c>
    </row>
    <row r="206" spans="1:47" ht="15.75" x14ac:dyDescent="0.25">
      <c r="A206" s="40">
        <v>23</v>
      </c>
      <c r="B206" s="94" t="s">
        <v>175</v>
      </c>
      <c r="C206" s="11">
        <v>704</v>
      </c>
      <c r="D206" s="11">
        <v>2019</v>
      </c>
      <c r="E206" s="11" t="s">
        <v>185</v>
      </c>
      <c r="F206" s="37" t="e">
        <f>G206+H206</f>
        <v>#REF!</v>
      </c>
      <c r="G206" s="37" t="e">
        <f>J206+AA206</f>
        <v>#REF!</v>
      </c>
      <c r="H206" s="37" t="e">
        <f>K206+AB206</f>
        <v>#REF!</v>
      </c>
      <c r="I206" s="37" t="e">
        <f>ROUND($AF204*I205,0)</f>
        <v>#REF!</v>
      </c>
      <c r="J206" s="37" t="e">
        <f>ROUND(I206/1.302,0)</f>
        <v>#REF!</v>
      </c>
      <c r="K206" s="37" t="e">
        <f>I206-J206</f>
        <v>#REF!</v>
      </c>
      <c r="L206" s="37" t="e">
        <f>ROUND($AF204*L205,0)</f>
        <v>#REF!</v>
      </c>
      <c r="M206" s="37" t="e">
        <f>ROUND($AF204*M205,0)</f>
        <v>#REF!</v>
      </c>
      <c r="N206" s="37" t="e">
        <f>ROUND($AF204*N205,0)</f>
        <v>#REF!</v>
      </c>
      <c r="O206" s="37" t="e">
        <f>ROUND($AF204*O205,0)</f>
        <v>#REF!</v>
      </c>
      <c r="P206" s="100"/>
      <c r="Q206" s="100"/>
      <c r="R206" s="100"/>
      <c r="S206" s="100"/>
      <c r="T206" s="37" t="e">
        <f t="shared" ref="T206:Z206" si="243">ROUND($AF204*T205,0)</f>
        <v>#REF!</v>
      </c>
      <c r="U206" s="37" t="e">
        <f t="shared" si="243"/>
        <v>#REF!</v>
      </c>
      <c r="V206" s="37" t="e">
        <f t="shared" si="243"/>
        <v>#REF!</v>
      </c>
      <c r="W206" s="37" t="e">
        <f t="shared" si="243"/>
        <v>#REF!</v>
      </c>
      <c r="X206" s="37" t="e">
        <f t="shared" si="243"/>
        <v>#REF!</v>
      </c>
      <c r="Y206" s="37" t="e">
        <f t="shared" si="243"/>
        <v>#REF!</v>
      </c>
      <c r="Z206" s="37" t="e">
        <f t="shared" si="243"/>
        <v>#REF!</v>
      </c>
      <c r="AA206" s="37" t="e">
        <f>ROUND(Z206/1.302,0)</f>
        <v>#REF!</v>
      </c>
      <c r="AB206" s="37" t="e">
        <f>Z206-AA206</f>
        <v>#REF!</v>
      </c>
      <c r="AC206" s="37" t="e">
        <f>ROUND($AF204*AC205,0)</f>
        <v>#REF!</v>
      </c>
      <c r="AD206" s="37" t="e">
        <f>I206+L206+N206+O206+T206+U206+V206+W206+X206+Y206+AC206+Z206</f>
        <v>#REF!</v>
      </c>
      <c r="AE206" s="78" t="e">
        <f>AF204</f>
        <v>#REF!</v>
      </c>
      <c r="AF206" s="78" t="e">
        <f>AE206-AF204</f>
        <v>#REF!</v>
      </c>
      <c r="AG206" s="107" t="e">
        <f>-ROUND(F206/1000,1)</f>
        <v>#REF!</v>
      </c>
      <c r="AH206" s="107" t="e">
        <f>ROUND(AG206/1.302,1)</f>
        <v>#REF!</v>
      </c>
      <c r="AI206" s="107" t="e">
        <f>AG206-AH206</f>
        <v>#REF!</v>
      </c>
      <c r="AJ206" s="107" t="e">
        <f>-ROUND(L206/1000,1)</f>
        <v>#REF!</v>
      </c>
      <c r="AK206" s="107" t="e">
        <f>-ROUND(M206/1000,1)</f>
        <v>#REF!</v>
      </c>
      <c r="AL206" s="107" t="e">
        <f>-ROUND(N206/1000,1)</f>
        <v>#REF!</v>
      </c>
      <c r="AM206" s="107" t="e">
        <f>-ROUND(O206/1000,1)</f>
        <v>#REF!</v>
      </c>
      <c r="AN206" s="107" t="e">
        <f t="shared" ref="AN206:AS206" si="244">-ROUND(T206/1000,1)</f>
        <v>#REF!</v>
      </c>
      <c r="AO206" s="107" t="e">
        <f t="shared" si="244"/>
        <v>#REF!</v>
      </c>
      <c r="AP206" s="107" t="e">
        <f t="shared" si="244"/>
        <v>#REF!</v>
      </c>
      <c r="AQ206" s="107" t="e">
        <f t="shared" si="244"/>
        <v>#REF!</v>
      </c>
      <c r="AR206" s="107" t="e">
        <f t="shared" si="244"/>
        <v>#REF!</v>
      </c>
      <c r="AS206" s="107" t="e">
        <f t="shared" si="244"/>
        <v>#REF!</v>
      </c>
      <c r="AT206" s="107" t="e">
        <f>-ROUND(AC206/1000,1)</f>
        <v>#REF!</v>
      </c>
      <c r="AU206" s="108" t="e">
        <f t="shared" si="232"/>
        <v>#REF!</v>
      </c>
    </row>
    <row r="207" spans="1:47" ht="15.75" hidden="1" x14ac:dyDescent="0.25">
      <c r="A207" s="40">
        <v>23</v>
      </c>
      <c r="B207" s="94" t="s">
        <v>175</v>
      </c>
      <c r="C207" s="11">
        <v>704</v>
      </c>
      <c r="D207" s="11">
        <v>2020</v>
      </c>
      <c r="E207" s="11" t="s">
        <v>182</v>
      </c>
      <c r="F207" s="97"/>
      <c r="G207" s="97"/>
      <c r="H207" s="97"/>
      <c r="I207" s="97" t="e">
        <f>SUMIFS(#REF!,#REF!,выравнивание!$A207,#REF!,4)</f>
        <v>#REF!</v>
      </c>
      <c r="J207" s="97" t="e">
        <f>SUMIFS(#REF!,#REF!,выравнивание!$A207,#REF!,4)</f>
        <v>#REF!</v>
      </c>
      <c r="K207" s="97" t="e">
        <f>SUMIFS(#REF!,#REF!,выравнивание!$A207,#REF!,4)</f>
        <v>#REF!</v>
      </c>
      <c r="L207" s="97" t="e">
        <f>SUMIFS(#REF!,#REF!,выравнивание!$A207,#REF!,4)</f>
        <v>#REF!</v>
      </c>
      <c r="M207" s="97" t="e">
        <f>SUMIFS(#REF!,#REF!,выравнивание!$A207,#REF!,4)</f>
        <v>#REF!</v>
      </c>
      <c r="N207" s="97" t="e">
        <f>SUMIFS(#REF!,#REF!,выравнивание!$A207,#REF!,4)</f>
        <v>#REF!</v>
      </c>
      <c r="O207" s="97" t="e">
        <f>SUMIFS(#REF!,#REF!,выравнивание!$A207,#REF!,4)</f>
        <v>#REF!</v>
      </c>
      <c r="P207" s="97" t="e">
        <f>SUMIFS(#REF!,#REF!,выравнивание!$A207,#REF!,4)</f>
        <v>#REF!</v>
      </c>
      <c r="Q207" s="97" t="e">
        <f>SUMIFS(#REF!,#REF!,выравнивание!$A207,#REF!,4)</f>
        <v>#REF!</v>
      </c>
      <c r="R207" s="97" t="e">
        <f>SUMIFS(#REF!,#REF!,выравнивание!$A207,#REF!,4)</f>
        <v>#REF!</v>
      </c>
      <c r="S207" s="97" t="e">
        <f>SUMIFS(#REF!,#REF!,выравнивание!$A207,#REF!,4)</f>
        <v>#REF!</v>
      </c>
      <c r="T207" s="97" t="e">
        <f>SUMIFS(#REF!,#REF!,выравнивание!$A207,#REF!,4)</f>
        <v>#REF!</v>
      </c>
      <c r="U207" s="97" t="e">
        <f>SUMIFS(#REF!,#REF!,выравнивание!$A207,#REF!,4)</f>
        <v>#REF!</v>
      </c>
      <c r="V207" s="97" t="e">
        <f>SUMIFS(#REF!,#REF!,выравнивание!$A207,#REF!,4)</f>
        <v>#REF!</v>
      </c>
      <c r="W207" s="97" t="e">
        <f>SUMIFS(#REF!,#REF!,выравнивание!$A207,#REF!,4)</f>
        <v>#REF!</v>
      </c>
      <c r="X207" s="97" t="e">
        <f>SUMIFS(#REF!,#REF!,выравнивание!$A207,#REF!,4)</f>
        <v>#REF!</v>
      </c>
      <c r="Y207" s="97" t="e">
        <f>SUMIFS(#REF!,#REF!,выравнивание!$A207,#REF!,4)</f>
        <v>#REF!</v>
      </c>
      <c r="Z207" s="97" t="e">
        <f>SUMIFS(#REF!,#REF!,выравнивание!$A207,#REF!,4)</f>
        <v>#REF!</v>
      </c>
      <c r="AA207" s="97" t="e">
        <f>SUMIFS(#REF!,#REF!,выравнивание!$A207,#REF!,4)</f>
        <v>#REF!</v>
      </c>
      <c r="AB207" s="97" t="e">
        <f>SUMIFS(#REF!,#REF!,выравнивание!$A207,#REF!,4)</f>
        <v>#REF!</v>
      </c>
      <c r="AC207" s="100" t="e">
        <f>SUMIFS(#REF!,#REF!,выравнивание!$A207,#REF!,4)</f>
        <v>#REF!</v>
      </c>
      <c r="AD207" s="100" t="e">
        <f>SUMIFS(#REF!,#REF!,выравнивание!$A207,#REF!,4)</f>
        <v>#REF!</v>
      </c>
      <c r="AE207" s="103" t="e">
        <f>SUMIF(#REF!,выравнивание!$A207,#REF!)*1000-SUMIF(#REF!,выравнивание!$A207,#REF!)*1000</f>
        <v>#REF!</v>
      </c>
      <c r="AF207" s="84" t="e">
        <f>AD207-AE207</f>
        <v>#REF!</v>
      </c>
      <c r="AU207" s="108">
        <f t="shared" si="232"/>
        <v>0</v>
      </c>
    </row>
    <row r="208" spans="1:47" ht="15.75" hidden="1" x14ac:dyDescent="0.25">
      <c r="A208" s="40">
        <v>23</v>
      </c>
      <c r="B208" s="94" t="s">
        <v>175</v>
      </c>
      <c r="C208" s="11">
        <v>704</v>
      </c>
      <c r="D208" s="11">
        <v>2020</v>
      </c>
      <c r="E208" s="11" t="s">
        <v>184</v>
      </c>
      <c r="F208" s="104"/>
      <c r="G208" s="104"/>
      <c r="H208" s="104"/>
      <c r="I208" s="104" t="e">
        <f t="shared" ref="I208:O208" si="245">I207/$AD207</f>
        <v>#REF!</v>
      </c>
      <c r="J208" s="104" t="e">
        <f t="shared" si="245"/>
        <v>#REF!</v>
      </c>
      <c r="K208" s="104" t="e">
        <f t="shared" si="245"/>
        <v>#REF!</v>
      </c>
      <c r="L208" s="104" t="e">
        <f t="shared" si="245"/>
        <v>#REF!</v>
      </c>
      <c r="M208" s="104" t="e">
        <f t="shared" si="245"/>
        <v>#REF!</v>
      </c>
      <c r="N208" s="104" t="e">
        <f t="shared" si="245"/>
        <v>#REF!</v>
      </c>
      <c r="O208" s="104" t="e">
        <f t="shared" si="245"/>
        <v>#REF!</v>
      </c>
      <c r="P208" s="100"/>
      <c r="Q208" s="100"/>
      <c r="R208" s="100"/>
      <c r="S208" s="100"/>
      <c r="T208" s="104" t="e">
        <f t="shared" ref="T208:AB208" si="246">T207/$AD207</f>
        <v>#REF!</v>
      </c>
      <c r="U208" s="104" t="e">
        <f t="shared" si="246"/>
        <v>#REF!</v>
      </c>
      <c r="V208" s="104" t="e">
        <f t="shared" si="246"/>
        <v>#REF!</v>
      </c>
      <c r="W208" s="104" t="e">
        <f t="shared" si="246"/>
        <v>#REF!</v>
      </c>
      <c r="X208" s="104" t="e">
        <f t="shared" si="246"/>
        <v>#REF!</v>
      </c>
      <c r="Y208" s="104" t="e">
        <f t="shared" si="246"/>
        <v>#REF!</v>
      </c>
      <c r="Z208" s="104" t="e">
        <f t="shared" si="246"/>
        <v>#REF!</v>
      </c>
      <c r="AA208" s="104" t="e">
        <f t="shared" si="246"/>
        <v>#REF!</v>
      </c>
      <c r="AB208" s="104" t="e">
        <f t="shared" si="246"/>
        <v>#REF!</v>
      </c>
      <c r="AC208" s="106" t="e">
        <f>1-Z208-Y208-X208-W208-V208-U208-T208-O208-N208-L208-I208</f>
        <v>#REF!</v>
      </c>
      <c r="AD208" s="106" t="e">
        <f>AD207/$AD207</f>
        <v>#REF!</v>
      </c>
      <c r="AE208" s="81"/>
      <c r="AU208" s="108">
        <f t="shared" si="232"/>
        <v>0</v>
      </c>
    </row>
    <row r="209" spans="1:47" ht="15.75" x14ac:dyDescent="0.25">
      <c r="A209" s="40">
        <v>23</v>
      </c>
      <c r="B209" s="94" t="s">
        <v>175</v>
      </c>
      <c r="C209" s="11">
        <v>704</v>
      </c>
      <c r="D209" s="11">
        <v>2020</v>
      </c>
      <c r="E209" s="11" t="s">
        <v>185</v>
      </c>
      <c r="F209" s="37" t="e">
        <f>G209+H209</f>
        <v>#REF!</v>
      </c>
      <c r="G209" s="37" t="e">
        <f>J209+AA209</f>
        <v>#REF!</v>
      </c>
      <c r="H209" s="37" t="e">
        <f>K209+AB209</f>
        <v>#REF!</v>
      </c>
      <c r="I209" s="37" t="e">
        <f>ROUND($AF207*I208,0)</f>
        <v>#REF!</v>
      </c>
      <c r="J209" s="37" t="e">
        <f>ROUND(I209/1.302,0)</f>
        <v>#REF!</v>
      </c>
      <c r="K209" s="37" t="e">
        <f>I209-J209</f>
        <v>#REF!</v>
      </c>
      <c r="L209" s="37" t="e">
        <f>ROUND($AF207*L208,0)</f>
        <v>#REF!</v>
      </c>
      <c r="M209" s="37" t="e">
        <f>ROUND($AF207*M208,0)</f>
        <v>#REF!</v>
      </c>
      <c r="N209" s="37" t="e">
        <f>ROUND($AF207*N208,0)</f>
        <v>#REF!</v>
      </c>
      <c r="O209" s="37" t="e">
        <f>ROUND($AF207*O208,0)</f>
        <v>#REF!</v>
      </c>
      <c r="P209" s="100"/>
      <c r="Q209" s="100"/>
      <c r="R209" s="100"/>
      <c r="S209" s="100"/>
      <c r="T209" s="37" t="e">
        <f t="shared" ref="T209:Z209" si="247">ROUND($AF207*T208,0)</f>
        <v>#REF!</v>
      </c>
      <c r="U209" s="37" t="e">
        <f t="shared" si="247"/>
        <v>#REF!</v>
      </c>
      <c r="V209" s="37" t="e">
        <f t="shared" si="247"/>
        <v>#REF!</v>
      </c>
      <c r="W209" s="37" t="e">
        <f t="shared" si="247"/>
        <v>#REF!</v>
      </c>
      <c r="X209" s="37" t="e">
        <f t="shared" si="247"/>
        <v>#REF!</v>
      </c>
      <c r="Y209" s="37" t="e">
        <f t="shared" si="247"/>
        <v>#REF!</v>
      </c>
      <c r="Z209" s="37" t="e">
        <f t="shared" si="247"/>
        <v>#REF!</v>
      </c>
      <c r="AA209" s="37" t="e">
        <f>ROUND(Z209/1.302,0)</f>
        <v>#REF!</v>
      </c>
      <c r="AB209" s="37" t="e">
        <f>Z209-AA209</f>
        <v>#REF!</v>
      </c>
      <c r="AC209" s="37" t="e">
        <f>ROUND($AF207*AC208,0)</f>
        <v>#REF!</v>
      </c>
      <c r="AD209" s="37" t="e">
        <f>I209+L209+N209+O209+T209+U209+V209+W209+X209+Y209+AC209+Z209</f>
        <v>#REF!</v>
      </c>
      <c r="AE209" s="78" t="e">
        <f>AF207</f>
        <v>#REF!</v>
      </c>
      <c r="AF209" s="78" t="e">
        <f>AE209-AF207</f>
        <v>#REF!</v>
      </c>
      <c r="AG209" s="107" t="e">
        <f>-ROUND(F209/1000,1)</f>
        <v>#REF!</v>
      </c>
      <c r="AH209" s="107" t="e">
        <f>ROUND(AG209/1.302,1)</f>
        <v>#REF!</v>
      </c>
      <c r="AI209" s="107" t="e">
        <f>AG209-AH209</f>
        <v>#REF!</v>
      </c>
      <c r="AJ209" s="107" t="e">
        <f>-ROUND(L209/1000,1)</f>
        <v>#REF!</v>
      </c>
      <c r="AK209" s="107" t="e">
        <f>-ROUND(M209/1000,1)</f>
        <v>#REF!</v>
      </c>
      <c r="AL209" s="107" t="e">
        <f>-ROUND(N209/1000,1)</f>
        <v>#REF!</v>
      </c>
      <c r="AM209" s="107" t="e">
        <f>-ROUND(O209/1000,1)</f>
        <v>#REF!</v>
      </c>
      <c r="AN209" s="107" t="e">
        <f t="shared" ref="AN209:AS209" si="248">-ROUND(T209/1000,1)</f>
        <v>#REF!</v>
      </c>
      <c r="AO209" s="107" t="e">
        <f t="shared" si="248"/>
        <v>#REF!</v>
      </c>
      <c r="AP209" s="107" t="e">
        <f t="shared" si="248"/>
        <v>#REF!</v>
      </c>
      <c r="AQ209" s="107" t="e">
        <f t="shared" si="248"/>
        <v>#REF!</v>
      </c>
      <c r="AR209" s="107" t="e">
        <f t="shared" si="248"/>
        <v>#REF!</v>
      </c>
      <c r="AS209" s="107" t="e">
        <f t="shared" si="248"/>
        <v>#REF!</v>
      </c>
      <c r="AT209" s="107" t="e">
        <f>-ROUND(AC209/1000,1)</f>
        <v>#REF!</v>
      </c>
      <c r="AU209" s="108" t="e">
        <f t="shared" si="232"/>
        <v>#REF!</v>
      </c>
    </row>
    <row r="210" spans="1:47" ht="15.75" hidden="1" x14ac:dyDescent="0.25">
      <c r="A210" s="40">
        <v>24</v>
      </c>
      <c r="B210" s="94" t="s">
        <v>176</v>
      </c>
      <c r="C210" s="11">
        <v>704</v>
      </c>
      <c r="D210" s="11">
        <v>2018</v>
      </c>
      <c r="E210" s="11" t="s">
        <v>182</v>
      </c>
      <c r="F210" s="100"/>
      <c r="G210" s="100"/>
      <c r="H210" s="100"/>
      <c r="I210" s="100">
        <f>SUMIFS('2020'!BM:BM,'2020'!$B:$B,выравнивание!$A210,'2020'!$G:$G,4)</f>
        <v>6841919</v>
      </c>
      <c r="J210" s="100">
        <f>SUMIFS('2020'!BN:BN,'2020'!$B:$B,выравнивание!$A210,'2020'!$G:$G,4)</f>
        <v>5254930.0999999996</v>
      </c>
      <c r="K210" s="100">
        <f>SUMIFS('2020'!BO:BO,'2020'!$B:$B,выравнивание!$A210,'2020'!$G:$G,4)</f>
        <v>1586988.9</v>
      </c>
      <c r="L210" s="100">
        <f>SUMIFS('2020'!BP:BP,'2020'!$B:$B,выравнивание!$A210,'2020'!$G:$G,4)</f>
        <v>265490</v>
      </c>
      <c r="M210" s="100">
        <f>SUMIFS('2020'!BQ:BQ,'2020'!$B:$B,выравнивание!$A210,'2020'!$G:$G,4)</f>
        <v>53098</v>
      </c>
      <c r="N210" s="100">
        <f>SUMIFS('2020'!BR:BR,'2020'!$B:$B,выравнивание!$A210,'2020'!$G:$G,4)</f>
        <v>551830</v>
      </c>
      <c r="O210" s="100">
        <f>SUMIFS('2020'!BS:BS,'2020'!$B:$B,выравнивание!$A210,'2020'!$G:$G,4)</f>
        <v>1907590</v>
      </c>
      <c r="P210" s="100">
        <f>SUMIFS('2020'!BT:BT,'2020'!$B:$B,выравнивание!$A210,'2020'!$G:$G,4)</f>
        <v>0</v>
      </c>
      <c r="Q210" s="100">
        <f>SUMIFS('2020'!BU:BU,'2020'!$B:$B,выравнивание!$A210,'2020'!$G:$G,4)</f>
        <v>0</v>
      </c>
      <c r="R210" s="100">
        <f>SUMIFS('2020'!BV:BV,'2020'!$B:$B,выравнивание!$A210,'2020'!$G:$G,4)</f>
        <v>0</v>
      </c>
      <c r="S210" s="100">
        <f>SUMIFS('2020'!BW:BW,'2020'!$B:$B,выравнивание!$A210,'2020'!$G:$G,4)</f>
        <v>0</v>
      </c>
      <c r="T210" s="100">
        <f>SUMIFS('2020'!BX:BX,'2020'!$B:$B,выравнивание!$A210,'2020'!$G:$G,4)</f>
        <v>864002</v>
      </c>
      <c r="U210" s="100">
        <f>SUMIFS('2020'!BY:BY,'2020'!$B:$B,выравнивание!$A210,'2020'!$G:$G,4)</f>
        <v>1198180</v>
      </c>
      <c r="V210" s="100">
        <f>SUMIFS('2020'!BZ:BZ,'2020'!$B:$B,выравнивание!$A210,'2020'!$G:$G,4)</f>
        <v>43090</v>
      </c>
      <c r="W210" s="100">
        <f>SUMIFS('2020'!CA:CA,'2020'!$B:$B,выравнивание!$A210,'2020'!$G:$G,4)</f>
        <v>172360</v>
      </c>
      <c r="X210" s="100">
        <f>SUMIFS('2020'!CB:CB,'2020'!$B:$B,выравнивание!$A210,'2020'!$G:$G,4)</f>
        <v>6950</v>
      </c>
      <c r="Y210" s="100">
        <f>SUMIFS('2020'!CC:CC,'2020'!$B:$B,выравнивание!$A210,'2020'!$G:$G,4)</f>
        <v>357230</v>
      </c>
      <c r="Z210" s="100">
        <f>SUMIFS('2020'!CD:CD,'2020'!$B:$B,выравнивание!$A210,'2020'!$G:$G,4)</f>
        <v>5474149</v>
      </c>
      <c r="AA210" s="100">
        <f>SUMIFS('2020'!CE:CE,'2020'!$B:$B,выравнивание!$A210,'2020'!$G:$G,4)</f>
        <v>4204415.5</v>
      </c>
      <c r="AB210" s="100">
        <f>SUMIFS('2020'!CF:CF,'2020'!$B:$B,выравнивание!$A210,'2020'!$G:$G,4)</f>
        <v>1269733.5</v>
      </c>
      <c r="AC210" s="100">
        <f>SUMIFS('2020'!CG:CG,'2020'!$B:$B,выравнивание!$A210,'2020'!$G:$G,4)</f>
        <v>90350</v>
      </c>
      <c r="AD210" s="100">
        <f>SUMIFS('2020'!CH:CH,'2020'!$B:$B,выравнивание!$A210,'2020'!$G:$G,4)</f>
        <v>17773140</v>
      </c>
      <c r="AE210" s="84">
        <f>SUMIF('Свод 2020'!$A$44:$A$57,выравнивание!$A210,'Свод 2020'!$AA$44:$AA$57)*1000-SUMIF('Свод 2020'!$A$44:$A$57,выравнивание!$A210,'Свод 2020'!$S$44:$S$57)*1000</f>
        <v>12859000</v>
      </c>
      <c r="AF210" s="105">
        <f>AD210-AE210</f>
        <v>4914140</v>
      </c>
      <c r="AU210" s="108">
        <f t="shared" si="232"/>
        <v>0</v>
      </c>
    </row>
    <row r="211" spans="1:47" ht="15.75" hidden="1" x14ac:dyDescent="0.25">
      <c r="A211" s="40">
        <v>24</v>
      </c>
      <c r="B211" s="94" t="s">
        <v>176</v>
      </c>
      <c r="C211" s="11">
        <v>704</v>
      </c>
      <c r="D211" s="11">
        <v>2018</v>
      </c>
      <c r="E211" s="11" t="s">
        <v>184</v>
      </c>
      <c r="F211" s="104"/>
      <c r="G211" s="104"/>
      <c r="H211" s="104"/>
      <c r="I211" s="104">
        <f t="shared" ref="I211:O211" si="249">I210/$AD210</f>
        <v>0.38495800000000002</v>
      </c>
      <c r="J211" s="104">
        <f t="shared" si="249"/>
        <v>0.29566700000000001</v>
      </c>
      <c r="K211" s="104">
        <f t="shared" si="249"/>
        <v>8.9290999999999995E-2</v>
      </c>
      <c r="L211" s="104">
        <f t="shared" si="249"/>
        <v>1.4938E-2</v>
      </c>
      <c r="M211" s="104">
        <f t="shared" si="249"/>
        <v>2.9880000000000002E-3</v>
      </c>
      <c r="N211" s="104">
        <f t="shared" si="249"/>
        <v>3.1049E-2</v>
      </c>
      <c r="O211" s="104">
        <f t="shared" si="249"/>
        <v>0.10732999999999999</v>
      </c>
      <c r="P211" s="100"/>
      <c r="Q211" s="100"/>
      <c r="R211" s="100"/>
      <c r="S211" s="100"/>
      <c r="T211" s="104">
        <f t="shared" ref="T211:AB211" si="250">T210/$AD210</f>
        <v>4.8613000000000003E-2</v>
      </c>
      <c r="U211" s="104">
        <f t="shared" si="250"/>
        <v>6.7415000000000003E-2</v>
      </c>
      <c r="V211" s="104">
        <f t="shared" si="250"/>
        <v>2.4239999999999999E-3</v>
      </c>
      <c r="W211" s="104">
        <f t="shared" si="250"/>
        <v>9.698E-3</v>
      </c>
      <c r="X211" s="104">
        <f t="shared" si="250"/>
        <v>3.9100000000000002E-4</v>
      </c>
      <c r="Y211" s="104">
        <f t="shared" si="250"/>
        <v>2.0098999999999999E-2</v>
      </c>
      <c r="Z211" s="104">
        <f t="shared" si="250"/>
        <v>0.30800100000000002</v>
      </c>
      <c r="AA211" s="104">
        <f t="shared" si="250"/>
        <v>0.23655999999999999</v>
      </c>
      <c r="AB211" s="104">
        <f t="shared" si="250"/>
        <v>7.1441000000000004E-2</v>
      </c>
      <c r="AC211" s="106">
        <f>1-Z211-Y211-X211-W211-V211-U211-T211-O211-N211-L211-I211</f>
        <v>5.084E-3</v>
      </c>
      <c r="AD211" s="106">
        <f>AD210/$AD210</f>
        <v>1</v>
      </c>
      <c r="AE211" s="81"/>
      <c r="AU211" s="108">
        <f t="shared" si="232"/>
        <v>0</v>
      </c>
    </row>
    <row r="212" spans="1:47" ht="15.75" x14ac:dyDescent="0.25">
      <c r="A212" s="40">
        <v>24</v>
      </c>
      <c r="B212" s="94" t="s">
        <v>176</v>
      </c>
      <c r="C212" s="11">
        <v>704</v>
      </c>
      <c r="D212" s="11">
        <v>2018</v>
      </c>
      <c r="E212" s="11" t="s">
        <v>185</v>
      </c>
      <c r="F212" s="37">
        <f>G212+H212</f>
        <v>3405298</v>
      </c>
      <c r="G212" s="37">
        <f>J212+AA212</f>
        <v>2615436</v>
      </c>
      <c r="H212" s="37">
        <f>K212+AB212</f>
        <v>789862</v>
      </c>
      <c r="I212" s="37">
        <f>ROUND($AF210*I211,0)</f>
        <v>1891738</v>
      </c>
      <c r="J212" s="37">
        <f>ROUND(I212/1.302,0)</f>
        <v>1452948</v>
      </c>
      <c r="K212" s="37">
        <f>I212-J212</f>
        <v>438790</v>
      </c>
      <c r="L212" s="37">
        <f>ROUND($AF210*L211,0)</f>
        <v>73407</v>
      </c>
      <c r="M212" s="37">
        <f>ROUND($AF210*M211,0)</f>
        <v>14683</v>
      </c>
      <c r="N212" s="37">
        <f>ROUND($AF210*N211,0)</f>
        <v>152579</v>
      </c>
      <c r="O212" s="37">
        <f>ROUND($AF210*O211,0)</f>
        <v>527435</v>
      </c>
      <c r="P212" s="100"/>
      <c r="Q212" s="100"/>
      <c r="R212" s="100"/>
      <c r="S212" s="100"/>
      <c r="T212" s="37">
        <f t="shared" ref="T212:Z212" si="251">ROUND($AF210*T211,0)</f>
        <v>238891</v>
      </c>
      <c r="U212" s="37">
        <f t="shared" si="251"/>
        <v>331287</v>
      </c>
      <c r="V212" s="37">
        <f t="shared" si="251"/>
        <v>11912</v>
      </c>
      <c r="W212" s="37">
        <f t="shared" si="251"/>
        <v>47657</v>
      </c>
      <c r="X212" s="37">
        <f t="shared" si="251"/>
        <v>1921</v>
      </c>
      <c r="Y212" s="37">
        <f t="shared" si="251"/>
        <v>98769</v>
      </c>
      <c r="Z212" s="37">
        <f t="shared" si="251"/>
        <v>1513560</v>
      </c>
      <c r="AA212" s="37">
        <f>ROUND(Z212/1.302,0)</f>
        <v>1162488</v>
      </c>
      <c r="AB212" s="37">
        <f>Z212-AA212</f>
        <v>351072</v>
      </c>
      <c r="AC212" s="37">
        <f>ROUND($AF210*AC211,0)</f>
        <v>24983</v>
      </c>
      <c r="AD212" s="37">
        <f>I212+L212+N212+O212+T212+U212+V212+W212+X212+Y212+AC212+Z212</f>
        <v>4914139</v>
      </c>
      <c r="AE212" s="78">
        <f>AF210</f>
        <v>4914140</v>
      </c>
      <c r="AF212" s="78">
        <f>AE212-AF210</f>
        <v>0</v>
      </c>
      <c r="AG212" s="107">
        <f>-ROUND(F212/1000,1)</f>
        <v>-3405.3</v>
      </c>
      <c r="AH212" s="107">
        <f>ROUND(AG212/1.302,1)</f>
        <v>-2615.4</v>
      </c>
      <c r="AI212" s="107">
        <f>AG212-AH212</f>
        <v>-789.9</v>
      </c>
      <c r="AJ212" s="107">
        <f>-ROUND(L212/1000,1)</f>
        <v>-73.400000000000006</v>
      </c>
      <c r="AK212" s="107">
        <f>-ROUND(M212/1000,1)</f>
        <v>-14.7</v>
      </c>
      <c r="AL212" s="107">
        <f>-ROUND(N212/1000,1)</f>
        <v>-152.6</v>
      </c>
      <c r="AM212" s="107">
        <f>-ROUND(O212/1000,1)</f>
        <v>-527.4</v>
      </c>
      <c r="AN212" s="107">
        <f t="shared" ref="AN212:AS212" si="252">-ROUND(T212/1000,1)</f>
        <v>-238.9</v>
      </c>
      <c r="AO212" s="107">
        <f t="shared" si="252"/>
        <v>-331.3</v>
      </c>
      <c r="AP212" s="107">
        <f t="shared" si="252"/>
        <v>-11.9</v>
      </c>
      <c r="AQ212" s="107">
        <f t="shared" si="252"/>
        <v>-47.7</v>
      </c>
      <c r="AR212" s="107">
        <f t="shared" si="252"/>
        <v>-1.9</v>
      </c>
      <c r="AS212" s="107">
        <f t="shared" si="252"/>
        <v>-98.8</v>
      </c>
      <c r="AT212" s="107">
        <f>-ROUND(AC212/1000,1)</f>
        <v>-25</v>
      </c>
      <c r="AU212" s="108">
        <f t="shared" si="232"/>
        <v>-4914.2</v>
      </c>
    </row>
    <row r="213" spans="1:47" ht="15.75" hidden="1" x14ac:dyDescent="0.25">
      <c r="A213" s="40">
        <v>24</v>
      </c>
      <c r="B213" s="94" t="s">
        <v>176</v>
      </c>
      <c r="C213" s="11">
        <v>704</v>
      </c>
      <c r="D213" s="11">
        <v>2019</v>
      </c>
      <c r="E213" s="11" t="s">
        <v>182</v>
      </c>
      <c r="F213" s="97"/>
      <c r="G213" s="97"/>
      <c r="H213" s="97"/>
      <c r="I213" s="97" t="e">
        <f>SUMIFS(#REF!,#REF!,выравнивание!$A213,#REF!,4)</f>
        <v>#REF!</v>
      </c>
      <c r="J213" s="97" t="e">
        <f>SUMIFS(#REF!,#REF!,выравнивание!$A213,#REF!,4)</f>
        <v>#REF!</v>
      </c>
      <c r="K213" s="97" t="e">
        <f>SUMIFS(#REF!,#REF!,выравнивание!$A213,#REF!,4)</f>
        <v>#REF!</v>
      </c>
      <c r="L213" s="97" t="e">
        <f>SUMIFS(#REF!,#REF!,выравнивание!$A213,#REF!,4)</f>
        <v>#REF!</v>
      </c>
      <c r="M213" s="97" t="e">
        <f>SUMIFS(#REF!,#REF!,выравнивание!$A213,#REF!,4)</f>
        <v>#REF!</v>
      </c>
      <c r="N213" s="97" t="e">
        <f>SUMIFS(#REF!,#REF!,выравнивание!$A213,#REF!,4)</f>
        <v>#REF!</v>
      </c>
      <c r="O213" s="97" t="e">
        <f>SUMIFS(#REF!,#REF!,выравнивание!$A213,#REF!,4)</f>
        <v>#REF!</v>
      </c>
      <c r="P213" s="97" t="e">
        <f>SUMIFS(#REF!,#REF!,выравнивание!$A213,#REF!,4)</f>
        <v>#REF!</v>
      </c>
      <c r="Q213" s="97" t="e">
        <f>SUMIFS(#REF!,#REF!,выравнивание!$A213,#REF!,4)</f>
        <v>#REF!</v>
      </c>
      <c r="R213" s="97" t="e">
        <f>SUMIFS(#REF!,#REF!,выравнивание!$A213,#REF!,4)</f>
        <v>#REF!</v>
      </c>
      <c r="S213" s="97" t="e">
        <f>SUMIFS(#REF!,#REF!,выравнивание!$A213,#REF!,4)</f>
        <v>#REF!</v>
      </c>
      <c r="T213" s="97" t="e">
        <f>SUMIFS(#REF!,#REF!,выравнивание!$A213,#REF!,4)</f>
        <v>#REF!</v>
      </c>
      <c r="U213" s="97" t="e">
        <f>SUMIFS(#REF!,#REF!,выравнивание!$A213,#REF!,4)</f>
        <v>#REF!</v>
      </c>
      <c r="V213" s="97" t="e">
        <f>SUMIFS(#REF!,#REF!,выравнивание!$A213,#REF!,4)</f>
        <v>#REF!</v>
      </c>
      <c r="W213" s="97" t="e">
        <f>SUMIFS(#REF!,#REF!,выравнивание!$A213,#REF!,4)</f>
        <v>#REF!</v>
      </c>
      <c r="X213" s="97" t="e">
        <f>SUMIFS(#REF!,#REF!,выравнивание!$A213,#REF!,4)</f>
        <v>#REF!</v>
      </c>
      <c r="Y213" s="97" t="e">
        <f>SUMIFS(#REF!,#REF!,выравнивание!$A213,#REF!,4)</f>
        <v>#REF!</v>
      </c>
      <c r="Z213" s="97" t="e">
        <f>SUMIFS(#REF!,#REF!,выравнивание!$A213,#REF!,4)</f>
        <v>#REF!</v>
      </c>
      <c r="AA213" s="97" t="e">
        <f>SUMIFS(#REF!,#REF!,выравнивание!$A213,#REF!,4)</f>
        <v>#REF!</v>
      </c>
      <c r="AB213" s="97" t="e">
        <f>SUMIFS(#REF!,#REF!,выравнивание!$A213,#REF!,4)</f>
        <v>#REF!</v>
      </c>
      <c r="AC213" s="100" t="e">
        <f>SUMIFS(#REF!,#REF!,выравнивание!$A213,#REF!,4)</f>
        <v>#REF!</v>
      </c>
      <c r="AD213" s="100" t="e">
        <f>SUMIFS(#REF!,#REF!,выравнивание!$A213,#REF!,4)</f>
        <v>#REF!</v>
      </c>
      <c r="AE213" s="103" t="e">
        <f>SUMIF(#REF!,выравнивание!$A213,#REF!)*1000-SUMIF(#REF!,выравнивание!$A213,#REF!)*1000</f>
        <v>#REF!</v>
      </c>
      <c r="AF213" s="105" t="e">
        <f>AD213-AE213</f>
        <v>#REF!</v>
      </c>
      <c r="AU213" s="108">
        <f t="shared" si="232"/>
        <v>0</v>
      </c>
    </row>
    <row r="214" spans="1:47" ht="15.75" hidden="1" x14ac:dyDescent="0.25">
      <c r="A214" s="40">
        <v>24</v>
      </c>
      <c r="B214" s="94" t="s">
        <v>176</v>
      </c>
      <c r="C214" s="11">
        <v>704</v>
      </c>
      <c r="D214" s="11">
        <v>2019</v>
      </c>
      <c r="E214" s="11" t="s">
        <v>184</v>
      </c>
      <c r="F214" s="104"/>
      <c r="G214" s="104"/>
      <c r="H214" s="104"/>
      <c r="I214" s="104" t="e">
        <f t="shared" ref="I214:O214" si="253">I213/$AD213</f>
        <v>#REF!</v>
      </c>
      <c r="J214" s="104" t="e">
        <f t="shared" si="253"/>
        <v>#REF!</v>
      </c>
      <c r="K214" s="104" t="e">
        <f t="shared" si="253"/>
        <v>#REF!</v>
      </c>
      <c r="L214" s="104" t="e">
        <f t="shared" si="253"/>
        <v>#REF!</v>
      </c>
      <c r="M214" s="104" t="e">
        <f t="shared" si="253"/>
        <v>#REF!</v>
      </c>
      <c r="N214" s="104" t="e">
        <f t="shared" si="253"/>
        <v>#REF!</v>
      </c>
      <c r="O214" s="104" t="e">
        <f t="shared" si="253"/>
        <v>#REF!</v>
      </c>
      <c r="P214" s="100"/>
      <c r="Q214" s="100"/>
      <c r="R214" s="100"/>
      <c r="S214" s="100"/>
      <c r="T214" s="104" t="e">
        <f t="shared" ref="T214:AB214" si="254">T213/$AD213</f>
        <v>#REF!</v>
      </c>
      <c r="U214" s="104" t="e">
        <f t="shared" si="254"/>
        <v>#REF!</v>
      </c>
      <c r="V214" s="104" t="e">
        <f t="shared" si="254"/>
        <v>#REF!</v>
      </c>
      <c r="W214" s="104" t="e">
        <f t="shared" si="254"/>
        <v>#REF!</v>
      </c>
      <c r="X214" s="104" t="e">
        <f t="shared" si="254"/>
        <v>#REF!</v>
      </c>
      <c r="Y214" s="104" t="e">
        <f t="shared" si="254"/>
        <v>#REF!</v>
      </c>
      <c r="Z214" s="104" t="e">
        <f t="shared" si="254"/>
        <v>#REF!</v>
      </c>
      <c r="AA214" s="104" t="e">
        <f t="shared" si="254"/>
        <v>#REF!</v>
      </c>
      <c r="AB214" s="104" t="e">
        <f t="shared" si="254"/>
        <v>#REF!</v>
      </c>
      <c r="AC214" s="106" t="e">
        <f>1-Z214-Y214-X214-W214-V214-U214-T214-O214-N214-L214-I214</f>
        <v>#REF!</v>
      </c>
      <c r="AD214" s="106" t="e">
        <f>AD213/$AD213</f>
        <v>#REF!</v>
      </c>
      <c r="AE214" s="81"/>
      <c r="AU214" s="108">
        <f t="shared" si="232"/>
        <v>0</v>
      </c>
    </row>
    <row r="215" spans="1:47" ht="15.75" x14ac:dyDescent="0.25">
      <c r="A215" s="40">
        <v>24</v>
      </c>
      <c r="B215" s="94" t="s">
        <v>176</v>
      </c>
      <c r="C215" s="11">
        <v>704</v>
      </c>
      <c r="D215" s="11">
        <v>2019</v>
      </c>
      <c r="E215" s="11" t="s">
        <v>185</v>
      </c>
      <c r="F215" s="37" t="e">
        <f>G215+H215</f>
        <v>#REF!</v>
      </c>
      <c r="G215" s="37" t="e">
        <f>J215+AA215</f>
        <v>#REF!</v>
      </c>
      <c r="H215" s="37" t="e">
        <f>K215+AB215</f>
        <v>#REF!</v>
      </c>
      <c r="I215" s="37" t="e">
        <f>ROUND($AF213*I214,0)</f>
        <v>#REF!</v>
      </c>
      <c r="J215" s="37" t="e">
        <f>ROUND(I215/1.302,0)</f>
        <v>#REF!</v>
      </c>
      <c r="K215" s="37" t="e">
        <f>I215-J215</f>
        <v>#REF!</v>
      </c>
      <c r="L215" s="37" t="e">
        <f>ROUND($AF213*L214,0)</f>
        <v>#REF!</v>
      </c>
      <c r="M215" s="37" t="e">
        <f>ROUND($AF213*M214,0)</f>
        <v>#REF!</v>
      </c>
      <c r="N215" s="37" t="e">
        <f>ROUND($AF213*N214,0)</f>
        <v>#REF!</v>
      </c>
      <c r="O215" s="37" t="e">
        <f>ROUND($AF213*O214,0)</f>
        <v>#REF!</v>
      </c>
      <c r="P215" s="100"/>
      <c r="Q215" s="100"/>
      <c r="R215" s="100"/>
      <c r="S215" s="100"/>
      <c r="T215" s="37" t="e">
        <f t="shared" ref="T215:Z215" si="255">ROUND($AF213*T214,0)</f>
        <v>#REF!</v>
      </c>
      <c r="U215" s="37" t="e">
        <f t="shared" si="255"/>
        <v>#REF!</v>
      </c>
      <c r="V215" s="37" t="e">
        <f t="shared" si="255"/>
        <v>#REF!</v>
      </c>
      <c r="W215" s="37" t="e">
        <f t="shared" si="255"/>
        <v>#REF!</v>
      </c>
      <c r="X215" s="37" t="e">
        <f t="shared" si="255"/>
        <v>#REF!</v>
      </c>
      <c r="Y215" s="37" t="e">
        <f t="shared" si="255"/>
        <v>#REF!</v>
      </c>
      <c r="Z215" s="37" t="e">
        <f t="shared" si="255"/>
        <v>#REF!</v>
      </c>
      <c r="AA215" s="37" t="e">
        <f>ROUND(Z215/1.302,0)</f>
        <v>#REF!</v>
      </c>
      <c r="AB215" s="37" t="e">
        <f>Z215-AA215</f>
        <v>#REF!</v>
      </c>
      <c r="AC215" s="37" t="e">
        <f>ROUND($AF213*AC214,0)</f>
        <v>#REF!</v>
      </c>
      <c r="AD215" s="37" t="e">
        <f>I215+L215+N215+O215+T215+U215+V215+W215+X215+Y215+AC215+Z215</f>
        <v>#REF!</v>
      </c>
      <c r="AE215" s="78" t="e">
        <f>AF213</f>
        <v>#REF!</v>
      </c>
      <c r="AF215" s="78" t="e">
        <f>AE215-AF213</f>
        <v>#REF!</v>
      </c>
      <c r="AG215" s="107" t="e">
        <f>-ROUND(F215/1000,1)</f>
        <v>#REF!</v>
      </c>
      <c r="AH215" s="107" t="e">
        <f>ROUND(AG215/1.302,1)</f>
        <v>#REF!</v>
      </c>
      <c r="AI215" s="107" t="e">
        <f>AG215-AH215</f>
        <v>#REF!</v>
      </c>
      <c r="AJ215" s="107" t="e">
        <f>-ROUND(L215/1000,1)</f>
        <v>#REF!</v>
      </c>
      <c r="AK215" s="107" t="e">
        <f>-ROUND(M215/1000,1)</f>
        <v>#REF!</v>
      </c>
      <c r="AL215" s="107" t="e">
        <f>-ROUND(N215/1000,1)</f>
        <v>#REF!</v>
      </c>
      <c r="AM215" s="107" t="e">
        <f>-ROUND(O215/1000,1)</f>
        <v>#REF!</v>
      </c>
      <c r="AN215" s="107" t="e">
        <f t="shared" ref="AN215:AS215" si="256">-ROUND(T215/1000,1)</f>
        <v>#REF!</v>
      </c>
      <c r="AO215" s="107" t="e">
        <f t="shared" si="256"/>
        <v>#REF!</v>
      </c>
      <c r="AP215" s="107" t="e">
        <f t="shared" si="256"/>
        <v>#REF!</v>
      </c>
      <c r="AQ215" s="107" t="e">
        <f t="shared" si="256"/>
        <v>#REF!</v>
      </c>
      <c r="AR215" s="107" t="e">
        <f t="shared" si="256"/>
        <v>#REF!</v>
      </c>
      <c r="AS215" s="107" t="e">
        <f t="shared" si="256"/>
        <v>#REF!</v>
      </c>
      <c r="AT215" s="107" t="e">
        <f>-ROUND(AC215/1000,1)</f>
        <v>#REF!</v>
      </c>
      <c r="AU215" s="108" t="e">
        <f t="shared" si="232"/>
        <v>#REF!</v>
      </c>
    </row>
    <row r="216" spans="1:47" ht="15.75" hidden="1" x14ac:dyDescent="0.25">
      <c r="A216" s="40">
        <v>24</v>
      </c>
      <c r="B216" s="94" t="s">
        <v>176</v>
      </c>
      <c r="C216" s="11">
        <v>704</v>
      </c>
      <c r="D216" s="11">
        <v>2020</v>
      </c>
      <c r="E216" s="11" t="s">
        <v>182</v>
      </c>
      <c r="F216" s="97"/>
      <c r="G216" s="97"/>
      <c r="H216" s="97"/>
      <c r="I216" s="97" t="e">
        <f>SUMIFS(#REF!,#REF!,выравнивание!$A216,#REF!,4)</f>
        <v>#REF!</v>
      </c>
      <c r="J216" s="97" t="e">
        <f>SUMIFS(#REF!,#REF!,выравнивание!$A216,#REF!,4)</f>
        <v>#REF!</v>
      </c>
      <c r="K216" s="97" t="e">
        <f>SUMIFS(#REF!,#REF!,выравнивание!$A216,#REF!,4)</f>
        <v>#REF!</v>
      </c>
      <c r="L216" s="97" t="e">
        <f>SUMIFS(#REF!,#REF!,выравнивание!$A216,#REF!,4)</f>
        <v>#REF!</v>
      </c>
      <c r="M216" s="97" t="e">
        <f>SUMIFS(#REF!,#REF!,выравнивание!$A216,#REF!,4)</f>
        <v>#REF!</v>
      </c>
      <c r="N216" s="97" t="e">
        <f>SUMIFS(#REF!,#REF!,выравнивание!$A216,#REF!,4)</f>
        <v>#REF!</v>
      </c>
      <c r="O216" s="97" t="e">
        <f>SUMIFS(#REF!,#REF!,выравнивание!$A216,#REF!,4)</f>
        <v>#REF!</v>
      </c>
      <c r="P216" s="97" t="e">
        <f>SUMIFS(#REF!,#REF!,выравнивание!$A216,#REF!,4)</f>
        <v>#REF!</v>
      </c>
      <c r="Q216" s="97" t="e">
        <f>SUMIFS(#REF!,#REF!,выравнивание!$A216,#REF!,4)</f>
        <v>#REF!</v>
      </c>
      <c r="R216" s="97" t="e">
        <f>SUMIFS(#REF!,#REF!,выравнивание!$A216,#REF!,4)</f>
        <v>#REF!</v>
      </c>
      <c r="S216" s="97" t="e">
        <f>SUMIFS(#REF!,#REF!,выравнивание!$A216,#REF!,4)</f>
        <v>#REF!</v>
      </c>
      <c r="T216" s="97" t="e">
        <f>SUMIFS(#REF!,#REF!,выравнивание!$A216,#REF!,4)</f>
        <v>#REF!</v>
      </c>
      <c r="U216" s="97" t="e">
        <f>SUMIFS(#REF!,#REF!,выравнивание!$A216,#REF!,4)</f>
        <v>#REF!</v>
      </c>
      <c r="V216" s="97" t="e">
        <f>SUMIFS(#REF!,#REF!,выравнивание!$A216,#REF!,4)</f>
        <v>#REF!</v>
      </c>
      <c r="W216" s="97" t="e">
        <f>SUMIFS(#REF!,#REF!,выравнивание!$A216,#REF!,4)</f>
        <v>#REF!</v>
      </c>
      <c r="X216" s="97" t="e">
        <f>SUMIFS(#REF!,#REF!,выравнивание!$A216,#REF!,4)</f>
        <v>#REF!</v>
      </c>
      <c r="Y216" s="97" t="e">
        <f>SUMIFS(#REF!,#REF!,выравнивание!$A216,#REF!,4)</f>
        <v>#REF!</v>
      </c>
      <c r="Z216" s="97" t="e">
        <f>SUMIFS(#REF!,#REF!,выравнивание!$A216,#REF!,4)</f>
        <v>#REF!</v>
      </c>
      <c r="AA216" s="97" t="e">
        <f>SUMIFS(#REF!,#REF!,выравнивание!$A216,#REF!,4)</f>
        <v>#REF!</v>
      </c>
      <c r="AB216" s="97" t="e">
        <f>SUMIFS(#REF!,#REF!,выравнивание!$A216,#REF!,4)</f>
        <v>#REF!</v>
      </c>
      <c r="AC216" s="100" t="e">
        <f>SUMIFS(#REF!,#REF!,выравнивание!$A216,#REF!,4)</f>
        <v>#REF!</v>
      </c>
      <c r="AD216" s="100" t="e">
        <f>SUMIFS(#REF!,#REF!,выравнивание!$A216,#REF!,4)</f>
        <v>#REF!</v>
      </c>
      <c r="AE216" s="103" t="e">
        <f>SUMIF(#REF!,выравнивание!$A216,#REF!)*1000-SUMIF(#REF!,выравнивание!$A216,#REF!)*1000</f>
        <v>#REF!</v>
      </c>
      <c r="AF216" s="84" t="e">
        <f>AD216-AE216</f>
        <v>#REF!</v>
      </c>
      <c r="AU216" s="108"/>
    </row>
    <row r="217" spans="1:47" ht="15.75" hidden="1" x14ac:dyDescent="0.25">
      <c r="A217" s="40">
        <v>24</v>
      </c>
      <c r="B217" s="94" t="s">
        <v>176</v>
      </c>
      <c r="C217" s="11">
        <v>704</v>
      </c>
      <c r="D217" s="11">
        <v>2020</v>
      </c>
      <c r="E217" s="11" t="s">
        <v>184</v>
      </c>
      <c r="F217" s="104"/>
      <c r="G217" s="104"/>
      <c r="H217" s="104"/>
      <c r="I217" s="104" t="e">
        <f t="shared" ref="I217:O217" si="257">I216/$AD216</f>
        <v>#REF!</v>
      </c>
      <c r="J217" s="104" t="e">
        <f t="shared" si="257"/>
        <v>#REF!</v>
      </c>
      <c r="K217" s="104" t="e">
        <f t="shared" si="257"/>
        <v>#REF!</v>
      </c>
      <c r="L217" s="104" t="e">
        <f t="shared" si="257"/>
        <v>#REF!</v>
      </c>
      <c r="M217" s="104" t="e">
        <f t="shared" si="257"/>
        <v>#REF!</v>
      </c>
      <c r="N217" s="104" t="e">
        <f t="shared" si="257"/>
        <v>#REF!</v>
      </c>
      <c r="O217" s="104" t="e">
        <f t="shared" si="257"/>
        <v>#REF!</v>
      </c>
      <c r="P217" s="100"/>
      <c r="Q217" s="100"/>
      <c r="R217" s="100"/>
      <c r="S217" s="100"/>
      <c r="T217" s="104" t="e">
        <f t="shared" ref="T217:AB217" si="258">T216/$AD216</f>
        <v>#REF!</v>
      </c>
      <c r="U217" s="104" t="e">
        <f t="shared" si="258"/>
        <v>#REF!</v>
      </c>
      <c r="V217" s="104" t="e">
        <f t="shared" si="258"/>
        <v>#REF!</v>
      </c>
      <c r="W217" s="104" t="e">
        <f t="shared" si="258"/>
        <v>#REF!</v>
      </c>
      <c r="X217" s="104" t="e">
        <f t="shared" si="258"/>
        <v>#REF!</v>
      </c>
      <c r="Y217" s="104" t="e">
        <f t="shared" si="258"/>
        <v>#REF!</v>
      </c>
      <c r="Z217" s="104" t="e">
        <f t="shared" si="258"/>
        <v>#REF!</v>
      </c>
      <c r="AA217" s="104" t="e">
        <f t="shared" si="258"/>
        <v>#REF!</v>
      </c>
      <c r="AB217" s="104" t="e">
        <f t="shared" si="258"/>
        <v>#REF!</v>
      </c>
      <c r="AC217" s="106" t="e">
        <f>1-Z217-Y217-X217-W217-V217-U217-T217-O217-N217-L217-I217</f>
        <v>#REF!</v>
      </c>
      <c r="AD217" s="106" t="e">
        <f>AD216/$AD216</f>
        <v>#REF!</v>
      </c>
      <c r="AE217" s="81"/>
      <c r="AU217" s="108"/>
    </row>
    <row r="218" spans="1:47" ht="15.75" x14ac:dyDescent="0.25">
      <c r="A218" s="40">
        <v>24</v>
      </c>
      <c r="B218" s="94" t="s">
        <v>176</v>
      </c>
      <c r="C218" s="11">
        <v>704</v>
      </c>
      <c r="D218" s="11">
        <v>2020</v>
      </c>
      <c r="E218" s="11" t="s">
        <v>185</v>
      </c>
      <c r="F218" s="37" t="e">
        <f>G218+H218</f>
        <v>#REF!</v>
      </c>
      <c r="G218" s="37" t="e">
        <f>J218+AA218</f>
        <v>#REF!</v>
      </c>
      <c r="H218" s="37" t="e">
        <f>K218+AB218</f>
        <v>#REF!</v>
      </c>
      <c r="I218" s="37" t="e">
        <f>ROUND($AF216*I217,0)</f>
        <v>#REF!</v>
      </c>
      <c r="J218" s="37" t="e">
        <f>ROUND(I218/1.302,0)</f>
        <v>#REF!</v>
      </c>
      <c r="K218" s="37" t="e">
        <f>I218-J218</f>
        <v>#REF!</v>
      </c>
      <c r="L218" s="37" t="e">
        <f>ROUND($AF216*L217,0)</f>
        <v>#REF!</v>
      </c>
      <c r="M218" s="37" t="e">
        <f>ROUND($AF216*M217,0)</f>
        <v>#REF!</v>
      </c>
      <c r="N218" s="37" t="e">
        <f>ROUND($AF216*N217,0)</f>
        <v>#REF!</v>
      </c>
      <c r="O218" s="37" t="e">
        <f>ROUND($AF216*O217,0)</f>
        <v>#REF!</v>
      </c>
      <c r="P218" s="100"/>
      <c r="Q218" s="100"/>
      <c r="R218" s="100"/>
      <c r="S218" s="100"/>
      <c r="T218" s="37" t="e">
        <f t="shared" ref="T218:Z218" si="259">ROUND($AF216*T217,0)</f>
        <v>#REF!</v>
      </c>
      <c r="U218" s="37" t="e">
        <f t="shared" si="259"/>
        <v>#REF!</v>
      </c>
      <c r="V218" s="37" t="e">
        <f t="shared" si="259"/>
        <v>#REF!</v>
      </c>
      <c r="W218" s="37" t="e">
        <f t="shared" si="259"/>
        <v>#REF!</v>
      </c>
      <c r="X218" s="37" t="e">
        <f t="shared" si="259"/>
        <v>#REF!</v>
      </c>
      <c r="Y218" s="37" t="e">
        <f t="shared" si="259"/>
        <v>#REF!</v>
      </c>
      <c r="Z218" s="37" t="e">
        <f t="shared" si="259"/>
        <v>#REF!</v>
      </c>
      <c r="AA218" s="37" t="e">
        <f>ROUND(Z218/1.302,0)</f>
        <v>#REF!</v>
      </c>
      <c r="AB218" s="37" t="e">
        <f>Z218-AA218</f>
        <v>#REF!</v>
      </c>
      <c r="AC218" s="37" t="e">
        <f>ROUND($AF216*AC217,0)</f>
        <v>#REF!</v>
      </c>
      <c r="AD218" s="37" t="e">
        <f>I218+L218+N218+O218+T218+U218+V218+W218+X218+Y218+AC218+Z218</f>
        <v>#REF!</v>
      </c>
      <c r="AE218" s="78" t="e">
        <f>AF216</f>
        <v>#REF!</v>
      </c>
      <c r="AF218" s="78" t="e">
        <f>AE218-AF216</f>
        <v>#REF!</v>
      </c>
      <c r="AG218" s="107" t="e">
        <f>-ROUND(F218/1000,1)</f>
        <v>#REF!</v>
      </c>
      <c r="AH218" s="107" t="e">
        <f>ROUND(AG218/1.302,1)</f>
        <v>#REF!</v>
      </c>
      <c r="AI218" s="107" t="e">
        <f>AG218-AH218</f>
        <v>#REF!</v>
      </c>
      <c r="AJ218" s="107" t="e">
        <f>-ROUND(L218/1000,1)</f>
        <v>#REF!</v>
      </c>
      <c r="AK218" s="107" t="e">
        <f>-ROUND(M218/1000,1)</f>
        <v>#REF!</v>
      </c>
      <c r="AL218" s="107" t="e">
        <f>-ROUND(N218/1000,1)</f>
        <v>#REF!</v>
      </c>
      <c r="AM218" s="107" t="e">
        <f>-ROUND(O218/1000,1)</f>
        <v>#REF!</v>
      </c>
      <c r="AN218" s="107" t="e">
        <f t="shared" ref="AN218:AS218" si="260">-ROUND(T218/1000,1)</f>
        <v>#REF!</v>
      </c>
      <c r="AO218" s="107" t="e">
        <f t="shared" si="260"/>
        <v>#REF!</v>
      </c>
      <c r="AP218" s="107" t="e">
        <f t="shared" si="260"/>
        <v>#REF!</v>
      </c>
      <c r="AQ218" s="107" t="e">
        <f t="shared" si="260"/>
        <v>#REF!</v>
      </c>
      <c r="AR218" s="107" t="e">
        <f t="shared" si="260"/>
        <v>#REF!</v>
      </c>
      <c r="AS218" s="107" t="e">
        <f t="shared" si="260"/>
        <v>#REF!</v>
      </c>
      <c r="AT218" s="107" t="e">
        <f>-ROUND(AC218/1000,1)</f>
        <v>#REF!</v>
      </c>
      <c r="AU218" s="108" t="e">
        <f t="shared" si="232"/>
        <v>#REF!</v>
      </c>
    </row>
    <row r="219" spans="1:47" ht="24" hidden="1" customHeight="1" x14ac:dyDescent="0.25">
      <c r="A219" s="40">
        <v>25</v>
      </c>
      <c r="B219" s="94" t="s">
        <v>146</v>
      </c>
      <c r="C219" s="11">
        <v>704</v>
      </c>
      <c r="D219" s="11">
        <v>2018</v>
      </c>
      <c r="E219" s="11" t="s">
        <v>182</v>
      </c>
      <c r="F219" s="100"/>
      <c r="G219" s="100"/>
      <c r="H219" s="100"/>
      <c r="I219" s="100">
        <f>SUMIFS('2020'!BM:BM,'2020'!$B:$B,выравнивание!$A219,'2020'!$G:$G,4)</f>
        <v>8675446</v>
      </c>
      <c r="J219" s="100">
        <f>SUMIFS('2020'!BN:BN,'2020'!$B:$B,выравнивание!$A219,'2020'!$G:$G,4)</f>
        <v>6663169</v>
      </c>
      <c r="K219" s="100">
        <f>SUMIFS('2020'!BO:BO,'2020'!$B:$B,выравнивание!$A219,'2020'!$G:$G,4)</f>
        <v>2012277</v>
      </c>
      <c r="L219" s="100">
        <f>SUMIFS('2020'!BP:BP,'2020'!$B:$B,выравнивание!$A219,'2020'!$G:$G,4)</f>
        <v>520500</v>
      </c>
      <c r="M219" s="100">
        <f>SUMIFS('2020'!BQ:BQ,'2020'!$B:$B,выравнивание!$A219,'2020'!$G:$G,4)</f>
        <v>104120</v>
      </c>
      <c r="N219" s="100">
        <f>SUMIFS('2020'!BR:BR,'2020'!$B:$B,выравнивание!$A219,'2020'!$G:$G,4)</f>
        <v>1081850</v>
      </c>
      <c r="O219" s="100">
        <f>SUMIFS('2020'!BS:BS,'2020'!$B:$B,выравнивание!$A219,'2020'!$G:$G,4)</f>
        <v>3725100</v>
      </c>
      <c r="P219" s="100">
        <f>SUMIFS('2020'!BT:BT,'2020'!$B:$B,выравнивание!$A219,'2020'!$G:$G,4)</f>
        <v>0</v>
      </c>
      <c r="Q219" s="100">
        <f>SUMIFS('2020'!BU:BU,'2020'!$B:$B,выравнивание!$A219,'2020'!$G:$G,4)</f>
        <v>0</v>
      </c>
      <c r="R219" s="100">
        <f>SUMIFS('2020'!BV:BV,'2020'!$B:$B,выравнивание!$A219,'2020'!$G:$G,4)</f>
        <v>0</v>
      </c>
      <c r="S219" s="100">
        <f>SUMIFS('2020'!BW:BW,'2020'!$B:$B,выравнивание!$A219,'2020'!$G:$G,4)</f>
        <v>0</v>
      </c>
      <c r="T219" s="100">
        <f>SUMIFS('2020'!BX:BX,'2020'!$B:$B,выравнивание!$A219,'2020'!$G:$G,4)</f>
        <v>1540148</v>
      </c>
      <c r="U219" s="100">
        <f>SUMIFS('2020'!BY:BY,'2020'!$B:$B,выравнивание!$A219,'2020'!$G:$G,4)</f>
        <v>2348950</v>
      </c>
      <c r="V219" s="100">
        <f>SUMIFS('2020'!BZ:BZ,'2020'!$B:$B,выравнивание!$A219,'2020'!$G:$G,4)</f>
        <v>84500</v>
      </c>
      <c r="W219" s="100">
        <f>SUMIFS('2020'!CA:CA,'2020'!$B:$B,выравнивание!$A219,'2020'!$G:$G,4)</f>
        <v>337900</v>
      </c>
      <c r="X219" s="100">
        <f>SUMIFS('2020'!CB:CB,'2020'!$B:$B,выравнивание!$A219,'2020'!$G:$G,4)</f>
        <v>13650</v>
      </c>
      <c r="Y219" s="100">
        <f>SUMIFS('2020'!CC:CC,'2020'!$B:$B,выравнивание!$A219,'2020'!$G:$G,4)</f>
        <v>700350</v>
      </c>
      <c r="Z219" s="100">
        <f>SUMIFS('2020'!CD:CD,'2020'!$B:$B,выравнивание!$A219,'2020'!$G:$G,4)</f>
        <v>6941142</v>
      </c>
      <c r="AA219" s="100">
        <f>SUMIFS('2020'!CE:CE,'2020'!$B:$B,выравнивание!$A219,'2020'!$G:$G,4)</f>
        <v>5331138.2</v>
      </c>
      <c r="AB219" s="100">
        <f>SUMIFS('2020'!CF:CF,'2020'!$B:$B,выравнивание!$A219,'2020'!$G:$G,4)</f>
        <v>1610003.8</v>
      </c>
      <c r="AC219" s="100">
        <f>SUMIFS('2020'!CG:CG,'2020'!$B:$B,выравнивание!$A219,'2020'!$G:$G,4)</f>
        <v>169000</v>
      </c>
      <c r="AD219" s="100">
        <f>SUMIFS('2020'!CH:CH,'2020'!$B:$B,выравнивание!$A219,'2020'!$G:$G,4)</f>
        <v>26138536</v>
      </c>
      <c r="AE219" s="84">
        <f>SUMIF('Свод 2020'!$A$44:$A$57,выравнивание!$A219,'Свод 2020'!$AA$44:$AA$57)*1000-SUMIF('Свод 2020'!$A$44:$A$57,выравнивание!$A219,'Свод 2020'!$S$44:$S$57)*1000</f>
        <v>18911400</v>
      </c>
      <c r="AF219" s="105">
        <f>AD219-AE219</f>
        <v>7227136</v>
      </c>
      <c r="AU219" s="108"/>
    </row>
    <row r="220" spans="1:47" ht="15.75" hidden="1" x14ac:dyDescent="0.25">
      <c r="A220" s="40">
        <v>25</v>
      </c>
      <c r="B220" s="94" t="s">
        <v>146</v>
      </c>
      <c r="C220" s="11">
        <v>704</v>
      </c>
      <c r="D220" s="11">
        <v>2018</v>
      </c>
      <c r="E220" s="11" t="s">
        <v>184</v>
      </c>
      <c r="F220" s="104"/>
      <c r="G220" s="104"/>
      <c r="H220" s="104"/>
      <c r="I220" s="104">
        <f t="shared" ref="I220:O220" si="261">I219/$AD219</f>
        <v>0.331903</v>
      </c>
      <c r="J220" s="104">
        <f t="shared" si="261"/>
        <v>0.254917</v>
      </c>
      <c r="K220" s="104">
        <f t="shared" si="261"/>
        <v>7.6984999999999998E-2</v>
      </c>
      <c r="L220" s="104">
        <f t="shared" si="261"/>
        <v>1.9913E-2</v>
      </c>
      <c r="M220" s="104">
        <f t="shared" si="261"/>
        <v>3.9830000000000004E-3</v>
      </c>
      <c r="N220" s="104">
        <f t="shared" si="261"/>
        <v>4.1389000000000002E-2</v>
      </c>
      <c r="O220" s="104">
        <f t="shared" si="261"/>
        <v>0.142514</v>
      </c>
      <c r="P220" s="100"/>
      <c r="Q220" s="100"/>
      <c r="R220" s="100"/>
      <c r="S220" s="100"/>
      <c r="T220" s="104">
        <f t="shared" ref="T220:AB220" si="262">T219/$AD219</f>
        <v>5.8923000000000003E-2</v>
      </c>
      <c r="U220" s="104">
        <f t="shared" si="262"/>
        <v>8.9865E-2</v>
      </c>
      <c r="V220" s="104">
        <f t="shared" si="262"/>
        <v>3.2330000000000002E-3</v>
      </c>
      <c r="W220" s="104">
        <f t="shared" si="262"/>
        <v>1.2926999999999999E-2</v>
      </c>
      <c r="X220" s="104">
        <f t="shared" si="262"/>
        <v>5.22E-4</v>
      </c>
      <c r="Y220" s="104">
        <f t="shared" si="262"/>
        <v>2.6793999999999998E-2</v>
      </c>
      <c r="Z220" s="104">
        <f t="shared" si="262"/>
        <v>0.26555200000000001</v>
      </c>
      <c r="AA220" s="104">
        <f t="shared" si="262"/>
        <v>0.203957</v>
      </c>
      <c r="AB220" s="104">
        <f t="shared" si="262"/>
        <v>6.1594999999999997E-2</v>
      </c>
      <c r="AC220" s="106">
        <f>1-Z220-Y220-X220-W220-V220-U220-T220-O220-N220-L220-I220</f>
        <v>6.4650000000000003E-3</v>
      </c>
      <c r="AD220" s="106">
        <f>AD219/$AD219</f>
        <v>1</v>
      </c>
      <c r="AE220" s="81"/>
      <c r="AU220" s="108"/>
    </row>
    <row r="221" spans="1:47" ht="15.75" x14ac:dyDescent="0.25">
      <c r="A221" s="40">
        <v>25</v>
      </c>
      <c r="B221" s="94" t="s">
        <v>146</v>
      </c>
      <c r="C221" s="11">
        <v>704</v>
      </c>
      <c r="D221" s="11">
        <v>2018</v>
      </c>
      <c r="E221" s="11" t="s">
        <v>185</v>
      </c>
      <c r="F221" s="37">
        <f>G221+H221</f>
        <v>4317888</v>
      </c>
      <c r="G221" s="37">
        <f>J221+AA221</f>
        <v>3316351</v>
      </c>
      <c r="H221" s="37">
        <f>K221+AB221</f>
        <v>1001537</v>
      </c>
      <c r="I221" s="37">
        <f>ROUND($AF219*I220,0)</f>
        <v>2398708</v>
      </c>
      <c r="J221" s="37">
        <f>ROUND(I221/1.302,0)</f>
        <v>1842326</v>
      </c>
      <c r="K221" s="37">
        <f>I221-J221</f>
        <v>556382</v>
      </c>
      <c r="L221" s="37">
        <f>ROUND($AF219*L220,0)</f>
        <v>143914</v>
      </c>
      <c r="M221" s="37">
        <f>ROUND($AF219*M220,0)</f>
        <v>28786</v>
      </c>
      <c r="N221" s="37">
        <f>ROUND($AF219*N220,0)</f>
        <v>299124</v>
      </c>
      <c r="O221" s="37">
        <f>ROUND($AF219*O220,0)</f>
        <v>1029968</v>
      </c>
      <c r="P221" s="100"/>
      <c r="Q221" s="100"/>
      <c r="R221" s="100"/>
      <c r="S221" s="100"/>
      <c r="T221" s="37">
        <f t="shared" ref="T221:Z221" si="263">ROUND($AF219*T220,0)</f>
        <v>425845</v>
      </c>
      <c r="U221" s="37">
        <f t="shared" si="263"/>
        <v>649467</v>
      </c>
      <c r="V221" s="37">
        <f t="shared" si="263"/>
        <v>23365</v>
      </c>
      <c r="W221" s="37">
        <f t="shared" si="263"/>
        <v>93425</v>
      </c>
      <c r="X221" s="37">
        <f t="shared" si="263"/>
        <v>3773</v>
      </c>
      <c r="Y221" s="37">
        <f t="shared" si="263"/>
        <v>193644</v>
      </c>
      <c r="Z221" s="37">
        <f t="shared" si="263"/>
        <v>1919180</v>
      </c>
      <c r="AA221" s="37">
        <f>ROUND(Z221/1.302,0)</f>
        <v>1474025</v>
      </c>
      <c r="AB221" s="37">
        <f>Z221-AA221</f>
        <v>445155</v>
      </c>
      <c r="AC221" s="37">
        <f>ROUND($AF219*AC220,0)</f>
        <v>46723</v>
      </c>
      <c r="AD221" s="37">
        <f>I221+L221+N221+O221+T221+U221+V221+W221+X221+Y221+AC221+Z221</f>
        <v>7227136</v>
      </c>
      <c r="AE221" s="78">
        <f>AF219</f>
        <v>7227136</v>
      </c>
      <c r="AF221" s="78">
        <f>AE221-AF219</f>
        <v>0</v>
      </c>
      <c r="AG221" s="107">
        <f>-ROUND(F221/1000,1)</f>
        <v>-4317.8999999999996</v>
      </c>
      <c r="AH221" s="107">
        <f>ROUND(AG221/1.302,1)</f>
        <v>-3316.4</v>
      </c>
      <c r="AI221" s="107">
        <f>AG221-AH221</f>
        <v>-1001.5</v>
      </c>
      <c r="AJ221" s="107">
        <f>-ROUND(L221/1000,1)</f>
        <v>-143.9</v>
      </c>
      <c r="AK221" s="107">
        <f>-ROUND(M221/1000,1)</f>
        <v>-28.8</v>
      </c>
      <c r="AL221" s="107">
        <f>-ROUND(N221/1000,1)</f>
        <v>-299.10000000000002</v>
      </c>
      <c r="AM221" s="107">
        <f>-ROUND(O221/1000,1)</f>
        <v>-1030</v>
      </c>
      <c r="AN221" s="107">
        <f t="shared" ref="AN221:AS221" si="264">-ROUND(T221/1000,1)</f>
        <v>-425.8</v>
      </c>
      <c r="AO221" s="107">
        <f t="shared" si="264"/>
        <v>-649.5</v>
      </c>
      <c r="AP221" s="107">
        <f t="shared" si="264"/>
        <v>-23.4</v>
      </c>
      <c r="AQ221" s="107">
        <f t="shared" si="264"/>
        <v>-93.4</v>
      </c>
      <c r="AR221" s="107">
        <f t="shared" si="264"/>
        <v>-3.8</v>
      </c>
      <c r="AS221" s="107">
        <f t="shared" si="264"/>
        <v>-193.6</v>
      </c>
      <c r="AT221" s="107">
        <f>-ROUND(AC221/1000,1)</f>
        <v>-46.7</v>
      </c>
      <c r="AU221" s="108">
        <f t="shared" si="232"/>
        <v>-7227.1</v>
      </c>
    </row>
    <row r="222" spans="1:47" ht="15.75" hidden="1" x14ac:dyDescent="0.25">
      <c r="A222" s="40">
        <v>25</v>
      </c>
      <c r="B222" s="94" t="s">
        <v>146</v>
      </c>
      <c r="C222" s="11">
        <v>704</v>
      </c>
      <c r="D222" s="11">
        <v>2019</v>
      </c>
      <c r="E222" s="11" t="s">
        <v>182</v>
      </c>
      <c r="F222" s="97"/>
      <c r="G222" s="97"/>
      <c r="H222" s="97"/>
      <c r="I222" s="97" t="e">
        <f>SUMIFS(#REF!,#REF!,выравнивание!$A222,#REF!,4)</f>
        <v>#REF!</v>
      </c>
      <c r="J222" s="97" t="e">
        <f>SUMIFS(#REF!,#REF!,выравнивание!$A222,#REF!,4)</f>
        <v>#REF!</v>
      </c>
      <c r="K222" s="97" t="e">
        <f>SUMIFS(#REF!,#REF!,выравнивание!$A222,#REF!,4)</f>
        <v>#REF!</v>
      </c>
      <c r="L222" s="97" t="e">
        <f>SUMIFS(#REF!,#REF!,выравнивание!$A222,#REF!,4)</f>
        <v>#REF!</v>
      </c>
      <c r="M222" s="97" t="e">
        <f>SUMIFS(#REF!,#REF!,выравнивание!$A222,#REF!,4)</f>
        <v>#REF!</v>
      </c>
      <c r="N222" s="97" t="e">
        <f>SUMIFS(#REF!,#REF!,выравнивание!$A222,#REF!,4)</f>
        <v>#REF!</v>
      </c>
      <c r="O222" s="97" t="e">
        <f>SUMIFS(#REF!,#REF!,выравнивание!$A222,#REF!,4)</f>
        <v>#REF!</v>
      </c>
      <c r="P222" s="97" t="e">
        <f>SUMIFS(#REF!,#REF!,выравнивание!$A222,#REF!,4)</f>
        <v>#REF!</v>
      </c>
      <c r="Q222" s="97" t="e">
        <f>SUMIFS(#REF!,#REF!,выравнивание!$A222,#REF!,4)</f>
        <v>#REF!</v>
      </c>
      <c r="R222" s="97" t="e">
        <f>SUMIFS(#REF!,#REF!,выравнивание!$A222,#REF!,4)</f>
        <v>#REF!</v>
      </c>
      <c r="S222" s="97" t="e">
        <f>SUMIFS(#REF!,#REF!,выравнивание!$A222,#REF!,4)</f>
        <v>#REF!</v>
      </c>
      <c r="T222" s="97" t="e">
        <f>SUMIFS(#REF!,#REF!,выравнивание!$A222,#REF!,4)</f>
        <v>#REF!</v>
      </c>
      <c r="U222" s="97" t="e">
        <f>SUMIFS(#REF!,#REF!,выравнивание!$A222,#REF!,4)</f>
        <v>#REF!</v>
      </c>
      <c r="V222" s="97" t="e">
        <f>SUMIFS(#REF!,#REF!,выравнивание!$A222,#REF!,4)</f>
        <v>#REF!</v>
      </c>
      <c r="W222" s="97" t="e">
        <f>SUMIFS(#REF!,#REF!,выравнивание!$A222,#REF!,4)</f>
        <v>#REF!</v>
      </c>
      <c r="X222" s="97" t="e">
        <f>SUMIFS(#REF!,#REF!,выравнивание!$A222,#REF!,4)</f>
        <v>#REF!</v>
      </c>
      <c r="Y222" s="97" t="e">
        <f>SUMIFS(#REF!,#REF!,выравнивание!$A222,#REF!,4)</f>
        <v>#REF!</v>
      </c>
      <c r="Z222" s="97" t="e">
        <f>SUMIFS(#REF!,#REF!,выравнивание!$A222,#REF!,4)</f>
        <v>#REF!</v>
      </c>
      <c r="AA222" s="97" t="e">
        <f>SUMIFS(#REF!,#REF!,выравнивание!$A222,#REF!,4)</f>
        <v>#REF!</v>
      </c>
      <c r="AB222" s="97" t="e">
        <f>SUMIFS(#REF!,#REF!,выравнивание!$A222,#REF!,4)</f>
        <v>#REF!</v>
      </c>
      <c r="AC222" s="100" t="e">
        <f>SUMIFS(#REF!,#REF!,выравнивание!$A222,#REF!,4)</f>
        <v>#REF!</v>
      </c>
      <c r="AD222" s="100" t="e">
        <f>SUMIFS(#REF!,#REF!,выравнивание!$A222,#REF!,4)</f>
        <v>#REF!</v>
      </c>
      <c r="AE222" s="103" t="e">
        <f>SUMIF(#REF!,выравнивание!$A222,#REF!)*1000-SUMIF(#REF!,выравнивание!$A222,#REF!)*1000</f>
        <v>#REF!</v>
      </c>
      <c r="AF222" s="105" t="e">
        <f>AD222-AE222</f>
        <v>#REF!</v>
      </c>
      <c r="AU222" s="108"/>
    </row>
    <row r="223" spans="1:47" ht="15.75" hidden="1" x14ac:dyDescent="0.25">
      <c r="A223" s="40">
        <v>25</v>
      </c>
      <c r="B223" s="94" t="s">
        <v>146</v>
      </c>
      <c r="C223" s="11">
        <v>704</v>
      </c>
      <c r="D223" s="11">
        <v>2019</v>
      </c>
      <c r="E223" s="11" t="s">
        <v>184</v>
      </c>
      <c r="F223" s="104"/>
      <c r="G223" s="104"/>
      <c r="H223" s="104"/>
      <c r="I223" s="104" t="e">
        <f t="shared" ref="I223:O223" si="265">I222/$AD222</f>
        <v>#REF!</v>
      </c>
      <c r="J223" s="104" t="e">
        <f t="shared" si="265"/>
        <v>#REF!</v>
      </c>
      <c r="K223" s="104" t="e">
        <f t="shared" si="265"/>
        <v>#REF!</v>
      </c>
      <c r="L223" s="104" t="e">
        <f t="shared" si="265"/>
        <v>#REF!</v>
      </c>
      <c r="M223" s="104" t="e">
        <f t="shared" si="265"/>
        <v>#REF!</v>
      </c>
      <c r="N223" s="104" t="e">
        <f t="shared" si="265"/>
        <v>#REF!</v>
      </c>
      <c r="O223" s="104" t="e">
        <f t="shared" si="265"/>
        <v>#REF!</v>
      </c>
      <c r="P223" s="100"/>
      <c r="Q223" s="100"/>
      <c r="R223" s="100"/>
      <c r="S223" s="100"/>
      <c r="T223" s="104" t="e">
        <f t="shared" ref="T223:AB223" si="266">T222/$AD222</f>
        <v>#REF!</v>
      </c>
      <c r="U223" s="104" t="e">
        <f t="shared" si="266"/>
        <v>#REF!</v>
      </c>
      <c r="V223" s="104" t="e">
        <f t="shared" si="266"/>
        <v>#REF!</v>
      </c>
      <c r="W223" s="104" t="e">
        <f t="shared" si="266"/>
        <v>#REF!</v>
      </c>
      <c r="X223" s="104" t="e">
        <f t="shared" si="266"/>
        <v>#REF!</v>
      </c>
      <c r="Y223" s="104" t="e">
        <f t="shared" si="266"/>
        <v>#REF!</v>
      </c>
      <c r="Z223" s="104" t="e">
        <f t="shared" si="266"/>
        <v>#REF!</v>
      </c>
      <c r="AA223" s="104" t="e">
        <f t="shared" si="266"/>
        <v>#REF!</v>
      </c>
      <c r="AB223" s="104" t="e">
        <f t="shared" si="266"/>
        <v>#REF!</v>
      </c>
      <c r="AC223" s="106" t="e">
        <f>1-Z223-Y223-X223-W223-V223-U223-T223-O223-N223-L223-I223</f>
        <v>#REF!</v>
      </c>
      <c r="AD223" s="106" t="e">
        <f>AD222/$AD222</f>
        <v>#REF!</v>
      </c>
      <c r="AE223" s="81"/>
      <c r="AU223" s="108"/>
    </row>
    <row r="224" spans="1:47" ht="15.75" x14ac:dyDescent="0.25">
      <c r="A224" s="40">
        <v>25</v>
      </c>
      <c r="B224" s="94" t="s">
        <v>146</v>
      </c>
      <c r="C224" s="11">
        <v>704</v>
      </c>
      <c r="D224" s="11">
        <v>2019</v>
      </c>
      <c r="E224" s="11" t="s">
        <v>185</v>
      </c>
      <c r="F224" s="37" t="e">
        <f>G224+H224</f>
        <v>#REF!</v>
      </c>
      <c r="G224" s="37" t="e">
        <f>J224+AA224</f>
        <v>#REF!</v>
      </c>
      <c r="H224" s="37" t="e">
        <f>K224+AB224</f>
        <v>#REF!</v>
      </c>
      <c r="I224" s="37" t="e">
        <f>ROUND($AF222*I223,0)</f>
        <v>#REF!</v>
      </c>
      <c r="J224" s="37" t="e">
        <f>ROUND(I224/1.302,0)</f>
        <v>#REF!</v>
      </c>
      <c r="K224" s="37" t="e">
        <f>I224-J224</f>
        <v>#REF!</v>
      </c>
      <c r="L224" s="37" t="e">
        <f>ROUND($AF222*L223,0)</f>
        <v>#REF!</v>
      </c>
      <c r="M224" s="37" t="e">
        <f>ROUND($AF222*M223,0)</f>
        <v>#REF!</v>
      </c>
      <c r="N224" s="37" t="e">
        <f>ROUND($AF222*N223,0)</f>
        <v>#REF!</v>
      </c>
      <c r="O224" s="37" t="e">
        <f>ROUND($AF222*O223,0)</f>
        <v>#REF!</v>
      </c>
      <c r="P224" s="100"/>
      <c r="Q224" s="100"/>
      <c r="R224" s="100"/>
      <c r="S224" s="100"/>
      <c r="T224" s="37" t="e">
        <f t="shared" ref="T224:Z224" si="267">ROUND($AF222*T223,0)</f>
        <v>#REF!</v>
      </c>
      <c r="U224" s="37" t="e">
        <f t="shared" si="267"/>
        <v>#REF!</v>
      </c>
      <c r="V224" s="37" t="e">
        <f t="shared" si="267"/>
        <v>#REF!</v>
      </c>
      <c r="W224" s="37" t="e">
        <f t="shared" si="267"/>
        <v>#REF!</v>
      </c>
      <c r="X224" s="37" t="e">
        <f t="shared" si="267"/>
        <v>#REF!</v>
      </c>
      <c r="Y224" s="37" t="e">
        <f t="shared" si="267"/>
        <v>#REF!</v>
      </c>
      <c r="Z224" s="37" t="e">
        <f t="shared" si="267"/>
        <v>#REF!</v>
      </c>
      <c r="AA224" s="37" t="e">
        <f>ROUND(Z224/1.302,0)</f>
        <v>#REF!</v>
      </c>
      <c r="AB224" s="37" t="e">
        <f>Z224-AA224</f>
        <v>#REF!</v>
      </c>
      <c r="AC224" s="37" t="e">
        <f>ROUND($AF222*AC223,0)</f>
        <v>#REF!</v>
      </c>
      <c r="AD224" s="37" t="e">
        <f>I224+L224+N224+O224+T224+U224+V224+W224+X224+Y224+AC224+Z224</f>
        <v>#REF!</v>
      </c>
      <c r="AE224" s="78" t="e">
        <f>AF222</f>
        <v>#REF!</v>
      </c>
      <c r="AF224" s="78" t="e">
        <f>AE224-AF222</f>
        <v>#REF!</v>
      </c>
      <c r="AG224" s="107" t="e">
        <f>-ROUND(F224/1000,1)</f>
        <v>#REF!</v>
      </c>
      <c r="AH224" s="107" t="e">
        <f>ROUND(AG224/1.302,1)</f>
        <v>#REF!</v>
      </c>
      <c r="AI224" s="107" t="e">
        <f>AG224-AH224</f>
        <v>#REF!</v>
      </c>
      <c r="AJ224" s="107" t="e">
        <f>-ROUND(L224/1000,1)</f>
        <v>#REF!</v>
      </c>
      <c r="AK224" s="107" t="e">
        <f>-ROUND(M224/1000,1)</f>
        <v>#REF!</v>
      </c>
      <c r="AL224" s="107" t="e">
        <f>-ROUND(N224/1000,1)</f>
        <v>#REF!</v>
      </c>
      <c r="AM224" s="107" t="e">
        <f>-ROUND(O224/1000,1)</f>
        <v>#REF!</v>
      </c>
      <c r="AN224" s="107" t="e">
        <f t="shared" ref="AN224:AS224" si="268">-ROUND(T224/1000,1)</f>
        <v>#REF!</v>
      </c>
      <c r="AO224" s="107" t="e">
        <f t="shared" si="268"/>
        <v>#REF!</v>
      </c>
      <c r="AP224" s="107" t="e">
        <f t="shared" si="268"/>
        <v>#REF!</v>
      </c>
      <c r="AQ224" s="107" t="e">
        <f t="shared" si="268"/>
        <v>#REF!</v>
      </c>
      <c r="AR224" s="107" t="e">
        <f t="shared" si="268"/>
        <v>#REF!</v>
      </c>
      <c r="AS224" s="107" t="e">
        <f t="shared" si="268"/>
        <v>#REF!</v>
      </c>
      <c r="AT224" s="107" t="e">
        <f>-ROUND(AC224/1000,1)</f>
        <v>#REF!</v>
      </c>
      <c r="AU224" s="108" t="e">
        <f t="shared" si="232"/>
        <v>#REF!</v>
      </c>
    </row>
    <row r="225" spans="1:47" ht="15.75" hidden="1" x14ac:dyDescent="0.25">
      <c r="A225" s="40">
        <v>25</v>
      </c>
      <c r="B225" s="94" t="s">
        <v>146</v>
      </c>
      <c r="C225" s="11">
        <v>704</v>
      </c>
      <c r="D225" s="11">
        <v>2020</v>
      </c>
      <c r="E225" s="11" t="s">
        <v>182</v>
      </c>
      <c r="F225" s="97"/>
      <c r="G225" s="97"/>
      <c r="H225" s="97"/>
      <c r="I225" s="97" t="e">
        <f>SUMIFS(#REF!,#REF!,выравнивание!$A225,#REF!,4)</f>
        <v>#REF!</v>
      </c>
      <c r="J225" s="97" t="e">
        <f>SUMIFS(#REF!,#REF!,выравнивание!$A225,#REF!,4)</f>
        <v>#REF!</v>
      </c>
      <c r="K225" s="97" t="e">
        <f>SUMIFS(#REF!,#REF!,выравнивание!$A225,#REF!,4)</f>
        <v>#REF!</v>
      </c>
      <c r="L225" s="97" t="e">
        <f>SUMIFS(#REF!,#REF!,выравнивание!$A225,#REF!,4)</f>
        <v>#REF!</v>
      </c>
      <c r="M225" s="97" t="e">
        <f>SUMIFS(#REF!,#REF!,выравнивание!$A225,#REF!,4)</f>
        <v>#REF!</v>
      </c>
      <c r="N225" s="97" t="e">
        <f>SUMIFS(#REF!,#REF!,выравнивание!$A225,#REF!,4)</f>
        <v>#REF!</v>
      </c>
      <c r="O225" s="97" t="e">
        <f>SUMIFS(#REF!,#REF!,выравнивание!$A225,#REF!,4)</f>
        <v>#REF!</v>
      </c>
      <c r="P225" s="97" t="e">
        <f>SUMIFS(#REF!,#REF!,выравнивание!$A225,#REF!,4)</f>
        <v>#REF!</v>
      </c>
      <c r="Q225" s="97" t="e">
        <f>SUMIFS(#REF!,#REF!,выравнивание!$A225,#REF!,4)</f>
        <v>#REF!</v>
      </c>
      <c r="R225" s="97" t="e">
        <f>SUMIFS(#REF!,#REF!,выравнивание!$A225,#REF!,4)</f>
        <v>#REF!</v>
      </c>
      <c r="S225" s="97" t="e">
        <f>SUMIFS(#REF!,#REF!,выравнивание!$A225,#REF!,4)</f>
        <v>#REF!</v>
      </c>
      <c r="T225" s="97" t="e">
        <f>SUMIFS(#REF!,#REF!,выравнивание!$A225,#REF!,4)</f>
        <v>#REF!</v>
      </c>
      <c r="U225" s="97" t="e">
        <f>SUMIFS(#REF!,#REF!,выравнивание!$A225,#REF!,4)</f>
        <v>#REF!</v>
      </c>
      <c r="V225" s="97" t="e">
        <f>SUMIFS(#REF!,#REF!,выравнивание!$A225,#REF!,4)</f>
        <v>#REF!</v>
      </c>
      <c r="W225" s="97" t="e">
        <f>SUMIFS(#REF!,#REF!,выравнивание!$A225,#REF!,4)</f>
        <v>#REF!</v>
      </c>
      <c r="X225" s="97" t="e">
        <f>SUMIFS(#REF!,#REF!,выравнивание!$A225,#REF!,4)</f>
        <v>#REF!</v>
      </c>
      <c r="Y225" s="97" t="e">
        <f>SUMIFS(#REF!,#REF!,выравнивание!$A225,#REF!,4)</f>
        <v>#REF!</v>
      </c>
      <c r="Z225" s="97" t="e">
        <f>SUMIFS(#REF!,#REF!,выравнивание!$A225,#REF!,4)</f>
        <v>#REF!</v>
      </c>
      <c r="AA225" s="97" t="e">
        <f>SUMIFS(#REF!,#REF!,выравнивание!$A225,#REF!,4)</f>
        <v>#REF!</v>
      </c>
      <c r="AB225" s="97" t="e">
        <f>SUMIFS(#REF!,#REF!,выравнивание!$A225,#REF!,4)</f>
        <v>#REF!</v>
      </c>
      <c r="AC225" s="100" t="e">
        <f>SUMIFS(#REF!,#REF!,выравнивание!$A225,#REF!,4)</f>
        <v>#REF!</v>
      </c>
      <c r="AD225" s="100" t="e">
        <f>SUMIFS(#REF!,#REF!,выравнивание!$A225,#REF!,4)</f>
        <v>#REF!</v>
      </c>
      <c r="AE225" s="103" t="e">
        <f>SUMIF(#REF!,выравнивание!$A225,#REF!)*1000-SUMIF(#REF!,выравнивание!$A225,#REF!)*1000</f>
        <v>#REF!</v>
      </c>
      <c r="AF225" s="84" t="e">
        <f>AD225-AE225</f>
        <v>#REF!</v>
      </c>
      <c r="AU225" s="108"/>
    </row>
    <row r="226" spans="1:47" ht="15.75" hidden="1" x14ac:dyDescent="0.25">
      <c r="A226" s="40">
        <v>25</v>
      </c>
      <c r="B226" s="94" t="s">
        <v>146</v>
      </c>
      <c r="C226" s="11">
        <v>704</v>
      </c>
      <c r="D226" s="11">
        <v>2020</v>
      </c>
      <c r="E226" s="11" t="s">
        <v>184</v>
      </c>
      <c r="F226" s="104"/>
      <c r="G226" s="104"/>
      <c r="H226" s="104"/>
      <c r="I226" s="104" t="e">
        <f t="shared" ref="I226:O226" si="269">I225/$AD225</f>
        <v>#REF!</v>
      </c>
      <c r="J226" s="104" t="e">
        <f t="shared" si="269"/>
        <v>#REF!</v>
      </c>
      <c r="K226" s="104" t="e">
        <f t="shared" si="269"/>
        <v>#REF!</v>
      </c>
      <c r="L226" s="104" t="e">
        <f t="shared" si="269"/>
        <v>#REF!</v>
      </c>
      <c r="M226" s="104" t="e">
        <f t="shared" si="269"/>
        <v>#REF!</v>
      </c>
      <c r="N226" s="104" t="e">
        <f t="shared" si="269"/>
        <v>#REF!</v>
      </c>
      <c r="O226" s="104" t="e">
        <f t="shared" si="269"/>
        <v>#REF!</v>
      </c>
      <c r="P226" s="100"/>
      <c r="Q226" s="100"/>
      <c r="R226" s="100"/>
      <c r="S226" s="100"/>
      <c r="T226" s="104" t="e">
        <f t="shared" ref="T226:AB226" si="270">T225/$AD225</f>
        <v>#REF!</v>
      </c>
      <c r="U226" s="104" t="e">
        <f t="shared" si="270"/>
        <v>#REF!</v>
      </c>
      <c r="V226" s="104" t="e">
        <f t="shared" si="270"/>
        <v>#REF!</v>
      </c>
      <c r="W226" s="104" t="e">
        <f t="shared" si="270"/>
        <v>#REF!</v>
      </c>
      <c r="X226" s="104" t="e">
        <f t="shared" si="270"/>
        <v>#REF!</v>
      </c>
      <c r="Y226" s="104" t="e">
        <f t="shared" si="270"/>
        <v>#REF!</v>
      </c>
      <c r="Z226" s="104" t="e">
        <f t="shared" si="270"/>
        <v>#REF!</v>
      </c>
      <c r="AA226" s="104" t="e">
        <f t="shared" si="270"/>
        <v>#REF!</v>
      </c>
      <c r="AB226" s="104" t="e">
        <f t="shared" si="270"/>
        <v>#REF!</v>
      </c>
      <c r="AC226" s="106" t="e">
        <f>1-Z226-Y226-X226-W226-V226-U226-T226-O226-N226-L226-I226</f>
        <v>#REF!</v>
      </c>
      <c r="AD226" s="106" t="e">
        <f>AD225/$AD225</f>
        <v>#REF!</v>
      </c>
      <c r="AE226" s="81"/>
      <c r="AU226" s="108"/>
    </row>
    <row r="227" spans="1:47" ht="15.75" x14ac:dyDescent="0.25">
      <c r="A227" s="40">
        <v>25</v>
      </c>
      <c r="B227" s="94" t="s">
        <v>146</v>
      </c>
      <c r="C227" s="11">
        <v>704</v>
      </c>
      <c r="D227" s="11">
        <v>2020</v>
      </c>
      <c r="E227" s="11" t="s">
        <v>185</v>
      </c>
      <c r="F227" s="37" t="e">
        <f>G227+H227</f>
        <v>#REF!</v>
      </c>
      <c r="G227" s="37" t="e">
        <f>J227+AA227</f>
        <v>#REF!</v>
      </c>
      <c r="H227" s="37" t="e">
        <f>K227+AB227</f>
        <v>#REF!</v>
      </c>
      <c r="I227" s="37" t="e">
        <f>ROUND($AF225*I226,0)</f>
        <v>#REF!</v>
      </c>
      <c r="J227" s="37" t="e">
        <f>ROUND(I227/1.302,0)</f>
        <v>#REF!</v>
      </c>
      <c r="K227" s="37" t="e">
        <f>I227-J227</f>
        <v>#REF!</v>
      </c>
      <c r="L227" s="37" t="e">
        <f>ROUND($AF225*L226,0)</f>
        <v>#REF!</v>
      </c>
      <c r="M227" s="37" t="e">
        <f>ROUND($AF225*M226,0)</f>
        <v>#REF!</v>
      </c>
      <c r="N227" s="37" t="e">
        <f>ROUND($AF225*N226,0)</f>
        <v>#REF!</v>
      </c>
      <c r="O227" s="37" t="e">
        <f>ROUND($AF225*O226,0)</f>
        <v>#REF!</v>
      </c>
      <c r="P227" s="100"/>
      <c r="Q227" s="100"/>
      <c r="R227" s="100"/>
      <c r="S227" s="100"/>
      <c r="T227" s="37" t="e">
        <f t="shared" ref="T227:Z227" si="271">ROUND($AF225*T226,0)</f>
        <v>#REF!</v>
      </c>
      <c r="U227" s="37" t="e">
        <f t="shared" si="271"/>
        <v>#REF!</v>
      </c>
      <c r="V227" s="37" t="e">
        <f t="shared" si="271"/>
        <v>#REF!</v>
      </c>
      <c r="W227" s="37" t="e">
        <f t="shared" si="271"/>
        <v>#REF!</v>
      </c>
      <c r="X227" s="37" t="e">
        <f t="shared" si="271"/>
        <v>#REF!</v>
      </c>
      <c r="Y227" s="37" t="e">
        <f t="shared" si="271"/>
        <v>#REF!</v>
      </c>
      <c r="Z227" s="37" t="e">
        <f t="shared" si="271"/>
        <v>#REF!</v>
      </c>
      <c r="AA227" s="37" t="e">
        <f>ROUND(Z227/1.302,0)</f>
        <v>#REF!</v>
      </c>
      <c r="AB227" s="37" t="e">
        <f>Z227-AA227</f>
        <v>#REF!</v>
      </c>
      <c r="AC227" s="37" t="e">
        <f>ROUND($AF225*AC226,0)</f>
        <v>#REF!</v>
      </c>
      <c r="AD227" s="37" t="e">
        <f>I227+L227+N227+O227+T227+U227+V227+W227+X227+Y227+AC227+Z227</f>
        <v>#REF!</v>
      </c>
      <c r="AE227" s="78" t="e">
        <f>AF225</f>
        <v>#REF!</v>
      </c>
      <c r="AF227" s="78" t="e">
        <f>AE227-AF225</f>
        <v>#REF!</v>
      </c>
      <c r="AG227" s="107" t="e">
        <f>-ROUND(F227/1000,1)</f>
        <v>#REF!</v>
      </c>
      <c r="AH227" s="107" t="e">
        <f>ROUND(AG227/1.302,1)</f>
        <v>#REF!</v>
      </c>
      <c r="AI227" s="107" t="e">
        <f>AG227-AH227</f>
        <v>#REF!</v>
      </c>
      <c r="AJ227" s="107" t="e">
        <f>-ROUND(L227/1000,1)</f>
        <v>#REF!</v>
      </c>
      <c r="AK227" s="107" t="e">
        <f>-ROUND(M227/1000,1)</f>
        <v>#REF!</v>
      </c>
      <c r="AL227" s="107" t="e">
        <f>-ROUND(N227/1000,1)</f>
        <v>#REF!</v>
      </c>
      <c r="AM227" s="107" t="e">
        <f>-ROUND(O227/1000,1)</f>
        <v>#REF!</v>
      </c>
      <c r="AN227" s="107" t="e">
        <f t="shared" ref="AN227:AS227" si="272">-ROUND(T227/1000,1)</f>
        <v>#REF!</v>
      </c>
      <c r="AO227" s="107" t="e">
        <f t="shared" si="272"/>
        <v>#REF!</v>
      </c>
      <c r="AP227" s="107" t="e">
        <f t="shared" si="272"/>
        <v>#REF!</v>
      </c>
      <c r="AQ227" s="107" t="e">
        <f t="shared" si="272"/>
        <v>#REF!</v>
      </c>
      <c r="AR227" s="107" t="e">
        <f t="shared" si="272"/>
        <v>#REF!</v>
      </c>
      <c r="AS227" s="107" t="e">
        <f t="shared" si="272"/>
        <v>#REF!</v>
      </c>
      <c r="AT227" s="107" t="e">
        <f>-ROUND(AC227/1000,1)</f>
        <v>#REF!</v>
      </c>
      <c r="AU227" s="108" t="e">
        <f t="shared" si="232"/>
        <v>#REF!</v>
      </c>
    </row>
    <row r="228" spans="1:47" ht="15.75" hidden="1" x14ac:dyDescent="0.25">
      <c r="A228" s="40">
        <v>26</v>
      </c>
      <c r="B228" s="94" t="s">
        <v>177</v>
      </c>
      <c r="C228" s="11">
        <v>704</v>
      </c>
      <c r="D228" s="11">
        <v>2018</v>
      </c>
      <c r="E228" s="11" t="s">
        <v>182</v>
      </c>
      <c r="F228" s="100"/>
      <c r="G228" s="100"/>
      <c r="H228" s="100"/>
      <c r="I228" s="100">
        <f>SUMIFS('2020'!BM:BM,'2020'!$B:$B,выравнивание!$A228,'2020'!$G:$G,4)</f>
        <v>1929190</v>
      </c>
      <c r="J228" s="100">
        <f>SUMIFS('2020'!BN:BN,'2020'!$B:$B,выравнивание!$A228,'2020'!$G:$G,4)</f>
        <v>1481712.7</v>
      </c>
      <c r="K228" s="100">
        <f>SUMIFS('2020'!BO:BO,'2020'!$B:$B,выравнивание!$A228,'2020'!$G:$G,4)</f>
        <v>447477.3</v>
      </c>
      <c r="L228" s="100">
        <f>SUMIFS('2020'!BP:BP,'2020'!$B:$B,выравнивание!$A228,'2020'!$G:$G,4)</f>
        <v>133700</v>
      </c>
      <c r="M228" s="100">
        <f>SUMIFS('2020'!BQ:BQ,'2020'!$B:$B,выравнивание!$A228,'2020'!$G:$G,4)</f>
        <v>26740</v>
      </c>
      <c r="N228" s="100">
        <f>SUMIFS('2020'!BR:BR,'2020'!$B:$B,выравнивание!$A228,'2020'!$G:$G,4)</f>
        <v>277900</v>
      </c>
      <c r="O228" s="100">
        <f>SUMIFS('2020'!BS:BS,'2020'!$B:$B,выравнивание!$A228,'2020'!$G:$G,4)</f>
        <v>964360</v>
      </c>
      <c r="P228" s="100">
        <f>SUMIFS('2020'!BT:BT,'2020'!$B:$B,выравнивание!$A228,'2020'!$G:$G,4)</f>
        <v>0</v>
      </c>
      <c r="Q228" s="100">
        <f>SUMIFS('2020'!BU:BU,'2020'!$B:$B,выравнивание!$A228,'2020'!$G:$G,4)</f>
        <v>0</v>
      </c>
      <c r="R228" s="100">
        <f>SUMIFS('2020'!BV:BV,'2020'!$B:$B,выравнивание!$A228,'2020'!$G:$G,4)</f>
        <v>0</v>
      </c>
      <c r="S228" s="100">
        <f>SUMIFS('2020'!BW:BW,'2020'!$B:$B,выравнивание!$A228,'2020'!$G:$G,4)</f>
        <v>0</v>
      </c>
      <c r="T228" s="100">
        <f>SUMIFS('2020'!BX:BX,'2020'!$B:$B,выравнивание!$A228,'2020'!$G:$G,4)</f>
        <v>358535</v>
      </c>
      <c r="U228" s="100">
        <f>SUMIFS('2020'!BY:BY,'2020'!$B:$B,выравнивание!$A228,'2020'!$G:$G,4)</f>
        <v>603400</v>
      </c>
      <c r="V228" s="100">
        <f>SUMIFS('2020'!BZ:BZ,'2020'!$B:$B,выравнивание!$A228,'2020'!$G:$G,4)</f>
        <v>21700</v>
      </c>
      <c r="W228" s="100">
        <f>SUMIFS('2020'!CA:CA,'2020'!$B:$B,выравнивание!$A228,'2020'!$G:$G,4)</f>
        <v>86800</v>
      </c>
      <c r="X228" s="100">
        <f>SUMIFS('2020'!CB:CB,'2020'!$B:$B,выравнивание!$A228,'2020'!$G:$G,4)</f>
        <v>3500</v>
      </c>
      <c r="Y228" s="100">
        <f>SUMIFS('2020'!CC:CC,'2020'!$B:$B,выравнивание!$A228,'2020'!$G:$G,4)</f>
        <v>179900</v>
      </c>
      <c r="Z228" s="100">
        <f>SUMIFS('2020'!CD:CD,'2020'!$B:$B,выравнивание!$A228,'2020'!$G:$G,4)</f>
        <v>1543525</v>
      </c>
      <c r="AA228" s="100">
        <f>SUMIFS('2020'!CE:CE,'2020'!$B:$B,выравнивание!$A228,'2020'!$G:$G,4)</f>
        <v>1185503.1000000001</v>
      </c>
      <c r="AB228" s="100">
        <f>SUMIFS('2020'!CF:CF,'2020'!$B:$B,выравнивание!$A228,'2020'!$G:$G,4)</f>
        <v>358021.9</v>
      </c>
      <c r="AC228" s="100">
        <f>SUMIFS('2020'!CG:CG,'2020'!$B:$B,выравнивание!$A228,'2020'!$G:$G,4)</f>
        <v>45500</v>
      </c>
      <c r="AD228" s="100">
        <f>SUMIFS('2020'!CH:CH,'2020'!$B:$B,выравнивание!$A228,'2020'!$G:$G,4)</f>
        <v>6148010</v>
      </c>
      <c r="AE228" s="84">
        <f>SUMIF('Свод 2020'!$A$44:$A$57,выравнивание!$A228,'Свод 2020'!$AA$44:$AA$57)*1000-SUMIF('Свод 2020'!$A$44:$A$57,выравнивание!$A228,'Свод 2020'!$S$44:$S$57)*1000</f>
        <v>4448100</v>
      </c>
      <c r="AF228" s="105">
        <f>AD228-AE228</f>
        <v>1699910</v>
      </c>
      <c r="AU228" s="108"/>
    </row>
    <row r="229" spans="1:47" ht="15.75" hidden="1" x14ac:dyDescent="0.25">
      <c r="A229" s="40">
        <v>26</v>
      </c>
      <c r="B229" s="94" t="s">
        <v>177</v>
      </c>
      <c r="C229" s="11">
        <v>704</v>
      </c>
      <c r="D229" s="11">
        <v>2018</v>
      </c>
      <c r="E229" s="11" t="s">
        <v>184</v>
      </c>
      <c r="F229" s="104"/>
      <c r="G229" s="104"/>
      <c r="H229" s="104"/>
      <c r="I229" s="104">
        <f t="shared" ref="I229:O229" si="273">I228/$AD228</f>
        <v>0.31379099999999999</v>
      </c>
      <c r="J229" s="104">
        <f t="shared" si="273"/>
        <v>0.241007</v>
      </c>
      <c r="K229" s="104">
        <f t="shared" si="273"/>
        <v>7.2784000000000001E-2</v>
      </c>
      <c r="L229" s="104">
        <f t="shared" si="273"/>
        <v>2.1746999999999999E-2</v>
      </c>
      <c r="M229" s="104">
        <f t="shared" si="273"/>
        <v>4.3489999999999996E-3</v>
      </c>
      <c r="N229" s="104">
        <f t="shared" si="273"/>
        <v>4.5201999999999999E-2</v>
      </c>
      <c r="O229" s="104">
        <f t="shared" si="273"/>
        <v>0.156857</v>
      </c>
      <c r="P229" s="100"/>
      <c r="Q229" s="100"/>
      <c r="R229" s="100"/>
      <c r="S229" s="100"/>
      <c r="T229" s="104">
        <f t="shared" ref="T229:AB229" si="274">T228/$AD228</f>
        <v>5.8317000000000001E-2</v>
      </c>
      <c r="U229" s="104">
        <f t="shared" si="274"/>
        <v>9.8145999999999997E-2</v>
      </c>
      <c r="V229" s="104">
        <f t="shared" si="274"/>
        <v>3.5300000000000002E-3</v>
      </c>
      <c r="W229" s="104">
        <f t="shared" si="274"/>
        <v>1.4118E-2</v>
      </c>
      <c r="X229" s="104">
        <f t="shared" si="274"/>
        <v>5.6899999999999995E-4</v>
      </c>
      <c r="Y229" s="104">
        <f t="shared" si="274"/>
        <v>2.9262E-2</v>
      </c>
      <c r="Z229" s="104">
        <f t="shared" si="274"/>
        <v>0.25106099999999998</v>
      </c>
      <c r="AA229" s="104">
        <f t="shared" si="274"/>
        <v>0.192827</v>
      </c>
      <c r="AB229" s="104">
        <f t="shared" si="274"/>
        <v>5.8234000000000001E-2</v>
      </c>
      <c r="AC229" s="106">
        <f>1-Z229-Y229-X229-W229-V229-U229-T229-O229-N229-L229-I229</f>
        <v>7.4000000000000003E-3</v>
      </c>
      <c r="AD229" s="106">
        <f>AD228/$AD228</f>
        <v>1</v>
      </c>
      <c r="AE229" s="81"/>
      <c r="AU229" s="108"/>
    </row>
    <row r="230" spans="1:47" ht="15.75" x14ac:dyDescent="0.25">
      <c r="A230" s="40">
        <v>26</v>
      </c>
      <c r="B230" s="94" t="s">
        <v>177</v>
      </c>
      <c r="C230" s="11">
        <v>704</v>
      </c>
      <c r="D230" s="11">
        <v>2018</v>
      </c>
      <c r="E230" s="11" t="s">
        <v>185</v>
      </c>
      <c r="F230" s="37">
        <f>G230+H230</f>
        <v>960197</v>
      </c>
      <c r="G230" s="37">
        <f>J230+AA230</f>
        <v>737479</v>
      </c>
      <c r="H230" s="37">
        <f>K230+AB230</f>
        <v>222718</v>
      </c>
      <c r="I230" s="37">
        <f>ROUND($AF228*I229,0)</f>
        <v>533416</v>
      </c>
      <c r="J230" s="37">
        <f>ROUND(I230/1.302,0)</f>
        <v>409690</v>
      </c>
      <c r="K230" s="37">
        <f>I230-J230</f>
        <v>123726</v>
      </c>
      <c r="L230" s="37">
        <f>ROUND($AF228*L229,0)</f>
        <v>36968</v>
      </c>
      <c r="M230" s="37">
        <f>ROUND($AF228*M229,0)</f>
        <v>7393</v>
      </c>
      <c r="N230" s="37">
        <f>ROUND($AF228*N229,0)</f>
        <v>76839</v>
      </c>
      <c r="O230" s="37">
        <f>ROUND($AF228*O229,0)</f>
        <v>266643</v>
      </c>
      <c r="P230" s="100"/>
      <c r="Q230" s="100"/>
      <c r="R230" s="100"/>
      <c r="S230" s="100"/>
      <c r="T230" s="37">
        <f t="shared" ref="T230:Z230" si="275">ROUND($AF228*T229,0)</f>
        <v>99134</v>
      </c>
      <c r="U230" s="37">
        <f t="shared" si="275"/>
        <v>166839</v>
      </c>
      <c r="V230" s="37">
        <f t="shared" si="275"/>
        <v>6001</v>
      </c>
      <c r="W230" s="37">
        <f t="shared" si="275"/>
        <v>23999</v>
      </c>
      <c r="X230" s="37">
        <f t="shared" si="275"/>
        <v>967</v>
      </c>
      <c r="Y230" s="37">
        <f t="shared" si="275"/>
        <v>49743</v>
      </c>
      <c r="Z230" s="37">
        <f t="shared" si="275"/>
        <v>426781</v>
      </c>
      <c r="AA230" s="37">
        <f>ROUND(Z230/1.302,0)</f>
        <v>327789</v>
      </c>
      <c r="AB230" s="37">
        <f>Z230-AA230</f>
        <v>98992</v>
      </c>
      <c r="AC230" s="37">
        <f>ROUND($AF228*AC229,0)</f>
        <v>12579</v>
      </c>
      <c r="AD230" s="37">
        <f>I230+L230+N230+O230+T230+U230+V230+W230+X230+Y230+AC230+Z230</f>
        <v>1699909</v>
      </c>
      <c r="AE230" s="78">
        <f>AF228</f>
        <v>1699910</v>
      </c>
      <c r="AF230" s="78">
        <f>AE230-AF228</f>
        <v>0</v>
      </c>
      <c r="AG230" s="107">
        <f>-ROUND(F230/1000,1)</f>
        <v>-960.2</v>
      </c>
      <c r="AH230" s="107">
        <f>ROUND(AG230/1.302,1)</f>
        <v>-737.5</v>
      </c>
      <c r="AI230" s="107">
        <f>AG230-AH230</f>
        <v>-222.7</v>
      </c>
      <c r="AJ230" s="107">
        <f>-ROUND(L230/1000,1)</f>
        <v>-37</v>
      </c>
      <c r="AK230" s="107">
        <f>-ROUND(M230/1000,1)</f>
        <v>-7.4</v>
      </c>
      <c r="AL230" s="107">
        <f>-ROUND(N230/1000,1)</f>
        <v>-76.8</v>
      </c>
      <c r="AM230" s="107">
        <f>-ROUND(O230/1000,1)</f>
        <v>-266.60000000000002</v>
      </c>
      <c r="AN230" s="107">
        <f t="shared" ref="AN230:AS230" si="276">-ROUND(T230/1000,1)</f>
        <v>-99.1</v>
      </c>
      <c r="AO230" s="107">
        <f t="shared" si="276"/>
        <v>-166.8</v>
      </c>
      <c r="AP230" s="107">
        <f t="shared" si="276"/>
        <v>-6</v>
      </c>
      <c r="AQ230" s="107">
        <f t="shared" si="276"/>
        <v>-24</v>
      </c>
      <c r="AR230" s="107">
        <f t="shared" si="276"/>
        <v>-1</v>
      </c>
      <c r="AS230" s="107">
        <f t="shared" si="276"/>
        <v>-49.7</v>
      </c>
      <c r="AT230" s="107">
        <f>-ROUND(AC230/1000,1)</f>
        <v>-12.6</v>
      </c>
      <c r="AU230" s="108">
        <f t="shared" si="232"/>
        <v>-1699.8</v>
      </c>
    </row>
    <row r="231" spans="1:47" ht="15.75" hidden="1" x14ac:dyDescent="0.25">
      <c r="A231" s="40">
        <v>26</v>
      </c>
      <c r="B231" s="94" t="s">
        <v>177</v>
      </c>
      <c r="C231" s="11">
        <v>704</v>
      </c>
      <c r="D231" s="11">
        <v>2019</v>
      </c>
      <c r="E231" s="11" t="s">
        <v>182</v>
      </c>
      <c r="F231" s="97"/>
      <c r="G231" s="97"/>
      <c r="H231" s="97"/>
      <c r="I231" s="97" t="e">
        <f>SUMIFS(#REF!,#REF!,выравнивание!$A231,#REF!,4)</f>
        <v>#REF!</v>
      </c>
      <c r="J231" s="97" t="e">
        <f>SUMIFS(#REF!,#REF!,выравнивание!$A231,#REF!,4)</f>
        <v>#REF!</v>
      </c>
      <c r="K231" s="97" t="e">
        <f>SUMIFS(#REF!,#REF!,выравнивание!$A231,#REF!,4)</f>
        <v>#REF!</v>
      </c>
      <c r="L231" s="97" t="e">
        <f>SUMIFS(#REF!,#REF!,выравнивание!$A231,#REF!,4)</f>
        <v>#REF!</v>
      </c>
      <c r="M231" s="97" t="e">
        <f>SUMIFS(#REF!,#REF!,выравнивание!$A231,#REF!,4)</f>
        <v>#REF!</v>
      </c>
      <c r="N231" s="97" t="e">
        <f>SUMIFS(#REF!,#REF!,выравнивание!$A231,#REF!,4)</f>
        <v>#REF!</v>
      </c>
      <c r="O231" s="97" t="e">
        <f>SUMIFS(#REF!,#REF!,выравнивание!$A231,#REF!,4)</f>
        <v>#REF!</v>
      </c>
      <c r="P231" s="97" t="e">
        <f>SUMIFS(#REF!,#REF!,выравнивание!$A231,#REF!,4)</f>
        <v>#REF!</v>
      </c>
      <c r="Q231" s="97" t="e">
        <f>SUMIFS(#REF!,#REF!,выравнивание!$A231,#REF!,4)</f>
        <v>#REF!</v>
      </c>
      <c r="R231" s="97" t="e">
        <f>SUMIFS(#REF!,#REF!,выравнивание!$A231,#REF!,4)</f>
        <v>#REF!</v>
      </c>
      <c r="S231" s="97" t="e">
        <f>SUMIFS(#REF!,#REF!,выравнивание!$A231,#REF!,4)</f>
        <v>#REF!</v>
      </c>
      <c r="T231" s="97" t="e">
        <f>SUMIFS(#REF!,#REF!,выравнивание!$A231,#REF!,4)</f>
        <v>#REF!</v>
      </c>
      <c r="U231" s="97" t="e">
        <f>SUMIFS(#REF!,#REF!,выравнивание!$A231,#REF!,4)</f>
        <v>#REF!</v>
      </c>
      <c r="V231" s="97" t="e">
        <f>SUMIFS(#REF!,#REF!,выравнивание!$A231,#REF!,4)</f>
        <v>#REF!</v>
      </c>
      <c r="W231" s="97" t="e">
        <f>SUMIFS(#REF!,#REF!,выравнивание!$A231,#REF!,4)</f>
        <v>#REF!</v>
      </c>
      <c r="X231" s="97" t="e">
        <f>SUMIFS(#REF!,#REF!,выравнивание!$A231,#REF!,4)</f>
        <v>#REF!</v>
      </c>
      <c r="Y231" s="97" t="e">
        <f>SUMIFS(#REF!,#REF!,выравнивание!$A231,#REF!,4)</f>
        <v>#REF!</v>
      </c>
      <c r="Z231" s="97" t="e">
        <f>SUMIFS(#REF!,#REF!,выравнивание!$A231,#REF!,4)</f>
        <v>#REF!</v>
      </c>
      <c r="AA231" s="97" t="e">
        <f>SUMIFS(#REF!,#REF!,выравнивание!$A231,#REF!,4)</f>
        <v>#REF!</v>
      </c>
      <c r="AB231" s="97" t="e">
        <f>SUMIFS(#REF!,#REF!,выравнивание!$A231,#REF!,4)</f>
        <v>#REF!</v>
      </c>
      <c r="AC231" s="100" t="e">
        <f>SUMIFS(#REF!,#REF!,выравнивание!$A231,#REF!,4)</f>
        <v>#REF!</v>
      </c>
      <c r="AD231" s="100" t="e">
        <f>SUMIFS(#REF!,#REF!,выравнивание!$A231,#REF!,4)</f>
        <v>#REF!</v>
      </c>
      <c r="AE231" s="103" t="e">
        <f>SUMIF(#REF!,выравнивание!$A231,#REF!)*1000-SUMIF(#REF!,выравнивание!$A231,#REF!)*1000</f>
        <v>#REF!</v>
      </c>
      <c r="AF231" s="105" t="e">
        <f>AD231-AE231</f>
        <v>#REF!</v>
      </c>
      <c r="AU231" s="108"/>
    </row>
    <row r="232" spans="1:47" ht="15.75" hidden="1" x14ac:dyDescent="0.25">
      <c r="A232" s="40">
        <v>26</v>
      </c>
      <c r="B232" s="94" t="s">
        <v>177</v>
      </c>
      <c r="C232" s="11">
        <v>704</v>
      </c>
      <c r="D232" s="11">
        <v>2019</v>
      </c>
      <c r="E232" s="11" t="s">
        <v>184</v>
      </c>
      <c r="F232" s="104"/>
      <c r="G232" s="104"/>
      <c r="H232" s="104"/>
      <c r="I232" s="104" t="e">
        <f t="shared" ref="I232:O232" si="277">I231/$AD231</f>
        <v>#REF!</v>
      </c>
      <c r="J232" s="104" t="e">
        <f t="shared" si="277"/>
        <v>#REF!</v>
      </c>
      <c r="K232" s="104" t="e">
        <f t="shared" si="277"/>
        <v>#REF!</v>
      </c>
      <c r="L232" s="104" t="e">
        <f t="shared" si="277"/>
        <v>#REF!</v>
      </c>
      <c r="M232" s="104" t="e">
        <f t="shared" si="277"/>
        <v>#REF!</v>
      </c>
      <c r="N232" s="104" t="e">
        <f t="shared" si="277"/>
        <v>#REF!</v>
      </c>
      <c r="O232" s="104" t="e">
        <f t="shared" si="277"/>
        <v>#REF!</v>
      </c>
      <c r="P232" s="100"/>
      <c r="Q232" s="100"/>
      <c r="R232" s="100"/>
      <c r="S232" s="100"/>
      <c r="T232" s="104" t="e">
        <f t="shared" ref="T232:AB232" si="278">T231/$AD231</f>
        <v>#REF!</v>
      </c>
      <c r="U232" s="104" t="e">
        <f t="shared" si="278"/>
        <v>#REF!</v>
      </c>
      <c r="V232" s="104" t="e">
        <f t="shared" si="278"/>
        <v>#REF!</v>
      </c>
      <c r="W232" s="104" t="e">
        <f t="shared" si="278"/>
        <v>#REF!</v>
      </c>
      <c r="X232" s="104" t="e">
        <f t="shared" si="278"/>
        <v>#REF!</v>
      </c>
      <c r="Y232" s="104" t="e">
        <f t="shared" si="278"/>
        <v>#REF!</v>
      </c>
      <c r="Z232" s="104" t="e">
        <f t="shared" si="278"/>
        <v>#REF!</v>
      </c>
      <c r="AA232" s="104" t="e">
        <f t="shared" si="278"/>
        <v>#REF!</v>
      </c>
      <c r="AB232" s="104" t="e">
        <f t="shared" si="278"/>
        <v>#REF!</v>
      </c>
      <c r="AC232" s="106" t="e">
        <f>1-Z232-Y232-X232-W232-V232-U232-T232-O232-N232-L232-I232</f>
        <v>#REF!</v>
      </c>
      <c r="AD232" s="106" t="e">
        <f>AD231/$AD231</f>
        <v>#REF!</v>
      </c>
      <c r="AE232" s="81"/>
      <c r="AU232" s="108"/>
    </row>
    <row r="233" spans="1:47" ht="15.75" x14ac:dyDescent="0.25">
      <c r="A233" s="40">
        <v>26</v>
      </c>
      <c r="B233" s="94" t="s">
        <v>177</v>
      </c>
      <c r="C233" s="11">
        <v>704</v>
      </c>
      <c r="D233" s="11">
        <v>2019</v>
      </c>
      <c r="E233" s="11" t="s">
        <v>185</v>
      </c>
      <c r="F233" s="37" t="e">
        <f>G233+H233</f>
        <v>#REF!</v>
      </c>
      <c r="G233" s="37" t="e">
        <f>J233+AA233</f>
        <v>#REF!</v>
      </c>
      <c r="H233" s="37" t="e">
        <f>K233+AB233</f>
        <v>#REF!</v>
      </c>
      <c r="I233" s="37" t="e">
        <f>ROUND($AF231*I232,0)</f>
        <v>#REF!</v>
      </c>
      <c r="J233" s="37" t="e">
        <f>ROUND(I233/1.302,0)</f>
        <v>#REF!</v>
      </c>
      <c r="K233" s="37" t="e">
        <f>I233-J233</f>
        <v>#REF!</v>
      </c>
      <c r="L233" s="37" t="e">
        <f>ROUND($AF231*L232,0)</f>
        <v>#REF!</v>
      </c>
      <c r="M233" s="37" t="e">
        <f>ROUND($AF231*M232,0)</f>
        <v>#REF!</v>
      </c>
      <c r="N233" s="37" t="e">
        <f>ROUND($AF231*N232,0)</f>
        <v>#REF!</v>
      </c>
      <c r="O233" s="37" t="e">
        <f>ROUND($AF231*O232,0)</f>
        <v>#REF!</v>
      </c>
      <c r="P233" s="100"/>
      <c r="Q233" s="100"/>
      <c r="R233" s="100"/>
      <c r="S233" s="100"/>
      <c r="T233" s="37" t="e">
        <f t="shared" ref="T233:Z233" si="279">ROUND($AF231*T232,0)</f>
        <v>#REF!</v>
      </c>
      <c r="U233" s="37" t="e">
        <f t="shared" si="279"/>
        <v>#REF!</v>
      </c>
      <c r="V233" s="37" t="e">
        <f t="shared" si="279"/>
        <v>#REF!</v>
      </c>
      <c r="W233" s="37" t="e">
        <f t="shared" si="279"/>
        <v>#REF!</v>
      </c>
      <c r="X233" s="37" t="e">
        <f t="shared" si="279"/>
        <v>#REF!</v>
      </c>
      <c r="Y233" s="37" t="e">
        <f t="shared" si="279"/>
        <v>#REF!</v>
      </c>
      <c r="Z233" s="37" t="e">
        <f t="shared" si="279"/>
        <v>#REF!</v>
      </c>
      <c r="AA233" s="37" t="e">
        <f>ROUND(Z233/1.302,0)</f>
        <v>#REF!</v>
      </c>
      <c r="AB233" s="37" t="e">
        <f>Z233-AA233</f>
        <v>#REF!</v>
      </c>
      <c r="AC233" s="37" t="e">
        <f>ROUND($AF231*AC232,0)</f>
        <v>#REF!</v>
      </c>
      <c r="AD233" s="37" t="e">
        <f>I233+L233+N233+O233+T233+U233+V233+W233+X233+Y233+AC233+Z233</f>
        <v>#REF!</v>
      </c>
      <c r="AE233" s="78" t="e">
        <f>AF231</f>
        <v>#REF!</v>
      </c>
      <c r="AF233" s="78" t="e">
        <f>AE233-AF231</f>
        <v>#REF!</v>
      </c>
      <c r="AG233" s="107" t="e">
        <f>-ROUND(F233/1000,1)</f>
        <v>#REF!</v>
      </c>
      <c r="AH233" s="107" t="e">
        <f>ROUND(AG233/1.302,1)</f>
        <v>#REF!</v>
      </c>
      <c r="AI233" s="107" t="e">
        <f>AG233-AH233</f>
        <v>#REF!</v>
      </c>
      <c r="AJ233" s="107" t="e">
        <f>-ROUND(L233/1000,1)</f>
        <v>#REF!</v>
      </c>
      <c r="AK233" s="107" t="e">
        <f>-ROUND(M233/1000,1)</f>
        <v>#REF!</v>
      </c>
      <c r="AL233" s="107" t="e">
        <f>-ROUND(N233/1000,1)</f>
        <v>#REF!</v>
      </c>
      <c r="AM233" s="107" t="e">
        <f>-ROUND(O233/1000,1)</f>
        <v>#REF!</v>
      </c>
      <c r="AN233" s="107" t="e">
        <f t="shared" ref="AN233:AS233" si="280">-ROUND(T233/1000,1)</f>
        <v>#REF!</v>
      </c>
      <c r="AO233" s="107" t="e">
        <f t="shared" si="280"/>
        <v>#REF!</v>
      </c>
      <c r="AP233" s="107" t="e">
        <f t="shared" si="280"/>
        <v>#REF!</v>
      </c>
      <c r="AQ233" s="107" t="e">
        <f t="shared" si="280"/>
        <v>#REF!</v>
      </c>
      <c r="AR233" s="107" t="e">
        <f t="shared" si="280"/>
        <v>#REF!</v>
      </c>
      <c r="AS233" s="107" t="e">
        <f t="shared" si="280"/>
        <v>#REF!</v>
      </c>
      <c r="AT233" s="107" t="e">
        <f>-ROUND(AC233/1000,1)</f>
        <v>#REF!</v>
      </c>
      <c r="AU233" s="108" t="e">
        <f t="shared" si="232"/>
        <v>#REF!</v>
      </c>
    </row>
    <row r="234" spans="1:47" ht="15.75" hidden="1" x14ac:dyDescent="0.25">
      <c r="A234" s="40">
        <v>26</v>
      </c>
      <c r="B234" s="94" t="s">
        <v>177</v>
      </c>
      <c r="C234" s="11">
        <v>704</v>
      </c>
      <c r="D234" s="11">
        <v>2020</v>
      </c>
      <c r="E234" s="11" t="s">
        <v>182</v>
      </c>
      <c r="F234" s="97"/>
      <c r="G234" s="97"/>
      <c r="H234" s="97"/>
      <c r="I234" s="97" t="e">
        <f>SUMIFS(#REF!,#REF!,выравнивание!$A234,#REF!,4)</f>
        <v>#REF!</v>
      </c>
      <c r="J234" s="97" t="e">
        <f>SUMIFS(#REF!,#REF!,выравнивание!$A234,#REF!,4)</f>
        <v>#REF!</v>
      </c>
      <c r="K234" s="97" t="e">
        <f>SUMIFS(#REF!,#REF!,выравнивание!$A234,#REF!,4)</f>
        <v>#REF!</v>
      </c>
      <c r="L234" s="97" t="e">
        <f>SUMIFS(#REF!,#REF!,выравнивание!$A234,#REF!,4)</f>
        <v>#REF!</v>
      </c>
      <c r="M234" s="97" t="e">
        <f>SUMIFS(#REF!,#REF!,выравнивание!$A234,#REF!,4)</f>
        <v>#REF!</v>
      </c>
      <c r="N234" s="97" t="e">
        <f>SUMIFS(#REF!,#REF!,выравнивание!$A234,#REF!,4)</f>
        <v>#REF!</v>
      </c>
      <c r="O234" s="97" t="e">
        <f>SUMIFS(#REF!,#REF!,выравнивание!$A234,#REF!,4)</f>
        <v>#REF!</v>
      </c>
      <c r="P234" s="97" t="e">
        <f>SUMIFS(#REF!,#REF!,выравнивание!$A234,#REF!,4)</f>
        <v>#REF!</v>
      </c>
      <c r="Q234" s="97" t="e">
        <f>SUMIFS(#REF!,#REF!,выравнивание!$A234,#REF!,4)</f>
        <v>#REF!</v>
      </c>
      <c r="R234" s="97" t="e">
        <f>SUMIFS(#REF!,#REF!,выравнивание!$A234,#REF!,4)</f>
        <v>#REF!</v>
      </c>
      <c r="S234" s="97" t="e">
        <f>SUMIFS(#REF!,#REF!,выравнивание!$A234,#REF!,4)</f>
        <v>#REF!</v>
      </c>
      <c r="T234" s="97" t="e">
        <f>SUMIFS(#REF!,#REF!,выравнивание!$A234,#REF!,4)</f>
        <v>#REF!</v>
      </c>
      <c r="U234" s="97" t="e">
        <f>SUMIFS(#REF!,#REF!,выравнивание!$A234,#REF!,4)</f>
        <v>#REF!</v>
      </c>
      <c r="V234" s="97" t="e">
        <f>SUMIFS(#REF!,#REF!,выравнивание!$A234,#REF!,4)</f>
        <v>#REF!</v>
      </c>
      <c r="W234" s="97" t="e">
        <f>SUMIFS(#REF!,#REF!,выравнивание!$A234,#REF!,4)</f>
        <v>#REF!</v>
      </c>
      <c r="X234" s="97" t="e">
        <f>SUMIFS(#REF!,#REF!,выравнивание!$A234,#REF!,4)</f>
        <v>#REF!</v>
      </c>
      <c r="Y234" s="97" t="e">
        <f>SUMIFS(#REF!,#REF!,выравнивание!$A234,#REF!,4)</f>
        <v>#REF!</v>
      </c>
      <c r="Z234" s="97" t="e">
        <f>SUMIFS(#REF!,#REF!,выравнивание!$A234,#REF!,4)</f>
        <v>#REF!</v>
      </c>
      <c r="AA234" s="97" t="e">
        <f>SUMIFS(#REF!,#REF!,выравнивание!$A234,#REF!,4)</f>
        <v>#REF!</v>
      </c>
      <c r="AB234" s="97" t="e">
        <f>SUMIFS(#REF!,#REF!,выравнивание!$A234,#REF!,4)</f>
        <v>#REF!</v>
      </c>
      <c r="AC234" s="100" t="e">
        <f>SUMIFS(#REF!,#REF!,выравнивание!$A234,#REF!,4)</f>
        <v>#REF!</v>
      </c>
      <c r="AD234" s="100" t="e">
        <f>SUMIFS(#REF!,#REF!,выравнивание!$A234,#REF!,4)</f>
        <v>#REF!</v>
      </c>
      <c r="AE234" s="103" t="e">
        <f>SUMIF(#REF!,выравнивание!$A234,#REF!)*1000-SUMIF(#REF!,выравнивание!$A234,#REF!)*1000</f>
        <v>#REF!</v>
      </c>
      <c r="AF234" s="84" t="e">
        <f>AD234-AE234</f>
        <v>#REF!</v>
      </c>
      <c r="AU234" s="108"/>
    </row>
    <row r="235" spans="1:47" ht="15.75" hidden="1" x14ac:dyDescent="0.25">
      <c r="A235" s="40">
        <v>26</v>
      </c>
      <c r="B235" s="94" t="s">
        <v>177</v>
      </c>
      <c r="C235" s="11">
        <v>704</v>
      </c>
      <c r="D235" s="11">
        <v>2020</v>
      </c>
      <c r="E235" s="11" t="s">
        <v>184</v>
      </c>
      <c r="F235" s="104"/>
      <c r="G235" s="104"/>
      <c r="H235" s="104"/>
      <c r="I235" s="104" t="e">
        <f t="shared" ref="I235:O235" si="281">I234/$AD234</f>
        <v>#REF!</v>
      </c>
      <c r="J235" s="104" t="e">
        <f t="shared" si="281"/>
        <v>#REF!</v>
      </c>
      <c r="K235" s="104" t="e">
        <f t="shared" si="281"/>
        <v>#REF!</v>
      </c>
      <c r="L235" s="104" t="e">
        <f t="shared" si="281"/>
        <v>#REF!</v>
      </c>
      <c r="M235" s="104" t="e">
        <f t="shared" si="281"/>
        <v>#REF!</v>
      </c>
      <c r="N235" s="104" t="e">
        <f t="shared" si="281"/>
        <v>#REF!</v>
      </c>
      <c r="O235" s="104" t="e">
        <f t="shared" si="281"/>
        <v>#REF!</v>
      </c>
      <c r="P235" s="100"/>
      <c r="Q235" s="100"/>
      <c r="R235" s="100"/>
      <c r="S235" s="100"/>
      <c r="T235" s="104" t="e">
        <f t="shared" ref="T235:AB235" si="282">T234/$AD234</f>
        <v>#REF!</v>
      </c>
      <c r="U235" s="104" t="e">
        <f t="shared" si="282"/>
        <v>#REF!</v>
      </c>
      <c r="V235" s="104" t="e">
        <f t="shared" si="282"/>
        <v>#REF!</v>
      </c>
      <c r="W235" s="104" t="e">
        <f t="shared" si="282"/>
        <v>#REF!</v>
      </c>
      <c r="X235" s="104" t="e">
        <f t="shared" si="282"/>
        <v>#REF!</v>
      </c>
      <c r="Y235" s="104" t="e">
        <f t="shared" si="282"/>
        <v>#REF!</v>
      </c>
      <c r="Z235" s="104" t="e">
        <f t="shared" si="282"/>
        <v>#REF!</v>
      </c>
      <c r="AA235" s="104" t="e">
        <f t="shared" si="282"/>
        <v>#REF!</v>
      </c>
      <c r="AB235" s="104" t="e">
        <f t="shared" si="282"/>
        <v>#REF!</v>
      </c>
      <c r="AC235" s="106" t="e">
        <f>1-Z235-Y235-X235-W235-V235-U235-T235-O235-N235-L235-I235</f>
        <v>#REF!</v>
      </c>
      <c r="AD235" s="106" t="e">
        <f>AD234/$AD234</f>
        <v>#REF!</v>
      </c>
      <c r="AE235" s="81"/>
      <c r="AU235" s="108"/>
    </row>
    <row r="236" spans="1:47" ht="15.75" x14ac:dyDescent="0.25">
      <c r="A236" s="40">
        <v>26</v>
      </c>
      <c r="B236" s="94" t="s">
        <v>177</v>
      </c>
      <c r="C236" s="11">
        <v>704</v>
      </c>
      <c r="D236" s="11">
        <v>2020</v>
      </c>
      <c r="E236" s="11" t="s">
        <v>185</v>
      </c>
      <c r="F236" s="37" t="e">
        <f>G236+H236</f>
        <v>#REF!</v>
      </c>
      <c r="G236" s="37" t="e">
        <f>J236+AA236</f>
        <v>#REF!</v>
      </c>
      <c r="H236" s="37" t="e">
        <f>K236+AB236</f>
        <v>#REF!</v>
      </c>
      <c r="I236" s="37" t="e">
        <f>ROUND($AF234*I235,0)</f>
        <v>#REF!</v>
      </c>
      <c r="J236" s="37" t="e">
        <f>ROUND(I236/1.302,0)</f>
        <v>#REF!</v>
      </c>
      <c r="K236" s="37" t="e">
        <f>I236-J236</f>
        <v>#REF!</v>
      </c>
      <c r="L236" s="37" t="e">
        <f>ROUND($AF234*L235,0)</f>
        <v>#REF!</v>
      </c>
      <c r="M236" s="37" t="e">
        <f>ROUND($AF234*M235,0)</f>
        <v>#REF!</v>
      </c>
      <c r="N236" s="37" t="e">
        <f>ROUND($AF234*N235,0)</f>
        <v>#REF!</v>
      </c>
      <c r="O236" s="37" t="e">
        <f>ROUND($AF234*O235,0)</f>
        <v>#REF!</v>
      </c>
      <c r="P236" s="100"/>
      <c r="Q236" s="100"/>
      <c r="R236" s="100"/>
      <c r="S236" s="100"/>
      <c r="T236" s="37" t="e">
        <f t="shared" ref="T236:Z236" si="283">ROUND($AF234*T235,0)</f>
        <v>#REF!</v>
      </c>
      <c r="U236" s="37" t="e">
        <f t="shared" si="283"/>
        <v>#REF!</v>
      </c>
      <c r="V236" s="37" t="e">
        <f t="shared" si="283"/>
        <v>#REF!</v>
      </c>
      <c r="W236" s="37" t="e">
        <f t="shared" si="283"/>
        <v>#REF!</v>
      </c>
      <c r="X236" s="37" t="e">
        <f t="shared" si="283"/>
        <v>#REF!</v>
      </c>
      <c r="Y236" s="37" t="e">
        <f t="shared" si="283"/>
        <v>#REF!</v>
      </c>
      <c r="Z236" s="37" t="e">
        <f t="shared" si="283"/>
        <v>#REF!</v>
      </c>
      <c r="AA236" s="37" t="e">
        <f>ROUND(Z236/1.302,0)</f>
        <v>#REF!</v>
      </c>
      <c r="AB236" s="37" t="e">
        <f>Z236-AA236</f>
        <v>#REF!</v>
      </c>
      <c r="AC236" s="37" t="e">
        <f>ROUND($AF234*AC235,0)</f>
        <v>#REF!</v>
      </c>
      <c r="AD236" s="37" t="e">
        <f>I236+L236+N236+O236+T236+U236+V236+W236+X236+Y236+AC236+Z236</f>
        <v>#REF!</v>
      </c>
      <c r="AE236" s="78" t="e">
        <f>AF234</f>
        <v>#REF!</v>
      </c>
      <c r="AF236" s="78" t="e">
        <f>AE236-AF234</f>
        <v>#REF!</v>
      </c>
      <c r="AG236" s="107" t="e">
        <f>-ROUND(F236/1000,1)</f>
        <v>#REF!</v>
      </c>
      <c r="AH236" s="107" t="e">
        <f>ROUND(AG236/1.302,1)</f>
        <v>#REF!</v>
      </c>
      <c r="AI236" s="107" t="e">
        <f>AG236-AH236</f>
        <v>#REF!</v>
      </c>
      <c r="AJ236" s="107" t="e">
        <f>-ROUND(L236/1000,1)</f>
        <v>#REF!</v>
      </c>
      <c r="AK236" s="107" t="e">
        <f>-ROUND(M236/1000,1)</f>
        <v>#REF!</v>
      </c>
      <c r="AL236" s="107" t="e">
        <f>-ROUND(N236/1000,1)</f>
        <v>#REF!</v>
      </c>
      <c r="AM236" s="107" t="e">
        <f>-ROUND(O236/1000,1)</f>
        <v>#REF!</v>
      </c>
      <c r="AN236" s="107" t="e">
        <f t="shared" ref="AN236:AS236" si="284">-ROUND(T236/1000,1)</f>
        <v>#REF!</v>
      </c>
      <c r="AO236" s="107" t="e">
        <f t="shared" si="284"/>
        <v>#REF!</v>
      </c>
      <c r="AP236" s="107" t="e">
        <f t="shared" si="284"/>
        <v>#REF!</v>
      </c>
      <c r="AQ236" s="107" t="e">
        <f t="shared" si="284"/>
        <v>#REF!</v>
      </c>
      <c r="AR236" s="107" t="e">
        <f t="shared" si="284"/>
        <v>#REF!</v>
      </c>
      <c r="AS236" s="107" t="e">
        <f t="shared" si="284"/>
        <v>#REF!</v>
      </c>
      <c r="AT236" s="107" t="e">
        <f>-ROUND(AC236/1000,1)</f>
        <v>#REF!</v>
      </c>
      <c r="AU236" s="108" t="e">
        <f t="shared" si="232"/>
        <v>#REF!</v>
      </c>
    </row>
    <row r="237" spans="1:47" ht="15.75" hidden="1" x14ac:dyDescent="0.25">
      <c r="A237" s="40">
        <v>27</v>
      </c>
      <c r="B237" s="94" t="s">
        <v>178</v>
      </c>
      <c r="C237" s="11">
        <v>704</v>
      </c>
      <c r="D237" s="11">
        <v>2018</v>
      </c>
      <c r="E237" s="11" t="s">
        <v>182</v>
      </c>
      <c r="F237" s="100"/>
      <c r="G237" s="100"/>
      <c r="H237" s="100"/>
      <c r="I237" s="100">
        <f>SUMIFS('2020'!BM:BM,'2020'!$B:$B,выравнивание!$A237,'2020'!$G:$G,4)</f>
        <v>4078714</v>
      </c>
      <c r="J237" s="100">
        <f>SUMIFS('2020'!BN:BN,'2020'!$B:$B,выравнивание!$A237,'2020'!$G:$G,4)</f>
        <v>3132652.8</v>
      </c>
      <c r="K237" s="100">
        <f>SUMIFS('2020'!BO:BO,'2020'!$B:$B,выравнивание!$A237,'2020'!$G:$G,4)</f>
        <v>946061.2</v>
      </c>
      <c r="L237" s="100">
        <f>SUMIFS('2020'!BP:BP,'2020'!$B:$B,выравнивание!$A237,'2020'!$G:$G,4)</f>
        <v>252120</v>
      </c>
      <c r="M237" s="100">
        <f>SUMIFS('2020'!BQ:BQ,'2020'!$B:$B,выравнивание!$A237,'2020'!$G:$G,4)</f>
        <v>50424</v>
      </c>
      <c r="N237" s="100">
        <f>SUMIFS('2020'!BR:BR,'2020'!$B:$B,выравнивание!$A237,'2020'!$G:$G,4)</f>
        <v>524040</v>
      </c>
      <c r="O237" s="100">
        <f>SUMIFS('2020'!BS:BS,'2020'!$B:$B,выравнивание!$A237,'2020'!$G:$G,4)</f>
        <v>1804440</v>
      </c>
      <c r="P237" s="100">
        <f>SUMIFS('2020'!BT:BT,'2020'!$B:$B,выравнивание!$A237,'2020'!$G:$G,4)</f>
        <v>0</v>
      </c>
      <c r="Q237" s="100">
        <f>SUMIFS('2020'!BU:BU,'2020'!$B:$B,выравнивание!$A237,'2020'!$G:$G,4)</f>
        <v>0</v>
      </c>
      <c r="R237" s="100">
        <f>SUMIFS('2020'!BV:BV,'2020'!$B:$B,выравнивание!$A237,'2020'!$G:$G,4)</f>
        <v>0</v>
      </c>
      <c r="S237" s="100">
        <f>SUMIFS('2020'!BW:BW,'2020'!$B:$B,выравнивание!$A237,'2020'!$G:$G,4)</f>
        <v>0</v>
      </c>
      <c r="T237" s="100">
        <f>SUMIFS('2020'!BX:BX,'2020'!$B:$B,выравнивание!$A237,'2020'!$G:$G,4)</f>
        <v>789988</v>
      </c>
      <c r="U237" s="100">
        <f>SUMIFS('2020'!BY:BY,'2020'!$B:$B,выравнивание!$A237,'2020'!$G:$G,4)</f>
        <v>1137840</v>
      </c>
      <c r="V237" s="100">
        <f>SUMIFS('2020'!BZ:BZ,'2020'!$B:$B,выравнивание!$A237,'2020'!$G:$G,4)</f>
        <v>40920</v>
      </c>
      <c r="W237" s="100">
        <f>SUMIFS('2020'!CA:CA,'2020'!$B:$B,выравнивание!$A237,'2020'!$G:$G,4)</f>
        <v>163680</v>
      </c>
      <c r="X237" s="100">
        <f>SUMIFS('2020'!CB:CB,'2020'!$B:$B,выравнивание!$A237,'2020'!$G:$G,4)</f>
        <v>6600</v>
      </c>
      <c r="Y237" s="100">
        <f>SUMIFS('2020'!CC:CC,'2020'!$B:$B,выравнивание!$A237,'2020'!$G:$G,4)</f>
        <v>339240</v>
      </c>
      <c r="Z237" s="100">
        <f>SUMIFS('2020'!CD:CD,'2020'!$B:$B,выравнивание!$A237,'2020'!$G:$G,4)</f>
        <v>3263337</v>
      </c>
      <c r="AA237" s="100">
        <f>SUMIFS('2020'!CE:CE,'2020'!$B:$B,выравнивание!$A237,'2020'!$G:$G,4)</f>
        <v>2506403.2000000002</v>
      </c>
      <c r="AB237" s="100">
        <f>SUMIFS('2020'!CF:CF,'2020'!$B:$B,выравнивание!$A237,'2020'!$G:$G,4)</f>
        <v>756933.8</v>
      </c>
      <c r="AC237" s="100">
        <f>SUMIFS('2020'!CG:CG,'2020'!$B:$B,выравнивание!$A237,'2020'!$G:$G,4)</f>
        <v>85800</v>
      </c>
      <c r="AD237" s="100">
        <f>SUMIFS('2020'!CH:CH,'2020'!$B:$B,выравнивание!$A237,'2020'!$G:$G,4)</f>
        <v>12486719</v>
      </c>
      <c r="AE237" s="84">
        <f>SUMIF('Свод 2020'!$A$44:$A$57,выравнивание!$A237,'Свод 2020'!$AA$44:$AA$57)*1000-SUMIF('Свод 2020'!$A$44:$A$57,выравнивание!$A237,'Свод 2020'!$S$44:$S$57)*1000</f>
        <v>9034300</v>
      </c>
      <c r="AF237" s="105">
        <f>AD237-AE237</f>
        <v>3452419</v>
      </c>
      <c r="AU237" s="108"/>
    </row>
    <row r="238" spans="1:47" ht="15.75" hidden="1" x14ac:dyDescent="0.25">
      <c r="A238" s="40">
        <v>27</v>
      </c>
      <c r="B238" s="94" t="s">
        <v>178</v>
      </c>
      <c r="C238" s="11">
        <v>704</v>
      </c>
      <c r="D238" s="11">
        <v>2018</v>
      </c>
      <c r="E238" s="11" t="s">
        <v>184</v>
      </c>
      <c r="F238" s="104"/>
      <c r="G238" s="104"/>
      <c r="H238" s="104"/>
      <c r="I238" s="104">
        <f t="shared" ref="I238:O238" si="285">I237/$AD237</f>
        <v>0.32664399999999999</v>
      </c>
      <c r="J238" s="104">
        <f t="shared" si="285"/>
        <v>0.25087900000000002</v>
      </c>
      <c r="K238" s="104">
        <f t="shared" si="285"/>
        <v>7.5764999999999999E-2</v>
      </c>
      <c r="L238" s="104">
        <f t="shared" si="285"/>
        <v>2.0191000000000001E-2</v>
      </c>
      <c r="M238" s="104">
        <f t="shared" si="285"/>
        <v>4.0379999999999999E-3</v>
      </c>
      <c r="N238" s="104">
        <f t="shared" si="285"/>
        <v>4.1967999999999998E-2</v>
      </c>
      <c r="O238" s="104">
        <f t="shared" si="285"/>
        <v>0.144509</v>
      </c>
      <c r="P238" s="100"/>
      <c r="Q238" s="100"/>
      <c r="R238" s="100"/>
      <c r="S238" s="100"/>
      <c r="T238" s="104">
        <f t="shared" ref="T238:AB238" si="286">T237/$AD237</f>
        <v>6.3266000000000003E-2</v>
      </c>
      <c r="U238" s="104">
        <f t="shared" si="286"/>
        <v>9.1123999999999997E-2</v>
      </c>
      <c r="V238" s="104">
        <f t="shared" si="286"/>
        <v>3.277E-3</v>
      </c>
      <c r="W238" s="104">
        <f t="shared" si="286"/>
        <v>1.3108E-2</v>
      </c>
      <c r="X238" s="104">
        <f t="shared" si="286"/>
        <v>5.2899999999999996E-4</v>
      </c>
      <c r="Y238" s="104">
        <f t="shared" si="286"/>
        <v>2.7168000000000001E-2</v>
      </c>
      <c r="Z238" s="104">
        <f t="shared" si="286"/>
        <v>0.26134499999999999</v>
      </c>
      <c r="AA238" s="104">
        <f t="shared" si="286"/>
        <v>0.20072599999999999</v>
      </c>
      <c r="AB238" s="104">
        <f t="shared" si="286"/>
        <v>6.0618999999999999E-2</v>
      </c>
      <c r="AC238" s="106">
        <f>1-Z238-Y238-X238-W238-V238-U238-T238-O238-N238-L238-I238</f>
        <v>6.8710000000000004E-3</v>
      </c>
      <c r="AD238" s="106">
        <f>AD237/$AD237</f>
        <v>1</v>
      </c>
      <c r="AE238" s="81"/>
      <c r="AU238" s="108"/>
    </row>
    <row r="239" spans="1:47" ht="15.75" x14ac:dyDescent="0.25">
      <c r="A239" s="40">
        <v>27</v>
      </c>
      <c r="B239" s="94" t="s">
        <v>178</v>
      </c>
      <c r="C239" s="11">
        <v>704</v>
      </c>
      <c r="D239" s="11">
        <v>2018</v>
      </c>
      <c r="E239" s="11" t="s">
        <v>185</v>
      </c>
      <c r="F239" s="37">
        <f>G239+H239</f>
        <v>2029984</v>
      </c>
      <c r="G239" s="37">
        <f>J239+AA239</f>
        <v>1559127</v>
      </c>
      <c r="H239" s="37">
        <f>K239+AB239</f>
        <v>470857</v>
      </c>
      <c r="I239" s="37">
        <f>ROUND($AF237*I238,0)</f>
        <v>1127712</v>
      </c>
      <c r="J239" s="37">
        <f>ROUND(I239/1.302,0)</f>
        <v>866138</v>
      </c>
      <c r="K239" s="37">
        <f>I239-J239</f>
        <v>261574</v>
      </c>
      <c r="L239" s="37">
        <f>ROUND($AF237*L238,0)</f>
        <v>69708</v>
      </c>
      <c r="M239" s="37">
        <f>ROUND($AF237*M238,0)</f>
        <v>13941</v>
      </c>
      <c r="N239" s="37">
        <f>ROUND($AF237*N238,0)</f>
        <v>144891</v>
      </c>
      <c r="O239" s="37">
        <f>ROUND($AF237*O238,0)</f>
        <v>498906</v>
      </c>
      <c r="P239" s="100"/>
      <c r="Q239" s="100"/>
      <c r="R239" s="100"/>
      <c r="S239" s="100"/>
      <c r="T239" s="37">
        <f t="shared" ref="T239:Z239" si="287">ROUND($AF237*T238,0)</f>
        <v>218421</v>
      </c>
      <c r="U239" s="37">
        <f t="shared" si="287"/>
        <v>314598</v>
      </c>
      <c r="V239" s="37">
        <f t="shared" si="287"/>
        <v>11314</v>
      </c>
      <c r="W239" s="37">
        <f t="shared" si="287"/>
        <v>45254</v>
      </c>
      <c r="X239" s="37">
        <f t="shared" si="287"/>
        <v>1826</v>
      </c>
      <c r="Y239" s="37">
        <f t="shared" si="287"/>
        <v>93795</v>
      </c>
      <c r="Z239" s="37">
        <f t="shared" si="287"/>
        <v>902272</v>
      </c>
      <c r="AA239" s="37">
        <f>ROUND(Z239/1.302,0)</f>
        <v>692989</v>
      </c>
      <c r="AB239" s="37">
        <f>Z239-AA239</f>
        <v>209283</v>
      </c>
      <c r="AC239" s="37">
        <f>ROUND($AF237*AC238,0)</f>
        <v>23722</v>
      </c>
      <c r="AD239" s="37">
        <f>I239+L239+N239+O239+T239+U239+V239+W239+X239+Y239+AC239+Z239</f>
        <v>3452419</v>
      </c>
      <c r="AE239" s="78">
        <f>AF237</f>
        <v>3452419</v>
      </c>
      <c r="AF239" s="78">
        <f>AE239-AF237</f>
        <v>0</v>
      </c>
      <c r="AG239" s="107">
        <f>-ROUND(F239/1000,1)</f>
        <v>-2030</v>
      </c>
      <c r="AH239" s="107">
        <f>ROUND(AG239/1.302,1)</f>
        <v>-1559.1</v>
      </c>
      <c r="AI239" s="107">
        <f>AG239-AH239</f>
        <v>-470.9</v>
      </c>
      <c r="AJ239" s="107">
        <f>-ROUND(L239/1000,1)</f>
        <v>-69.7</v>
      </c>
      <c r="AK239" s="107">
        <f>-ROUND(M239/1000,1)</f>
        <v>-13.9</v>
      </c>
      <c r="AL239" s="107">
        <f>-ROUND(N239/1000,1)</f>
        <v>-144.9</v>
      </c>
      <c r="AM239" s="107">
        <f>-ROUND(O239/1000,1)</f>
        <v>-498.9</v>
      </c>
      <c r="AN239" s="107">
        <f t="shared" ref="AN239:AS239" si="288">-ROUND(T239/1000,1)</f>
        <v>-218.4</v>
      </c>
      <c r="AO239" s="107">
        <f t="shared" si="288"/>
        <v>-314.60000000000002</v>
      </c>
      <c r="AP239" s="107">
        <f t="shared" si="288"/>
        <v>-11.3</v>
      </c>
      <c r="AQ239" s="107">
        <f t="shared" si="288"/>
        <v>-45.3</v>
      </c>
      <c r="AR239" s="107">
        <f t="shared" si="288"/>
        <v>-1.8</v>
      </c>
      <c r="AS239" s="107">
        <f t="shared" si="288"/>
        <v>-93.8</v>
      </c>
      <c r="AT239" s="107">
        <f>-ROUND(AC239/1000,1)</f>
        <v>-23.7</v>
      </c>
      <c r="AU239" s="108">
        <f t="shared" si="232"/>
        <v>-3452.4</v>
      </c>
    </row>
    <row r="240" spans="1:47" ht="15.75" hidden="1" x14ac:dyDescent="0.25">
      <c r="A240" s="40">
        <v>27</v>
      </c>
      <c r="B240" s="94" t="s">
        <v>178</v>
      </c>
      <c r="C240" s="11">
        <v>704</v>
      </c>
      <c r="D240" s="11">
        <v>2019</v>
      </c>
      <c r="E240" s="11" t="s">
        <v>182</v>
      </c>
      <c r="F240" s="97"/>
      <c r="G240" s="97"/>
      <c r="H240" s="97"/>
      <c r="I240" s="97" t="e">
        <f>SUMIFS(#REF!,#REF!,выравнивание!$A240,#REF!,4)</f>
        <v>#REF!</v>
      </c>
      <c r="J240" s="97" t="e">
        <f>SUMIFS(#REF!,#REF!,выравнивание!$A240,#REF!,4)</f>
        <v>#REF!</v>
      </c>
      <c r="K240" s="97" t="e">
        <f>SUMIFS(#REF!,#REF!,выравнивание!$A240,#REF!,4)</f>
        <v>#REF!</v>
      </c>
      <c r="L240" s="97" t="e">
        <f>SUMIFS(#REF!,#REF!,выравнивание!$A240,#REF!,4)</f>
        <v>#REF!</v>
      </c>
      <c r="M240" s="97" t="e">
        <f>SUMIFS(#REF!,#REF!,выравнивание!$A240,#REF!,4)</f>
        <v>#REF!</v>
      </c>
      <c r="N240" s="97" t="e">
        <f>SUMIFS(#REF!,#REF!,выравнивание!$A240,#REF!,4)</f>
        <v>#REF!</v>
      </c>
      <c r="O240" s="97" t="e">
        <f>SUMIFS(#REF!,#REF!,выравнивание!$A240,#REF!,4)</f>
        <v>#REF!</v>
      </c>
      <c r="P240" s="97" t="e">
        <f>SUMIFS(#REF!,#REF!,выравнивание!$A240,#REF!,4)</f>
        <v>#REF!</v>
      </c>
      <c r="Q240" s="97" t="e">
        <f>SUMIFS(#REF!,#REF!,выравнивание!$A240,#REF!,4)</f>
        <v>#REF!</v>
      </c>
      <c r="R240" s="97" t="e">
        <f>SUMIFS(#REF!,#REF!,выравнивание!$A240,#REF!,4)</f>
        <v>#REF!</v>
      </c>
      <c r="S240" s="97" t="e">
        <f>SUMIFS(#REF!,#REF!,выравнивание!$A240,#REF!,4)</f>
        <v>#REF!</v>
      </c>
      <c r="T240" s="97" t="e">
        <f>SUMIFS(#REF!,#REF!,выравнивание!$A240,#REF!,4)</f>
        <v>#REF!</v>
      </c>
      <c r="U240" s="97" t="e">
        <f>SUMIFS(#REF!,#REF!,выравнивание!$A240,#REF!,4)</f>
        <v>#REF!</v>
      </c>
      <c r="V240" s="97" t="e">
        <f>SUMIFS(#REF!,#REF!,выравнивание!$A240,#REF!,4)</f>
        <v>#REF!</v>
      </c>
      <c r="W240" s="97" t="e">
        <f>SUMIFS(#REF!,#REF!,выравнивание!$A240,#REF!,4)</f>
        <v>#REF!</v>
      </c>
      <c r="X240" s="97" t="e">
        <f>SUMIFS(#REF!,#REF!,выравнивание!$A240,#REF!,4)</f>
        <v>#REF!</v>
      </c>
      <c r="Y240" s="97" t="e">
        <f>SUMIFS(#REF!,#REF!,выравнивание!$A240,#REF!,4)</f>
        <v>#REF!</v>
      </c>
      <c r="Z240" s="97" t="e">
        <f>SUMIFS(#REF!,#REF!,выравнивание!$A240,#REF!,4)</f>
        <v>#REF!</v>
      </c>
      <c r="AA240" s="97" t="e">
        <f>SUMIFS(#REF!,#REF!,выравнивание!$A240,#REF!,4)</f>
        <v>#REF!</v>
      </c>
      <c r="AB240" s="97" t="e">
        <f>SUMIFS(#REF!,#REF!,выравнивание!$A240,#REF!,4)</f>
        <v>#REF!</v>
      </c>
      <c r="AC240" s="100" t="e">
        <f>SUMIFS(#REF!,#REF!,выравнивание!$A240,#REF!,4)</f>
        <v>#REF!</v>
      </c>
      <c r="AD240" s="100" t="e">
        <f>SUMIFS(#REF!,#REF!,выравнивание!$A240,#REF!,4)</f>
        <v>#REF!</v>
      </c>
      <c r="AE240" s="103" t="e">
        <f>SUMIF(#REF!,выравнивание!$A240,#REF!)*1000-SUMIF(#REF!,выравнивание!$A240,#REF!)*1000</f>
        <v>#REF!</v>
      </c>
      <c r="AF240" s="105" t="e">
        <f>AD240-AE240</f>
        <v>#REF!</v>
      </c>
      <c r="AU240" s="108"/>
    </row>
    <row r="241" spans="1:47" ht="15.75" hidden="1" x14ac:dyDescent="0.25">
      <c r="A241" s="40">
        <v>27</v>
      </c>
      <c r="B241" s="94" t="s">
        <v>178</v>
      </c>
      <c r="C241" s="11">
        <v>704</v>
      </c>
      <c r="D241" s="11">
        <v>2019</v>
      </c>
      <c r="E241" s="11" t="s">
        <v>184</v>
      </c>
      <c r="F241" s="104"/>
      <c r="G241" s="104"/>
      <c r="H241" s="104"/>
      <c r="I241" s="104" t="e">
        <f t="shared" ref="I241:O241" si="289">I240/$AD240</f>
        <v>#REF!</v>
      </c>
      <c r="J241" s="104" t="e">
        <f t="shared" si="289"/>
        <v>#REF!</v>
      </c>
      <c r="K241" s="104" t="e">
        <f t="shared" si="289"/>
        <v>#REF!</v>
      </c>
      <c r="L241" s="104" t="e">
        <f t="shared" si="289"/>
        <v>#REF!</v>
      </c>
      <c r="M241" s="104" t="e">
        <f t="shared" si="289"/>
        <v>#REF!</v>
      </c>
      <c r="N241" s="104" t="e">
        <f t="shared" si="289"/>
        <v>#REF!</v>
      </c>
      <c r="O241" s="104" t="e">
        <f t="shared" si="289"/>
        <v>#REF!</v>
      </c>
      <c r="P241" s="100"/>
      <c r="Q241" s="100"/>
      <c r="R241" s="100"/>
      <c r="S241" s="100"/>
      <c r="T241" s="104" t="e">
        <f t="shared" ref="T241:AB241" si="290">T240/$AD240</f>
        <v>#REF!</v>
      </c>
      <c r="U241" s="104" t="e">
        <f t="shared" si="290"/>
        <v>#REF!</v>
      </c>
      <c r="V241" s="104" t="e">
        <f t="shared" si="290"/>
        <v>#REF!</v>
      </c>
      <c r="W241" s="104" t="e">
        <f t="shared" si="290"/>
        <v>#REF!</v>
      </c>
      <c r="X241" s="104" t="e">
        <f t="shared" si="290"/>
        <v>#REF!</v>
      </c>
      <c r="Y241" s="104" t="e">
        <f t="shared" si="290"/>
        <v>#REF!</v>
      </c>
      <c r="Z241" s="104" t="e">
        <f t="shared" si="290"/>
        <v>#REF!</v>
      </c>
      <c r="AA241" s="104" t="e">
        <f t="shared" si="290"/>
        <v>#REF!</v>
      </c>
      <c r="AB241" s="104" t="e">
        <f t="shared" si="290"/>
        <v>#REF!</v>
      </c>
      <c r="AC241" s="106" t="e">
        <f>1-Z241-Y241-X241-W241-V241-U241-T241-O241-N241-L241-I241</f>
        <v>#REF!</v>
      </c>
      <c r="AD241" s="106" t="e">
        <f>AD240/$AD240</f>
        <v>#REF!</v>
      </c>
      <c r="AE241" s="81"/>
      <c r="AU241" s="108"/>
    </row>
    <row r="242" spans="1:47" ht="15.75" x14ac:dyDescent="0.25">
      <c r="A242" s="40">
        <v>27</v>
      </c>
      <c r="B242" s="94" t="s">
        <v>178</v>
      </c>
      <c r="C242" s="11">
        <v>704</v>
      </c>
      <c r="D242" s="11">
        <v>2019</v>
      </c>
      <c r="E242" s="11" t="s">
        <v>185</v>
      </c>
      <c r="F242" s="37" t="e">
        <f>G242+H242</f>
        <v>#REF!</v>
      </c>
      <c r="G242" s="37" t="e">
        <f>J242+AA242</f>
        <v>#REF!</v>
      </c>
      <c r="H242" s="37" t="e">
        <f>K242+AB242</f>
        <v>#REF!</v>
      </c>
      <c r="I242" s="37" t="e">
        <f>ROUND($AF240*I241,0)</f>
        <v>#REF!</v>
      </c>
      <c r="J242" s="37" t="e">
        <f>ROUND(I242/1.302,0)</f>
        <v>#REF!</v>
      </c>
      <c r="K242" s="37" t="e">
        <f>I242-J242</f>
        <v>#REF!</v>
      </c>
      <c r="L242" s="37" t="e">
        <f>ROUND($AF240*L241,0)</f>
        <v>#REF!</v>
      </c>
      <c r="M242" s="37" t="e">
        <f>ROUND($AF240*M241,0)</f>
        <v>#REF!</v>
      </c>
      <c r="N242" s="37" t="e">
        <f>ROUND($AF240*N241,0)</f>
        <v>#REF!</v>
      </c>
      <c r="O242" s="37" t="e">
        <f>ROUND($AF240*O241,0)</f>
        <v>#REF!</v>
      </c>
      <c r="P242" s="100"/>
      <c r="Q242" s="100"/>
      <c r="R242" s="100"/>
      <c r="S242" s="100"/>
      <c r="T242" s="37" t="e">
        <f t="shared" ref="T242:Z242" si="291">ROUND($AF240*T241,0)</f>
        <v>#REF!</v>
      </c>
      <c r="U242" s="37" t="e">
        <f t="shared" si="291"/>
        <v>#REF!</v>
      </c>
      <c r="V242" s="37" t="e">
        <f t="shared" si="291"/>
        <v>#REF!</v>
      </c>
      <c r="W242" s="37" t="e">
        <f t="shared" si="291"/>
        <v>#REF!</v>
      </c>
      <c r="X242" s="37" t="e">
        <f t="shared" si="291"/>
        <v>#REF!</v>
      </c>
      <c r="Y242" s="37" t="e">
        <f t="shared" si="291"/>
        <v>#REF!</v>
      </c>
      <c r="Z242" s="37" t="e">
        <f t="shared" si="291"/>
        <v>#REF!</v>
      </c>
      <c r="AA242" s="37" t="e">
        <f>ROUND(Z242/1.302,0)</f>
        <v>#REF!</v>
      </c>
      <c r="AB242" s="37" t="e">
        <f>Z242-AA242</f>
        <v>#REF!</v>
      </c>
      <c r="AC242" s="37" t="e">
        <f>ROUND($AF240*AC241,0)</f>
        <v>#REF!</v>
      </c>
      <c r="AD242" s="37" t="e">
        <f>I242+L242+N242+O242+T242+U242+V242+W242+X242+Y242+AC242+Z242</f>
        <v>#REF!</v>
      </c>
      <c r="AE242" s="78" t="e">
        <f>AF240</f>
        <v>#REF!</v>
      </c>
      <c r="AF242" s="78" t="e">
        <f>AE242-AF240</f>
        <v>#REF!</v>
      </c>
      <c r="AG242" s="107" t="e">
        <f>-ROUND(F242/1000,1)</f>
        <v>#REF!</v>
      </c>
      <c r="AH242" s="107" t="e">
        <f>ROUND(AG242/1.302,1)</f>
        <v>#REF!</v>
      </c>
      <c r="AI242" s="107" t="e">
        <f>AG242-AH242</f>
        <v>#REF!</v>
      </c>
      <c r="AJ242" s="107" t="e">
        <f>-ROUND(L242/1000,1)</f>
        <v>#REF!</v>
      </c>
      <c r="AK242" s="107" t="e">
        <f>-ROUND(M242/1000,1)</f>
        <v>#REF!</v>
      </c>
      <c r="AL242" s="107" t="e">
        <f>-ROUND(N242/1000,1)</f>
        <v>#REF!</v>
      </c>
      <c r="AM242" s="107" t="e">
        <f>-ROUND(O242/1000,1)</f>
        <v>#REF!</v>
      </c>
      <c r="AN242" s="107" t="e">
        <f t="shared" ref="AN242:AS242" si="292">-ROUND(T242/1000,1)</f>
        <v>#REF!</v>
      </c>
      <c r="AO242" s="107" t="e">
        <f t="shared" si="292"/>
        <v>#REF!</v>
      </c>
      <c r="AP242" s="107" t="e">
        <f t="shared" si="292"/>
        <v>#REF!</v>
      </c>
      <c r="AQ242" s="107" t="e">
        <f t="shared" si="292"/>
        <v>#REF!</v>
      </c>
      <c r="AR242" s="107" t="e">
        <f t="shared" si="292"/>
        <v>#REF!</v>
      </c>
      <c r="AS242" s="107" t="e">
        <f t="shared" si="292"/>
        <v>#REF!</v>
      </c>
      <c r="AT242" s="107" t="e">
        <f>-ROUND(AC242/1000,1)</f>
        <v>#REF!</v>
      </c>
      <c r="AU242" s="108" t="e">
        <f t="shared" si="232"/>
        <v>#REF!</v>
      </c>
    </row>
    <row r="243" spans="1:47" ht="15.75" hidden="1" x14ac:dyDescent="0.25">
      <c r="A243" s="40">
        <v>27</v>
      </c>
      <c r="B243" s="94" t="s">
        <v>178</v>
      </c>
      <c r="C243" s="11">
        <v>704</v>
      </c>
      <c r="D243" s="11">
        <v>2020</v>
      </c>
      <c r="E243" s="11" t="s">
        <v>182</v>
      </c>
      <c r="F243" s="97"/>
      <c r="G243" s="97"/>
      <c r="H243" s="97"/>
      <c r="I243" s="97" t="e">
        <f>SUMIFS(#REF!,#REF!,выравнивание!$A243,#REF!,4)</f>
        <v>#REF!</v>
      </c>
      <c r="J243" s="97" t="e">
        <f>SUMIFS(#REF!,#REF!,выравнивание!$A243,#REF!,4)</f>
        <v>#REF!</v>
      </c>
      <c r="K243" s="97" t="e">
        <f>SUMIFS(#REF!,#REF!,выравнивание!$A243,#REF!,4)</f>
        <v>#REF!</v>
      </c>
      <c r="L243" s="97" t="e">
        <f>SUMIFS(#REF!,#REF!,выравнивание!$A243,#REF!,4)</f>
        <v>#REF!</v>
      </c>
      <c r="M243" s="97" t="e">
        <f>SUMIFS(#REF!,#REF!,выравнивание!$A243,#REF!,4)</f>
        <v>#REF!</v>
      </c>
      <c r="N243" s="97" t="e">
        <f>SUMIFS(#REF!,#REF!,выравнивание!$A243,#REF!,4)</f>
        <v>#REF!</v>
      </c>
      <c r="O243" s="97" t="e">
        <f>SUMIFS(#REF!,#REF!,выравнивание!$A243,#REF!,4)</f>
        <v>#REF!</v>
      </c>
      <c r="P243" s="97" t="e">
        <f>SUMIFS(#REF!,#REF!,выравнивание!$A243,#REF!,4)</f>
        <v>#REF!</v>
      </c>
      <c r="Q243" s="97" t="e">
        <f>SUMIFS(#REF!,#REF!,выравнивание!$A243,#REF!,4)</f>
        <v>#REF!</v>
      </c>
      <c r="R243" s="97" t="e">
        <f>SUMIFS(#REF!,#REF!,выравнивание!$A243,#REF!,4)</f>
        <v>#REF!</v>
      </c>
      <c r="S243" s="97" t="e">
        <f>SUMIFS(#REF!,#REF!,выравнивание!$A243,#REF!,4)</f>
        <v>#REF!</v>
      </c>
      <c r="T243" s="97" t="e">
        <f>SUMIFS(#REF!,#REF!,выравнивание!$A243,#REF!,4)</f>
        <v>#REF!</v>
      </c>
      <c r="U243" s="97" t="e">
        <f>SUMIFS(#REF!,#REF!,выравнивание!$A243,#REF!,4)</f>
        <v>#REF!</v>
      </c>
      <c r="V243" s="97" t="e">
        <f>SUMIFS(#REF!,#REF!,выравнивание!$A243,#REF!,4)</f>
        <v>#REF!</v>
      </c>
      <c r="W243" s="97" t="e">
        <f>SUMIFS(#REF!,#REF!,выравнивание!$A243,#REF!,4)</f>
        <v>#REF!</v>
      </c>
      <c r="X243" s="97" t="e">
        <f>SUMIFS(#REF!,#REF!,выравнивание!$A243,#REF!,4)</f>
        <v>#REF!</v>
      </c>
      <c r="Y243" s="97" t="e">
        <f>SUMIFS(#REF!,#REF!,выравнивание!$A243,#REF!,4)</f>
        <v>#REF!</v>
      </c>
      <c r="Z243" s="97" t="e">
        <f>SUMIFS(#REF!,#REF!,выравнивание!$A243,#REF!,4)</f>
        <v>#REF!</v>
      </c>
      <c r="AA243" s="97" t="e">
        <f>SUMIFS(#REF!,#REF!,выравнивание!$A243,#REF!,4)</f>
        <v>#REF!</v>
      </c>
      <c r="AB243" s="97" t="e">
        <f>SUMIFS(#REF!,#REF!,выравнивание!$A243,#REF!,4)</f>
        <v>#REF!</v>
      </c>
      <c r="AC243" s="100" t="e">
        <f>SUMIFS(#REF!,#REF!,выравнивание!$A243,#REF!,4)</f>
        <v>#REF!</v>
      </c>
      <c r="AD243" s="100" t="e">
        <f>SUMIFS(#REF!,#REF!,выравнивание!$A243,#REF!,4)</f>
        <v>#REF!</v>
      </c>
      <c r="AE243" s="103" t="e">
        <f>SUMIF(#REF!,выравнивание!$A243,#REF!)*1000-SUMIF(#REF!,выравнивание!$A243,#REF!)*1000</f>
        <v>#REF!</v>
      </c>
      <c r="AF243" s="84" t="e">
        <f>AD243-AE243</f>
        <v>#REF!</v>
      </c>
      <c r="AU243" s="108"/>
    </row>
    <row r="244" spans="1:47" ht="15.75" hidden="1" x14ac:dyDescent="0.25">
      <c r="A244" s="40">
        <v>27</v>
      </c>
      <c r="B244" s="94" t="s">
        <v>178</v>
      </c>
      <c r="C244" s="11">
        <v>704</v>
      </c>
      <c r="D244" s="11">
        <v>2020</v>
      </c>
      <c r="E244" s="11" t="s">
        <v>184</v>
      </c>
      <c r="F244" s="104"/>
      <c r="G244" s="104"/>
      <c r="H244" s="104"/>
      <c r="I244" s="104" t="e">
        <f t="shared" ref="I244:O244" si="293">I243/$AD243</f>
        <v>#REF!</v>
      </c>
      <c r="J244" s="104" t="e">
        <f t="shared" si="293"/>
        <v>#REF!</v>
      </c>
      <c r="K244" s="104" t="e">
        <f t="shared" si="293"/>
        <v>#REF!</v>
      </c>
      <c r="L244" s="104" t="e">
        <f t="shared" si="293"/>
        <v>#REF!</v>
      </c>
      <c r="M244" s="104" t="e">
        <f t="shared" si="293"/>
        <v>#REF!</v>
      </c>
      <c r="N244" s="104" t="e">
        <f t="shared" si="293"/>
        <v>#REF!</v>
      </c>
      <c r="O244" s="104" t="e">
        <f t="shared" si="293"/>
        <v>#REF!</v>
      </c>
      <c r="P244" s="100"/>
      <c r="Q244" s="100"/>
      <c r="R244" s="100"/>
      <c r="S244" s="100"/>
      <c r="T244" s="104" t="e">
        <f t="shared" ref="T244:AB244" si="294">T243/$AD243</f>
        <v>#REF!</v>
      </c>
      <c r="U244" s="104" t="e">
        <f t="shared" si="294"/>
        <v>#REF!</v>
      </c>
      <c r="V244" s="104" t="e">
        <f t="shared" si="294"/>
        <v>#REF!</v>
      </c>
      <c r="W244" s="104" t="e">
        <f t="shared" si="294"/>
        <v>#REF!</v>
      </c>
      <c r="X244" s="104" t="e">
        <f t="shared" si="294"/>
        <v>#REF!</v>
      </c>
      <c r="Y244" s="104" t="e">
        <f t="shared" si="294"/>
        <v>#REF!</v>
      </c>
      <c r="Z244" s="104" t="e">
        <f t="shared" si="294"/>
        <v>#REF!</v>
      </c>
      <c r="AA244" s="104" t="e">
        <f t="shared" si="294"/>
        <v>#REF!</v>
      </c>
      <c r="AB244" s="104" t="e">
        <f t="shared" si="294"/>
        <v>#REF!</v>
      </c>
      <c r="AC244" s="106" t="e">
        <f>1-Z244-Y244-X244-W244-V244-U244-T244-O244-N244-L244-I244</f>
        <v>#REF!</v>
      </c>
      <c r="AD244" s="106" t="e">
        <f>AD243/$AD243</f>
        <v>#REF!</v>
      </c>
      <c r="AE244" s="81"/>
      <c r="AU244" s="108"/>
    </row>
    <row r="245" spans="1:47" ht="15.75" x14ac:dyDescent="0.25">
      <c r="A245" s="40">
        <v>27</v>
      </c>
      <c r="B245" s="94" t="s">
        <v>178</v>
      </c>
      <c r="C245" s="11">
        <v>704</v>
      </c>
      <c r="D245" s="11">
        <v>2020</v>
      </c>
      <c r="E245" s="11" t="s">
        <v>185</v>
      </c>
      <c r="F245" s="37" t="e">
        <f>G245+H245</f>
        <v>#REF!</v>
      </c>
      <c r="G245" s="37" t="e">
        <f>J245+AA245</f>
        <v>#REF!</v>
      </c>
      <c r="H245" s="37" t="e">
        <f>K245+AB245</f>
        <v>#REF!</v>
      </c>
      <c r="I245" s="37" t="e">
        <f>ROUND($AF243*I244,0)</f>
        <v>#REF!</v>
      </c>
      <c r="J245" s="37" t="e">
        <f>ROUND(I245/1.302,0)</f>
        <v>#REF!</v>
      </c>
      <c r="K245" s="37" t="e">
        <f>I245-J245</f>
        <v>#REF!</v>
      </c>
      <c r="L245" s="37" t="e">
        <f>ROUND($AF243*L244,0)</f>
        <v>#REF!</v>
      </c>
      <c r="M245" s="37" t="e">
        <f>ROUND($AF243*M244,0)</f>
        <v>#REF!</v>
      </c>
      <c r="N245" s="37" t="e">
        <f>ROUND($AF243*N244,0)</f>
        <v>#REF!</v>
      </c>
      <c r="O245" s="37" t="e">
        <f>ROUND($AF243*O244,0)</f>
        <v>#REF!</v>
      </c>
      <c r="P245" s="100"/>
      <c r="Q245" s="100"/>
      <c r="R245" s="100"/>
      <c r="S245" s="100"/>
      <c r="T245" s="37" t="e">
        <f t="shared" ref="T245:Z245" si="295">ROUND($AF243*T244,0)</f>
        <v>#REF!</v>
      </c>
      <c r="U245" s="37" t="e">
        <f t="shared" si="295"/>
        <v>#REF!</v>
      </c>
      <c r="V245" s="37" t="e">
        <f t="shared" si="295"/>
        <v>#REF!</v>
      </c>
      <c r="W245" s="37" t="e">
        <f t="shared" si="295"/>
        <v>#REF!</v>
      </c>
      <c r="X245" s="37" t="e">
        <f t="shared" si="295"/>
        <v>#REF!</v>
      </c>
      <c r="Y245" s="37" t="e">
        <f t="shared" si="295"/>
        <v>#REF!</v>
      </c>
      <c r="Z245" s="37" t="e">
        <f t="shared" si="295"/>
        <v>#REF!</v>
      </c>
      <c r="AA245" s="37" t="e">
        <f>ROUND(Z245/1.302,0)</f>
        <v>#REF!</v>
      </c>
      <c r="AB245" s="37" t="e">
        <f>Z245-AA245</f>
        <v>#REF!</v>
      </c>
      <c r="AC245" s="37" t="e">
        <f>ROUND($AF243*AC244,0)</f>
        <v>#REF!</v>
      </c>
      <c r="AD245" s="37" t="e">
        <f>I245+L245+N245+O245+T245+U245+V245+W245+X245+Y245+AC245+Z245</f>
        <v>#REF!</v>
      </c>
      <c r="AE245" s="78" t="e">
        <f>AF243</f>
        <v>#REF!</v>
      </c>
      <c r="AF245" s="78" t="e">
        <f>AE245-AF243</f>
        <v>#REF!</v>
      </c>
      <c r="AG245" s="107" t="e">
        <f>-ROUND(F245/1000,1)</f>
        <v>#REF!</v>
      </c>
      <c r="AH245" s="107" t="e">
        <f>ROUND(AG245/1.302,1)</f>
        <v>#REF!</v>
      </c>
      <c r="AI245" s="107" t="e">
        <f>AG245-AH245</f>
        <v>#REF!</v>
      </c>
      <c r="AJ245" s="107" t="e">
        <f>-ROUND(L245/1000,1)</f>
        <v>#REF!</v>
      </c>
      <c r="AK245" s="107" t="e">
        <f>-ROUND(M245/1000,1)</f>
        <v>#REF!</v>
      </c>
      <c r="AL245" s="107" t="e">
        <f>-ROUND(N245/1000,1)</f>
        <v>#REF!</v>
      </c>
      <c r="AM245" s="107" t="e">
        <f>-ROUND(O245/1000,1)</f>
        <v>#REF!</v>
      </c>
      <c r="AN245" s="107" t="e">
        <f t="shared" ref="AN245:AS245" si="296">-ROUND(T245/1000,1)</f>
        <v>#REF!</v>
      </c>
      <c r="AO245" s="107" t="e">
        <f t="shared" si="296"/>
        <v>#REF!</v>
      </c>
      <c r="AP245" s="107" t="e">
        <f t="shared" si="296"/>
        <v>#REF!</v>
      </c>
      <c r="AQ245" s="107" t="e">
        <f t="shared" si="296"/>
        <v>#REF!</v>
      </c>
      <c r="AR245" s="107" t="e">
        <f t="shared" si="296"/>
        <v>#REF!</v>
      </c>
      <c r="AS245" s="107" t="e">
        <f t="shared" si="296"/>
        <v>#REF!</v>
      </c>
      <c r="AT245" s="107" t="e">
        <f>-ROUND(AC245/1000,1)</f>
        <v>#REF!</v>
      </c>
      <c r="AU245" s="108" t="e">
        <f t="shared" si="232"/>
        <v>#REF!</v>
      </c>
    </row>
    <row r="246" spans="1:47" ht="15.75" hidden="1" x14ac:dyDescent="0.25">
      <c r="A246" s="40">
        <v>28</v>
      </c>
      <c r="B246" s="94" t="s">
        <v>179</v>
      </c>
      <c r="C246" s="11">
        <v>704</v>
      </c>
      <c r="D246" s="11">
        <v>2018</v>
      </c>
      <c r="E246" s="11" t="s">
        <v>182</v>
      </c>
      <c r="F246" s="100"/>
      <c r="G246" s="100"/>
      <c r="H246" s="100"/>
      <c r="I246" s="100">
        <f>SUMIFS('2020'!BM:BM,'2020'!$B:$B,выравнивание!$A246,'2020'!$G:$G,4)</f>
        <v>4961231</v>
      </c>
      <c r="J246" s="100">
        <f>SUMIFS('2020'!BN:BN,'2020'!$B:$B,выравнивание!$A246,'2020'!$G:$G,4)</f>
        <v>3810469.3</v>
      </c>
      <c r="K246" s="100">
        <f>SUMIFS('2020'!BO:BO,'2020'!$B:$B,выравнивание!$A246,'2020'!$G:$G,4)</f>
        <v>1150761.7</v>
      </c>
      <c r="L246" s="100">
        <f>SUMIFS('2020'!BP:BP,'2020'!$B:$B,выравнивание!$A246,'2020'!$G:$G,4)</f>
        <v>242570</v>
      </c>
      <c r="M246" s="100">
        <f>SUMIFS('2020'!BQ:BQ,'2020'!$B:$B,выравнивание!$A246,'2020'!$G:$G,4)</f>
        <v>48514</v>
      </c>
      <c r="N246" s="100">
        <f>SUMIFS('2020'!BR:BR,'2020'!$B:$B,выравнивание!$A246,'2020'!$G:$G,4)</f>
        <v>504190</v>
      </c>
      <c r="O246" s="100">
        <f>SUMIFS('2020'!BS:BS,'2020'!$B:$B,выравнивание!$A246,'2020'!$G:$G,4)</f>
        <v>1736090</v>
      </c>
      <c r="P246" s="100">
        <f>SUMIFS('2020'!BT:BT,'2020'!$B:$B,выравнивание!$A246,'2020'!$G:$G,4)</f>
        <v>0</v>
      </c>
      <c r="Q246" s="100">
        <f>SUMIFS('2020'!BU:BU,'2020'!$B:$B,выравнивание!$A246,'2020'!$G:$G,4)</f>
        <v>0</v>
      </c>
      <c r="R246" s="100">
        <f>SUMIFS('2020'!BV:BV,'2020'!$B:$B,выравнивание!$A246,'2020'!$G:$G,4)</f>
        <v>0</v>
      </c>
      <c r="S246" s="100">
        <f>SUMIFS('2020'!BW:BW,'2020'!$B:$B,выравнивание!$A246,'2020'!$G:$G,4)</f>
        <v>0</v>
      </c>
      <c r="T246" s="100">
        <f>SUMIFS('2020'!BX:BX,'2020'!$B:$B,выравнивание!$A246,'2020'!$G:$G,4)</f>
        <v>1293967</v>
      </c>
      <c r="U246" s="100">
        <f>SUMIFS('2020'!BY:BY,'2020'!$B:$B,выравнивание!$A246,'2020'!$G:$G,4)</f>
        <v>1094740</v>
      </c>
      <c r="V246" s="100">
        <f>SUMIFS('2020'!BZ:BZ,'2020'!$B:$B,выравнивание!$A246,'2020'!$G:$G,4)</f>
        <v>39370</v>
      </c>
      <c r="W246" s="100">
        <f>SUMIFS('2020'!CA:CA,'2020'!$B:$B,выравнивание!$A246,'2020'!$G:$G,4)</f>
        <v>157480</v>
      </c>
      <c r="X246" s="100">
        <f>SUMIFS('2020'!CB:CB,'2020'!$B:$B,выравнивание!$A246,'2020'!$G:$G,4)</f>
        <v>6350</v>
      </c>
      <c r="Y246" s="100">
        <f>SUMIFS('2020'!CC:CC,'2020'!$B:$B,выравнивание!$A246,'2020'!$G:$G,4)</f>
        <v>326390</v>
      </c>
      <c r="Z246" s="100">
        <f>SUMIFS('2020'!CD:CD,'2020'!$B:$B,выравнивание!$A246,'2020'!$G:$G,4)</f>
        <v>3969429</v>
      </c>
      <c r="AA246" s="100">
        <f>SUMIFS('2020'!CE:CE,'2020'!$B:$B,выравнивание!$A246,'2020'!$G:$G,4)</f>
        <v>3048716.6</v>
      </c>
      <c r="AB246" s="100">
        <f>SUMIFS('2020'!CF:CF,'2020'!$B:$B,выравнивание!$A246,'2020'!$G:$G,4)</f>
        <v>920712.4</v>
      </c>
      <c r="AC246" s="100">
        <f>SUMIFS('2020'!CG:CG,'2020'!$B:$B,выравнивание!$A246,'2020'!$G:$G,4)</f>
        <v>82550</v>
      </c>
      <c r="AD246" s="100">
        <f>SUMIFS('2020'!CH:CH,'2020'!$B:$B,выравнивание!$A246,'2020'!$G:$G,4)</f>
        <v>14414357</v>
      </c>
      <c r="AE246" s="84">
        <f>SUMIF('Свод 2020'!$A$44:$A$57,выравнивание!$A246,'Свод 2020'!$AA$44:$AA$57)*1000-SUMIF('Свод 2020'!$A$44:$A$57,выравнивание!$A246,'Свод 2020'!$S$44:$S$57)*1000</f>
        <v>10429000</v>
      </c>
      <c r="AF246" s="105">
        <f>AD246-AE246</f>
        <v>3985357</v>
      </c>
      <c r="AU246" s="108"/>
    </row>
    <row r="247" spans="1:47" ht="15.75" hidden="1" x14ac:dyDescent="0.25">
      <c r="A247" s="40">
        <v>28</v>
      </c>
      <c r="B247" s="94" t="s">
        <v>179</v>
      </c>
      <c r="C247" s="11">
        <v>704</v>
      </c>
      <c r="D247" s="11">
        <v>2018</v>
      </c>
      <c r="E247" s="11" t="s">
        <v>184</v>
      </c>
      <c r="F247" s="104"/>
      <c r="G247" s="104"/>
      <c r="H247" s="104"/>
      <c r="I247" s="104">
        <f t="shared" ref="I247:O247" si="297">I246/$AD246</f>
        <v>0.34418700000000002</v>
      </c>
      <c r="J247" s="104">
        <f t="shared" si="297"/>
        <v>0.26435199999999998</v>
      </c>
      <c r="K247" s="104">
        <f t="shared" si="297"/>
        <v>7.9834000000000002E-2</v>
      </c>
      <c r="L247" s="104">
        <f t="shared" si="297"/>
        <v>1.6827999999999999E-2</v>
      </c>
      <c r="M247" s="104">
        <f t="shared" si="297"/>
        <v>3.3660000000000001E-3</v>
      </c>
      <c r="N247" s="104">
        <f t="shared" si="297"/>
        <v>3.4978000000000002E-2</v>
      </c>
      <c r="O247" s="104">
        <f t="shared" si="297"/>
        <v>0.12044199999999999</v>
      </c>
      <c r="P247" s="100"/>
      <c r="Q247" s="100"/>
      <c r="R247" s="100"/>
      <c r="S247" s="100"/>
      <c r="T247" s="104">
        <f t="shared" ref="T247:AB247" si="298">T246/$AD246</f>
        <v>8.9769000000000002E-2</v>
      </c>
      <c r="U247" s="104">
        <f t="shared" si="298"/>
        <v>7.5948000000000002E-2</v>
      </c>
      <c r="V247" s="104">
        <f t="shared" si="298"/>
        <v>2.7309999999999999E-3</v>
      </c>
      <c r="W247" s="104">
        <f t="shared" si="298"/>
        <v>1.0925000000000001E-2</v>
      </c>
      <c r="X247" s="104">
        <f t="shared" si="298"/>
        <v>4.4099999999999999E-4</v>
      </c>
      <c r="Y247" s="104">
        <f t="shared" si="298"/>
        <v>2.2643E-2</v>
      </c>
      <c r="Z247" s="104">
        <f t="shared" si="298"/>
        <v>0.27538000000000001</v>
      </c>
      <c r="AA247" s="104">
        <f t="shared" si="298"/>
        <v>0.211506</v>
      </c>
      <c r="AB247" s="104">
        <f t="shared" si="298"/>
        <v>6.3875000000000001E-2</v>
      </c>
      <c r="AC247" s="106">
        <f>1-Z247-Y247-X247-W247-V247-U247-T247-O247-N247-L247-I247</f>
        <v>5.7279999999999996E-3</v>
      </c>
      <c r="AD247" s="106">
        <f>AD246/$AD246</f>
        <v>1</v>
      </c>
      <c r="AE247" s="81"/>
      <c r="AU247" s="108"/>
    </row>
    <row r="248" spans="1:47" ht="15.75" x14ac:dyDescent="0.25">
      <c r="A248" s="40">
        <v>28</v>
      </c>
      <c r="B248" s="94" t="s">
        <v>179</v>
      </c>
      <c r="C248" s="11">
        <v>704</v>
      </c>
      <c r="D248" s="11">
        <v>2018</v>
      </c>
      <c r="E248" s="11" t="s">
        <v>185</v>
      </c>
      <c r="F248" s="37">
        <f>G248+H248</f>
        <v>2469196</v>
      </c>
      <c r="G248" s="37">
        <f>J248+AA248</f>
        <v>1896464</v>
      </c>
      <c r="H248" s="37">
        <f>K248+AB248</f>
        <v>572732</v>
      </c>
      <c r="I248" s="37">
        <f>ROUND($AF246*I247,0)</f>
        <v>1371708</v>
      </c>
      <c r="J248" s="37">
        <f>ROUND(I248/1.302,0)</f>
        <v>1053539</v>
      </c>
      <c r="K248" s="37">
        <f>I248-J248</f>
        <v>318169</v>
      </c>
      <c r="L248" s="37">
        <f>ROUND($AF246*L247,0)</f>
        <v>67066</v>
      </c>
      <c r="M248" s="37">
        <f>ROUND($AF246*M247,0)</f>
        <v>13415</v>
      </c>
      <c r="N248" s="37">
        <f>ROUND($AF246*N247,0)</f>
        <v>139400</v>
      </c>
      <c r="O248" s="37">
        <f>ROUND($AF246*O247,0)</f>
        <v>480004</v>
      </c>
      <c r="P248" s="100"/>
      <c r="Q248" s="100"/>
      <c r="R248" s="100"/>
      <c r="S248" s="100"/>
      <c r="T248" s="37">
        <f t="shared" ref="T248:Z248" si="299">ROUND($AF246*T247,0)</f>
        <v>357762</v>
      </c>
      <c r="U248" s="37">
        <f t="shared" si="299"/>
        <v>302680</v>
      </c>
      <c r="V248" s="37">
        <f t="shared" si="299"/>
        <v>10884</v>
      </c>
      <c r="W248" s="37">
        <f t="shared" si="299"/>
        <v>43540</v>
      </c>
      <c r="X248" s="37">
        <f t="shared" si="299"/>
        <v>1758</v>
      </c>
      <c r="Y248" s="37">
        <f t="shared" si="299"/>
        <v>90240</v>
      </c>
      <c r="Z248" s="37">
        <f t="shared" si="299"/>
        <v>1097488</v>
      </c>
      <c r="AA248" s="37">
        <f>ROUND(Z248/1.302,0)</f>
        <v>842925</v>
      </c>
      <c r="AB248" s="37">
        <f>Z248-AA248</f>
        <v>254563</v>
      </c>
      <c r="AC248" s="37">
        <f>ROUND($AF246*AC247,0)</f>
        <v>22828</v>
      </c>
      <c r="AD248" s="37">
        <f>I248+L248+N248+O248+T248+U248+V248+W248+X248+Y248+AC248+Z248</f>
        <v>3985358</v>
      </c>
      <c r="AE248" s="78">
        <f>AF246</f>
        <v>3985357</v>
      </c>
      <c r="AF248" s="78">
        <f>AE248-AF246</f>
        <v>0</v>
      </c>
      <c r="AG248" s="107">
        <f>-ROUND(F248/1000,1)</f>
        <v>-2469.1999999999998</v>
      </c>
      <c r="AH248" s="107">
        <f>ROUND(AG248/1.302,1)</f>
        <v>-1896.5</v>
      </c>
      <c r="AI248" s="107">
        <f>AG248-AH248</f>
        <v>-572.70000000000005</v>
      </c>
      <c r="AJ248" s="107">
        <f>-ROUND(L248/1000,1)</f>
        <v>-67.099999999999994</v>
      </c>
      <c r="AK248" s="107">
        <f>-ROUND(M248/1000,1)</f>
        <v>-13.4</v>
      </c>
      <c r="AL248" s="107">
        <f>-ROUND(N248/1000,1)</f>
        <v>-139.4</v>
      </c>
      <c r="AM248" s="107">
        <f>-ROUND(O248/1000,1)</f>
        <v>-480</v>
      </c>
      <c r="AN248" s="107">
        <f t="shared" ref="AN248:AS248" si="300">-ROUND(T248/1000,1)</f>
        <v>-357.8</v>
      </c>
      <c r="AO248" s="107">
        <f t="shared" si="300"/>
        <v>-302.7</v>
      </c>
      <c r="AP248" s="107">
        <f t="shared" si="300"/>
        <v>-10.9</v>
      </c>
      <c r="AQ248" s="107">
        <f t="shared" si="300"/>
        <v>-43.5</v>
      </c>
      <c r="AR248" s="107">
        <f t="shared" si="300"/>
        <v>-1.8</v>
      </c>
      <c r="AS248" s="107">
        <f t="shared" si="300"/>
        <v>-90.2</v>
      </c>
      <c r="AT248" s="107">
        <f>-ROUND(AC248/1000,1)</f>
        <v>-22.8</v>
      </c>
      <c r="AU248" s="108">
        <f t="shared" si="232"/>
        <v>-3985.4</v>
      </c>
    </row>
    <row r="249" spans="1:47" ht="15.75" hidden="1" x14ac:dyDescent="0.25">
      <c r="A249" s="40">
        <v>28</v>
      </c>
      <c r="B249" s="94" t="s">
        <v>179</v>
      </c>
      <c r="C249" s="11">
        <v>704</v>
      </c>
      <c r="D249" s="11">
        <v>2019</v>
      </c>
      <c r="E249" s="11" t="s">
        <v>182</v>
      </c>
      <c r="F249" s="97"/>
      <c r="G249" s="97"/>
      <c r="H249" s="97"/>
      <c r="I249" s="97" t="e">
        <f>SUMIFS(#REF!,#REF!,выравнивание!$A249,#REF!,4)</f>
        <v>#REF!</v>
      </c>
      <c r="J249" s="97" t="e">
        <f>SUMIFS(#REF!,#REF!,выравнивание!$A249,#REF!,4)</f>
        <v>#REF!</v>
      </c>
      <c r="K249" s="97" t="e">
        <f>SUMIFS(#REF!,#REF!,выравнивание!$A249,#REF!,4)</f>
        <v>#REF!</v>
      </c>
      <c r="L249" s="97" t="e">
        <f>SUMIFS(#REF!,#REF!,выравнивание!$A249,#REF!,4)</f>
        <v>#REF!</v>
      </c>
      <c r="M249" s="97" t="e">
        <f>SUMIFS(#REF!,#REF!,выравнивание!$A249,#REF!,4)</f>
        <v>#REF!</v>
      </c>
      <c r="N249" s="97" t="e">
        <f>SUMIFS(#REF!,#REF!,выравнивание!$A249,#REF!,4)</f>
        <v>#REF!</v>
      </c>
      <c r="O249" s="97" t="e">
        <f>SUMIFS(#REF!,#REF!,выравнивание!$A249,#REF!,4)</f>
        <v>#REF!</v>
      </c>
      <c r="P249" s="97" t="e">
        <f>SUMIFS(#REF!,#REF!,выравнивание!$A249,#REF!,4)</f>
        <v>#REF!</v>
      </c>
      <c r="Q249" s="97" t="e">
        <f>SUMIFS(#REF!,#REF!,выравнивание!$A249,#REF!,4)</f>
        <v>#REF!</v>
      </c>
      <c r="R249" s="97" t="e">
        <f>SUMIFS(#REF!,#REF!,выравнивание!$A249,#REF!,4)</f>
        <v>#REF!</v>
      </c>
      <c r="S249" s="97" t="e">
        <f>SUMIFS(#REF!,#REF!,выравнивание!$A249,#REF!,4)</f>
        <v>#REF!</v>
      </c>
      <c r="T249" s="97" t="e">
        <f>SUMIFS(#REF!,#REF!,выравнивание!$A249,#REF!,4)</f>
        <v>#REF!</v>
      </c>
      <c r="U249" s="97" t="e">
        <f>SUMIFS(#REF!,#REF!,выравнивание!$A249,#REF!,4)</f>
        <v>#REF!</v>
      </c>
      <c r="V249" s="97" t="e">
        <f>SUMIFS(#REF!,#REF!,выравнивание!$A249,#REF!,4)</f>
        <v>#REF!</v>
      </c>
      <c r="W249" s="97" t="e">
        <f>SUMIFS(#REF!,#REF!,выравнивание!$A249,#REF!,4)</f>
        <v>#REF!</v>
      </c>
      <c r="X249" s="97" t="e">
        <f>SUMIFS(#REF!,#REF!,выравнивание!$A249,#REF!,4)</f>
        <v>#REF!</v>
      </c>
      <c r="Y249" s="97" t="e">
        <f>SUMIFS(#REF!,#REF!,выравнивание!$A249,#REF!,4)</f>
        <v>#REF!</v>
      </c>
      <c r="Z249" s="97" t="e">
        <f>SUMIFS(#REF!,#REF!,выравнивание!$A249,#REF!,4)</f>
        <v>#REF!</v>
      </c>
      <c r="AA249" s="97" t="e">
        <f>SUMIFS(#REF!,#REF!,выравнивание!$A249,#REF!,4)</f>
        <v>#REF!</v>
      </c>
      <c r="AB249" s="97" t="e">
        <f>SUMIFS(#REF!,#REF!,выравнивание!$A249,#REF!,4)</f>
        <v>#REF!</v>
      </c>
      <c r="AC249" s="100" t="e">
        <f>SUMIFS(#REF!,#REF!,выравнивание!$A249,#REF!,4)</f>
        <v>#REF!</v>
      </c>
      <c r="AD249" s="100" t="e">
        <f>SUMIFS(#REF!,#REF!,выравнивание!$A249,#REF!,4)</f>
        <v>#REF!</v>
      </c>
      <c r="AE249" s="103" t="e">
        <f>SUMIF(#REF!,выравнивание!$A249,#REF!)*1000-SUMIF(#REF!,выравнивание!$A249,#REF!)*1000</f>
        <v>#REF!</v>
      </c>
      <c r="AF249" s="105" t="e">
        <f>AD249-AE249</f>
        <v>#REF!</v>
      </c>
      <c r="AU249" s="108"/>
    </row>
    <row r="250" spans="1:47" ht="15.75" hidden="1" x14ac:dyDescent="0.25">
      <c r="A250" s="40">
        <v>28</v>
      </c>
      <c r="B250" s="94" t="s">
        <v>179</v>
      </c>
      <c r="C250" s="11">
        <v>704</v>
      </c>
      <c r="D250" s="11">
        <v>2019</v>
      </c>
      <c r="E250" s="11" t="s">
        <v>184</v>
      </c>
      <c r="F250" s="104"/>
      <c r="G250" s="104"/>
      <c r="H250" s="104"/>
      <c r="I250" s="104" t="e">
        <f t="shared" ref="I250:O250" si="301">I249/$AD249</f>
        <v>#REF!</v>
      </c>
      <c r="J250" s="104" t="e">
        <f t="shared" si="301"/>
        <v>#REF!</v>
      </c>
      <c r="K250" s="104" t="e">
        <f t="shared" si="301"/>
        <v>#REF!</v>
      </c>
      <c r="L250" s="104" t="e">
        <f t="shared" si="301"/>
        <v>#REF!</v>
      </c>
      <c r="M250" s="104" t="e">
        <f t="shared" si="301"/>
        <v>#REF!</v>
      </c>
      <c r="N250" s="104" t="e">
        <f t="shared" si="301"/>
        <v>#REF!</v>
      </c>
      <c r="O250" s="104" t="e">
        <f t="shared" si="301"/>
        <v>#REF!</v>
      </c>
      <c r="P250" s="100"/>
      <c r="Q250" s="100"/>
      <c r="R250" s="100"/>
      <c r="S250" s="100"/>
      <c r="T250" s="104" t="e">
        <f t="shared" ref="T250:AB250" si="302">T249/$AD249</f>
        <v>#REF!</v>
      </c>
      <c r="U250" s="104" t="e">
        <f t="shared" si="302"/>
        <v>#REF!</v>
      </c>
      <c r="V250" s="104" t="e">
        <f t="shared" si="302"/>
        <v>#REF!</v>
      </c>
      <c r="W250" s="104" t="e">
        <f t="shared" si="302"/>
        <v>#REF!</v>
      </c>
      <c r="X250" s="104" t="e">
        <f t="shared" si="302"/>
        <v>#REF!</v>
      </c>
      <c r="Y250" s="104" t="e">
        <f t="shared" si="302"/>
        <v>#REF!</v>
      </c>
      <c r="Z250" s="104" t="e">
        <f t="shared" si="302"/>
        <v>#REF!</v>
      </c>
      <c r="AA250" s="104" t="e">
        <f t="shared" si="302"/>
        <v>#REF!</v>
      </c>
      <c r="AB250" s="104" t="e">
        <f t="shared" si="302"/>
        <v>#REF!</v>
      </c>
      <c r="AC250" s="106" t="e">
        <f>1-Z250-Y250-X250-W250-V250-U250-T250-O250-N250-L250-I250</f>
        <v>#REF!</v>
      </c>
      <c r="AD250" s="106" t="e">
        <f>AD249/$AD249</f>
        <v>#REF!</v>
      </c>
      <c r="AE250" s="81"/>
      <c r="AU250" s="108"/>
    </row>
    <row r="251" spans="1:47" ht="15.75" x14ac:dyDescent="0.25">
      <c r="A251" s="40">
        <v>28</v>
      </c>
      <c r="B251" s="94" t="s">
        <v>179</v>
      </c>
      <c r="C251" s="11">
        <v>704</v>
      </c>
      <c r="D251" s="11">
        <v>2019</v>
      </c>
      <c r="E251" s="11" t="s">
        <v>185</v>
      </c>
      <c r="F251" s="37" t="e">
        <f>G251+H251</f>
        <v>#REF!</v>
      </c>
      <c r="G251" s="37" t="e">
        <f>J251+AA251</f>
        <v>#REF!</v>
      </c>
      <c r="H251" s="37" t="e">
        <f>K251+AB251</f>
        <v>#REF!</v>
      </c>
      <c r="I251" s="37" t="e">
        <f>ROUND($AF249*I250,0)</f>
        <v>#REF!</v>
      </c>
      <c r="J251" s="37" t="e">
        <f>ROUND(I251/1.302,0)</f>
        <v>#REF!</v>
      </c>
      <c r="K251" s="37" t="e">
        <f>I251-J251</f>
        <v>#REF!</v>
      </c>
      <c r="L251" s="37" t="e">
        <f>ROUND($AF249*L250,0)</f>
        <v>#REF!</v>
      </c>
      <c r="M251" s="37" t="e">
        <f>ROUND($AF249*M250,0)</f>
        <v>#REF!</v>
      </c>
      <c r="N251" s="37" t="e">
        <f>ROUND($AF249*N250,0)</f>
        <v>#REF!</v>
      </c>
      <c r="O251" s="37" t="e">
        <f>ROUND($AF249*O250,0)</f>
        <v>#REF!</v>
      </c>
      <c r="P251" s="100"/>
      <c r="Q251" s="100"/>
      <c r="R251" s="100"/>
      <c r="S251" s="100"/>
      <c r="T251" s="37" t="e">
        <f t="shared" ref="T251:Z251" si="303">ROUND($AF249*T250,0)</f>
        <v>#REF!</v>
      </c>
      <c r="U251" s="37" t="e">
        <f t="shared" si="303"/>
        <v>#REF!</v>
      </c>
      <c r="V251" s="37" t="e">
        <f t="shared" si="303"/>
        <v>#REF!</v>
      </c>
      <c r="W251" s="37" t="e">
        <f t="shared" si="303"/>
        <v>#REF!</v>
      </c>
      <c r="X251" s="37" t="e">
        <f t="shared" si="303"/>
        <v>#REF!</v>
      </c>
      <c r="Y251" s="37" t="e">
        <f t="shared" si="303"/>
        <v>#REF!</v>
      </c>
      <c r="Z251" s="37" t="e">
        <f t="shared" si="303"/>
        <v>#REF!</v>
      </c>
      <c r="AA251" s="37" t="e">
        <f>ROUND(Z251/1.302,0)</f>
        <v>#REF!</v>
      </c>
      <c r="AB251" s="37" t="e">
        <f>Z251-AA251</f>
        <v>#REF!</v>
      </c>
      <c r="AC251" s="37" t="e">
        <f>ROUND($AF249*AC250,0)</f>
        <v>#REF!</v>
      </c>
      <c r="AD251" s="37" t="e">
        <f>I251+L251+N251+O251+T251+U251+V251+W251+X251+Y251+AC251+Z251</f>
        <v>#REF!</v>
      </c>
      <c r="AE251" s="78" t="e">
        <f>AF249</f>
        <v>#REF!</v>
      </c>
      <c r="AF251" s="78" t="e">
        <f>AE251-AF249</f>
        <v>#REF!</v>
      </c>
      <c r="AG251" s="107" t="e">
        <f>-ROUND(F251/1000,1)</f>
        <v>#REF!</v>
      </c>
      <c r="AH251" s="107" t="e">
        <f>ROUND(AG251/1.302,1)</f>
        <v>#REF!</v>
      </c>
      <c r="AI251" s="107" t="e">
        <f>AG251-AH251</f>
        <v>#REF!</v>
      </c>
      <c r="AJ251" s="107" t="e">
        <f>-ROUND(L251/1000,1)</f>
        <v>#REF!</v>
      </c>
      <c r="AK251" s="107" t="e">
        <f>-ROUND(M251/1000,1)</f>
        <v>#REF!</v>
      </c>
      <c r="AL251" s="107" t="e">
        <f>-ROUND(N251/1000,1)</f>
        <v>#REF!</v>
      </c>
      <c r="AM251" s="107" t="e">
        <f>-ROUND(O251/1000,1)</f>
        <v>#REF!</v>
      </c>
      <c r="AN251" s="107" t="e">
        <f t="shared" ref="AN251:AS251" si="304">-ROUND(T251/1000,1)</f>
        <v>#REF!</v>
      </c>
      <c r="AO251" s="107" t="e">
        <f t="shared" si="304"/>
        <v>#REF!</v>
      </c>
      <c r="AP251" s="107" t="e">
        <f t="shared" si="304"/>
        <v>#REF!</v>
      </c>
      <c r="AQ251" s="107" t="e">
        <f t="shared" si="304"/>
        <v>#REF!</v>
      </c>
      <c r="AR251" s="107" t="e">
        <f t="shared" si="304"/>
        <v>#REF!</v>
      </c>
      <c r="AS251" s="107" t="e">
        <f t="shared" si="304"/>
        <v>#REF!</v>
      </c>
      <c r="AT251" s="107" t="e">
        <f>-ROUND(AC251/1000,1)</f>
        <v>#REF!</v>
      </c>
      <c r="AU251" s="108" t="e">
        <f t="shared" si="232"/>
        <v>#REF!</v>
      </c>
    </row>
    <row r="252" spans="1:47" ht="15.75" hidden="1" x14ac:dyDescent="0.25">
      <c r="A252" s="40">
        <v>28</v>
      </c>
      <c r="B252" s="94" t="s">
        <v>179</v>
      </c>
      <c r="C252" s="11">
        <v>704</v>
      </c>
      <c r="D252" s="11">
        <v>2020</v>
      </c>
      <c r="E252" s="11" t="s">
        <v>182</v>
      </c>
      <c r="F252" s="97"/>
      <c r="G252" s="97"/>
      <c r="H252" s="97"/>
      <c r="I252" s="97" t="e">
        <f>SUMIFS(#REF!,#REF!,выравнивание!$A252,#REF!,4)</f>
        <v>#REF!</v>
      </c>
      <c r="J252" s="97" t="e">
        <f>SUMIFS(#REF!,#REF!,выравнивание!$A252,#REF!,4)</f>
        <v>#REF!</v>
      </c>
      <c r="K252" s="97" t="e">
        <f>SUMIFS(#REF!,#REF!,выравнивание!$A252,#REF!,4)</f>
        <v>#REF!</v>
      </c>
      <c r="L252" s="97" t="e">
        <f>SUMIFS(#REF!,#REF!,выравнивание!$A252,#REF!,4)</f>
        <v>#REF!</v>
      </c>
      <c r="M252" s="97" t="e">
        <f>SUMIFS(#REF!,#REF!,выравнивание!$A252,#REF!,4)</f>
        <v>#REF!</v>
      </c>
      <c r="N252" s="97" t="e">
        <f>SUMIFS(#REF!,#REF!,выравнивание!$A252,#REF!,4)</f>
        <v>#REF!</v>
      </c>
      <c r="O252" s="97" t="e">
        <f>SUMIFS(#REF!,#REF!,выравнивание!$A252,#REF!,4)</f>
        <v>#REF!</v>
      </c>
      <c r="P252" s="97" t="e">
        <f>SUMIFS(#REF!,#REF!,выравнивание!$A252,#REF!,4)</f>
        <v>#REF!</v>
      </c>
      <c r="Q252" s="97" t="e">
        <f>SUMIFS(#REF!,#REF!,выравнивание!$A252,#REF!,4)</f>
        <v>#REF!</v>
      </c>
      <c r="R252" s="97" t="e">
        <f>SUMIFS(#REF!,#REF!,выравнивание!$A252,#REF!,4)</f>
        <v>#REF!</v>
      </c>
      <c r="S252" s="97" t="e">
        <f>SUMIFS(#REF!,#REF!,выравнивание!$A252,#REF!,4)</f>
        <v>#REF!</v>
      </c>
      <c r="T252" s="97" t="e">
        <f>SUMIFS(#REF!,#REF!,выравнивание!$A252,#REF!,4)</f>
        <v>#REF!</v>
      </c>
      <c r="U252" s="97" t="e">
        <f>SUMIFS(#REF!,#REF!,выравнивание!$A252,#REF!,4)</f>
        <v>#REF!</v>
      </c>
      <c r="V252" s="97" t="e">
        <f>SUMIFS(#REF!,#REF!,выравнивание!$A252,#REF!,4)</f>
        <v>#REF!</v>
      </c>
      <c r="W252" s="97" t="e">
        <f>SUMIFS(#REF!,#REF!,выравнивание!$A252,#REF!,4)</f>
        <v>#REF!</v>
      </c>
      <c r="X252" s="97" t="e">
        <f>SUMIFS(#REF!,#REF!,выравнивание!$A252,#REF!,4)</f>
        <v>#REF!</v>
      </c>
      <c r="Y252" s="97" t="e">
        <f>SUMIFS(#REF!,#REF!,выравнивание!$A252,#REF!,4)</f>
        <v>#REF!</v>
      </c>
      <c r="Z252" s="97" t="e">
        <f>SUMIFS(#REF!,#REF!,выравнивание!$A252,#REF!,4)</f>
        <v>#REF!</v>
      </c>
      <c r="AA252" s="97" t="e">
        <f>SUMIFS(#REF!,#REF!,выравнивание!$A252,#REF!,4)</f>
        <v>#REF!</v>
      </c>
      <c r="AB252" s="97" t="e">
        <f>SUMIFS(#REF!,#REF!,выравнивание!$A252,#REF!,4)</f>
        <v>#REF!</v>
      </c>
      <c r="AC252" s="100" t="e">
        <f>SUMIFS(#REF!,#REF!,выравнивание!$A252,#REF!,4)</f>
        <v>#REF!</v>
      </c>
      <c r="AD252" s="100" t="e">
        <f>SUMIFS(#REF!,#REF!,выравнивание!$A252,#REF!,4)</f>
        <v>#REF!</v>
      </c>
      <c r="AE252" s="103" t="e">
        <f>SUMIF(#REF!,выравнивание!$A252,#REF!)*1000-SUMIF(#REF!,выравнивание!$A252,#REF!)*1000</f>
        <v>#REF!</v>
      </c>
      <c r="AF252" s="84" t="e">
        <f>AD252-AE252</f>
        <v>#REF!</v>
      </c>
      <c r="AU252" s="108"/>
    </row>
    <row r="253" spans="1:47" ht="15.75" hidden="1" x14ac:dyDescent="0.25">
      <c r="A253" s="40">
        <v>28</v>
      </c>
      <c r="B253" s="94" t="s">
        <v>179</v>
      </c>
      <c r="C253" s="11">
        <v>704</v>
      </c>
      <c r="D253" s="11">
        <v>2020</v>
      </c>
      <c r="E253" s="11" t="s">
        <v>184</v>
      </c>
      <c r="F253" s="104"/>
      <c r="G253" s="104"/>
      <c r="H253" s="104"/>
      <c r="I253" s="104" t="e">
        <f t="shared" ref="I253:O253" si="305">I252/$AD252</f>
        <v>#REF!</v>
      </c>
      <c r="J253" s="104" t="e">
        <f t="shared" si="305"/>
        <v>#REF!</v>
      </c>
      <c r="K253" s="104" t="e">
        <f t="shared" si="305"/>
        <v>#REF!</v>
      </c>
      <c r="L253" s="104" t="e">
        <f t="shared" si="305"/>
        <v>#REF!</v>
      </c>
      <c r="M253" s="104" t="e">
        <f t="shared" si="305"/>
        <v>#REF!</v>
      </c>
      <c r="N253" s="104" t="e">
        <f t="shared" si="305"/>
        <v>#REF!</v>
      </c>
      <c r="O253" s="104" t="e">
        <f t="shared" si="305"/>
        <v>#REF!</v>
      </c>
      <c r="P253" s="100"/>
      <c r="Q253" s="100"/>
      <c r="R253" s="100"/>
      <c r="S253" s="100"/>
      <c r="T253" s="104" t="e">
        <f t="shared" ref="T253:AB253" si="306">T252/$AD252</f>
        <v>#REF!</v>
      </c>
      <c r="U253" s="104" t="e">
        <f t="shared" si="306"/>
        <v>#REF!</v>
      </c>
      <c r="V253" s="104" t="e">
        <f t="shared" si="306"/>
        <v>#REF!</v>
      </c>
      <c r="W253" s="104" t="e">
        <f t="shared" si="306"/>
        <v>#REF!</v>
      </c>
      <c r="X253" s="104" t="e">
        <f t="shared" si="306"/>
        <v>#REF!</v>
      </c>
      <c r="Y253" s="104" t="e">
        <f t="shared" si="306"/>
        <v>#REF!</v>
      </c>
      <c r="Z253" s="104" t="e">
        <f t="shared" si="306"/>
        <v>#REF!</v>
      </c>
      <c r="AA253" s="104" t="e">
        <f t="shared" si="306"/>
        <v>#REF!</v>
      </c>
      <c r="AB253" s="104" t="e">
        <f t="shared" si="306"/>
        <v>#REF!</v>
      </c>
      <c r="AC253" s="106" t="e">
        <f>1-Z253-Y253-X253-W253-V253-U253-T253-O253-N253-L253-I253</f>
        <v>#REF!</v>
      </c>
      <c r="AD253" s="106" t="e">
        <f>AD252/$AD252</f>
        <v>#REF!</v>
      </c>
      <c r="AE253" s="81"/>
      <c r="AU253" s="108"/>
    </row>
    <row r="254" spans="1:47" ht="15.75" x14ac:dyDescent="0.25">
      <c r="A254" s="40">
        <v>28</v>
      </c>
      <c r="B254" s="94" t="s">
        <v>179</v>
      </c>
      <c r="C254" s="11">
        <v>704</v>
      </c>
      <c r="D254" s="11">
        <v>2020</v>
      </c>
      <c r="E254" s="11" t="s">
        <v>185</v>
      </c>
      <c r="F254" s="37" t="e">
        <f>G254+H254</f>
        <v>#REF!</v>
      </c>
      <c r="G254" s="37" t="e">
        <f>J254+AA254</f>
        <v>#REF!</v>
      </c>
      <c r="H254" s="37" t="e">
        <f>K254+AB254</f>
        <v>#REF!</v>
      </c>
      <c r="I254" s="37" t="e">
        <f>ROUND($AF252*I253,0)</f>
        <v>#REF!</v>
      </c>
      <c r="J254" s="37" t="e">
        <f>ROUND(I254/1.302,0)</f>
        <v>#REF!</v>
      </c>
      <c r="K254" s="37" t="e">
        <f>I254-J254</f>
        <v>#REF!</v>
      </c>
      <c r="L254" s="37" t="e">
        <f>ROUND($AF252*L253,0)</f>
        <v>#REF!</v>
      </c>
      <c r="M254" s="37" t="e">
        <f>ROUND($AF252*M253,0)</f>
        <v>#REF!</v>
      </c>
      <c r="N254" s="37" t="e">
        <f>ROUND($AF252*N253,0)</f>
        <v>#REF!</v>
      </c>
      <c r="O254" s="37" t="e">
        <f>ROUND($AF252*O253,0)</f>
        <v>#REF!</v>
      </c>
      <c r="P254" s="100"/>
      <c r="Q254" s="100"/>
      <c r="R254" s="100"/>
      <c r="S254" s="100"/>
      <c r="T254" s="37" t="e">
        <f t="shared" ref="T254:Z254" si="307">ROUND($AF252*T253,0)</f>
        <v>#REF!</v>
      </c>
      <c r="U254" s="37" t="e">
        <f t="shared" si="307"/>
        <v>#REF!</v>
      </c>
      <c r="V254" s="37" t="e">
        <f t="shared" si="307"/>
        <v>#REF!</v>
      </c>
      <c r="W254" s="37" t="e">
        <f t="shared" si="307"/>
        <v>#REF!</v>
      </c>
      <c r="X254" s="37" t="e">
        <f t="shared" si="307"/>
        <v>#REF!</v>
      </c>
      <c r="Y254" s="37" t="e">
        <f t="shared" si="307"/>
        <v>#REF!</v>
      </c>
      <c r="Z254" s="37" t="e">
        <f t="shared" si="307"/>
        <v>#REF!</v>
      </c>
      <c r="AA254" s="37" t="e">
        <f>ROUND(Z254/1.302,0)</f>
        <v>#REF!</v>
      </c>
      <c r="AB254" s="37" t="e">
        <f>Z254-AA254</f>
        <v>#REF!</v>
      </c>
      <c r="AC254" s="37" t="e">
        <f>ROUND($AF252*AC253,0)</f>
        <v>#REF!</v>
      </c>
      <c r="AD254" s="37" t="e">
        <f>I254+L254+N254+O254+T254+U254+V254+W254+X254+Y254+AC254+Z254</f>
        <v>#REF!</v>
      </c>
      <c r="AE254" s="78" t="e">
        <f>AF252</f>
        <v>#REF!</v>
      </c>
      <c r="AF254" s="78" t="e">
        <f>AE254-AF252</f>
        <v>#REF!</v>
      </c>
      <c r="AG254" s="107" t="e">
        <f>-ROUND(F254/1000,1)</f>
        <v>#REF!</v>
      </c>
      <c r="AH254" s="107" t="e">
        <f>ROUND(AG254/1.302,1)</f>
        <v>#REF!</v>
      </c>
      <c r="AI254" s="107" t="e">
        <f>AG254-AH254</f>
        <v>#REF!</v>
      </c>
      <c r="AJ254" s="107" t="e">
        <f>-ROUND(L254/1000,1)</f>
        <v>#REF!</v>
      </c>
      <c r="AK254" s="107" t="e">
        <f>-ROUND(M254/1000,1)</f>
        <v>#REF!</v>
      </c>
      <c r="AL254" s="107" t="e">
        <f>-ROUND(N254/1000,1)</f>
        <v>#REF!</v>
      </c>
      <c r="AM254" s="107" t="e">
        <f>-ROUND(O254/1000,1)</f>
        <v>#REF!</v>
      </c>
      <c r="AN254" s="107" t="e">
        <f t="shared" ref="AN254:AS254" si="308">-ROUND(T254/1000,1)</f>
        <v>#REF!</v>
      </c>
      <c r="AO254" s="107" t="e">
        <f t="shared" si="308"/>
        <v>#REF!</v>
      </c>
      <c r="AP254" s="107" t="e">
        <f t="shared" si="308"/>
        <v>#REF!</v>
      </c>
      <c r="AQ254" s="107" t="e">
        <f t="shared" si="308"/>
        <v>#REF!</v>
      </c>
      <c r="AR254" s="107" t="e">
        <f t="shared" si="308"/>
        <v>#REF!</v>
      </c>
      <c r="AS254" s="107" t="e">
        <f t="shared" si="308"/>
        <v>#REF!</v>
      </c>
      <c r="AT254" s="107" t="e">
        <f>-ROUND(AC254/1000,1)</f>
        <v>#REF!</v>
      </c>
      <c r="AU254" s="108" t="e">
        <f t="shared" si="232"/>
        <v>#REF!</v>
      </c>
    </row>
    <row r="255" spans="1:47" ht="15.75" hidden="1" x14ac:dyDescent="0.25">
      <c r="A255" s="40">
        <v>29</v>
      </c>
      <c r="B255" s="95" t="s">
        <v>180</v>
      </c>
      <c r="C255" s="11">
        <v>704</v>
      </c>
      <c r="D255" s="11">
        <v>2018</v>
      </c>
      <c r="E255" s="11" t="s">
        <v>182</v>
      </c>
      <c r="F255" s="100"/>
      <c r="G255" s="100"/>
      <c r="H255" s="100"/>
      <c r="I255" s="100">
        <f>SUMIFS('2020'!BM:BM,'2020'!$B:$B,выравнивание!$A255,'2020'!$G:$G,4)</f>
        <v>3257550</v>
      </c>
      <c r="J255" s="100">
        <f>SUMIFS('2020'!BN:BN,'2020'!$B:$B,выравнивание!$A255,'2020'!$G:$G,4)</f>
        <v>2501958.5</v>
      </c>
      <c r="K255" s="100">
        <f>SUMIFS('2020'!BO:BO,'2020'!$B:$B,выравнивание!$A255,'2020'!$G:$G,4)</f>
        <v>755591.5</v>
      </c>
      <c r="L255" s="100">
        <f>SUMIFS('2020'!BP:BP,'2020'!$B:$B,выравнивание!$A255,'2020'!$G:$G,4)</f>
        <v>227290</v>
      </c>
      <c r="M255" s="100">
        <f>SUMIFS('2020'!BQ:BQ,'2020'!$B:$B,выравнивание!$A255,'2020'!$G:$G,4)</f>
        <v>45458</v>
      </c>
      <c r="N255" s="100">
        <f>SUMIFS('2020'!BR:BR,'2020'!$B:$B,выравнивание!$A255,'2020'!$G:$G,4)</f>
        <v>472430</v>
      </c>
      <c r="O255" s="100">
        <f>SUMIFS('2020'!BS:BS,'2020'!$B:$B,выравнивание!$A255,'2020'!$G:$G,4)</f>
        <v>1626730</v>
      </c>
      <c r="P255" s="100">
        <f>SUMIFS('2020'!BT:BT,'2020'!$B:$B,выравнивание!$A255,'2020'!$G:$G,4)</f>
        <v>0</v>
      </c>
      <c r="Q255" s="100">
        <f>SUMIFS('2020'!BU:BU,'2020'!$B:$B,выравнивание!$A255,'2020'!$G:$G,4)</f>
        <v>0</v>
      </c>
      <c r="R255" s="100">
        <f>SUMIFS('2020'!BV:BV,'2020'!$B:$B,выравнивание!$A255,'2020'!$G:$G,4)</f>
        <v>0</v>
      </c>
      <c r="S255" s="100">
        <f>SUMIFS('2020'!BW:BW,'2020'!$B:$B,выравнивание!$A255,'2020'!$G:$G,4)</f>
        <v>0</v>
      </c>
      <c r="T255" s="100">
        <f>SUMIFS('2020'!BX:BX,'2020'!$B:$B,выравнивание!$A255,'2020'!$G:$G,4)</f>
        <v>768697</v>
      </c>
      <c r="U255" s="100">
        <f>SUMIFS('2020'!BY:BY,'2020'!$B:$B,выравнивание!$A255,'2020'!$G:$G,4)</f>
        <v>1025780</v>
      </c>
      <c r="V255" s="100">
        <f>SUMIFS('2020'!BZ:BZ,'2020'!$B:$B,выравнивание!$A255,'2020'!$G:$G,4)</f>
        <v>36890</v>
      </c>
      <c r="W255" s="100">
        <f>SUMIFS('2020'!CA:CA,'2020'!$B:$B,выравнивание!$A255,'2020'!$G:$G,4)</f>
        <v>147560</v>
      </c>
      <c r="X255" s="100">
        <f>SUMIFS('2020'!CB:CB,'2020'!$B:$B,выравнивание!$A255,'2020'!$G:$G,4)</f>
        <v>5950</v>
      </c>
      <c r="Y255" s="100">
        <f>SUMIFS('2020'!CC:CC,'2020'!$B:$B,выравнивание!$A255,'2020'!$G:$G,4)</f>
        <v>305830</v>
      </c>
      <c r="Z255" s="100">
        <f>SUMIFS('2020'!CD:CD,'2020'!$B:$B,выравнивание!$A255,'2020'!$G:$G,4)</f>
        <v>2606332</v>
      </c>
      <c r="AA255" s="100">
        <f>SUMIFS('2020'!CE:CE,'2020'!$B:$B,выравнивание!$A255,'2020'!$G:$G,4)</f>
        <v>2001791.1</v>
      </c>
      <c r="AB255" s="100">
        <f>SUMIFS('2020'!CF:CF,'2020'!$B:$B,выравнивание!$A255,'2020'!$G:$G,4)</f>
        <v>604540.9</v>
      </c>
      <c r="AC255" s="100">
        <f>SUMIFS('2020'!CG:CG,'2020'!$B:$B,выравнивание!$A255,'2020'!$G:$G,4)</f>
        <v>77350</v>
      </c>
      <c r="AD255" s="100">
        <f>SUMIFS('2020'!CH:CH,'2020'!$B:$B,выравнивание!$A255,'2020'!$G:$G,4)</f>
        <v>10558389</v>
      </c>
      <c r="AE255" s="84">
        <f>SUMIF('Свод 2020'!$A$44:$A$57,выравнивание!$A255,'Свод 2020'!$AA$44:$AA$57)*1000-SUMIF('Свод 2020'!$A$44:$A$57,выравнивание!$A255,'Свод 2020'!$S$44:$S$57)*1000</f>
        <v>7639100</v>
      </c>
      <c r="AF255" s="105">
        <f>AD255-AE255</f>
        <v>2919289</v>
      </c>
      <c r="AU255" s="108"/>
    </row>
    <row r="256" spans="1:47" ht="15.75" hidden="1" x14ac:dyDescent="0.25">
      <c r="A256" s="40">
        <v>29</v>
      </c>
      <c r="B256" s="95" t="s">
        <v>180</v>
      </c>
      <c r="C256" s="11">
        <v>704</v>
      </c>
      <c r="D256" s="11">
        <v>2018</v>
      </c>
      <c r="E256" s="11" t="s">
        <v>184</v>
      </c>
      <c r="F256" s="104"/>
      <c r="G256" s="104"/>
      <c r="H256" s="104"/>
      <c r="I256" s="104">
        <f t="shared" ref="I256:O256" si="309">I255/$AD255</f>
        <v>0.308527</v>
      </c>
      <c r="J256" s="104">
        <f t="shared" si="309"/>
        <v>0.23696400000000001</v>
      </c>
      <c r="K256" s="104">
        <f t="shared" si="309"/>
        <v>7.1563000000000002E-2</v>
      </c>
      <c r="L256" s="104">
        <f t="shared" si="309"/>
        <v>2.1527000000000001E-2</v>
      </c>
      <c r="M256" s="104">
        <f t="shared" si="309"/>
        <v>4.3049999999999998E-3</v>
      </c>
      <c r="N256" s="104">
        <f t="shared" si="309"/>
        <v>4.4745E-2</v>
      </c>
      <c r="O256" s="104">
        <f t="shared" si="309"/>
        <v>0.15407000000000001</v>
      </c>
      <c r="P256" s="100"/>
      <c r="Q256" s="100"/>
      <c r="R256" s="100"/>
      <c r="S256" s="100"/>
      <c r="T256" s="104">
        <f t="shared" ref="T256:AB256" si="310">T255/$AD255</f>
        <v>7.2803999999999994E-2</v>
      </c>
      <c r="U256" s="104">
        <f t="shared" si="310"/>
        <v>9.7153000000000003E-2</v>
      </c>
      <c r="V256" s="104">
        <f t="shared" si="310"/>
        <v>3.4940000000000001E-3</v>
      </c>
      <c r="W256" s="104">
        <f t="shared" si="310"/>
        <v>1.3976000000000001E-2</v>
      </c>
      <c r="X256" s="104">
        <f t="shared" si="310"/>
        <v>5.6400000000000005E-4</v>
      </c>
      <c r="Y256" s="104">
        <f t="shared" si="310"/>
        <v>2.8965999999999999E-2</v>
      </c>
      <c r="Z256" s="104">
        <f t="shared" si="310"/>
        <v>0.24684900000000001</v>
      </c>
      <c r="AA256" s="104">
        <f t="shared" si="310"/>
        <v>0.18959200000000001</v>
      </c>
      <c r="AB256" s="104">
        <f t="shared" si="310"/>
        <v>5.7257000000000002E-2</v>
      </c>
      <c r="AC256" s="106">
        <f>1-Z256-Y256-X256-W256-V256-U256-T256-O256-N256-L256-I256</f>
        <v>7.3249999999999999E-3</v>
      </c>
      <c r="AD256" s="106">
        <f>AD255/$AD255</f>
        <v>1</v>
      </c>
      <c r="AE256" s="81"/>
      <c r="AU256" s="108"/>
    </row>
    <row r="257" spans="1:47" ht="15.75" x14ac:dyDescent="0.25">
      <c r="A257" s="40">
        <v>29</v>
      </c>
      <c r="B257" s="95" t="s">
        <v>180</v>
      </c>
      <c r="C257" s="11">
        <v>704</v>
      </c>
      <c r="D257" s="11">
        <v>2018</v>
      </c>
      <c r="E257" s="11" t="s">
        <v>185</v>
      </c>
      <c r="F257" s="37">
        <f>G257+H257</f>
        <v>1621303</v>
      </c>
      <c r="G257" s="37">
        <f>J257+AA257</f>
        <v>1245241</v>
      </c>
      <c r="H257" s="37">
        <f>K257+AB257</f>
        <v>376062</v>
      </c>
      <c r="I257" s="37">
        <f>ROUND($AF255*I256,0)</f>
        <v>900679</v>
      </c>
      <c r="J257" s="37">
        <f>ROUND(I257/1.302,0)</f>
        <v>691766</v>
      </c>
      <c r="K257" s="37">
        <f>I257-J257</f>
        <v>208913</v>
      </c>
      <c r="L257" s="37">
        <f>ROUND($AF255*L256,0)</f>
        <v>62844</v>
      </c>
      <c r="M257" s="37">
        <f>ROUND($AF255*M256,0)</f>
        <v>12568</v>
      </c>
      <c r="N257" s="37">
        <f>ROUND($AF255*N256,0)</f>
        <v>130624</v>
      </c>
      <c r="O257" s="37">
        <f>ROUND($AF255*O256,0)</f>
        <v>449775</v>
      </c>
      <c r="P257" s="100"/>
      <c r="Q257" s="100"/>
      <c r="R257" s="100"/>
      <c r="S257" s="100"/>
      <c r="T257" s="37">
        <f t="shared" ref="T257:Z257" si="311">ROUND($AF255*T256,0)</f>
        <v>212536</v>
      </c>
      <c r="U257" s="37">
        <f t="shared" si="311"/>
        <v>283618</v>
      </c>
      <c r="V257" s="37">
        <f t="shared" si="311"/>
        <v>10200</v>
      </c>
      <c r="W257" s="37">
        <f t="shared" si="311"/>
        <v>40800</v>
      </c>
      <c r="X257" s="37">
        <f t="shared" si="311"/>
        <v>1646</v>
      </c>
      <c r="Y257" s="37">
        <f t="shared" si="311"/>
        <v>84560</v>
      </c>
      <c r="Z257" s="37">
        <f t="shared" si="311"/>
        <v>720624</v>
      </c>
      <c r="AA257" s="37">
        <f>ROUND(Z257/1.302,0)</f>
        <v>553475</v>
      </c>
      <c r="AB257" s="37">
        <f>Z257-AA257</f>
        <v>167149</v>
      </c>
      <c r="AC257" s="37">
        <f>ROUND($AF255*AC256,0)</f>
        <v>21384</v>
      </c>
      <c r="AD257" s="37">
        <f>I257+L257+N257+O257+T257+U257+V257+W257+X257+Y257+AC257+Z257</f>
        <v>2919290</v>
      </c>
      <c r="AE257" s="78">
        <f>AF255</f>
        <v>2919289</v>
      </c>
      <c r="AF257" s="78">
        <f>AE257-AF255</f>
        <v>0</v>
      </c>
      <c r="AG257" s="107">
        <f>-ROUND(F257/1000,1)</f>
        <v>-1621.3</v>
      </c>
      <c r="AH257" s="107">
        <f>ROUND(AG257/1.302,1)</f>
        <v>-1245.2</v>
      </c>
      <c r="AI257" s="107">
        <f>AG257-AH257</f>
        <v>-376.1</v>
      </c>
      <c r="AJ257" s="107">
        <f>-ROUND(L257/1000,1)</f>
        <v>-62.8</v>
      </c>
      <c r="AK257" s="107">
        <f>-ROUND(M257/1000,1)</f>
        <v>-12.6</v>
      </c>
      <c r="AL257" s="107">
        <f>-ROUND(N257/1000,1)</f>
        <v>-130.6</v>
      </c>
      <c r="AM257" s="107">
        <f>-ROUND(O257/1000,1)</f>
        <v>-449.8</v>
      </c>
      <c r="AN257" s="107">
        <f t="shared" ref="AN257:AS257" si="312">-ROUND(T257/1000,1)</f>
        <v>-212.5</v>
      </c>
      <c r="AO257" s="107">
        <f t="shared" si="312"/>
        <v>-283.60000000000002</v>
      </c>
      <c r="AP257" s="107">
        <f t="shared" si="312"/>
        <v>-10.199999999999999</v>
      </c>
      <c r="AQ257" s="107">
        <f t="shared" si="312"/>
        <v>-40.799999999999997</v>
      </c>
      <c r="AR257" s="107">
        <f t="shared" si="312"/>
        <v>-1.6</v>
      </c>
      <c r="AS257" s="107">
        <f t="shared" si="312"/>
        <v>-84.6</v>
      </c>
      <c r="AT257" s="107">
        <f>-ROUND(AC257/1000,1)</f>
        <v>-21.4</v>
      </c>
      <c r="AU257" s="108">
        <f t="shared" si="232"/>
        <v>-2919.2</v>
      </c>
    </row>
    <row r="258" spans="1:47" ht="15.75" hidden="1" x14ac:dyDescent="0.25">
      <c r="A258" s="40">
        <v>29</v>
      </c>
      <c r="B258" s="95" t="s">
        <v>180</v>
      </c>
      <c r="C258" s="11">
        <v>704</v>
      </c>
      <c r="D258" s="11">
        <v>2019</v>
      </c>
      <c r="E258" s="11" t="s">
        <v>182</v>
      </c>
      <c r="F258" s="97"/>
      <c r="G258" s="97"/>
      <c r="H258" s="97"/>
      <c r="I258" s="97" t="e">
        <f>SUMIFS(#REF!,#REF!,выравнивание!$A258,#REF!,4)</f>
        <v>#REF!</v>
      </c>
      <c r="J258" s="97" t="e">
        <f>SUMIFS(#REF!,#REF!,выравнивание!$A258,#REF!,4)</f>
        <v>#REF!</v>
      </c>
      <c r="K258" s="97" t="e">
        <f>SUMIFS(#REF!,#REF!,выравнивание!$A258,#REF!,4)</f>
        <v>#REF!</v>
      </c>
      <c r="L258" s="97" t="e">
        <f>SUMIFS(#REF!,#REF!,выравнивание!$A258,#REF!,4)</f>
        <v>#REF!</v>
      </c>
      <c r="M258" s="97" t="e">
        <f>SUMIFS(#REF!,#REF!,выравнивание!$A258,#REF!,4)</f>
        <v>#REF!</v>
      </c>
      <c r="N258" s="97" t="e">
        <f>SUMIFS(#REF!,#REF!,выравнивание!$A258,#REF!,4)</f>
        <v>#REF!</v>
      </c>
      <c r="O258" s="97" t="e">
        <f>SUMIFS(#REF!,#REF!,выравнивание!$A258,#REF!,4)</f>
        <v>#REF!</v>
      </c>
      <c r="P258" s="97" t="e">
        <f>SUMIFS(#REF!,#REF!,выравнивание!$A258,#REF!,4)</f>
        <v>#REF!</v>
      </c>
      <c r="Q258" s="97" t="e">
        <f>SUMIFS(#REF!,#REF!,выравнивание!$A258,#REF!,4)</f>
        <v>#REF!</v>
      </c>
      <c r="R258" s="97" t="e">
        <f>SUMIFS(#REF!,#REF!,выравнивание!$A258,#REF!,4)</f>
        <v>#REF!</v>
      </c>
      <c r="S258" s="97" t="e">
        <f>SUMIFS(#REF!,#REF!,выравнивание!$A258,#REF!,4)</f>
        <v>#REF!</v>
      </c>
      <c r="T258" s="97" t="e">
        <f>SUMIFS(#REF!,#REF!,выравнивание!$A258,#REF!,4)</f>
        <v>#REF!</v>
      </c>
      <c r="U258" s="97" t="e">
        <f>SUMIFS(#REF!,#REF!,выравнивание!$A258,#REF!,4)</f>
        <v>#REF!</v>
      </c>
      <c r="V258" s="97" t="e">
        <f>SUMIFS(#REF!,#REF!,выравнивание!$A258,#REF!,4)</f>
        <v>#REF!</v>
      </c>
      <c r="W258" s="97" t="e">
        <f>SUMIFS(#REF!,#REF!,выравнивание!$A258,#REF!,4)</f>
        <v>#REF!</v>
      </c>
      <c r="X258" s="97" t="e">
        <f>SUMIFS(#REF!,#REF!,выравнивание!$A258,#REF!,4)</f>
        <v>#REF!</v>
      </c>
      <c r="Y258" s="97" t="e">
        <f>SUMIFS(#REF!,#REF!,выравнивание!$A258,#REF!,4)</f>
        <v>#REF!</v>
      </c>
      <c r="Z258" s="97" t="e">
        <f>SUMIFS(#REF!,#REF!,выравнивание!$A258,#REF!,4)</f>
        <v>#REF!</v>
      </c>
      <c r="AA258" s="97" t="e">
        <f>SUMIFS(#REF!,#REF!,выравнивание!$A258,#REF!,4)</f>
        <v>#REF!</v>
      </c>
      <c r="AB258" s="97" t="e">
        <f>SUMIFS(#REF!,#REF!,выравнивание!$A258,#REF!,4)</f>
        <v>#REF!</v>
      </c>
      <c r="AC258" s="100" t="e">
        <f>SUMIFS(#REF!,#REF!,выравнивание!$A258,#REF!,4)</f>
        <v>#REF!</v>
      </c>
      <c r="AD258" s="100" t="e">
        <f>SUMIFS(#REF!,#REF!,выравнивание!$A258,#REF!,4)</f>
        <v>#REF!</v>
      </c>
      <c r="AE258" s="103" t="e">
        <f>SUMIF(#REF!,выравнивание!$A258,#REF!)*1000-SUMIF(#REF!,выравнивание!$A258,#REF!)*1000</f>
        <v>#REF!</v>
      </c>
      <c r="AF258" s="105" t="e">
        <f>AD258-AE258</f>
        <v>#REF!</v>
      </c>
      <c r="AU258" s="108"/>
    </row>
    <row r="259" spans="1:47" ht="15.75" hidden="1" x14ac:dyDescent="0.25">
      <c r="A259" s="40">
        <v>29</v>
      </c>
      <c r="B259" s="95" t="s">
        <v>180</v>
      </c>
      <c r="C259" s="11">
        <v>704</v>
      </c>
      <c r="D259" s="11">
        <v>2019</v>
      </c>
      <c r="E259" s="11" t="s">
        <v>184</v>
      </c>
      <c r="F259" s="104"/>
      <c r="G259" s="104"/>
      <c r="H259" s="104"/>
      <c r="I259" s="104" t="e">
        <f t="shared" ref="I259:O259" si="313">I258/$AD258</f>
        <v>#REF!</v>
      </c>
      <c r="J259" s="104" t="e">
        <f t="shared" si="313"/>
        <v>#REF!</v>
      </c>
      <c r="K259" s="104" t="e">
        <f t="shared" si="313"/>
        <v>#REF!</v>
      </c>
      <c r="L259" s="104" t="e">
        <f t="shared" si="313"/>
        <v>#REF!</v>
      </c>
      <c r="M259" s="104" t="e">
        <f t="shared" si="313"/>
        <v>#REF!</v>
      </c>
      <c r="N259" s="104" t="e">
        <f t="shared" si="313"/>
        <v>#REF!</v>
      </c>
      <c r="O259" s="104" t="e">
        <f t="shared" si="313"/>
        <v>#REF!</v>
      </c>
      <c r="P259" s="100"/>
      <c r="Q259" s="100"/>
      <c r="R259" s="100"/>
      <c r="S259" s="100"/>
      <c r="T259" s="104" t="e">
        <f t="shared" ref="T259:AB259" si="314">T258/$AD258</f>
        <v>#REF!</v>
      </c>
      <c r="U259" s="104" t="e">
        <f t="shared" si="314"/>
        <v>#REF!</v>
      </c>
      <c r="V259" s="104" t="e">
        <f t="shared" si="314"/>
        <v>#REF!</v>
      </c>
      <c r="W259" s="104" t="e">
        <f t="shared" si="314"/>
        <v>#REF!</v>
      </c>
      <c r="X259" s="104" t="e">
        <f t="shared" si="314"/>
        <v>#REF!</v>
      </c>
      <c r="Y259" s="104" t="e">
        <f t="shared" si="314"/>
        <v>#REF!</v>
      </c>
      <c r="Z259" s="104" t="e">
        <f t="shared" si="314"/>
        <v>#REF!</v>
      </c>
      <c r="AA259" s="104" t="e">
        <f t="shared" si="314"/>
        <v>#REF!</v>
      </c>
      <c r="AB259" s="104" t="e">
        <f t="shared" si="314"/>
        <v>#REF!</v>
      </c>
      <c r="AC259" s="106" t="e">
        <f>1-Z259-Y259-X259-W259-V259-U259-T259-O259-N259-L259-I259</f>
        <v>#REF!</v>
      </c>
      <c r="AD259" s="106" t="e">
        <f>AD258/$AD258</f>
        <v>#REF!</v>
      </c>
      <c r="AE259" s="81"/>
      <c r="AU259" s="108"/>
    </row>
    <row r="260" spans="1:47" ht="15.75" x14ac:dyDescent="0.25">
      <c r="A260" s="40">
        <v>29</v>
      </c>
      <c r="B260" s="95" t="s">
        <v>180</v>
      </c>
      <c r="C260" s="11">
        <v>704</v>
      </c>
      <c r="D260" s="11">
        <v>2019</v>
      </c>
      <c r="E260" s="11" t="s">
        <v>185</v>
      </c>
      <c r="F260" s="37" t="e">
        <f>G260+H260</f>
        <v>#REF!</v>
      </c>
      <c r="G260" s="37" t="e">
        <f>J260+AA260</f>
        <v>#REF!</v>
      </c>
      <c r="H260" s="37" t="e">
        <f>K260+AB260</f>
        <v>#REF!</v>
      </c>
      <c r="I260" s="37" t="e">
        <f>ROUND($AF258*I259,0)</f>
        <v>#REF!</v>
      </c>
      <c r="J260" s="37" t="e">
        <f>ROUND(I260/1.302,0)</f>
        <v>#REF!</v>
      </c>
      <c r="K260" s="37" t="e">
        <f>I260-J260</f>
        <v>#REF!</v>
      </c>
      <c r="L260" s="37" t="e">
        <f>ROUND($AF258*L259,0)</f>
        <v>#REF!</v>
      </c>
      <c r="M260" s="37" t="e">
        <f>ROUND($AF258*M259,0)</f>
        <v>#REF!</v>
      </c>
      <c r="N260" s="37" t="e">
        <f>ROUND($AF258*N259,0)</f>
        <v>#REF!</v>
      </c>
      <c r="O260" s="37" t="e">
        <f>ROUND($AF258*O259,0)</f>
        <v>#REF!</v>
      </c>
      <c r="P260" s="100"/>
      <c r="Q260" s="100"/>
      <c r="R260" s="100"/>
      <c r="S260" s="100"/>
      <c r="T260" s="37" t="e">
        <f t="shared" ref="T260:Z260" si="315">ROUND($AF258*T259,0)</f>
        <v>#REF!</v>
      </c>
      <c r="U260" s="37" t="e">
        <f t="shared" si="315"/>
        <v>#REF!</v>
      </c>
      <c r="V260" s="37" t="e">
        <f t="shared" si="315"/>
        <v>#REF!</v>
      </c>
      <c r="W260" s="37" t="e">
        <f t="shared" si="315"/>
        <v>#REF!</v>
      </c>
      <c r="X260" s="37" t="e">
        <f t="shared" si="315"/>
        <v>#REF!</v>
      </c>
      <c r="Y260" s="37" t="e">
        <f t="shared" si="315"/>
        <v>#REF!</v>
      </c>
      <c r="Z260" s="37" t="e">
        <f t="shared" si="315"/>
        <v>#REF!</v>
      </c>
      <c r="AA260" s="37" t="e">
        <f>ROUND(Z260/1.302,0)</f>
        <v>#REF!</v>
      </c>
      <c r="AB260" s="37" t="e">
        <f>Z260-AA260</f>
        <v>#REF!</v>
      </c>
      <c r="AC260" s="37" t="e">
        <f>ROUND($AF258*AC259,0)</f>
        <v>#REF!</v>
      </c>
      <c r="AD260" s="37" t="e">
        <f>I260+L260+N260+O260+T260+U260+V260+W260+X260+Y260+AC260+Z260</f>
        <v>#REF!</v>
      </c>
      <c r="AE260" s="78" t="e">
        <f>AF258</f>
        <v>#REF!</v>
      </c>
      <c r="AF260" s="78" t="e">
        <f>AE260-AF258</f>
        <v>#REF!</v>
      </c>
      <c r="AG260" s="107" t="e">
        <f>-ROUND(F260/1000,1)</f>
        <v>#REF!</v>
      </c>
      <c r="AH260" s="107" t="e">
        <f>ROUND(AG260/1.302,1)</f>
        <v>#REF!</v>
      </c>
      <c r="AI260" s="107" t="e">
        <f>AG260-AH260</f>
        <v>#REF!</v>
      </c>
      <c r="AJ260" s="107" t="e">
        <f>-ROUND(L260/1000,1)</f>
        <v>#REF!</v>
      </c>
      <c r="AK260" s="107" t="e">
        <f>-ROUND(M260/1000,1)</f>
        <v>#REF!</v>
      </c>
      <c r="AL260" s="107" t="e">
        <f>-ROUND(N260/1000,1)</f>
        <v>#REF!</v>
      </c>
      <c r="AM260" s="107" t="e">
        <f>-ROUND(O260/1000,1)</f>
        <v>#REF!</v>
      </c>
      <c r="AN260" s="107" t="e">
        <f t="shared" ref="AN260:AS260" si="316">-ROUND(T260/1000,1)</f>
        <v>#REF!</v>
      </c>
      <c r="AO260" s="107" t="e">
        <f t="shared" si="316"/>
        <v>#REF!</v>
      </c>
      <c r="AP260" s="107" t="e">
        <f t="shared" si="316"/>
        <v>#REF!</v>
      </c>
      <c r="AQ260" s="107" t="e">
        <f t="shared" si="316"/>
        <v>#REF!</v>
      </c>
      <c r="AR260" s="107" t="e">
        <f t="shared" si="316"/>
        <v>#REF!</v>
      </c>
      <c r="AS260" s="107" t="e">
        <f t="shared" si="316"/>
        <v>#REF!</v>
      </c>
      <c r="AT260" s="107" t="e">
        <f>-ROUND(AC260/1000,1)</f>
        <v>#REF!</v>
      </c>
      <c r="AU260" s="108" t="e">
        <f t="shared" si="232"/>
        <v>#REF!</v>
      </c>
    </row>
    <row r="261" spans="1:47" ht="15.75" hidden="1" x14ac:dyDescent="0.25">
      <c r="A261" s="40">
        <v>29</v>
      </c>
      <c r="B261" s="95" t="s">
        <v>180</v>
      </c>
      <c r="C261" s="11">
        <v>704</v>
      </c>
      <c r="D261" s="11">
        <v>2020</v>
      </c>
      <c r="E261" s="11" t="s">
        <v>182</v>
      </c>
      <c r="F261" s="97"/>
      <c r="G261" s="97"/>
      <c r="H261" s="97"/>
      <c r="I261" s="97" t="e">
        <f>SUMIFS(#REF!,#REF!,выравнивание!$A261,#REF!,4)</f>
        <v>#REF!</v>
      </c>
      <c r="J261" s="97" t="e">
        <f>SUMIFS(#REF!,#REF!,выравнивание!$A261,#REF!,4)</f>
        <v>#REF!</v>
      </c>
      <c r="K261" s="97" t="e">
        <f>SUMIFS(#REF!,#REF!,выравнивание!$A261,#REF!,4)</f>
        <v>#REF!</v>
      </c>
      <c r="L261" s="97" t="e">
        <f>SUMIFS(#REF!,#REF!,выравнивание!$A261,#REF!,4)</f>
        <v>#REF!</v>
      </c>
      <c r="M261" s="97" t="e">
        <f>SUMIFS(#REF!,#REF!,выравнивание!$A261,#REF!,4)</f>
        <v>#REF!</v>
      </c>
      <c r="N261" s="97" t="e">
        <f>SUMIFS(#REF!,#REF!,выравнивание!$A261,#REF!,4)</f>
        <v>#REF!</v>
      </c>
      <c r="O261" s="97" t="e">
        <f>SUMIFS(#REF!,#REF!,выравнивание!$A261,#REF!,4)</f>
        <v>#REF!</v>
      </c>
      <c r="P261" s="97" t="e">
        <f>SUMIFS(#REF!,#REF!,выравнивание!$A261,#REF!,4)</f>
        <v>#REF!</v>
      </c>
      <c r="Q261" s="97" t="e">
        <f>SUMIFS(#REF!,#REF!,выравнивание!$A261,#REF!,4)</f>
        <v>#REF!</v>
      </c>
      <c r="R261" s="97" t="e">
        <f>SUMIFS(#REF!,#REF!,выравнивание!$A261,#REF!,4)</f>
        <v>#REF!</v>
      </c>
      <c r="S261" s="97" t="e">
        <f>SUMIFS(#REF!,#REF!,выравнивание!$A261,#REF!,4)</f>
        <v>#REF!</v>
      </c>
      <c r="T261" s="97" t="e">
        <f>SUMIFS(#REF!,#REF!,выравнивание!$A261,#REF!,4)</f>
        <v>#REF!</v>
      </c>
      <c r="U261" s="97" t="e">
        <f>SUMIFS(#REF!,#REF!,выравнивание!$A261,#REF!,4)</f>
        <v>#REF!</v>
      </c>
      <c r="V261" s="97" t="e">
        <f>SUMIFS(#REF!,#REF!,выравнивание!$A261,#REF!,4)</f>
        <v>#REF!</v>
      </c>
      <c r="W261" s="97" t="e">
        <f>SUMIFS(#REF!,#REF!,выравнивание!$A261,#REF!,4)</f>
        <v>#REF!</v>
      </c>
      <c r="X261" s="97" t="e">
        <f>SUMIFS(#REF!,#REF!,выравнивание!$A261,#REF!,4)</f>
        <v>#REF!</v>
      </c>
      <c r="Y261" s="97" t="e">
        <f>SUMIFS(#REF!,#REF!,выравнивание!$A261,#REF!,4)</f>
        <v>#REF!</v>
      </c>
      <c r="Z261" s="97" t="e">
        <f>SUMIFS(#REF!,#REF!,выравнивание!$A261,#REF!,4)</f>
        <v>#REF!</v>
      </c>
      <c r="AA261" s="97" t="e">
        <f>SUMIFS(#REF!,#REF!,выравнивание!$A261,#REF!,4)</f>
        <v>#REF!</v>
      </c>
      <c r="AB261" s="97" t="e">
        <f>SUMIFS(#REF!,#REF!,выравнивание!$A261,#REF!,4)</f>
        <v>#REF!</v>
      </c>
      <c r="AC261" s="100" t="e">
        <f>SUMIFS(#REF!,#REF!,выравнивание!$A261,#REF!,4)</f>
        <v>#REF!</v>
      </c>
      <c r="AD261" s="100" t="e">
        <f>SUMIFS(#REF!,#REF!,выравнивание!$A261,#REF!,4)</f>
        <v>#REF!</v>
      </c>
      <c r="AE261" s="103" t="e">
        <f>SUMIF(#REF!,выравнивание!$A261,#REF!)*1000-SUMIF(#REF!,выравнивание!$A261,#REF!)*1000</f>
        <v>#REF!</v>
      </c>
      <c r="AF261" s="84" t="e">
        <f>AD261-AE261</f>
        <v>#REF!</v>
      </c>
      <c r="AU261" s="108"/>
    </row>
    <row r="262" spans="1:47" ht="15.75" hidden="1" x14ac:dyDescent="0.25">
      <c r="A262" s="40">
        <v>29</v>
      </c>
      <c r="B262" s="95" t="s">
        <v>180</v>
      </c>
      <c r="C262" s="11">
        <v>704</v>
      </c>
      <c r="D262" s="11">
        <v>2020</v>
      </c>
      <c r="E262" s="11" t="s">
        <v>184</v>
      </c>
      <c r="F262" s="104"/>
      <c r="G262" s="104"/>
      <c r="H262" s="104"/>
      <c r="I262" s="104" t="e">
        <f t="shared" ref="I262:O262" si="317">I261/$AD261</f>
        <v>#REF!</v>
      </c>
      <c r="J262" s="104" t="e">
        <f t="shared" si="317"/>
        <v>#REF!</v>
      </c>
      <c r="K262" s="104" t="e">
        <f t="shared" si="317"/>
        <v>#REF!</v>
      </c>
      <c r="L262" s="104" t="e">
        <f t="shared" si="317"/>
        <v>#REF!</v>
      </c>
      <c r="M262" s="104" t="e">
        <f t="shared" si="317"/>
        <v>#REF!</v>
      </c>
      <c r="N262" s="104" t="e">
        <f t="shared" si="317"/>
        <v>#REF!</v>
      </c>
      <c r="O262" s="104" t="e">
        <f t="shared" si="317"/>
        <v>#REF!</v>
      </c>
      <c r="P262" s="100"/>
      <c r="Q262" s="100"/>
      <c r="R262" s="100"/>
      <c r="S262" s="100"/>
      <c r="T262" s="104" t="e">
        <f t="shared" ref="T262:AB262" si="318">T261/$AD261</f>
        <v>#REF!</v>
      </c>
      <c r="U262" s="104" t="e">
        <f t="shared" si="318"/>
        <v>#REF!</v>
      </c>
      <c r="V262" s="104" t="e">
        <f t="shared" si="318"/>
        <v>#REF!</v>
      </c>
      <c r="W262" s="104" t="e">
        <f t="shared" si="318"/>
        <v>#REF!</v>
      </c>
      <c r="X262" s="104" t="e">
        <f t="shared" si="318"/>
        <v>#REF!</v>
      </c>
      <c r="Y262" s="104" t="e">
        <f t="shared" si="318"/>
        <v>#REF!</v>
      </c>
      <c r="Z262" s="104" t="e">
        <f t="shared" si="318"/>
        <v>#REF!</v>
      </c>
      <c r="AA262" s="104" t="e">
        <f t="shared" si="318"/>
        <v>#REF!</v>
      </c>
      <c r="AB262" s="104" t="e">
        <f t="shared" si="318"/>
        <v>#REF!</v>
      </c>
      <c r="AC262" s="106" t="e">
        <f>1-Z262-Y262-X262-W262-V262-U262-T262-O262-N262-L262-I262</f>
        <v>#REF!</v>
      </c>
      <c r="AD262" s="106" t="e">
        <f>AD261/$AD261</f>
        <v>#REF!</v>
      </c>
      <c r="AE262" s="81"/>
      <c r="AU262" s="108"/>
    </row>
    <row r="263" spans="1:47" ht="15.75" x14ac:dyDescent="0.25">
      <c r="A263" s="40">
        <v>29</v>
      </c>
      <c r="B263" s="95" t="s">
        <v>180</v>
      </c>
      <c r="C263" s="11">
        <v>704</v>
      </c>
      <c r="D263" s="11">
        <v>2020</v>
      </c>
      <c r="E263" s="11" t="s">
        <v>185</v>
      </c>
      <c r="F263" s="37" t="e">
        <f>G263+H263</f>
        <v>#REF!</v>
      </c>
      <c r="G263" s="37" t="e">
        <f>J263+AA263</f>
        <v>#REF!</v>
      </c>
      <c r="H263" s="37" t="e">
        <f>K263+AB263</f>
        <v>#REF!</v>
      </c>
      <c r="I263" s="37" t="e">
        <f>ROUND($AF261*I262,0)</f>
        <v>#REF!</v>
      </c>
      <c r="J263" s="37" t="e">
        <f>ROUND(I263/1.302,0)</f>
        <v>#REF!</v>
      </c>
      <c r="K263" s="37" t="e">
        <f>I263-J263</f>
        <v>#REF!</v>
      </c>
      <c r="L263" s="37" t="e">
        <f>ROUND($AF261*L262,0)</f>
        <v>#REF!</v>
      </c>
      <c r="M263" s="37" t="e">
        <f>ROUND($AF261*M262,0)</f>
        <v>#REF!</v>
      </c>
      <c r="N263" s="37" t="e">
        <f>ROUND($AF261*N262,0)</f>
        <v>#REF!</v>
      </c>
      <c r="O263" s="37" t="e">
        <f>ROUND($AF261*O262,0)</f>
        <v>#REF!</v>
      </c>
      <c r="P263" s="100"/>
      <c r="Q263" s="100"/>
      <c r="R263" s="100"/>
      <c r="S263" s="100"/>
      <c r="T263" s="37" t="e">
        <f t="shared" ref="T263:Z263" si="319">ROUND($AF261*T262,0)</f>
        <v>#REF!</v>
      </c>
      <c r="U263" s="37" t="e">
        <f t="shared" si="319"/>
        <v>#REF!</v>
      </c>
      <c r="V263" s="37" t="e">
        <f t="shared" si="319"/>
        <v>#REF!</v>
      </c>
      <c r="W263" s="37" t="e">
        <f t="shared" si="319"/>
        <v>#REF!</v>
      </c>
      <c r="X263" s="37" t="e">
        <f t="shared" si="319"/>
        <v>#REF!</v>
      </c>
      <c r="Y263" s="37" t="e">
        <f t="shared" si="319"/>
        <v>#REF!</v>
      </c>
      <c r="Z263" s="37" t="e">
        <f t="shared" si="319"/>
        <v>#REF!</v>
      </c>
      <c r="AA263" s="37" t="e">
        <f>ROUND(Z263/1.302,0)</f>
        <v>#REF!</v>
      </c>
      <c r="AB263" s="37" t="e">
        <f>Z263-AA263</f>
        <v>#REF!</v>
      </c>
      <c r="AC263" s="37" t="e">
        <f>ROUND($AF261*AC262,0)</f>
        <v>#REF!</v>
      </c>
      <c r="AD263" s="37" t="e">
        <f>I263+L263+N263+O263+T263+U263+V263+W263+X263+Y263+AC263+Z263</f>
        <v>#REF!</v>
      </c>
      <c r="AE263" s="78" t="e">
        <f>AF261</f>
        <v>#REF!</v>
      </c>
      <c r="AF263" s="78" t="e">
        <f>AE263-AF261</f>
        <v>#REF!</v>
      </c>
      <c r="AG263" s="107" t="e">
        <f>-ROUND(F263/1000,1)</f>
        <v>#REF!</v>
      </c>
      <c r="AH263" s="107" t="e">
        <f>ROUND(AG263/1.302,1)</f>
        <v>#REF!</v>
      </c>
      <c r="AI263" s="107" t="e">
        <f>AG263-AH263</f>
        <v>#REF!</v>
      </c>
      <c r="AJ263" s="107" t="e">
        <f>-ROUND(L263/1000,1)</f>
        <v>#REF!</v>
      </c>
      <c r="AK263" s="107" t="e">
        <f>-ROUND(M263/1000,1)</f>
        <v>#REF!</v>
      </c>
      <c r="AL263" s="107" t="e">
        <f>-ROUND(N263/1000,1)</f>
        <v>#REF!</v>
      </c>
      <c r="AM263" s="107" t="e">
        <f>-ROUND(O263/1000,1)</f>
        <v>#REF!</v>
      </c>
      <c r="AN263" s="107" t="e">
        <f t="shared" ref="AN263:AS263" si="320">-ROUND(T263/1000,1)</f>
        <v>#REF!</v>
      </c>
      <c r="AO263" s="107" t="e">
        <f t="shared" si="320"/>
        <v>#REF!</v>
      </c>
      <c r="AP263" s="107" t="e">
        <f t="shared" si="320"/>
        <v>#REF!</v>
      </c>
      <c r="AQ263" s="107" t="e">
        <f t="shared" si="320"/>
        <v>#REF!</v>
      </c>
      <c r="AR263" s="107" t="e">
        <f t="shared" si="320"/>
        <v>#REF!</v>
      </c>
      <c r="AS263" s="107" t="e">
        <f t="shared" si="320"/>
        <v>#REF!</v>
      </c>
      <c r="AT263" s="107" t="e">
        <f>-ROUND(AC263/1000,1)</f>
        <v>#REF!</v>
      </c>
      <c r="AU263" s="108" t="e">
        <f>AG263+AJ263+AL263+AM263+AN263+AO263+AP263+AQ263+AR263+AS263+AT263</f>
        <v>#REF!</v>
      </c>
    </row>
    <row r="264" spans="1:47" ht="15.75" hidden="1" x14ac:dyDescent="0.25">
      <c r="A264" s="57">
        <v>30</v>
      </c>
      <c r="B264" s="96" t="s">
        <v>181</v>
      </c>
      <c r="C264" s="11">
        <v>704</v>
      </c>
      <c r="D264" s="11">
        <v>2018</v>
      </c>
      <c r="E264" s="11" t="s">
        <v>182</v>
      </c>
      <c r="F264" s="100"/>
      <c r="G264" s="100"/>
      <c r="H264" s="100"/>
      <c r="I264" s="100">
        <f>SUMIFS('2020'!BM:BM,'2020'!$B:$B,выравнивание!$A264,'2020'!$G:$G,4)</f>
        <v>9074035</v>
      </c>
      <c r="J264" s="100">
        <f>SUMIFS('2020'!BN:BN,'2020'!$B:$B,выравнивание!$A264,'2020'!$G:$G,4)</f>
        <v>6969304.9000000004</v>
      </c>
      <c r="K264" s="100">
        <f>SUMIFS('2020'!BO:BO,'2020'!$B:$B,выравнивание!$A264,'2020'!$G:$G,4)</f>
        <v>2104730.1</v>
      </c>
      <c r="L264" s="100">
        <f>SUMIFS('2020'!BP:BP,'2020'!$B:$B,выравнивание!$A264,'2020'!$G:$G,4)</f>
        <v>357170</v>
      </c>
      <c r="M264" s="100">
        <f>SUMIFS('2020'!BQ:BQ,'2020'!$B:$B,выравнивание!$A264,'2020'!$G:$G,4)</f>
        <v>71434</v>
      </c>
      <c r="N264" s="100">
        <f>SUMIFS('2020'!BR:BR,'2020'!$B:$B,выравнивание!$A264,'2020'!$G:$G,4)</f>
        <v>742390</v>
      </c>
      <c r="O264" s="100">
        <f>SUMIFS('2020'!BS:BS,'2020'!$B:$B,выравнивание!$A264,'2020'!$G:$G,4)</f>
        <v>2556290</v>
      </c>
      <c r="P264" s="100">
        <f>SUMIFS('2020'!BT:BT,'2020'!$B:$B,выравнивание!$A264,'2020'!$G:$G,4)</f>
        <v>0</v>
      </c>
      <c r="Q264" s="100">
        <f>SUMIFS('2020'!BU:BU,'2020'!$B:$B,выравнивание!$A264,'2020'!$G:$G,4)</f>
        <v>0</v>
      </c>
      <c r="R264" s="100">
        <f>SUMIFS('2020'!BV:BV,'2020'!$B:$B,выравнивание!$A264,'2020'!$G:$G,4)</f>
        <v>0</v>
      </c>
      <c r="S264" s="100">
        <f>SUMIFS('2020'!BW:BW,'2020'!$B:$B,выравнивание!$A264,'2020'!$G:$G,4)</f>
        <v>0</v>
      </c>
      <c r="T264" s="100">
        <f>SUMIFS('2020'!BX:BX,'2020'!$B:$B,выравнивание!$A264,'2020'!$G:$G,4)</f>
        <v>1162362</v>
      </c>
      <c r="U264" s="100">
        <f>SUMIFS('2020'!BY:BY,'2020'!$B:$B,выравнивание!$A264,'2020'!$G:$G,4)</f>
        <v>1611940</v>
      </c>
      <c r="V264" s="100">
        <f>SUMIFS('2020'!BZ:BZ,'2020'!$B:$B,выравнивание!$A264,'2020'!$G:$G,4)</f>
        <v>57970</v>
      </c>
      <c r="W264" s="100">
        <f>SUMIFS('2020'!CA:CA,'2020'!$B:$B,выравнивание!$A264,'2020'!$G:$G,4)</f>
        <v>231880</v>
      </c>
      <c r="X264" s="100">
        <f>SUMIFS('2020'!CB:CB,'2020'!$B:$B,выравнивание!$A264,'2020'!$G:$G,4)</f>
        <v>9350</v>
      </c>
      <c r="Y264" s="100">
        <f>SUMIFS('2020'!CC:CC,'2020'!$B:$B,выравнивание!$A264,'2020'!$G:$G,4)</f>
        <v>480590</v>
      </c>
      <c r="Z264" s="100">
        <f>SUMIFS('2020'!CD:CD,'2020'!$B:$B,выравнивание!$A264,'2020'!$G:$G,4)</f>
        <v>7260041</v>
      </c>
      <c r="AA264" s="100">
        <f>SUMIFS('2020'!CE:CE,'2020'!$B:$B,выравнивание!$A264,'2020'!$G:$G,4)</f>
        <v>5576068.4000000004</v>
      </c>
      <c r="AB264" s="100">
        <f>SUMIFS('2020'!CF:CF,'2020'!$B:$B,выравнивание!$A264,'2020'!$G:$G,4)</f>
        <v>1683972.6</v>
      </c>
      <c r="AC264" s="100">
        <f>SUMIFS('2020'!CG:CG,'2020'!$B:$B,выравнивание!$A264,'2020'!$G:$G,4)</f>
        <v>121550</v>
      </c>
      <c r="AD264" s="100">
        <f>SUMIFS('2020'!CH:CH,'2020'!$B:$B,выравнивание!$A264,'2020'!$G:$G,4)</f>
        <v>23665568</v>
      </c>
      <c r="AE264" s="84">
        <f>SUMIF('Свод 2020'!$A$44:$A$57,выравнивание!$A264,'Свод 2020'!$AA$44:$AA$57)*1000-SUMIF('Свод 2020'!$A$44:$A$57,выравнивание!$A264,'Свод 2020'!$S$44:$S$57)*1000</f>
        <v>17122300</v>
      </c>
      <c r="AF264" s="105">
        <f>AD264-AE264</f>
        <v>6543268</v>
      </c>
      <c r="AU264" s="108"/>
    </row>
    <row r="265" spans="1:47" ht="15.75" hidden="1" x14ac:dyDescent="0.25">
      <c r="A265" s="57">
        <v>30</v>
      </c>
      <c r="B265" s="96" t="s">
        <v>181</v>
      </c>
      <c r="C265" s="11">
        <v>704</v>
      </c>
      <c r="D265" s="11">
        <v>2018</v>
      </c>
      <c r="E265" s="11" t="s">
        <v>184</v>
      </c>
      <c r="F265" s="104"/>
      <c r="G265" s="104"/>
      <c r="H265" s="104"/>
      <c r="I265" s="104">
        <f t="shared" ref="I265:O265" si="321">I264/$AD264</f>
        <v>0.38342799999999999</v>
      </c>
      <c r="J265" s="104">
        <f t="shared" si="321"/>
        <v>0.294491</v>
      </c>
      <c r="K265" s="104">
        <f t="shared" si="321"/>
        <v>8.8936000000000001E-2</v>
      </c>
      <c r="L265" s="104">
        <f t="shared" si="321"/>
        <v>1.5092E-2</v>
      </c>
      <c r="M265" s="104">
        <f t="shared" si="321"/>
        <v>3.0179999999999998E-3</v>
      </c>
      <c r="N265" s="104">
        <f t="shared" si="321"/>
        <v>3.1370000000000002E-2</v>
      </c>
      <c r="O265" s="104">
        <f t="shared" si="321"/>
        <v>0.108017</v>
      </c>
      <c r="P265" s="100"/>
      <c r="Q265" s="100"/>
      <c r="R265" s="100"/>
      <c r="S265" s="100"/>
      <c r="T265" s="104">
        <f t="shared" ref="T265:AB265" si="322">T264/$AD264</f>
        <v>4.9116E-2</v>
      </c>
      <c r="U265" s="104">
        <f t="shared" si="322"/>
        <v>6.8113000000000007E-2</v>
      </c>
      <c r="V265" s="104">
        <f t="shared" si="322"/>
        <v>2.4499999999999999E-3</v>
      </c>
      <c r="W265" s="104">
        <f t="shared" si="322"/>
        <v>9.7979999999999994E-3</v>
      </c>
      <c r="X265" s="104">
        <f t="shared" si="322"/>
        <v>3.9500000000000001E-4</v>
      </c>
      <c r="Y265" s="104">
        <f t="shared" si="322"/>
        <v>2.0308E-2</v>
      </c>
      <c r="Z265" s="104">
        <f t="shared" si="322"/>
        <v>0.30677700000000002</v>
      </c>
      <c r="AA265" s="104">
        <f t="shared" si="322"/>
        <v>0.235619</v>
      </c>
      <c r="AB265" s="104">
        <f t="shared" si="322"/>
        <v>7.1156999999999998E-2</v>
      </c>
      <c r="AC265" s="106">
        <f>1-Z265-Y265-X265-W265-V265-U265-T265-O265-N265-L265-I265</f>
        <v>5.1359999999999999E-3</v>
      </c>
      <c r="AD265" s="106">
        <f>AD264/$AD264</f>
        <v>1</v>
      </c>
      <c r="AE265" s="81"/>
      <c r="AU265" s="108"/>
    </row>
    <row r="266" spans="1:47" ht="15.75" x14ac:dyDescent="0.25">
      <c r="A266" s="57">
        <v>30</v>
      </c>
      <c r="B266" s="96" t="s">
        <v>181</v>
      </c>
      <c r="C266" s="11">
        <v>704</v>
      </c>
      <c r="D266" s="11">
        <v>2018</v>
      </c>
      <c r="E266" s="11" t="s">
        <v>185</v>
      </c>
      <c r="F266" s="37">
        <f>G266+H266</f>
        <v>4516196</v>
      </c>
      <c r="G266" s="37">
        <f>J266+AA266</f>
        <v>3468661</v>
      </c>
      <c r="H266" s="37">
        <f>K266+AB266</f>
        <v>1047535</v>
      </c>
      <c r="I266" s="37">
        <f>ROUND($AF264*I265,0)</f>
        <v>2508872</v>
      </c>
      <c r="J266" s="37">
        <f>ROUND(I266/1.302,0)</f>
        <v>1926937</v>
      </c>
      <c r="K266" s="37">
        <f>I266-J266</f>
        <v>581935</v>
      </c>
      <c r="L266" s="37">
        <f>ROUND($AF264*L265,0)</f>
        <v>98751</v>
      </c>
      <c r="M266" s="37">
        <f>ROUND($AF264*M265,0)</f>
        <v>19748</v>
      </c>
      <c r="N266" s="37">
        <f>ROUND($AF264*N265,0)</f>
        <v>205262</v>
      </c>
      <c r="O266" s="37">
        <f>ROUND($AF264*O265,0)</f>
        <v>706784</v>
      </c>
      <c r="P266" s="100"/>
      <c r="Q266" s="100"/>
      <c r="R266" s="100"/>
      <c r="S266" s="100"/>
      <c r="T266" s="37">
        <f t="shared" ref="T266:Z266" si="323">ROUND($AF264*T265,0)</f>
        <v>321379</v>
      </c>
      <c r="U266" s="37">
        <f t="shared" si="323"/>
        <v>445682</v>
      </c>
      <c r="V266" s="37">
        <f t="shared" si="323"/>
        <v>16031</v>
      </c>
      <c r="W266" s="37">
        <f t="shared" si="323"/>
        <v>64111</v>
      </c>
      <c r="X266" s="37">
        <f t="shared" si="323"/>
        <v>2585</v>
      </c>
      <c r="Y266" s="37">
        <f t="shared" si="323"/>
        <v>132881</v>
      </c>
      <c r="Z266" s="37">
        <f t="shared" si="323"/>
        <v>2007324</v>
      </c>
      <c r="AA266" s="37">
        <f>ROUND(Z266/1.302,0)</f>
        <v>1541724</v>
      </c>
      <c r="AB266" s="37">
        <f>Z266-AA266</f>
        <v>465600</v>
      </c>
      <c r="AC266" s="37">
        <f>ROUND($AF264*AC265,0)</f>
        <v>33606</v>
      </c>
      <c r="AD266" s="37">
        <f>I266+L266+N266+O266+T266+U266+V266+W266+X266+Y266+AC266+Z266</f>
        <v>6543268</v>
      </c>
      <c r="AE266" s="78">
        <f>AF264</f>
        <v>6543268</v>
      </c>
      <c r="AF266" s="78">
        <f>AE266-AF264</f>
        <v>0</v>
      </c>
      <c r="AG266" s="107">
        <f>-ROUND(F266/1000,1)</f>
        <v>-4516.2</v>
      </c>
      <c r="AH266" s="107">
        <f>ROUND(AG266/1.302,1)</f>
        <v>-3468.7</v>
      </c>
      <c r="AI266" s="107">
        <f>AG266-AH266</f>
        <v>-1047.5</v>
      </c>
      <c r="AJ266" s="107">
        <f>-ROUND(L266/1000,1)</f>
        <v>-98.8</v>
      </c>
      <c r="AK266" s="107">
        <f>-ROUND(M266/1000,1)</f>
        <v>-19.7</v>
      </c>
      <c r="AL266" s="107">
        <f>-ROUND(N266/1000,1)</f>
        <v>-205.3</v>
      </c>
      <c r="AM266" s="107">
        <f>-ROUND(O266/1000,1)</f>
        <v>-706.8</v>
      </c>
      <c r="AN266" s="107">
        <f t="shared" ref="AN266:AS266" si="324">-ROUND(T266/1000,1)</f>
        <v>-321.39999999999998</v>
      </c>
      <c r="AO266" s="107">
        <f t="shared" si="324"/>
        <v>-445.7</v>
      </c>
      <c r="AP266" s="107">
        <f t="shared" si="324"/>
        <v>-16</v>
      </c>
      <c r="AQ266" s="107">
        <f t="shared" si="324"/>
        <v>-64.099999999999994</v>
      </c>
      <c r="AR266" s="107">
        <f t="shared" si="324"/>
        <v>-2.6</v>
      </c>
      <c r="AS266" s="107">
        <f t="shared" si="324"/>
        <v>-132.9</v>
      </c>
      <c r="AT266" s="107">
        <f>-ROUND(AC266/1000,1)</f>
        <v>-33.6</v>
      </c>
      <c r="AU266" s="108">
        <f>AG266+AJ266+AL266+AM266+AN266+AO266+AP266+AQ266+AR266+AS266+AT266</f>
        <v>-6543.4</v>
      </c>
    </row>
    <row r="267" spans="1:47" ht="15.75" hidden="1" x14ac:dyDescent="0.25">
      <c r="A267" s="57">
        <v>30</v>
      </c>
      <c r="B267" s="96" t="s">
        <v>181</v>
      </c>
      <c r="C267" s="11">
        <v>704</v>
      </c>
      <c r="D267" s="11">
        <v>2019</v>
      </c>
      <c r="E267" s="11" t="s">
        <v>182</v>
      </c>
      <c r="F267" s="97"/>
      <c r="G267" s="97"/>
      <c r="H267" s="97"/>
      <c r="I267" s="97" t="e">
        <f>SUMIFS(#REF!,#REF!,выравнивание!$A267,#REF!,4)</f>
        <v>#REF!</v>
      </c>
      <c r="J267" s="97" t="e">
        <f>SUMIFS(#REF!,#REF!,выравнивание!$A267,#REF!,4)</f>
        <v>#REF!</v>
      </c>
      <c r="K267" s="97" t="e">
        <f>SUMIFS(#REF!,#REF!,выравнивание!$A267,#REF!,4)</f>
        <v>#REF!</v>
      </c>
      <c r="L267" s="97" t="e">
        <f>SUMIFS(#REF!,#REF!,выравнивание!$A267,#REF!,4)</f>
        <v>#REF!</v>
      </c>
      <c r="M267" s="97" t="e">
        <f>SUMIFS(#REF!,#REF!,выравнивание!$A267,#REF!,4)</f>
        <v>#REF!</v>
      </c>
      <c r="N267" s="97" t="e">
        <f>SUMIFS(#REF!,#REF!,выравнивание!$A267,#REF!,4)</f>
        <v>#REF!</v>
      </c>
      <c r="O267" s="97" t="e">
        <f>SUMIFS(#REF!,#REF!,выравнивание!$A267,#REF!,4)</f>
        <v>#REF!</v>
      </c>
      <c r="P267" s="97" t="e">
        <f>SUMIFS(#REF!,#REF!,выравнивание!$A267,#REF!,4)</f>
        <v>#REF!</v>
      </c>
      <c r="Q267" s="97" t="e">
        <f>SUMIFS(#REF!,#REF!,выравнивание!$A267,#REF!,4)</f>
        <v>#REF!</v>
      </c>
      <c r="R267" s="97" t="e">
        <f>SUMIFS(#REF!,#REF!,выравнивание!$A267,#REF!,4)</f>
        <v>#REF!</v>
      </c>
      <c r="S267" s="97" t="e">
        <f>SUMIFS(#REF!,#REF!,выравнивание!$A267,#REF!,4)</f>
        <v>#REF!</v>
      </c>
      <c r="T267" s="97" t="e">
        <f>SUMIFS(#REF!,#REF!,выравнивание!$A267,#REF!,4)</f>
        <v>#REF!</v>
      </c>
      <c r="U267" s="97" t="e">
        <f>SUMIFS(#REF!,#REF!,выравнивание!$A267,#REF!,4)</f>
        <v>#REF!</v>
      </c>
      <c r="V267" s="97" t="e">
        <f>SUMIFS(#REF!,#REF!,выравнивание!$A267,#REF!,4)</f>
        <v>#REF!</v>
      </c>
      <c r="W267" s="97" t="e">
        <f>SUMIFS(#REF!,#REF!,выравнивание!$A267,#REF!,4)</f>
        <v>#REF!</v>
      </c>
      <c r="X267" s="97" t="e">
        <f>SUMIFS(#REF!,#REF!,выравнивание!$A267,#REF!,4)</f>
        <v>#REF!</v>
      </c>
      <c r="Y267" s="97" t="e">
        <f>SUMIFS(#REF!,#REF!,выравнивание!$A267,#REF!,4)</f>
        <v>#REF!</v>
      </c>
      <c r="Z267" s="97" t="e">
        <f>SUMIFS(#REF!,#REF!,выравнивание!$A267,#REF!,4)</f>
        <v>#REF!</v>
      </c>
      <c r="AA267" s="97" t="e">
        <f>SUMIFS(#REF!,#REF!,выравнивание!$A267,#REF!,4)</f>
        <v>#REF!</v>
      </c>
      <c r="AB267" s="97" t="e">
        <f>SUMIFS(#REF!,#REF!,выравнивание!$A267,#REF!,4)</f>
        <v>#REF!</v>
      </c>
      <c r="AC267" s="100" t="e">
        <f>SUMIFS(#REF!,#REF!,выравнивание!$A267,#REF!,4)</f>
        <v>#REF!</v>
      </c>
      <c r="AD267" s="100" t="e">
        <f>SUMIFS(#REF!,#REF!,выравнивание!$A267,#REF!,4)</f>
        <v>#REF!</v>
      </c>
      <c r="AE267" s="103" t="e">
        <f>SUMIF(#REF!,выравнивание!$A267,#REF!)*1000-SUMIF(#REF!,выравнивание!$A267,#REF!)*1000</f>
        <v>#REF!</v>
      </c>
      <c r="AF267" s="105" t="e">
        <f>AD267-AE267</f>
        <v>#REF!</v>
      </c>
      <c r="AU267" s="108"/>
    </row>
    <row r="268" spans="1:47" ht="15.75" hidden="1" x14ac:dyDescent="0.25">
      <c r="A268" s="57">
        <v>30</v>
      </c>
      <c r="B268" s="96" t="s">
        <v>181</v>
      </c>
      <c r="C268" s="11">
        <v>704</v>
      </c>
      <c r="D268" s="11">
        <v>2019</v>
      </c>
      <c r="E268" s="11" t="s">
        <v>184</v>
      </c>
      <c r="F268" s="104"/>
      <c r="G268" s="104"/>
      <c r="H268" s="104"/>
      <c r="I268" s="104" t="e">
        <f t="shared" ref="I268:O268" si="325">I267/$AD267</f>
        <v>#REF!</v>
      </c>
      <c r="J268" s="104" t="e">
        <f t="shared" si="325"/>
        <v>#REF!</v>
      </c>
      <c r="K268" s="104" t="e">
        <f t="shared" si="325"/>
        <v>#REF!</v>
      </c>
      <c r="L268" s="104" t="e">
        <f t="shared" si="325"/>
        <v>#REF!</v>
      </c>
      <c r="M268" s="104" t="e">
        <f t="shared" si="325"/>
        <v>#REF!</v>
      </c>
      <c r="N268" s="104" t="e">
        <f t="shared" si="325"/>
        <v>#REF!</v>
      </c>
      <c r="O268" s="104" t="e">
        <f t="shared" si="325"/>
        <v>#REF!</v>
      </c>
      <c r="P268" s="100"/>
      <c r="Q268" s="100"/>
      <c r="R268" s="100"/>
      <c r="S268" s="100"/>
      <c r="T268" s="104" t="e">
        <f t="shared" ref="T268:AB268" si="326">T267/$AD267</f>
        <v>#REF!</v>
      </c>
      <c r="U268" s="104" t="e">
        <f t="shared" si="326"/>
        <v>#REF!</v>
      </c>
      <c r="V268" s="104" t="e">
        <f t="shared" si="326"/>
        <v>#REF!</v>
      </c>
      <c r="W268" s="104" t="e">
        <f t="shared" si="326"/>
        <v>#REF!</v>
      </c>
      <c r="X268" s="104" t="e">
        <f t="shared" si="326"/>
        <v>#REF!</v>
      </c>
      <c r="Y268" s="104" t="e">
        <f t="shared" si="326"/>
        <v>#REF!</v>
      </c>
      <c r="Z268" s="104" t="e">
        <f t="shared" si="326"/>
        <v>#REF!</v>
      </c>
      <c r="AA268" s="104" t="e">
        <f t="shared" si="326"/>
        <v>#REF!</v>
      </c>
      <c r="AB268" s="104" t="e">
        <f t="shared" si="326"/>
        <v>#REF!</v>
      </c>
      <c r="AC268" s="106" t="e">
        <f>1-Z268-Y268-X268-W268-V268-U268-T268-O268-N268-L268-I268</f>
        <v>#REF!</v>
      </c>
      <c r="AD268" s="106" t="e">
        <f>AD267/$AD267</f>
        <v>#REF!</v>
      </c>
      <c r="AE268" s="81"/>
      <c r="AU268" s="108"/>
    </row>
    <row r="269" spans="1:47" ht="15.75" x14ac:dyDescent="0.25">
      <c r="A269" s="57">
        <v>30</v>
      </c>
      <c r="B269" s="96" t="s">
        <v>181</v>
      </c>
      <c r="C269" s="11">
        <v>704</v>
      </c>
      <c r="D269" s="11">
        <v>2019</v>
      </c>
      <c r="E269" s="11" t="s">
        <v>185</v>
      </c>
      <c r="F269" s="37" t="e">
        <f>G269+H269</f>
        <v>#REF!</v>
      </c>
      <c r="G269" s="37" t="e">
        <f>J269+AA269</f>
        <v>#REF!</v>
      </c>
      <c r="H269" s="37" t="e">
        <f>K269+AB269</f>
        <v>#REF!</v>
      </c>
      <c r="I269" s="37" t="e">
        <f>ROUND($AF267*I268,0)</f>
        <v>#REF!</v>
      </c>
      <c r="J269" s="37" t="e">
        <f>ROUND(I269/1.302,0)</f>
        <v>#REF!</v>
      </c>
      <c r="K269" s="37" t="e">
        <f>I269-J269</f>
        <v>#REF!</v>
      </c>
      <c r="L269" s="37" t="e">
        <f>ROUND($AF267*L268,0)</f>
        <v>#REF!</v>
      </c>
      <c r="M269" s="37" t="e">
        <f>ROUND($AF267*M268,0)</f>
        <v>#REF!</v>
      </c>
      <c r="N269" s="37" t="e">
        <f>ROUND($AF267*N268,0)</f>
        <v>#REF!</v>
      </c>
      <c r="O269" s="37" t="e">
        <f>ROUND($AF267*O268,0)</f>
        <v>#REF!</v>
      </c>
      <c r="P269" s="100"/>
      <c r="Q269" s="100"/>
      <c r="R269" s="100"/>
      <c r="S269" s="100"/>
      <c r="T269" s="37" t="e">
        <f t="shared" ref="T269:Z269" si="327">ROUND($AF267*T268,0)</f>
        <v>#REF!</v>
      </c>
      <c r="U269" s="37" t="e">
        <f t="shared" si="327"/>
        <v>#REF!</v>
      </c>
      <c r="V269" s="37" t="e">
        <f t="shared" si="327"/>
        <v>#REF!</v>
      </c>
      <c r="W269" s="37" t="e">
        <f t="shared" si="327"/>
        <v>#REF!</v>
      </c>
      <c r="X269" s="37" t="e">
        <f t="shared" si="327"/>
        <v>#REF!</v>
      </c>
      <c r="Y269" s="37" t="e">
        <f t="shared" si="327"/>
        <v>#REF!</v>
      </c>
      <c r="Z269" s="37" t="e">
        <f t="shared" si="327"/>
        <v>#REF!</v>
      </c>
      <c r="AA269" s="37" t="e">
        <f>ROUND(Z269/1.302,0)</f>
        <v>#REF!</v>
      </c>
      <c r="AB269" s="37" t="e">
        <f>Z269-AA269</f>
        <v>#REF!</v>
      </c>
      <c r="AC269" s="37" t="e">
        <f>ROUND($AF267*AC268,0)</f>
        <v>#REF!</v>
      </c>
      <c r="AD269" s="37" t="e">
        <f>I269+L269+N269+O269+T269+U269+V269+W269+X269+Y269+AC269+Z269</f>
        <v>#REF!</v>
      </c>
      <c r="AE269" s="78" t="e">
        <f>AF267</f>
        <v>#REF!</v>
      </c>
      <c r="AF269" s="78" t="e">
        <f>AE269-AF267</f>
        <v>#REF!</v>
      </c>
      <c r="AG269" s="107" t="e">
        <f>-ROUND(F269/1000,1)</f>
        <v>#REF!</v>
      </c>
      <c r="AH269" s="107" t="e">
        <f>ROUND(AG269/1.302,1)</f>
        <v>#REF!</v>
      </c>
      <c r="AI269" s="107" t="e">
        <f>AG269-AH269</f>
        <v>#REF!</v>
      </c>
      <c r="AJ269" s="107" t="e">
        <f>-ROUND(L269/1000,1)</f>
        <v>#REF!</v>
      </c>
      <c r="AK269" s="107" t="e">
        <f>-ROUND(M269/1000,1)</f>
        <v>#REF!</v>
      </c>
      <c r="AL269" s="107" t="e">
        <f>-ROUND(N269/1000,1)</f>
        <v>#REF!</v>
      </c>
      <c r="AM269" s="107" t="e">
        <f>-ROUND(O269/1000,1)</f>
        <v>#REF!</v>
      </c>
      <c r="AN269" s="107" t="e">
        <f t="shared" ref="AN269:AS269" si="328">-ROUND(T269/1000,1)</f>
        <v>#REF!</v>
      </c>
      <c r="AO269" s="107" t="e">
        <f t="shared" si="328"/>
        <v>#REF!</v>
      </c>
      <c r="AP269" s="107" t="e">
        <f t="shared" si="328"/>
        <v>#REF!</v>
      </c>
      <c r="AQ269" s="107" t="e">
        <f t="shared" si="328"/>
        <v>#REF!</v>
      </c>
      <c r="AR269" s="107" t="e">
        <f t="shared" si="328"/>
        <v>#REF!</v>
      </c>
      <c r="AS269" s="107" t="e">
        <f t="shared" si="328"/>
        <v>#REF!</v>
      </c>
      <c r="AT269" s="107" t="e">
        <f>-ROUND(AC269/1000,1)</f>
        <v>#REF!</v>
      </c>
      <c r="AU269" s="108" t="e">
        <f>AG269+AJ269+AL269+AM269+AN269+AO269+AP269+AQ269+AR269+AS269+AT269</f>
        <v>#REF!</v>
      </c>
    </row>
    <row r="270" spans="1:47" ht="15.75" hidden="1" x14ac:dyDescent="0.25">
      <c r="A270" s="57">
        <v>30</v>
      </c>
      <c r="B270" s="96" t="s">
        <v>181</v>
      </c>
      <c r="C270" s="11">
        <v>704</v>
      </c>
      <c r="D270" s="11">
        <v>2020</v>
      </c>
      <c r="E270" s="11" t="s">
        <v>182</v>
      </c>
      <c r="F270" s="97"/>
      <c r="G270" s="97"/>
      <c r="H270" s="97"/>
      <c r="I270" s="97" t="e">
        <f>SUMIFS(#REF!,#REF!,выравнивание!$A270,#REF!,4)</f>
        <v>#REF!</v>
      </c>
      <c r="J270" s="97" t="e">
        <f>SUMIFS(#REF!,#REF!,выравнивание!$A270,#REF!,4)</f>
        <v>#REF!</v>
      </c>
      <c r="K270" s="97" t="e">
        <f>SUMIFS(#REF!,#REF!,выравнивание!$A270,#REF!,4)</f>
        <v>#REF!</v>
      </c>
      <c r="L270" s="97" t="e">
        <f>SUMIFS(#REF!,#REF!,выравнивание!$A270,#REF!,4)</f>
        <v>#REF!</v>
      </c>
      <c r="M270" s="97" t="e">
        <f>SUMIFS(#REF!,#REF!,выравнивание!$A270,#REF!,4)</f>
        <v>#REF!</v>
      </c>
      <c r="N270" s="97" t="e">
        <f>SUMIFS(#REF!,#REF!,выравнивание!$A270,#REF!,4)</f>
        <v>#REF!</v>
      </c>
      <c r="O270" s="97" t="e">
        <f>SUMIFS(#REF!,#REF!,выравнивание!$A270,#REF!,4)</f>
        <v>#REF!</v>
      </c>
      <c r="P270" s="97" t="e">
        <f>SUMIFS(#REF!,#REF!,выравнивание!$A270,#REF!,4)</f>
        <v>#REF!</v>
      </c>
      <c r="Q270" s="97" t="e">
        <f>SUMIFS(#REF!,#REF!,выравнивание!$A270,#REF!,4)</f>
        <v>#REF!</v>
      </c>
      <c r="R270" s="97" t="e">
        <f>SUMIFS(#REF!,#REF!,выравнивание!$A270,#REF!,4)</f>
        <v>#REF!</v>
      </c>
      <c r="S270" s="97" t="e">
        <f>SUMIFS(#REF!,#REF!,выравнивание!$A270,#REF!,4)</f>
        <v>#REF!</v>
      </c>
      <c r="T270" s="97" t="e">
        <f>SUMIFS(#REF!,#REF!,выравнивание!$A270,#REF!,4)</f>
        <v>#REF!</v>
      </c>
      <c r="U270" s="97" t="e">
        <f>SUMIFS(#REF!,#REF!,выравнивание!$A270,#REF!,4)</f>
        <v>#REF!</v>
      </c>
      <c r="V270" s="97" t="e">
        <f>SUMIFS(#REF!,#REF!,выравнивание!$A270,#REF!,4)</f>
        <v>#REF!</v>
      </c>
      <c r="W270" s="97" t="e">
        <f>SUMIFS(#REF!,#REF!,выравнивание!$A270,#REF!,4)</f>
        <v>#REF!</v>
      </c>
      <c r="X270" s="97" t="e">
        <f>SUMIFS(#REF!,#REF!,выравнивание!$A270,#REF!,4)</f>
        <v>#REF!</v>
      </c>
      <c r="Y270" s="97" t="e">
        <f>SUMIFS(#REF!,#REF!,выравнивание!$A270,#REF!,4)</f>
        <v>#REF!</v>
      </c>
      <c r="Z270" s="97" t="e">
        <f>SUMIFS(#REF!,#REF!,выравнивание!$A270,#REF!,4)</f>
        <v>#REF!</v>
      </c>
      <c r="AA270" s="97" t="e">
        <f>SUMIFS(#REF!,#REF!,выравнивание!$A270,#REF!,4)</f>
        <v>#REF!</v>
      </c>
      <c r="AB270" s="97" t="e">
        <f>SUMIFS(#REF!,#REF!,выравнивание!$A270,#REF!,4)</f>
        <v>#REF!</v>
      </c>
      <c r="AC270" s="100" t="e">
        <f>SUMIFS(#REF!,#REF!,выравнивание!$A270,#REF!,4)</f>
        <v>#REF!</v>
      </c>
      <c r="AD270" s="100" t="e">
        <f>SUMIFS(#REF!,#REF!,выравнивание!$A270,#REF!,4)</f>
        <v>#REF!</v>
      </c>
      <c r="AE270" s="103" t="e">
        <f>SUMIF(#REF!,выравнивание!$A270,#REF!)*1000-SUMIF(#REF!,выравнивание!$A270,#REF!)*1000</f>
        <v>#REF!</v>
      </c>
      <c r="AF270" s="84" t="e">
        <f>AD270-AE270</f>
        <v>#REF!</v>
      </c>
      <c r="AU270" s="108"/>
    </row>
    <row r="271" spans="1:47" ht="15.75" hidden="1" x14ac:dyDescent="0.25">
      <c r="A271" s="57">
        <v>30</v>
      </c>
      <c r="B271" s="96" t="s">
        <v>181</v>
      </c>
      <c r="C271" s="11">
        <v>704</v>
      </c>
      <c r="D271" s="11">
        <v>2020</v>
      </c>
      <c r="E271" s="11" t="s">
        <v>184</v>
      </c>
      <c r="F271" s="104"/>
      <c r="G271" s="104"/>
      <c r="H271" s="104"/>
      <c r="I271" s="104" t="e">
        <f t="shared" ref="I271:O271" si="329">I270/$AD270</f>
        <v>#REF!</v>
      </c>
      <c r="J271" s="104" t="e">
        <f t="shared" si="329"/>
        <v>#REF!</v>
      </c>
      <c r="K271" s="104" t="e">
        <f t="shared" si="329"/>
        <v>#REF!</v>
      </c>
      <c r="L271" s="104" t="e">
        <f t="shared" si="329"/>
        <v>#REF!</v>
      </c>
      <c r="M271" s="104" t="e">
        <f t="shared" si="329"/>
        <v>#REF!</v>
      </c>
      <c r="N271" s="104" t="e">
        <f t="shared" si="329"/>
        <v>#REF!</v>
      </c>
      <c r="O271" s="104" t="e">
        <f t="shared" si="329"/>
        <v>#REF!</v>
      </c>
      <c r="P271" s="100"/>
      <c r="Q271" s="100"/>
      <c r="R271" s="100"/>
      <c r="S271" s="100"/>
      <c r="T271" s="104" t="e">
        <f t="shared" ref="T271:AB271" si="330">T270/$AD270</f>
        <v>#REF!</v>
      </c>
      <c r="U271" s="104" t="e">
        <f t="shared" si="330"/>
        <v>#REF!</v>
      </c>
      <c r="V271" s="104" t="e">
        <f t="shared" si="330"/>
        <v>#REF!</v>
      </c>
      <c r="W271" s="104" t="e">
        <f t="shared" si="330"/>
        <v>#REF!</v>
      </c>
      <c r="X271" s="104" t="e">
        <f t="shared" si="330"/>
        <v>#REF!</v>
      </c>
      <c r="Y271" s="104" t="e">
        <f t="shared" si="330"/>
        <v>#REF!</v>
      </c>
      <c r="Z271" s="104" t="e">
        <f t="shared" si="330"/>
        <v>#REF!</v>
      </c>
      <c r="AA271" s="104" t="e">
        <f t="shared" si="330"/>
        <v>#REF!</v>
      </c>
      <c r="AB271" s="104" t="e">
        <f t="shared" si="330"/>
        <v>#REF!</v>
      </c>
      <c r="AC271" s="106" t="e">
        <f>1-Z271-Y271-X271-W271-V271-U271-T271-O271-N271-L271-I271</f>
        <v>#REF!</v>
      </c>
      <c r="AD271" s="106" t="e">
        <f>AD270/$AD270</f>
        <v>#REF!</v>
      </c>
      <c r="AE271" s="81"/>
      <c r="AU271" s="108"/>
    </row>
    <row r="272" spans="1:47" ht="15.75" x14ac:dyDescent="0.25">
      <c r="A272" s="57">
        <v>30</v>
      </c>
      <c r="B272" s="96" t="s">
        <v>181</v>
      </c>
      <c r="C272" s="11">
        <v>704</v>
      </c>
      <c r="D272" s="11">
        <v>2020</v>
      </c>
      <c r="E272" s="11" t="s">
        <v>185</v>
      </c>
      <c r="F272" s="37" t="e">
        <f>G272+H272</f>
        <v>#REF!</v>
      </c>
      <c r="G272" s="37" t="e">
        <f>J272+AA272</f>
        <v>#REF!</v>
      </c>
      <c r="H272" s="37" t="e">
        <f>K272+AB272</f>
        <v>#REF!</v>
      </c>
      <c r="I272" s="37" t="e">
        <f>ROUND($AF270*I271,0)</f>
        <v>#REF!</v>
      </c>
      <c r="J272" s="37" t="e">
        <f>ROUND(I272/1.302,0)</f>
        <v>#REF!</v>
      </c>
      <c r="K272" s="37" t="e">
        <f>I272-J272</f>
        <v>#REF!</v>
      </c>
      <c r="L272" s="37" t="e">
        <f>ROUND($AF270*L271,0)</f>
        <v>#REF!</v>
      </c>
      <c r="M272" s="37" t="e">
        <f>ROUND($AF270*M271,0)</f>
        <v>#REF!</v>
      </c>
      <c r="N272" s="37" t="e">
        <f>ROUND($AF270*N271,0)</f>
        <v>#REF!</v>
      </c>
      <c r="O272" s="37" t="e">
        <f>ROUND($AF270*O271,0)</f>
        <v>#REF!</v>
      </c>
      <c r="P272" s="100"/>
      <c r="Q272" s="100"/>
      <c r="R272" s="100"/>
      <c r="S272" s="100"/>
      <c r="T272" s="37" t="e">
        <f t="shared" ref="T272:Z272" si="331">ROUND($AF270*T271,0)</f>
        <v>#REF!</v>
      </c>
      <c r="U272" s="37" t="e">
        <f t="shared" si="331"/>
        <v>#REF!</v>
      </c>
      <c r="V272" s="37" t="e">
        <f t="shared" si="331"/>
        <v>#REF!</v>
      </c>
      <c r="W272" s="37" t="e">
        <f t="shared" si="331"/>
        <v>#REF!</v>
      </c>
      <c r="X272" s="37" t="e">
        <f t="shared" si="331"/>
        <v>#REF!</v>
      </c>
      <c r="Y272" s="37" t="e">
        <f t="shared" si="331"/>
        <v>#REF!</v>
      </c>
      <c r="Z272" s="37" t="e">
        <f t="shared" si="331"/>
        <v>#REF!</v>
      </c>
      <c r="AA272" s="37" t="e">
        <f>ROUND(Z272/1.302,0)</f>
        <v>#REF!</v>
      </c>
      <c r="AB272" s="37" t="e">
        <f>Z272-AA272</f>
        <v>#REF!</v>
      </c>
      <c r="AC272" s="37" t="e">
        <f>ROUND($AF270*AC271,0)</f>
        <v>#REF!</v>
      </c>
      <c r="AD272" s="37" t="e">
        <f>I272+L272+N272+O272+T272+U272+V272+W272+X272+Y272+AC272+Z272</f>
        <v>#REF!</v>
      </c>
      <c r="AE272" s="78" t="e">
        <f>AF270</f>
        <v>#REF!</v>
      </c>
      <c r="AF272" s="78" t="e">
        <f>AE272-AF270</f>
        <v>#REF!</v>
      </c>
      <c r="AG272" s="107" t="e">
        <f>-ROUND(F272/1000,1)</f>
        <v>#REF!</v>
      </c>
      <c r="AH272" s="107" t="e">
        <f>ROUND(AG272/1.302,1)</f>
        <v>#REF!</v>
      </c>
      <c r="AI272" s="107" t="e">
        <f>AG272-AH272</f>
        <v>#REF!</v>
      </c>
      <c r="AJ272" s="107" t="e">
        <f>-ROUND(L272/1000,1)</f>
        <v>#REF!</v>
      </c>
      <c r="AK272" s="107" t="e">
        <f>-ROUND(M272/1000,1)</f>
        <v>#REF!</v>
      </c>
      <c r="AL272" s="107" t="e">
        <f>-ROUND(N272/1000,1)</f>
        <v>#REF!</v>
      </c>
      <c r="AM272" s="107" t="e">
        <f>-ROUND(O272/1000,1)</f>
        <v>#REF!</v>
      </c>
      <c r="AN272" s="107" t="e">
        <f t="shared" ref="AN272:AS272" si="332">-ROUND(T272/1000,1)</f>
        <v>#REF!</v>
      </c>
      <c r="AO272" s="107" t="e">
        <f t="shared" si="332"/>
        <v>#REF!</v>
      </c>
      <c r="AP272" s="107" t="e">
        <f t="shared" si="332"/>
        <v>#REF!</v>
      </c>
      <c r="AQ272" s="107" t="e">
        <f t="shared" si="332"/>
        <v>#REF!</v>
      </c>
      <c r="AR272" s="107" t="e">
        <f t="shared" si="332"/>
        <v>#REF!</v>
      </c>
      <c r="AS272" s="107" t="e">
        <f t="shared" si="332"/>
        <v>#REF!</v>
      </c>
      <c r="AT272" s="107" t="e">
        <f>-ROUND(AC272/1000,1)</f>
        <v>#REF!</v>
      </c>
      <c r="AU272" s="108" t="e">
        <f>AG272+AJ272+AL272+AM272+AN272+AO272+AP272+AQ272+AR272+AS272+AT272</f>
        <v>#REF!</v>
      </c>
    </row>
    <row r="283" spans="45:45" ht="92.25" x14ac:dyDescent="1.35">
      <c r="AS283" s="218"/>
    </row>
  </sheetData>
  <autoFilter ref="A2:AE272">
    <filterColumn colId="4">
      <filters>
        <filter val="K"/>
      </filters>
    </filterColumn>
  </autoFilter>
  <mergeCells count="31">
    <mergeCell ref="F1:F2"/>
    <mergeCell ref="G1:H1"/>
    <mergeCell ref="AG1:AG2"/>
    <mergeCell ref="AH1:AI1"/>
    <mergeCell ref="AJ1:AJ2"/>
    <mergeCell ref="X1:X2"/>
    <mergeCell ref="I1:I2"/>
    <mergeCell ref="J1:K1"/>
    <mergeCell ref="L1:L2"/>
    <mergeCell ref="O1:O2"/>
    <mergeCell ref="P1:S1"/>
    <mergeCell ref="T1:T2"/>
    <mergeCell ref="U1:U2"/>
    <mergeCell ref="V1:V2"/>
    <mergeCell ref="W1:W2"/>
    <mergeCell ref="Y1:Y2"/>
    <mergeCell ref="N1:N2"/>
    <mergeCell ref="AL1:AL2"/>
    <mergeCell ref="AS1:AS2"/>
    <mergeCell ref="AT1:AT2"/>
    <mergeCell ref="AU1:AU2"/>
    <mergeCell ref="AM1:AM2"/>
    <mergeCell ref="AN1:AN2"/>
    <mergeCell ref="AO1:AO2"/>
    <mergeCell ref="AP1:AP2"/>
    <mergeCell ref="AQ1:AQ2"/>
    <mergeCell ref="Z1:Z2"/>
    <mergeCell ref="AA1:AB1"/>
    <mergeCell ref="AC1:AC2"/>
    <mergeCell ref="AD1:AD2"/>
    <mergeCell ref="AR1:AR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pane xSplit="5" ySplit="5" topLeftCell="O6" activePane="bottomRight" state="frozen"/>
      <selection pane="topRight" activeCell="F1" sqref="F1"/>
      <selection pane="bottomLeft" activeCell="A6" sqref="A6"/>
      <selection pane="bottomRight" activeCell="J50" sqref="J50"/>
    </sheetView>
  </sheetViews>
  <sheetFormatPr defaultRowHeight="15" x14ac:dyDescent="0.25"/>
  <cols>
    <col min="1" max="1" width="15.42578125" customWidth="1"/>
    <col min="2" max="2" width="5.85546875" customWidth="1"/>
    <col min="3" max="3" width="15.42578125" customWidth="1"/>
    <col min="4" max="4" width="10.28515625" customWidth="1"/>
    <col min="5" max="5" width="17.5703125" customWidth="1"/>
    <col min="6" max="6" width="9.28515625" customWidth="1"/>
    <col min="7" max="7" width="10.85546875" customWidth="1"/>
    <col min="8" max="8" width="12.42578125" customWidth="1"/>
    <col min="9" max="9" width="10.42578125" customWidth="1"/>
    <col min="10" max="20" width="12.7109375" customWidth="1"/>
    <col min="21" max="21" width="13.140625" customWidth="1"/>
    <col min="22" max="23" width="12.7109375" customWidth="1"/>
    <col min="24" max="24" width="10.85546875" bestFit="1" customWidth="1"/>
    <col min="25" max="25" width="10.5703125" customWidth="1"/>
    <col min="26" max="26" width="9.140625" customWidth="1"/>
    <col min="27" max="27" width="9.7109375" bestFit="1" customWidth="1"/>
    <col min="28" max="28" width="15.7109375" customWidth="1"/>
  </cols>
  <sheetData>
    <row r="1" spans="1:28" x14ac:dyDescent="0.25">
      <c r="A1" s="12"/>
      <c r="B1" s="12"/>
      <c r="C1" s="13"/>
      <c r="D1" s="13"/>
      <c r="E1" s="12"/>
      <c r="F1" s="12"/>
      <c r="G1" s="14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4"/>
      <c r="Y1" s="12"/>
      <c r="Z1" s="12"/>
      <c r="AA1" s="12"/>
      <c r="AB1" s="12"/>
    </row>
    <row r="2" spans="1:28" ht="18.75" x14ac:dyDescent="0.3">
      <c r="A2" s="824" t="s">
        <v>456</v>
      </c>
      <c r="B2" s="824"/>
      <c r="C2" s="824"/>
      <c r="D2" s="824"/>
      <c r="E2" s="824"/>
      <c r="F2" s="824"/>
      <c r="G2" s="824"/>
      <c r="H2" s="824"/>
      <c r="I2" s="824"/>
      <c r="J2" s="824"/>
      <c r="K2" s="824"/>
      <c r="L2" s="824"/>
      <c r="M2" s="824"/>
      <c r="N2" s="824"/>
      <c r="O2" s="824"/>
      <c r="P2" s="824"/>
      <c r="Q2" s="824"/>
      <c r="R2" s="824"/>
      <c r="S2" s="824"/>
      <c r="T2" s="824"/>
      <c r="U2" s="824"/>
      <c r="V2" s="824"/>
      <c r="W2" s="824"/>
      <c r="X2" s="824"/>
      <c r="Y2" s="824"/>
      <c r="Z2" s="824"/>
      <c r="AA2" s="824"/>
      <c r="AB2" s="824"/>
    </row>
    <row r="3" spans="1:28" x14ac:dyDescent="0.25">
      <c r="A3" s="822" t="s">
        <v>66</v>
      </c>
      <c r="B3" s="30"/>
      <c r="C3" s="821" t="s">
        <v>2</v>
      </c>
      <c r="D3" s="15"/>
      <c r="E3" s="821" t="s">
        <v>67</v>
      </c>
      <c r="F3" s="15"/>
      <c r="G3" s="826" t="s">
        <v>68</v>
      </c>
      <c r="H3" s="823" t="s">
        <v>69</v>
      </c>
      <c r="I3" s="823"/>
      <c r="J3" s="826" t="s">
        <v>70</v>
      </c>
      <c r="K3" s="16" t="s">
        <v>69</v>
      </c>
      <c r="L3" s="828" t="s">
        <v>227</v>
      </c>
      <c r="M3" s="821" t="s">
        <v>71</v>
      </c>
      <c r="N3" s="823" t="s">
        <v>69</v>
      </c>
      <c r="O3" s="823"/>
      <c r="P3" s="823"/>
      <c r="Q3" s="823"/>
      <c r="R3" s="826" t="s">
        <v>72</v>
      </c>
      <c r="S3" s="826" t="s">
        <v>73</v>
      </c>
      <c r="T3" s="826" t="s">
        <v>74</v>
      </c>
      <c r="U3" s="826" t="s">
        <v>75</v>
      </c>
      <c r="V3" s="826" t="s">
        <v>76</v>
      </c>
      <c r="W3" s="826" t="s">
        <v>77</v>
      </c>
      <c r="X3" s="826" t="s">
        <v>78</v>
      </c>
      <c r="Y3" s="823" t="s">
        <v>69</v>
      </c>
      <c r="Z3" s="823"/>
      <c r="AA3" s="826" t="s">
        <v>79</v>
      </c>
      <c r="AB3" s="819" t="s">
        <v>80</v>
      </c>
    </row>
    <row r="4" spans="1:28" ht="75" x14ac:dyDescent="0.25">
      <c r="A4" s="825"/>
      <c r="B4" s="31" t="s">
        <v>119</v>
      </c>
      <c r="C4" s="821"/>
      <c r="D4" s="15"/>
      <c r="E4" s="821"/>
      <c r="F4" s="15" t="s">
        <v>120</v>
      </c>
      <c r="G4" s="826"/>
      <c r="H4" s="17" t="s">
        <v>81</v>
      </c>
      <c r="I4" s="17" t="s">
        <v>82</v>
      </c>
      <c r="J4" s="826"/>
      <c r="K4" s="17" t="s">
        <v>83</v>
      </c>
      <c r="L4" s="829"/>
      <c r="M4" s="821"/>
      <c r="N4" s="18" t="s">
        <v>84</v>
      </c>
      <c r="O4" s="18" t="s">
        <v>84</v>
      </c>
      <c r="P4" s="18" t="s">
        <v>84</v>
      </c>
      <c r="Q4" s="18" t="s">
        <v>84</v>
      </c>
      <c r="R4" s="826"/>
      <c r="S4" s="826"/>
      <c r="T4" s="826"/>
      <c r="U4" s="826"/>
      <c r="V4" s="826"/>
      <c r="W4" s="826"/>
      <c r="X4" s="826"/>
      <c r="Y4" s="17" t="s">
        <v>85</v>
      </c>
      <c r="Z4" s="17" t="s">
        <v>82</v>
      </c>
      <c r="AA4" s="826"/>
      <c r="AB4" s="827"/>
    </row>
    <row r="5" spans="1:28" ht="45" x14ac:dyDescent="0.25">
      <c r="A5" s="15">
        <v>1</v>
      </c>
      <c r="B5" s="15"/>
      <c r="C5" s="15">
        <v>2</v>
      </c>
      <c r="D5" s="15"/>
      <c r="E5" s="15">
        <v>3</v>
      </c>
      <c r="F5" s="15"/>
      <c r="G5" s="15">
        <v>4</v>
      </c>
      <c r="H5" s="18"/>
      <c r="I5" s="18"/>
      <c r="J5" s="15">
        <v>5</v>
      </c>
      <c r="K5" s="19" t="s">
        <v>86</v>
      </c>
      <c r="L5" s="15"/>
      <c r="M5" s="15">
        <v>6</v>
      </c>
      <c r="N5" s="19" t="s">
        <v>87</v>
      </c>
      <c r="O5" s="19" t="s">
        <v>88</v>
      </c>
      <c r="P5" s="19" t="s">
        <v>89</v>
      </c>
      <c r="Q5" s="19" t="s">
        <v>90</v>
      </c>
      <c r="R5" s="15">
        <v>7</v>
      </c>
      <c r="S5" s="15">
        <v>8</v>
      </c>
      <c r="T5" s="15">
        <v>9</v>
      </c>
      <c r="U5" s="15">
        <v>10</v>
      </c>
      <c r="V5" s="15">
        <v>11</v>
      </c>
      <c r="W5" s="15">
        <v>12</v>
      </c>
      <c r="X5" s="15">
        <v>13</v>
      </c>
      <c r="Y5" s="18"/>
      <c r="Z5" s="18"/>
      <c r="AA5" s="15">
        <v>14</v>
      </c>
      <c r="AB5" s="20" t="s">
        <v>91</v>
      </c>
    </row>
    <row r="6" spans="1:28" s="264" customFormat="1" ht="15" customHeight="1" x14ac:dyDescent="0.25">
      <c r="A6" s="830" t="s">
        <v>92</v>
      </c>
      <c r="B6" s="32">
        <v>1</v>
      </c>
      <c r="C6" s="830" t="s">
        <v>37</v>
      </c>
      <c r="D6" s="32">
        <v>0</v>
      </c>
      <c r="E6" s="21" t="s">
        <v>11</v>
      </c>
      <c r="F6" s="21">
        <v>1</v>
      </c>
      <c r="G6" s="22">
        <v>54020</v>
      </c>
      <c r="H6" s="22">
        <f>ROUND(G6/1.302,0)</f>
        <v>41490</v>
      </c>
      <c r="I6" s="22">
        <f>G6-H6</f>
        <v>12530</v>
      </c>
      <c r="J6" s="22">
        <v>220</v>
      </c>
      <c r="K6" s="22">
        <f t="shared" ref="K6:K18" si="0">J6*0.2</f>
        <v>44</v>
      </c>
      <c r="L6" s="22">
        <v>2320</v>
      </c>
      <c r="M6" s="22">
        <f>N6+O6+P6+Q6</f>
        <v>3710</v>
      </c>
      <c r="N6" s="22">
        <v>520</v>
      </c>
      <c r="O6" s="22">
        <v>2140</v>
      </c>
      <c r="P6" s="22">
        <v>310</v>
      </c>
      <c r="Q6" s="22">
        <v>740</v>
      </c>
      <c r="R6" s="22">
        <v>2460</v>
      </c>
      <c r="S6" s="22">
        <v>5080</v>
      </c>
      <c r="T6" s="22">
        <v>540</v>
      </c>
      <c r="U6" s="22">
        <v>770</v>
      </c>
      <c r="V6" s="22">
        <v>80</v>
      </c>
      <c r="W6" s="22">
        <v>300</v>
      </c>
      <c r="X6" s="22">
        <v>13440</v>
      </c>
      <c r="Y6" s="22">
        <f>ROUND(X6/1.302,0)</f>
        <v>10323</v>
      </c>
      <c r="Z6" s="22">
        <f>X6-Y6</f>
        <v>3117</v>
      </c>
      <c r="AA6" s="22">
        <v>3520</v>
      </c>
      <c r="AB6" s="23">
        <f t="shared" ref="AB6:AB33" si="1">G6+J6+L6+M6+R6+S6+T6+U6+V6+W6+X6+AA6</f>
        <v>86460</v>
      </c>
    </row>
    <row r="7" spans="1:28" s="264" customFormat="1" x14ac:dyDescent="0.25">
      <c r="A7" s="831"/>
      <c r="B7" s="32">
        <v>1</v>
      </c>
      <c r="C7" s="831"/>
      <c r="D7" s="32">
        <v>0</v>
      </c>
      <c r="E7" s="21" t="s">
        <v>13</v>
      </c>
      <c r="F7" s="21">
        <v>2</v>
      </c>
      <c r="G7" s="22">
        <v>58840</v>
      </c>
      <c r="H7" s="22">
        <f t="shared" ref="H7:H18" si="2">ROUND(G7/1.302,0)</f>
        <v>45192</v>
      </c>
      <c r="I7" s="22">
        <f t="shared" ref="I7:I18" si="3">G7-H7</f>
        <v>13648</v>
      </c>
      <c r="J7" s="22">
        <v>1610</v>
      </c>
      <c r="K7" s="22">
        <f t="shared" si="0"/>
        <v>322</v>
      </c>
      <c r="L7" s="22">
        <v>3480</v>
      </c>
      <c r="M7" s="22">
        <f t="shared" ref="M7:M18" si="4">N7+O7+P7+Q7</f>
        <v>9500</v>
      </c>
      <c r="N7" s="22">
        <v>520</v>
      </c>
      <c r="O7" s="22">
        <v>7840</v>
      </c>
      <c r="P7" s="22">
        <v>330</v>
      </c>
      <c r="Q7" s="22">
        <v>810</v>
      </c>
      <c r="R7" s="22">
        <v>2680</v>
      </c>
      <c r="S7" s="22">
        <v>5800</v>
      </c>
      <c r="T7" s="22">
        <v>540</v>
      </c>
      <c r="U7" s="22">
        <v>770</v>
      </c>
      <c r="V7" s="22">
        <v>80</v>
      </c>
      <c r="W7" s="22">
        <v>760</v>
      </c>
      <c r="X7" s="22">
        <v>14780</v>
      </c>
      <c r="Y7" s="22">
        <f t="shared" ref="Y7:Y18" si="5">ROUND(X7/1.302,0)</f>
        <v>11352</v>
      </c>
      <c r="Z7" s="22">
        <f t="shared" ref="Z7:Z18" si="6">X7-Y7</f>
        <v>3428</v>
      </c>
      <c r="AA7" s="22">
        <v>3520</v>
      </c>
      <c r="AB7" s="23">
        <f>G7+J7+L7+M7+R7+S7+T7+U7+V7+W7+X7+AA7</f>
        <v>102360</v>
      </c>
    </row>
    <row r="8" spans="1:28" s="590" customFormat="1" ht="34.15" customHeight="1" x14ac:dyDescent="0.25">
      <c r="A8" s="831"/>
      <c r="B8" s="586">
        <v>1</v>
      </c>
      <c r="C8" s="831"/>
      <c r="D8" s="586">
        <v>0</v>
      </c>
      <c r="E8" s="587" t="s">
        <v>241</v>
      </c>
      <c r="F8" s="587">
        <v>3</v>
      </c>
      <c r="G8" s="588">
        <v>64190</v>
      </c>
      <c r="H8" s="588">
        <f t="shared" si="2"/>
        <v>49301</v>
      </c>
      <c r="I8" s="588">
        <f t="shared" si="3"/>
        <v>14889</v>
      </c>
      <c r="J8" s="588">
        <v>8830</v>
      </c>
      <c r="K8" s="588">
        <f t="shared" si="0"/>
        <v>1766</v>
      </c>
      <c r="L8" s="588">
        <v>8110</v>
      </c>
      <c r="M8" s="588">
        <f t="shared" si="4"/>
        <v>19050</v>
      </c>
      <c r="N8" s="588">
        <v>520</v>
      </c>
      <c r="O8" s="588">
        <v>17290</v>
      </c>
      <c r="P8" s="588">
        <v>360</v>
      </c>
      <c r="Q8" s="588">
        <v>880</v>
      </c>
      <c r="R8" s="588">
        <v>2680</v>
      </c>
      <c r="S8" s="588">
        <v>5800</v>
      </c>
      <c r="T8" s="588">
        <v>540</v>
      </c>
      <c r="U8" s="588">
        <v>770</v>
      </c>
      <c r="V8" s="588">
        <v>80</v>
      </c>
      <c r="W8" s="588">
        <v>1050</v>
      </c>
      <c r="X8" s="588">
        <v>16120</v>
      </c>
      <c r="Y8" s="588">
        <f t="shared" si="5"/>
        <v>12381</v>
      </c>
      <c r="Z8" s="588">
        <f t="shared" si="6"/>
        <v>3739</v>
      </c>
      <c r="AA8" s="588">
        <v>3520</v>
      </c>
      <c r="AB8" s="589">
        <f t="shared" si="1"/>
        <v>130740</v>
      </c>
    </row>
    <row r="9" spans="1:28" s="264" customFormat="1" x14ac:dyDescent="0.25">
      <c r="A9" s="831"/>
      <c r="B9" s="268">
        <v>1</v>
      </c>
      <c r="C9" s="831"/>
      <c r="D9" s="268">
        <v>0</v>
      </c>
      <c r="E9" s="21" t="s">
        <v>242</v>
      </c>
      <c r="F9" s="21">
        <v>32</v>
      </c>
      <c r="G9" s="22">
        <v>117670</v>
      </c>
      <c r="H9" s="22">
        <f t="shared" ref="H9:H14" si="7">ROUND(G9/1.302,0)</f>
        <v>90376</v>
      </c>
      <c r="I9" s="22">
        <f t="shared" ref="I9:I14" si="8">G9-H9</f>
        <v>27294</v>
      </c>
      <c r="J9" s="22">
        <v>4830</v>
      </c>
      <c r="K9" s="22"/>
      <c r="L9" s="22">
        <v>3480</v>
      </c>
      <c r="M9" s="22">
        <f t="shared" si="4"/>
        <v>17160</v>
      </c>
      <c r="N9" s="22">
        <v>520</v>
      </c>
      <c r="O9" s="22">
        <v>14360</v>
      </c>
      <c r="P9" s="22">
        <v>670</v>
      </c>
      <c r="Q9" s="22">
        <v>1610</v>
      </c>
      <c r="R9" s="22">
        <v>2750</v>
      </c>
      <c r="S9" s="22">
        <v>5800</v>
      </c>
      <c r="T9" s="22">
        <v>540</v>
      </c>
      <c r="U9" s="22">
        <v>770</v>
      </c>
      <c r="V9" s="22">
        <v>80</v>
      </c>
      <c r="W9" s="22">
        <v>840</v>
      </c>
      <c r="X9" s="22">
        <v>16120</v>
      </c>
      <c r="Y9" s="22">
        <f t="shared" ref="Y9:Y14" si="9">ROUND(X9/1.302,0)</f>
        <v>12381</v>
      </c>
      <c r="Z9" s="22">
        <f t="shared" ref="Z9:Z14" si="10">X9-Y9</f>
        <v>3739</v>
      </c>
      <c r="AA9" s="22">
        <v>3520</v>
      </c>
      <c r="AB9" s="23">
        <f t="shared" si="1"/>
        <v>173560</v>
      </c>
    </row>
    <row r="10" spans="1:28" s="264" customFormat="1" x14ac:dyDescent="0.25">
      <c r="A10" s="832"/>
      <c r="B10" s="268">
        <v>1</v>
      </c>
      <c r="C10" s="832"/>
      <c r="D10" s="268">
        <v>0</v>
      </c>
      <c r="E10" s="21" t="s">
        <v>243</v>
      </c>
      <c r="F10" s="21">
        <v>33</v>
      </c>
      <c r="G10" s="22">
        <v>64190</v>
      </c>
      <c r="H10" s="22">
        <f t="shared" si="7"/>
        <v>49301</v>
      </c>
      <c r="I10" s="22">
        <f t="shared" si="8"/>
        <v>14889</v>
      </c>
      <c r="J10" s="22">
        <v>8830</v>
      </c>
      <c r="K10" s="22"/>
      <c r="L10" s="22">
        <v>8110</v>
      </c>
      <c r="M10" s="22">
        <f t="shared" si="4"/>
        <v>152240</v>
      </c>
      <c r="N10" s="22">
        <v>520</v>
      </c>
      <c r="O10" s="22">
        <v>150480</v>
      </c>
      <c r="P10" s="22">
        <v>360</v>
      </c>
      <c r="Q10" s="22">
        <v>880</v>
      </c>
      <c r="R10" s="22">
        <v>2680</v>
      </c>
      <c r="S10" s="22">
        <v>5800</v>
      </c>
      <c r="T10" s="22">
        <v>540</v>
      </c>
      <c r="U10" s="22">
        <v>770</v>
      </c>
      <c r="V10" s="22">
        <v>80</v>
      </c>
      <c r="W10" s="22">
        <v>2390</v>
      </c>
      <c r="X10" s="22">
        <v>16120</v>
      </c>
      <c r="Y10" s="22">
        <f t="shared" si="9"/>
        <v>12381</v>
      </c>
      <c r="Z10" s="22">
        <f t="shared" si="10"/>
        <v>3739</v>
      </c>
      <c r="AA10" s="22">
        <v>3520</v>
      </c>
      <c r="AB10" s="23">
        <f t="shared" si="1"/>
        <v>265270</v>
      </c>
    </row>
    <row r="11" spans="1:28" s="264" customFormat="1" x14ac:dyDescent="0.25">
      <c r="A11" s="791" t="s">
        <v>93</v>
      </c>
      <c r="B11" s="222">
        <v>2</v>
      </c>
      <c r="C11" s="791" t="s">
        <v>37</v>
      </c>
      <c r="D11" s="32">
        <v>0</v>
      </c>
      <c r="E11" s="21" t="s">
        <v>11</v>
      </c>
      <c r="F11" s="21">
        <v>1</v>
      </c>
      <c r="G11" s="22">
        <v>59740</v>
      </c>
      <c r="H11" s="22">
        <f t="shared" si="7"/>
        <v>45883</v>
      </c>
      <c r="I11" s="22">
        <f t="shared" si="8"/>
        <v>13857</v>
      </c>
      <c r="J11" s="22">
        <v>220</v>
      </c>
      <c r="K11" s="22">
        <f t="shared" si="0"/>
        <v>44</v>
      </c>
      <c r="L11" s="22">
        <v>2320</v>
      </c>
      <c r="M11" s="22">
        <f t="shared" si="4"/>
        <v>4350</v>
      </c>
      <c r="N11" s="22">
        <v>520</v>
      </c>
      <c r="O11" s="22">
        <v>2670</v>
      </c>
      <c r="P11" s="22">
        <v>340</v>
      </c>
      <c r="Q11" s="22">
        <v>820</v>
      </c>
      <c r="R11" s="22">
        <v>2460</v>
      </c>
      <c r="S11" s="22">
        <v>5080</v>
      </c>
      <c r="T11" s="22">
        <v>540</v>
      </c>
      <c r="U11" s="22">
        <v>770</v>
      </c>
      <c r="V11" s="22">
        <v>80</v>
      </c>
      <c r="W11" s="22">
        <v>120</v>
      </c>
      <c r="X11" s="22">
        <v>13440</v>
      </c>
      <c r="Y11" s="22">
        <f t="shared" si="9"/>
        <v>10323</v>
      </c>
      <c r="Z11" s="22">
        <f t="shared" si="10"/>
        <v>3117</v>
      </c>
      <c r="AA11" s="22">
        <v>3520</v>
      </c>
      <c r="AB11" s="23">
        <f t="shared" si="1"/>
        <v>92640</v>
      </c>
    </row>
    <row r="12" spans="1:28" s="264" customFormat="1" x14ac:dyDescent="0.25">
      <c r="A12" s="791"/>
      <c r="B12" s="222">
        <v>2</v>
      </c>
      <c r="C12" s="791"/>
      <c r="D12" s="32">
        <v>0</v>
      </c>
      <c r="E12" s="21" t="s">
        <v>13</v>
      </c>
      <c r="F12" s="21">
        <v>2</v>
      </c>
      <c r="G12" s="22">
        <v>64720</v>
      </c>
      <c r="H12" s="22">
        <f t="shared" si="7"/>
        <v>49708</v>
      </c>
      <c r="I12" s="22">
        <f t="shared" si="8"/>
        <v>15012</v>
      </c>
      <c r="J12" s="22">
        <v>1610</v>
      </c>
      <c r="K12" s="22">
        <f t="shared" si="0"/>
        <v>322</v>
      </c>
      <c r="L12" s="22">
        <v>3480</v>
      </c>
      <c r="M12" s="22">
        <f t="shared" si="4"/>
        <v>10170</v>
      </c>
      <c r="N12" s="22">
        <v>520</v>
      </c>
      <c r="O12" s="22">
        <v>8390</v>
      </c>
      <c r="P12" s="22">
        <v>370</v>
      </c>
      <c r="Q12" s="22">
        <v>890</v>
      </c>
      <c r="R12" s="22">
        <v>2680</v>
      </c>
      <c r="S12" s="22">
        <v>5800</v>
      </c>
      <c r="T12" s="22">
        <v>540</v>
      </c>
      <c r="U12" s="22">
        <v>770</v>
      </c>
      <c r="V12" s="22">
        <v>80</v>
      </c>
      <c r="W12" s="22">
        <v>330</v>
      </c>
      <c r="X12" s="22">
        <v>14780</v>
      </c>
      <c r="Y12" s="22">
        <f t="shared" si="9"/>
        <v>11352</v>
      </c>
      <c r="Z12" s="22">
        <f t="shared" si="10"/>
        <v>3428</v>
      </c>
      <c r="AA12" s="22">
        <v>3520</v>
      </c>
      <c r="AB12" s="23">
        <f t="shared" si="1"/>
        <v>108480</v>
      </c>
    </row>
    <row r="13" spans="1:28" s="264" customFormat="1" x14ac:dyDescent="0.25">
      <c r="A13" s="791"/>
      <c r="B13" s="267">
        <v>2</v>
      </c>
      <c r="C13" s="791"/>
      <c r="D13" s="268">
        <v>0</v>
      </c>
      <c r="E13" s="21" t="s">
        <v>244</v>
      </c>
      <c r="F13" s="21">
        <v>3</v>
      </c>
      <c r="G13" s="22">
        <v>70600</v>
      </c>
      <c r="H13" s="22">
        <f t="shared" si="7"/>
        <v>54224</v>
      </c>
      <c r="I13" s="22">
        <f t="shared" si="8"/>
        <v>16376</v>
      </c>
      <c r="J13" s="22">
        <v>8860</v>
      </c>
      <c r="K13" s="22"/>
      <c r="L13" s="22">
        <v>8110</v>
      </c>
      <c r="M13" s="22">
        <f t="shared" si="4"/>
        <v>21610</v>
      </c>
      <c r="N13" s="22">
        <v>520</v>
      </c>
      <c r="O13" s="22">
        <v>19720</v>
      </c>
      <c r="P13" s="22">
        <v>400</v>
      </c>
      <c r="Q13" s="22">
        <v>970</v>
      </c>
      <c r="R13" s="22">
        <v>2680</v>
      </c>
      <c r="S13" s="22">
        <v>5800</v>
      </c>
      <c r="T13" s="22">
        <v>540</v>
      </c>
      <c r="U13" s="22">
        <v>770</v>
      </c>
      <c r="V13" s="22">
        <v>80</v>
      </c>
      <c r="W13" s="22">
        <v>330</v>
      </c>
      <c r="X13" s="22">
        <v>16120</v>
      </c>
      <c r="Y13" s="22">
        <f t="shared" si="9"/>
        <v>12381</v>
      </c>
      <c r="Z13" s="22">
        <f t="shared" si="10"/>
        <v>3739</v>
      </c>
      <c r="AA13" s="22">
        <v>3520</v>
      </c>
      <c r="AB13" s="23">
        <f t="shared" si="1"/>
        <v>139020</v>
      </c>
    </row>
    <row r="14" spans="1:28" s="264" customFormat="1" x14ac:dyDescent="0.25">
      <c r="A14" s="791"/>
      <c r="B14" s="267">
        <v>2</v>
      </c>
      <c r="C14" s="791"/>
      <c r="D14" s="268">
        <v>0</v>
      </c>
      <c r="E14" s="21" t="s">
        <v>245</v>
      </c>
      <c r="F14" s="21">
        <v>32</v>
      </c>
      <c r="G14" s="22">
        <v>129440</v>
      </c>
      <c r="H14" s="22">
        <f t="shared" si="7"/>
        <v>99416</v>
      </c>
      <c r="I14" s="22">
        <f t="shared" si="8"/>
        <v>30024</v>
      </c>
      <c r="J14" s="22">
        <v>4860</v>
      </c>
      <c r="K14" s="22"/>
      <c r="L14" s="22">
        <v>3480</v>
      </c>
      <c r="M14" s="22">
        <f t="shared" si="4"/>
        <v>20310</v>
      </c>
      <c r="N14" s="22">
        <v>520</v>
      </c>
      <c r="O14" s="22">
        <v>17280</v>
      </c>
      <c r="P14" s="22">
        <v>730</v>
      </c>
      <c r="Q14" s="22">
        <v>1780</v>
      </c>
      <c r="R14" s="22">
        <v>2750</v>
      </c>
      <c r="S14" s="22">
        <v>5800</v>
      </c>
      <c r="T14" s="22">
        <v>540</v>
      </c>
      <c r="U14" s="22">
        <v>770</v>
      </c>
      <c r="V14" s="22">
        <v>80</v>
      </c>
      <c r="W14" s="22">
        <v>390</v>
      </c>
      <c r="X14" s="22">
        <v>16120</v>
      </c>
      <c r="Y14" s="22">
        <f t="shared" si="9"/>
        <v>12381</v>
      </c>
      <c r="Z14" s="22">
        <f t="shared" si="10"/>
        <v>3739</v>
      </c>
      <c r="AA14" s="22">
        <v>3520</v>
      </c>
      <c r="AB14" s="23">
        <f t="shared" si="1"/>
        <v>188060</v>
      </c>
    </row>
    <row r="15" spans="1:28" s="264" customFormat="1" x14ac:dyDescent="0.25">
      <c r="A15" s="791" t="s">
        <v>94</v>
      </c>
      <c r="B15" s="222">
        <v>3</v>
      </c>
      <c r="C15" s="791" t="s">
        <v>37</v>
      </c>
      <c r="D15" s="32">
        <v>0</v>
      </c>
      <c r="E15" s="21" t="s">
        <v>11</v>
      </c>
      <c r="F15" s="21">
        <v>1</v>
      </c>
      <c r="G15" s="22">
        <v>78450</v>
      </c>
      <c r="H15" s="22">
        <f t="shared" si="2"/>
        <v>60253</v>
      </c>
      <c r="I15" s="22">
        <f t="shared" si="3"/>
        <v>18197</v>
      </c>
      <c r="J15" s="22">
        <v>220</v>
      </c>
      <c r="K15" s="22">
        <f t="shared" si="0"/>
        <v>44</v>
      </c>
      <c r="L15" s="22">
        <v>2320</v>
      </c>
      <c r="M15" s="22">
        <f t="shared" si="4"/>
        <v>4510</v>
      </c>
      <c r="N15" s="22">
        <v>880</v>
      </c>
      <c r="O15" s="22">
        <v>2110</v>
      </c>
      <c r="P15" s="22">
        <v>440</v>
      </c>
      <c r="Q15" s="22">
        <v>1080</v>
      </c>
      <c r="R15" s="22">
        <v>2490</v>
      </c>
      <c r="S15" s="22">
        <v>5080</v>
      </c>
      <c r="T15" s="22">
        <v>540</v>
      </c>
      <c r="U15" s="22">
        <v>770</v>
      </c>
      <c r="V15" s="22">
        <v>170</v>
      </c>
      <c r="W15" s="22">
        <v>130</v>
      </c>
      <c r="X15" s="22">
        <v>13440</v>
      </c>
      <c r="Y15" s="22">
        <f t="shared" si="5"/>
        <v>10323</v>
      </c>
      <c r="Z15" s="22">
        <f t="shared" si="6"/>
        <v>3117</v>
      </c>
      <c r="AA15" s="22">
        <v>0</v>
      </c>
      <c r="AB15" s="23">
        <f t="shared" si="1"/>
        <v>108120</v>
      </c>
    </row>
    <row r="16" spans="1:28" s="264" customFormat="1" x14ac:dyDescent="0.25">
      <c r="A16" s="791"/>
      <c r="B16" s="222">
        <v>3</v>
      </c>
      <c r="C16" s="791"/>
      <c r="D16" s="32">
        <v>0</v>
      </c>
      <c r="E16" s="21" t="s">
        <v>13</v>
      </c>
      <c r="F16" s="21">
        <v>2</v>
      </c>
      <c r="G16" s="22">
        <v>78450</v>
      </c>
      <c r="H16" s="22">
        <f t="shared" si="2"/>
        <v>60253</v>
      </c>
      <c r="I16" s="22">
        <f t="shared" si="3"/>
        <v>18197</v>
      </c>
      <c r="J16" s="22">
        <v>1610</v>
      </c>
      <c r="K16" s="22">
        <f t="shared" si="0"/>
        <v>322</v>
      </c>
      <c r="L16" s="22">
        <v>3480</v>
      </c>
      <c r="M16" s="22">
        <f t="shared" si="4"/>
        <v>8580</v>
      </c>
      <c r="N16" s="22">
        <v>880</v>
      </c>
      <c r="O16" s="22">
        <v>6180</v>
      </c>
      <c r="P16" s="22">
        <v>440</v>
      </c>
      <c r="Q16" s="22">
        <v>1080</v>
      </c>
      <c r="R16" s="22">
        <v>2490</v>
      </c>
      <c r="S16" s="22">
        <v>5800</v>
      </c>
      <c r="T16" s="22">
        <v>540</v>
      </c>
      <c r="U16" s="22">
        <v>770</v>
      </c>
      <c r="V16" s="22">
        <v>170</v>
      </c>
      <c r="W16" s="22">
        <v>200</v>
      </c>
      <c r="X16" s="22">
        <v>13440</v>
      </c>
      <c r="Y16" s="22">
        <f t="shared" si="5"/>
        <v>10323</v>
      </c>
      <c r="Z16" s="22">
        <f t="shared" si="6"/>
        <v>3117</v>
      </c>
      <c r="AA16" s="22">
        <v>0</v>
      </c>
      <c r="AB16" s="23">
        <f t="shared" si="1"/>
        <v>115530</v>
      </c>
    </row>
    <row r="17" spans="1:30" s="264" customFormat="1" x14ac:dyDescent="0.25">
      <c r="A17" s="791"/>
      <c r="B17" s="222">
        <v>3</v>
      </c>
      <c r="C17" s="791"/>
      <c r="D17" s="32">
        <v>0</v>
      </c>
      <c r="E17" s="21" t="s">
        <v>244</v>
      </c>
      <c r="F17" s="21">
        <v>3</v>
      </c>
      <c r="G17" s="22">
        <v>78450</v>
      </c>
      <c r="H17" s="22">
        <f t="shared" si="2"/>
        <v>60253</v>
      </c>
      <c r="I17" s="22">
        <f t="shared" si="3"/>
        <v>18197</v>
      </c>
      <c r="J17" s="22">
        <v>6840</v>
      </c>
      <c r="K17" s="22">
        <f t="shared" si="0"/>
        <v>1368</v>
      </c>
      <c r="L17" s="22">
        <v>8110</v>
      </c>
      <c r="M17" s="22">
        <f t="shared" si="4"/>
        <v>23360</v>
      </c>
      <c r="N17" s="22">
        <v>880</v>
      </c>
      <c r="O17" s="22">
        <v>20960</v>
      </c>
      <c r="P17" s="22">
        <v>440</v>
      </c>
      <c r="Q17" s="22">
        <v>1080</v>
      </c>
      <c r="R17" s="22">
        <v>2700</v>
      </c>
      <c r="S17" s="22">
        <v>5800</v>
      </c>
      <c r="T17" s="22">
        <v>540</v>
      </c>
      <c r="U17" s="22">
        <v>770</v>
      </c>
      <c r="V17" s="22">
        <v>170</v>
      </c>
      <c r="W17" s="22">
        <v>200</v>
      </c>
      <c r="X17" s="22">
        <v>13440</v>
      </c>
      <c r="Y17" s="22">
        <f t="shared" si="5"/>
        <v>10323</v>
      </c>
      <c r="Z17" s="22">
        <f t="shared" si="6"/>
        <v>3117</v>
      </c>
      <c r="AA17" s="22">
        <v>0</v>
      </c>
      <c r="AB17" s="23">
        <f t="shared" si="1"/>
        <v>140380</v>
      </c>
    </row>
    <row r="18" spans="1:30" s="264" customFormat="1" ht="45" x14ac:dyDescent="0.25">
      <c r="A18" s="24" t="s">
        <v>95</v>
      </c>
      <c r="B18" s="24"/>
      <c r="C18" s="222" t="s">
        <v>37</v>
      </c>
      <c r="D18" s="32">
        <v>0</v>
      </c>
      <c r="E18" s="21"/>
      <c r="F18" s="21"/>
      <c r="G18" s="22">
        <v>78450</v>
      </c>
      <c r="H18" s="22">
        <f t="shared" si="2"/>
        <v>60253</v>
      </c>
      <c r="I18" s="22">
        <f t="shared" si="3"/>
        <v>18197</v>
      </c>
      <c r="J18" s="22">
        <v>220</v>
      </c>
      <c r="K18" s="22">
        <f t="shared" si="0"/>
        <v>44</v>
      </c>
      <c r="L18" s="22">
        <v>2320</v>
      </c>
      <c r="M18" s="22">
        <f t="shared" si="4"/>
        <v>4510</v>
      </c>
      <c r="N18" s="22">
        <v>880</v>
      </c>
      <c r="O18" s="22">
        <v>2110</v>
      </c>
      <c r="P18" s="22">
        <v>440</v>
      </c>
      <c r="Q18" s="22">
        <v>1080</v>
      </c>
      <c r="R18" s="22">
        <v>2490</v>
      </c>
      <c r="S18" s="22">
        <v>5080</v>
      </c>
      <c r="T18" s="22">
        <v>540</v>
      </c>
      <c r="U18" s="22">
        <v>770</v>
      </c>
      <c r="V18" s="22">
        <v>170</v>
      </c>
      <c r="W18" s="22">
        <v>130</v>
      </c>
      <c r="X18" s="22">
        <v>13440</v>
      </c>
      <c r="Y18" s="22">
        <f t="shared" si="5"/>
        <v>10323</v>
      </c>
      <c r="Z18" s="22">
        <f t="shared" si="6"/>
        <v>3117</v>
      </c>
      <c r="AA18" s="22">
        <v>0</v>
      </c>
      <c r="AB18" s="23">
        <f t="shared" si="1"/>
        <v>108120</v>
      </c>
    </row>
    <row r="19" spans="1:30" s="264" customFormat="1" x14ac:dyDescent="0.25">
      <c r="A19" s="24" t="s">
        <v>96</v>
      </c>
      <c r="B19" s="24"/>
      <c r="C19" s="222" t="s">
        <v>37</v>
      </c>
      <c r="D19" s="32">
        <v>0</v>
      </c>
      <c r="E19" s="21"/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>
        <f t="shared" si="1"/>
        <v>0</v>
      </c>
    </row>
    <row r="20" spans="1:30" s="264" customFormat="1" x14ac:dyDescent="0.25">
      <c r="A20" s="791" t="s">
        <v>92</v>
      </c>
      <c r="B20" s="222">
        <v>1</v>
      </c>
      <c r="C20" s="791" t="s">
        <v>36</v>
      </c>
      <c r="D20" s="222">
        <v>3</v>
      </c>
      <c r="E20" s="21" t="s">
        <v>11</v>
      </c>
      <c r="F20" s="21">
        <v>1</v>
      </c>
      <c r="G20" s="22">
        <f>0.1*G6</f>
        <v>5402</v>
      </c>
      <c r="H20" s="22">
        <f>ROUND(G20/1.302,0)</f>
        <v>4149</v>
      </c>
      <c r="I20" s="22">
        <f>G20-H20</f>
        <v>1253</v>
      </c>
      <c r="J20" s="22">
        <f>0.1*J6</f>
        <v>22</v>
      </c>
      <c r="K20" s="22">
        <f t="shared" ref="K20:K33" si="11">ROUND(J20*0.2,0)</f>
        <v>4</v>
      </c>
      <c r="L20" s="22">
        <f>0.1*L6</f>
        <v>232</v>
      </c>
      <c r="M20" s="22">
        <f>N20+O20+P20+Q20</f>
        <v>371</v>
      </c>
      <c r="N20" s="22">
        <f t="shared" ref="N20:X20" si="12">0.1*N6</f>
        <v>52</v>
      </c>
      <c r="O20" s="22">
        <f t="shared" si="12"/>
        <v>214</v>
      </c>
      <c r="P20" s="22">
        <f t="shared" si="12"/>
        <v>31</v>
      </c>
      <c r="Q20" s="22">
        <f t="shared" si="12"/>
        <v>74</v>
      </c>
      <c r="R20" s="22">
        <f t="shared" si="12"/>
        <v>246</v>
      </c>
      <c r="S20" s="22">
        <f t="shared" si="12"/>
        <v>508</v>
      </c>
      <c r="T20" s="22">
        <f t="shared" si="12"/>
        <v>54</v>
      </c>
      <c r="U20" s="22">
        <f t="shared" si="12"/>
        <v>77</v>
      </c>
      <c r="V20" s="22">
        <f t="shared" si="12"/>
        <v>8</v>
      </c>
      <c r="W20" s="22">
        <f t="shared" si="12"/>
        <v>30</v>
      </c>
      <c r="X20" s="22">
        <f t="shared" si="12"/>
        <v>1344</v>
      </c>
      <c r="Y20" s="22">
        <f>ROUND(X20/1.302,0)</f>
        <v>1032</v>
      </c>
      <c r="Z20" s="22">
        <f>X20-Y20</f>
        <v>312</v>
      </c>
      <c r="AA20" s="22">
        <v>0</v>
      </c>
      <c r="AB20" s="23">
        <f t="shared" si="1"/>
        <v>8294</v>
      </c>
    </row>
    <row r="21" spans="1:30" s="264" customFormat="1" x14ac:dyDescent="0.25">
      <c r="A21" s="791"/>
      <c r="B21" s="267">
        <v>1</v>
      </c>
      <c r="C21" s="791"/>
      <c r="D21" s="222">
        <v>3</v>
      </c>
      <c r="E21" s="21" t="s">
        <v>13</v>
      </c>
      <c r="F21" s="21">
        <v>2</v>
      </c>
      <c r="G21" s="22">
        <f t="shared" ref="G21:G23" si="13">0.1*G7</f>
        <v>5884</v>
      </c>
      <c r="H21" s="22">
        <f t="shared" ref="H21:H23" si="14">ROUND(G21/1.302,0)</f>
        <v>4519</v>
      </c>
      <c r="I21" s="22">
        <f t="shared" ref="I21:I23" si="15">G21-H21</f>
        <v>1365</v>
      </c>
      <c r="J21" s="22">
        <f t="shared" ref="J21:J23" si="16">0.1*J7</f>
        <v>161</v>
      </c>
      <c r="K21" s="22">
        <f t="shared" ref="K21:K24" si="17">ROUND(J21*0.2,0)</f>
        <v>32</v>
      </c>
      <c r="L21" s="22">
        <f t="shared" ref="L21:L23" si="18">0.1*L7</f>
        <v>348</v>
      </c>
      <c r="M21" s="22">
        <f t="shared" ref="M21:M23" si="19">N21+O21+P21+Q21</f>
        <v>950</v>
      </c>
      <c r="N21" s="22">
        <f t="shared" ref="N21:X21" si="20">0.1*N7</f>
        <v>52</v>
      </c>
      <c r="O21" s="22">
        <f t="shared" si="20"/>
        <v>784</v>
      </c>
      <c r="P21" s="22">
        <f t="shared" si="20"/>
        <v>33</v>
      </c>
      <c r="Q21" s="22">
        <f t="shared" si="20"/>
        <v>81</v>
      </c>
      <c r="R21" s="22">
        <f t="shared" si="20"/>
        <v>268</v>
      </c>
      <c r="S21" s="22">
        <f t="shared" si="20"/>
        <v>580</v>
      </c>
      <c r="T21" s="22">
        <f t="shared" si="20"/>
        <v>54</v>
      </c>
      <c r="U21" s="22">
        <f t="shared" si="20"/>
        <v>77</v>
      </c>
      <c r="V21" s="22">
        <f t="shared" si="20"/>
        <v>8</v>
      </c>
      <c r="W21" s="22">
        <f t="shared" si="20"/>
        <v>76</v>
      </c>
      <c r="X21" s="22">
        <f t="shared" si="20"/>
        <v>1478</v>
      </c>
      <c r="Y21" s="22">
        <f t="shared" ref="Y21:Y23" si="21">ROUND(X21/1.302,0)</f>
        <v>1135</v>
      </c>
      <c r="Z21" s="22">
        <f t="shared" ref="Z21:Z23" si="22">X21-Y21</f>
        <v>343</v>
      </c>
      <c r="AA21" s="22">
        <v>0</v>
      </c>
      <c r="AB21" s="23">
        <f t="shared" ref="AB21:AB24" si="23">G21+J21+L21+M21+R21+S21+T21+U21+V21+W21+X21+AA21</f>
        <v>9884</v>
      </c>
    </row>
    <row r="22" spans="1:30" s="264" customFormat="1" x14ac:dyDescent="0.25">
      <c r="A22" s="791"/>
      <c r="B22" s="267">
        <v>1</v>
      </c>
      <c r="C22" s="791"/>
      <c r="D22" s="267">
        <v>3</v>
      </c>
      <c r="E22" s="21" t="s">
        <v>241</v>
      </c>
      <c r="F22" s="21">
        <v>3</v>
      </c>
      <c r="G22" s="22">
        <f t="shared" si="13"/>
        <v>6419</v>
      </c>
      <c r="H22" s="22">
        <f t="shared" si="14"/>
        <v>4930</v>
      </c>
      <c r="I22" s="22">
        <f t="shared" si="15"/>
        <v>1489</v>
      </c>
      <c r="J22" s="22">
        <f t="shared" si="16"/>
        <v>883</v>
      </c>
      <c r="K22" s="22">
        <f t="shared" si="17"/>
        <v>177</v>
      </c>
      <c r="L22" s="22">
        <f t="shared" si="18"/>
        <v>811</v>
      </c>
      <c r="M22" s="22">
        <f t="shared" si="19"/>
        <v>1905</v>
      </c>
      <c r="N22" s="22">
        <f t="shared" ref="N22:X22" si="24">0.1*N8</f>
        <v>52</v>
      </c>
      <c r="O22" s="22">
        <f t="shared" si="24"/>
        <v>1729</v>
      </c>
      <c r="P22" s="22">
        <f t="shared" si="24"/>
        <v>36</v>
      </c>
      <c r="Q22" s="22">
        <f t="shared" si="24"/>
        <v>88</v>
      </c>
      <c r="R22" s="22">
        <f t="shared" si="24"/>
        <v>268</v>
      </c>
      <c r="S22" s="22">
        <f t="shared" si="24"/>
        <v>580</v>
      </c>
      <c r="T22" s="22">
        <f t="shared" si="24"/>
        <v>54</v>
      </c>
      <c r="U22" s="22">
        <f t="shared" si="24"/>
        <v>77</v>
      </c>
      <c r="V22" s="22">
        <f t="shared" si="24"/>
        <v>8</v>
      </c>
      <c r="W22" s="22">
        <f t="shared" si="24"/>
        <v>105</v>
      </c>
      <c r="X22" s="22">
        <f t="shared" si="24"/>
        <v>1612</v>
      </c>
      <c r="Y22" s="22">
        <f t="shared" si="21"/>
        <v>1238</v>
      </c>
      <c r="Z22" s="22">
        <f t="shared" si="22"/>
        <v>374</v>
      </c>
      <c r="AA22" s="22">
        <v>0</v>
      </c>
      <c r="AB22" s="23">
        <f t="shared" si="23"/>
        <v>12722</v>
      </c>
    </row>
    <row r="23" spans="1:30" s="264" customFormat="1" x14ac:dyDescent="0.25">
      <c r="A23" s="791"/>
      <c r="B23" s="267">
        <v>1</v>
      </c>
      <c r="C23" s="791"/>
      <c r="D23" s="267">
        <v>3</v>
      </c>
      <c r="E23" s="21" t="s">
        <v>242</v>
      </c>
      <c r="F23" s="21">
        <v>32</v>
      </c>
      <c r="G23" s="22">
        <f t="shared" si="13"/>
        <v>11767</v>
      </c>
      <c r="H23" s="22">
        <f t="shared" si="14"/>
        <v>9038</v>
      </c>
      <c r="I23" s="22">
        <f t="shared" si="15"/>
        <v>2729</v>
      </c>
      <c r="J23" s="22">
        <f t="shared" si="16"/>
        <v>483</v>
      </c>
      <c r="K23" s="22">
        <f t="shared" si="17"/>
        <v>97</v>
      </c>
      <c r="L23" s="22">
        <f t="shared" si="18"/>
        <v>348</v>
      </c>
      <c r="M23" s="22">
        <f t="shared" si="19"/>
        <v>1716</v>
      </c>
      <c r="N23" s="22">
        <f t="shared" ref="N23:X23" si="25">0.1*N9</f>
        <v>52</v>
      </c>
      <c r="O23" s="22">
        <f t="shared" si="25"/>
        <v>1436</v>
      </c>
      <c r="P23" s="22">
        <f t="shared" si="25"/>
        <v>67</v>
      </c>
      <c r="Q23" s="22">
        <f t="shared" si="25"/>
        <v>161</v>
      </c>
      <c r="R23" s="22">
        <f t="shared" si="25"/>
        <v>275</v>
      </c>
      <c r="S23" s="22">
        <f t="shared" si="25"/>
        <v>580</v>
      </c>
      <c r="T23" s="22">
        <f t="shared" si="25"/>
        <v>54</v>
      </c>
      <c r="U23" s="22">
        <f t="shared" si="25"/>
        <v>77</v>
      </c>
      <c r="V23" s="22">
        <f t="shared" si="25"/>
        <v>8</v>
      </c>
      <c r="W23" s="22">
        <f t="shared" si="25"/>
        <v>84</v>
      </c>
      <c r="X23" s="22">
        <f t="shared" si="25"/>
        <v>1612</v>
      </c>
      <c r="Y23" s="22">
        <f t="shared" si="21"/>
        <v>1238</v>
      </c>
      <c r="Z23" s="22">
        <f t="shared" si="22"/>
        <v>374</v>
      </c>
      <c r="AA23" s="22">
        <v>0</v>
      </c>
      <c r="AB23" s="23">
        <f t="shared" si="23"/>
        <v>17004</v>
      </c>
    </row>
    <row r="24" spans="1:30" s="264" customFormat="1" x14ac:dyDescent="0.25">
      <c r="A24" s="791"/>
      <c r="B24" s="222">
        <v>1</v>
      </c>
      <c r="C24" s="791"/>
      <c r="D24" s="222">
        <v>3</v>
      </c>
      <c r="E24" s="21" t="s">
        <v>243</v>
      </c>
      <c r="F24" s="21">
        <v>33</v>
      </c>
      <c r="G24" s="22">
        <f>0.1*G10</f>
        <v>6419</v>
      </c>
      <c r="H24" s="22">
        <f>ROUND(G24/1.302,0)</f>
        <v>4930</v>
      </c>
      <c r="I24" s="22">
        <f>G24-H24</f>
        <v>1489</v>
      </c>
      <c r="J24" s="22">
        <f>0.1*J10</f>
        <v>883</v>
      </c>
      <c r="K24" s="22">
        <f t="shared" si="17"/>
        <v>177</v>
      </c>
      <c r="L24" s="22">
        <f>0.1*L10</f>
        <v>811</v>
      </c>
      <c r="M24" s="22">
        <f>N24+O24+P24+Q24</f>
        <v>15224</v>
      </c>
      <c r="N24" s="22">
        <f t="shared" ref="N24:X24" si="26">0.1*N10</f>
        <v>52</v>
      </c>
      <c r="O24" s="22">
        <f t="shared" si="26"/>
        <v>15048</v>
      </c>
      <c r="P24" s="22">
        <f t="shared" si="26"/>
        <v>36</v>
      </c>
      <c r="Q24" s="22">
        <f t="shared" si="26"/>
        <v>88</v>
      </c>
      <c r="R24" s="22">
        <f t="shared" si="26"/>
        <v>268</v>
      </c>
      <c r="S24" s="22">
        <f t="shared" si="26"/>
        <v>580</v>
      </c>
      <c r="T24" s="22">
        <f t="shared" si="26"/>
        <v>54</v>
      </c>
      <c r="U24" s="22">
        <f t="shared" si="26"/>
        <v>77</v>
      </c>
      <c r="V24" s="22">
        <f t="shared" si="26"/>
        <v>8</v>
      </c>
      <c r="W24" s="22">
        <f t="shared" si="26"/>
        <v>239</v>
      </c>
      <c r="X24" s="22">
        <f t="shared" si="26"/>
        <v>1612</v>
      </c>
      <c r="Y24" s="22">
        <f>ROUND(X24/1.302,0)</f>
        <v>1238</v>
      </c>
      <c r="Z24" s="22">
        <f>X24-Y24</f>
        <v>374</v>
      </c>
      <c r="AA24" s="22">
        <v>0</v>
      </c>
      <c r="AB24" s="23">
        <f t="shared" si="23"/>
        <v>26175</v>
      </c>
    </row>
    <row r="25" spans="1:30" x14ac:dyDescent="0.25">
      <c r="A25" s="791" t="s">
        <v>93</v>
      </c>
      <c r="B25" s="25">
        <v>2</v>
      </c>
      <c r="C25" s="791" t="s">
        <v>36</v>
      </c>
      <c r="D25" s="25">
        <v>3</v>
      </c>
      <c r="E25" s="21" t="s">
        <v>11</v>
      </c>
      <c r="F25" s="21">
        <v>1</v>
      </c>
      <c r="G25" s="22">
        <f>0.1*G11</f>
        <v>5974</v>
      </c>
      <c r="H25" s="22">
        <f t="shared" ref="H25:H33" si="27">ROUND(G25/1.302,0)</f>
        <v>4588</v>
      </c>
      <c r="I25" s="22">
        <f t="shared" ref="I25:I33" si="28">G25-H25</f>
        <v>1386</v>
      </c>
      <c r="J25" s="22">
        <f>0.1*J11</f>
        <v>22</v>
      </c>
      <c r="K25" s="22">
        <f t="shared" si="11"/>
        <v>4</v>
      </c>
      <c r="L25" s="22">
        <f>0.1*L11</f>
        <v>232</v>
      </c>
      <c r="M25" s="22">
        <f t="shared" ref="M25:M33" si="29">N25+O25+P25+Q25</f>
        <v>435</v>
      </c>
      <c r="N25" s="22">
        <f t="shared" ref="N25:X25" si="30">0.1*N11</f>
        <v>52</v>
      </c>
      <c r="O25" s="22">
        <f t="shared" si="30"/>
        <v>267</v>
      </c>
      <c r="P25" s="22">
        <f t="shared" si="30"/>
        <v>34</v>
      </c>
      <c r="Q25" s="22">
        <f t="shared" si="30"/>
        <v>82</v>
      </c>
      <c r="R25" s="22">
        <f t="shared" si="30"/>
        <v>246</v>
      </c>
      <c r="S25" s="22">
        <f t="shared" si="30"/>
        <v>508</v>
      </c>
      <c r="T25" s="22">
        <f t="shared" si="30"/>
        <v>54</v>
      </c>
      <c r="U25" s="22">
        <f t="shared" si="30"/>
        <v>77</v>
      </c>
      <c r="V25" s="22">
        <f t="shared" si="30"/>
        <v>8</v>
      </c>
      <c r="W25" s="22">
        <f t="shared" si="30"/>
        <v>12</v>
      </c>
      <c r="X25" s="22">
        <f t="shared" si="30"/>
        <v>1344</v>
      </c>
      <c r="Y25" s="22">
        <f t="shared" ref="Y25:Y33" si="31">ROUND(X25/1.302,0)</f>
        <v>1032</v>
      </c>
      <c r="Z25" s="22">
        <f t="shared" ref="Z25:Z33" si="32">X25-Y25</f>
        <v>312</v>
      </c>
      <c r="AA25" s="22">
        <v>0</v>
      </c>
      <c r="AB25" s="23">
        <f t="shared" si="1"/>
        <v>8912</v>
      </c>
      <c r="AD25" s="693"/>
    </row>
    <row r="26" spans="1:30" x14ac:dyDescent="0.25">
      <c r="A26" s="791"/>
      <c r="B26" s="25">
        <v>2</v>
      </c>
      <c r="C26" s="791"/>
      <c r="D26" s="25">
        <v>3</v>
      </c>
      <c r="E26" s="21" t="s">
        <v>13</v>
      </c>
      <c r="F26" s="21">
        <v>2</v>
      </c>
      <c r="G26" s="22">
        <f t="shared" ref="G26:G28" si="33">0.1*G12</f>
        <v>6472</v>
      </c>
      <c r="H26" s="22">
        <f t="shared" ref="H26:H28" si="34">ROUND(G26/1.302,0)</f>
        <v>4971</v>
      </c>
      <c r="I26" s="22">
        <f t="shared" ref="I26:I28" si="35">G26-H26</f>
        <v>1501</v>
      </c>
      <c r="J26" s="22">
        <f t="shared" ref="J26:J28" si="36">0.1*J12</f>
        <v>161</v>
      </c>
      <c r="K26" s="22">
        <f t="shared" ref="K26:K28" si="37">ROUND(J26*0.2,0)</f>
        <v>32</v>
      </c>
      <c r="L26" s="22">
        <f t="shared" ref="L26:L28" si="38">0.1*L12</f>
        <v>348</v>
      </c>
      <c r="M26" s="22">
        <f t="shared" ref="M26:M28" si="39">N26+O26+P26+Q26</f>
        <v>1017</v>
      </c>
      <c r="N26" s="22">
        <f t="shared" ref="N26:X26" si="40">0.1*N12</f>
        <v>52</v>
      </c>
      <c r="O26" s="22">
        <f t="shared" si="40"/>
        <v>839</v>
      </c>
      <c r="P26" s="22">
        <f t="shared" si="40"/>
        <v>37</v>
      </c>
      <c r="Q26" s="22">
        <f t="shared" si="40"/>
        <v>89</v>
      </c>
      <c r="R26" s="22">
        <f t="shared" si="40"/>
        <v>268</v>
      </c>
      <c r="S26" s="22">
        <f t="shared" si="40"/>
        <v>580</v>
      </c>
      <c r="T26" s="22">
        <f t="shared" si="40"/>
        <v>54</v>
      </c>
      <c r="U26" s="22">
        <f t="shared" si="40"/>
        <v>77</v>
      </c>
      <c r="V26" s="22">
        <f t="shared" si="40"/>
        <v>8</v>
      </c>
      <c r="W26" s="22">
        <f t="shared" si="40"/>
        <v>33</v>
      </c>
      <c r="X26" s="22">
        <f t="shared" si="40"/>
        <v>1478</v>
      </c>
      <c r="Y26" s="22">
        <f t="shared" ref="Y26:Y28" si="41">ROUND(X26/1.302,0)</f>
        <v>1135</v>
      </c>
      <c r="Z26" s="22">
        <f t="shared" ref="Z26:Z28" si="42">X26-Y26</f>
        <v>343</v>
      </c>
      <c r="AA26" s="22">
        <v>0</v>
      </c>
      <c r="AB26" s="23">
        <f t="shared" ref="AB26:AB28" si="43">G26+J26+L26+M26+R26+S26+T26+U26+V26+W26+X26+AA26</f>
        <v>10496</v>
      </c>
    </row>
    <row r="27" spans="1:30" x14ac:dyDescent="0.25">
      <c r="A27" s="791"/>
      <c r="B27" s="267">
        <v>2</v>
      </c>
      <c r="C27" s="791"/>
      <c r="D27" s="267">
        <v>3</v>
      </c>
      <c r="E27" s="21" t="s">
        <v>244</v>
      </c>
      <c r="F27" s="21"/>
      <c r="G27" s="22">
        <f t="shared" si="33"/>
        <v>7060</v>
      </c>
      <c r="H27" s="22">
        <f t="shared" si="34"/>
        <v>5422</v>
      </c>
      <c r="I27" s="22">
        <f t="shared" si="35"/>
        <v>1638</v>
      </c>
      <c r="J27" s="22">
        <f t="shared" si="36"/>
        <v>886</v>
      </c>
      <c r="K27" s="22">
        <f t="shared" si="37"/>
        <v>177</v>
      </c>
      <c r="L27" s="22">
        <f t="shared" si="38"/>
        <v>811</v>
      </c>
      <c r="M27" s="22">
        <f t="shared" si="39"/>
        <v>2161</v>
      </c>
      <c r="N27" s="22">
        <f t="shared" ref="N27:X27" si="44">0.1*N13</f>
        <v>52</v>
      </c>
      <c r="O27" s="22">
        <f t="shared" si="44"/>
        <v>1972</v>
      </c>
      <c r="P27" s="22">
        <f t="shared" si="44"/>
        <v>40</v>
      </c>
      <c r="Q27" s="22">
        <f t="shared" si="44"/>
        <v>97</v>
      </c>
      <c r="R27" s="22">
        <f t="shared" si="44"/>
        <v>268</v>
      </c>
      <c r="S27" s="22">
        <f t="shared" si="44"/>
        <v>580</v>
      </c>
      <c r="T27" s="22">
        <f t="shared" si="44"/>
        <v>54</v>
      </c>
      <c r="U27" s="22">
        <f t="shared" si="44"/>
        <v>77</v>
      </c>
      <c r="V27" s="22">
        <f t="shared" si="44"/>
        <v>8</v>
      </c>
      <c r="W27" s="22">
        <f t="shared" si="44"/>
        <v>33</v>
      </c>
      <c r="X27" s="22">
        <f t="shared" si="44"/>
        <v>1612</v>
      </c>
      <c r="Y27" s="22">
        <f t="shared" si="41"/>
        <v>1238</v>
      </c>
      <c r="Z27" s="22">
        <f t="shared" si="42"/>
        <v>374</v>
      </c>
      <c r="AA27" s="22">
        <v>0</v>
      </c>
      <c r="AB27" s="23">
        <f t="shared" si="43"/>
        <v>13550</v>
      </c>
    </row>
    <row r="28" spans="1:30" x14ac:dyDescent="0.25">
      <c r="A28" s="791"/>
      <c r="B28" s="25">
        <v>2</v>
      </c>
      <c r="C28" s="791"/>
      <c r="D28" s="25">
        <v>3</v>
      </c>
      <c r="E28" s="21" t="s">
        <v>245</v>
      </c>
      <c r="F28" s="21">
        <v>3</v>
      </c>
      <c r="G28" s="22">
        <f t="shared" si="33"/>
        <v>12944</v>
      </c>
      <c r="H28" s="22">
        <f t="shared" si="34"/>
        <v>9942</v>
      </c>
      <c r="I28" s="22">
        <f t="shared" si="35"/>
        <v>3002</v>
      </c>
      <c r="J28" s="22">
        <f t="shared" si="36"/>
        <v>486</v>
      </c>
      <c r="K28" s="22">
        <f t="shared" si="37"/>
        <v>97</v>
      </c>
      <c r="L28" s="22">
        <f t="shared" si="38"/>
        <v>348</v>
      </c>
      <c r="M28" s="22">
        <f t="shared" si="39"/>
        <v>2031</v>
      </c>
      <c r="N28" s="22">
        <f t="shared" ref="N28:X28" si="45">0.1*N14</f>
        <v>52</v>
      </c>
      <c r="O28" s="22">
        <f t="shared" si="45"/>
        <v>1728</v>
      </c>
      <c r="P28" s="22">
        <f t="shared" si="45"/>
        <v>73</v>
      </c>
      <c r="Q28" s="22">
        <f t="shared" si="45"/>
        <v>178</v>
      </c>
      <c r="R28" s="22">
        <f t="shared" si="45"/>
        <v>275</v>
      </c>
      <c r="S28" s="22">
        <f t="shared" si="45"/>
        <v>580</v>
      </c>
      <c r="T28" s="22">
        <f t="shared" si="45"/>
        <v>54</v>
      </c>
      <c r="U28" s="22">
        <f t="shared" si="45"/>
        <v>77</v>
      </c>
      <c r="V28" s="22">
        <f t="shared" si="45"/>
        <v>8</v>
      </c>
      <c r="W28" s="22">
        <f t="shared" si="45"/>
        <v>39</v>
      </c>
      <c r="X28" s="22">
        <f t="shared" si="45"/>
        <v>1612</v>
      </c>
      <c r="Y28" s="22">
        <f t="shared" si="41"/>
        <v>1238</v>
      </c>
      <c r="Z28" s="22">
        <f t="shared" si="42"/>
        <v>374</v>
      </c>
      <c r="AA28" s="22">
        <v>0</v>
      </c>
      <c r="AB28" s="23">
        <f t="shared" si="43"/>
        <v>18454</v>
      </c>
    </row>
    <row r="29" spans="1:30" x14ac:dyDescent="0.25">
      <c r="A29" s="791" t="s">
        <v>94</v>
      </c>
      <c r="B29" s="25">
        <v>3</v>
      </c>
      <c r="C29" s="791" t="s">
        <v>36</v>
      </c>
      <c r="D29" s="25">
        <v>3</v>
      </c>
      <c r="E29" s="21" t="s">
        <v>11</v>
      </c>
      <c r="F29" s="21">
        <v>1</v>
      </c>
      <c r="G29" s="22">
        <f>0.1*G15</f>
        <v>7845</v>
      </c>
      <c r="H29" s="22">
        <f t="shared" si="27"/>
        <v>6025</v>
      </c>
      <c r="I29" s="22">
        <f t="shared" si="28"/>
        <v>1820</v>
      </c>
      <c r="J29" s="22">
        <f>0.1*J15</f>
        <v>22</v>
      </c>
      <c r="K29" s="22">
        <f t="shared" si="11"/>
        <v>4</v>
      </c>
      <c r="L29" s="22">
        <f>0.1*L15</f>
        <v>232</v>
      </c>
      <c r="M29" s="22">
        <f t="shared" si="29"/>
        <v>451</v>
      </c>
      <c r="N29" s="22">
        <f t="shared" ref="N29:X29" si="46">0.1*N15</f>
        <v>88</v>
      </c>
      <c r="O29" s="22">
        <f t="shared" si="46"/>
        <v>211</v>
      </c>
      <c r="P29" s="22">
        <f t="shared" si="46"/>
        <v>44</v>
      </c>
      <c r="Q29" s="22">
        <f t="shared" si="46"/>
        <v>108</v>
      </c>
      <c r="R29" s="22">
        <f t="shared" si="46"/>
        <v>249</v>
      </c>
      <c r="S29" s="22">
        <f t="shared" si="46"/>
        <v>508</v>
      </c>
      <c r="T29" s="22">
        <f t="shared" si="46"/>
        <v>54</v>
      </c>
      <c r="U29" s="22">
        <f t="shared" si="46"/>
        <v>77</v>
      </c>
      <c r="V29" s="22">
        <f t="shared" si="46"/>
        <v>17</v>
      </c>
      <c r="W29" s="22">
        <f t="shared" si="46"/>
        <v>13</v>
      </c>
      <c r="X29" s="22">
        <f t="shared" si="46"/>
        <v>1344</v>
      </c>
      <c r="Y29" s="22">
        <f t="shared" si="31"/>
        <v>1032</v>
      </c>
      <c r="Z29" s="22">
        <f t="shared" si="32"/>
        <v>312</v>
      </c>
      <c r="AA29" s="22">
        <v>0</v>
      </c>
      <c r="AB29" s="23">
        <f t="shared" si="1"/>
        <v>10812</v>
      </c>
    </row>
    <row r="30" spans="1:30" x14ac:dyDescent="0.25">
      <c r="A30" s="791"/>
      <c r="B30" s="25">
        <v>3</v>
      </c>
      <c r="C30" s="791"/>
      <c r="D30" s="25">
        <v>3</v>
      </c>
      <c r="E30" s="21" t="s">
        <v>13</v>
      </c>
      <c r="F30" s="21">
        <v>2</v>
      </c>
      <c r="G30" s="22">
        <f>0.1*G16</f>
        <v>7845</v>
      </c>
      <c r="H30" s="22">
        <f t="shared" si="27"/>
        <v>6025</v>
      </c>
      <c r="I30" s="22">
        <f t="shared" si="28"/>
        <v>1820</v>
      </c>
      <c r="J30" s="22">
        <f>0.1*J16</f>
        <v>161</v>
      </c>
      <c r="K30" s="22">
        <f t="shared" si="11"/>
        <v>32</v>
      </c>
      <c r="L30" s="22">
        <f>0.1*L16</f>
        <v>348</v>
      </c>
      <c r="M30" s="22">
        <f t="shared" si="29"/>
        <v>858</v>
      </c>
      <c r="N30" s="22">
        <f t="shared" ref="N30:X30" si="47">0.1*N16</f>
        <v>88</v>
      </c>
      <c r="O30" s="22">
        <f t="shared" si="47"/>
        <v>618</v>
      </c>
      <c r="P30" s="22">
        <f t="shared" si="47"/>
        <v>44</v>
      </c>
      <c r="Q30" s="22">
        <f t="shared" si="47"/>
        <v>108</v>
      </c>
      <c r="R30" s="22">
        <f t="shared" si="47"/>
        <v>249</v>
      </c>
      <c r="S30" s="22">
        <f t="shared" si="47"/>
        <v>580</v>
      </c>
      <c r="T30" s="22">
        <f t="shared" si="47"/>
        <v>54</v>
      </c>
      <c r="U30" s="22">
        <f t="shared" si="47"/>
        <v>77</v>
      </c>
      <c r="V30" s="22">
        <f t="shared" si="47"/>
        <v>17</v>
      </c>
      <c r="W30" s="22">
        <f t="shared" si="47"/>
        <v>20</v>
      </c>
      <c r="X30" s="22">
        <f t="shared" si="47"/>
        <v>1344</v>
      </c>
      <c r="Y30" s="22">
        <f t="shared" si="31"/>
        <v>1032</v>
      </c>
      <c r="Z30" s="22">
        <f t="shared" si="32"/>
        <v>312</v>
      </c>
      <c r="AA30" s="22">
        <v>0</v>
      </c>
      <c r="AB30" s="23">
        <f t="shared" si="1"/>
        <v>11553</v>
      </c>
    </row>
    <row r="31" spans="1:30" x14ac:dyDescent="0.25">
      <c r="A31" s="791"/>
      <c r="B31" s="25">
        <v>3</v>
      </c>
      <c r="C31" s="791"/>
      <c r="D31" s="25">
        <v>3</v>
      </c>
      <c r="E31" s="21" t="s">
        <v>244</v>
      </c>
      <c r="F31" s="21">
        <v>3</v>
      </c>
      <c r="G31" s="22">
        <f>0.1*G17</f>
        <v>7845</v>
      </c>
      <c r="H31" s="22">
        <f t="shared" si="27"/>
        <v>6025</v>
      </c>
      <c r="I31" s="22">
        <f t="shared" si="28"/>
        <v>1820</v>
      </c>
      <c r="J31" s="22">
        <f>0.1*J17</f>
        <v>684</v>
      </c>
      <c r="K31" s="22">
        <f t="shared" si="11"/>
        <v>137</v>
      </c>
      <c r="L31" s="22">
        <f>0.1*L17</f>
        <v>811</v>
      </c>
      <c r="M31" s="22">
        <f t="shared" si="29"/>
        <v>2336</v>
      </c>
      <c r="N31" s="22">
        <f t="shared" ref="N31:X31" si="48">0.1*N17</f>
        <v>88</v>
      </c>
      <c r="O31" s="22">
        <f t="shared" si="48"/>
        <v>2096</v>
      </c>
      <c r="P31" s="22">
        <f t="shared" si="48"/>
        <v>44</v>
      </c>
      <c r="Q31" s="22">
        <f t="shared" si="48"/>
        <v>108</v>
      </c>
      <c r="R31" s="22">
        <f t="shared" si="48"/>
        <v>270</v>
      </c>
      <c r="S31" s="22">
        <f t="shared" si="48"/>
        <v>580</v>
      </c>
      <c r="T31" s="22">
        <f t="shared" si="48"/>
        <v>54</v>
      </c>
      <c r="U31" s="22">
        <f t="shared" si="48"/>
        <v>77</v>
      </c>
      <c r="V31" s="22">
        <f t="shared" si="48"/>
        <v>17</v>
      </c>
      <c r="W31" s="22">
        <f t="shared" si="48"/>
        <v>20</v>
      </c>
      <c r="X31" s="22">
        <f t="shared" si="48"/>
        <v>1344</v>
      </c>
      <c r="Y31" s="22">
        <f t="shared" si="31"/>
        <v>1032</v>
      </c>
      <c r="Z31" s="22">
        <f t="shared" si="32"/>
        <v>312</v>
      </c>
      <c r="AA31" s="22">
        <v>0</v>
      </c>
      <c r="AB31" s="23">
        <f t="shared" si="1"/>
        <v>14038</v>
      </c>
    </row>
    <row r="32" spans="1:30" ht="45" x14ac:dyDescent="0.25">
      <c r="A32" s="24" t="s">
        <v>95</v>
      </c>
      <c r="B32" s="24"/>
      <c r="C32" s="25" t="s">
        <v>36</v>
      </c>
      <c r="D32" s="25">
        <v>3</v>
      </c>
      <c r="E32" s="21"/>
      <c r="F32" s="21"/>
      <c r="G32" s="22">
        <f>0.1*G18</f>
        <v>7845</v>
      </c>
      <c r="H32" s="22">
        <f t="shared" si="27"/>
        <v>6025</v>
      </c>
      <c r="I32" s="22">
        <f t="shared" si="28"/>
        <v>1820</v>
      </c>
      <c r="J32" s="22">
        <f>0.1*J18</f>
        <v>22</v>
      </c>
      <c r="K32" s="22">
        <f t="shared" si="11"/>
        <v>4</v>
      </c>
      <c r="L32" s="22">
        <f>0.1*L18</f>
        <v>232</v>
      </c>
      <c r="M32" s="22">
        <f t="shared" si="29"/>
        <v>451</v>
      </c>
      <c r="N32" s="22">
        <f t="shared" ref="N32:X32" si="49">0.1*N18</f>
        <v>88</v>
      </c>
      <c r="O32" s="22">
        <f t="shared" si="49"/>
        <v>211</v>
      </c>
      <c r="P32" s="22">
        <f t="shared" si="49"/>
        <v>44</v>
      </c>
      <c r="Q32" s="22">
        <f t="shared" si="49"/>
        <v>108</v>
      </c>
      <c r="R32" s="22">
        <f t="shared" si="49"/>
        <v>249</v>
      </c>
      <c r="S32" s="22">
        <f t="shared" si="49"/>
        <v>508</v>
      </c>
      <c r="T32" s="22">
        <f t="shared" si="49"/>
        <v>54</v>
      </c>
      <c r="U32" s="22">
        <f t="shared" si="49"/>
        <v>77</v>
      </c>
      <c r="V32" s="22">
        <f t="shared" si="49"/>
        <v>17</v>
      </c>
      <c r="W32" s="22">
        <f t="shared" si="49"/>
        <v>13</v>
      </c>
      <c r="X32" s="22">
        <f t="shared" si="49"/>
        <v>1344</v>
      </c>
      <c r="Y32" s="22">
        <f t="shared" si="31"/>
        <v>1032</v>
      </c>
      <c r="Z32" s="22">
        <f t="shared" si="32"/>
        <v>312</v>
      </c>
      <c r="AA32" s="22">
        <v>0</v>
      </c>
      <c r="AB32" s="23">
        <f t="shared" si="1"/>
        <v>10812</v>
      </c>
    </row>
    <row r="33" spans="1:28" x14ac:dyDescent="0.25">
      <c r="A33" s="24" t="s">
        <v>96</v>
      </c>
      <c r="B33" s="24"/>
      <c r="C33" s="25" t="s">
        <v>36</v>
      </c>
      <c r="D33" s="25">
        <v>3</v>
      </c>
      <c r="E33" s="21"/>
      <c r="F33" s="21"/>
      <c r="G33" s="22">
        <f>0.1*G19</f>
        <v>0</v>
      </c>
      <c r="H33" s="22">
        <f t="shared" si="27"/>
        <v>0</v>
      </c>
      <c r="I33" s="22">
        <f t="shared" si="28"/>
        <v>0</v>
      </c>
      <c r="J33" s="22">
        <f>0.1*J19</f>
        <v>0</v>
      </c>
      <c r="K33" s="22">
        <f t="shared" si="11"/>
        <v>0</v>
      </c>
      <c r="L33" s="22">
        <f>0.1*L19</f>
        <v>0</v>
      </c>
      <c r="M33" s="22">
        <f t="shared" si="29"/>
        <v>0</v>
      </c>
      <c r="N33" s="22">
        <f t="shared" ref="N33:X33" si="50">0.1*N19</f>
        <v>0</v>
      </c>
      <c r="O33" s="22">
        <f t="shared" si="50"/>
        <v>0</v>
      </c>
      <c r="P33" s="22">
        <f t="shared" si="50"/>
        <v>0</v>
      </c>
      <c r="Q33" s="22">
        <f t="shared" si="50"/>
        <v>0</v>
      </c>
      <c r="R33" s="22">
        <f t="shared" si="50"/>
        <v>0</v>
      </c>
      <c r="S33" s="22">
        <f t="shared" si="50"/>
        <v>0</v>
      </c>
      <c r="T33" s="22">
        <f t="shared" si="50"/>
        <v>0</v>
      </c>
      <c r="U33" s="22">
        <f t="shared" si="50"/>
        <v>0</v>
      </c>
      <c r="V33" s="22">
        <f t="shared" si="50"/>
        <v>0</v>
      </c>
      <c r="W33" s="22">
        <f t="shared" si="50"/>
        <v>0</v>
      </c>
      <c r="X33" s="22">
        <f t="shared" si="50"/>
        <v>0</v>
      </c>
      <c r="Y33" s="22">
        <f t="shared" si="31"/>
        <v>0</v>
      </c>
      <c r="Z33" s="22">
        <f t="shared" si="32"/>
        <v>0</v>
      </c>
      <c r="AA33" s="22">
        <v>0</v>
      </c>
      <c r="AB33" s="23">
        <f t="shared" si="1"/>
        <v>0</v>
      </c>
    </row>
    <row r="35" spans="1:28" x14ac:dyDescent="0.25">
      <c r="A35" s="592"/>
      <c r="B35" s="592"/>
      <c r="C35" s="592"/>
      <c r="D35" s="592"/>
      <c r="E35" s="592"/>
      <c r="F35" s="592"/>
      <c r="G35" s="592"/>
      <c r="H35" s="592"/>
      <c r="I35" s="592"/>
      <c r="J35" s="592"/>
      <c r="K35" s="592"/>
      <c r="L35" s="592"/>
      <c r="M35" s="592"/>
      <c r="N35" s="592"/>
      <c r="O35" s="592"/>
      <c r="P35" s="592"/>
      <c r="Q35" s="592"/>
      <c r="R35" s="592"/>
      <c r="S35" s="592"/>
      <c r="T35" s="592"/>
      <c r="U35" s="592"/>
      <c r="V35" s="592"/>
      <c r="W35" s="592"/>
      <c r="X35" s="592"/>
      <c r="Y35" s="592"/>
      <c r="Z35" s="592"/>
      <c r="AA35" s="592"/>
      <c r="AB35" s="592"/>
    </row>
    <row r="36" spans="1:28" x14ac:dyDescent="0.25">
      <c r="A36" s="834" t="s">
        <v>40</v>
      </c>
      <c r="B36" s="593">
        <v>4</v>
      </c>
      <c r="C36" s="833" t="s">
        <v>37</v>
      </c>
      <c r="D36" s="593">
        <v>0</v>
      </c>
      <c r="E36" s="594" t="s">
        <v>11</v>
      </c>
      <c r="F36" s="594">
        <v>1</v>
      </c>
      <c r="G36" s="595">
        <v>22310</v>
      </c>
      <c r="H36" s="596">
        <f t="shared" ref="H36" si="51">ROUND(G36/1.302,0)</f>
        <v>17135</v>
      </c>
      <c r="I36" s="596">
        <f t="shared" ref="I36" si="52">G36-H36</f>
        <v>5175</v>
      </c>
      <c r="J36" s="595">
        <v>910</v>
      </c>
      <c r="K36" s="595">
        <f>0.2*J36</f>
        <v>182</v>
      </c>
      <c r="L36" s="595">
        <v>2640</v>
      </c>
      <c r="M36" s="596">
        <f>N36+O36+P36+Q36</f>
        <v>2630</v>
      </c>
      <c r="N36" s="595">
        <v>460</v>
      </c>
      <c r="O36" s="595">
        <v>600</v>
      </c>
      <c r="P36" s="595">
        <v>830</v>
      </c>
      <c r="Q36" s="595">
        <v>740</v>
      </c>
      <c r="R36" s="595">
        <v>2120</v>
      </c>
      <c r="S36" s="595">
        <v>8620</v>
      </c>
      <c r="T36" s="595">
        <v>310</v>
      </c>
      <c r="U36" s="595">
        <v>1240</v>
      </c>
      <c r="V36" s="595">
        <v>50</v>
      </c>
      <c r="W36" s="595">
        <v>190</v>
      </c>
      <c r="X36" s="595">
        <v>14870</v>
      </c>
      <c r="Y36" s="596">
        <f>ROUND(X36/1.302,0)</f>
        <v>11421</v>
      </c>
      <c r="Z36" s="596">
        <f>X36-Y36</f>
        <v>3449</v>
      </c>
      <c r="AA36" s="595">
        <v>650</v>
      </c>
      <c r="AB36" s="597">
        <f>G36+J36+L36+M36+R36+S36+T36+U36+V36+W36+X36+AA36</f>
        <v>56540</v>
      </c>
    </row>
    <row r="37" spans="1:28" x14ac:dyDescent="0.25">
      <c r="A37" s="835"/>
      <c r="B37" s="593">
        <v>4</v>
      </c>
      <c r="C37" s="833"/>
      <c r="D37" s="593">
        <v>0</v>
      </c>
      <c r="E37" s="594" t="s">
        <v>13</v>
      </c>
      <c r="F37" s="594">
        <v>2</v>
      </c>
      <c r="G37" s="595">
        <v>22310</v>
      </c>
      <c r="H37" s="596">
        <f t="shared" ref="H37:H38" si="53">ROUND(G37/1.302,0)</f>
        <v>17135</v>
      </c>
      <c r="I37" s="596">
        <f t="shared" ref="I37:I38" si="54">G37-H37</f>
        <v>5175</v>
      </c>
      <c r="J37" s="595">
        <v>1610</v>
      </c>
      <c r="K37" s="595">
        <f>0.2*J37</f>
        <v>322</v>
      </c>
      <c r="L37" s="595">
        <v>3170</v>
      </c>
      <c r="M37" s="596">
        <f>N37+O37+P37+Q37</f>
        <v>5150</v>
      </c>
      <c r="N37" s="595">
        <v>460</v>
      </c>
      <c r="O37" s="595">
        <v>2980</v>
      </c>
      <c r="P37" s="595">
        <v>970</v>
      </c>
      <c r="Q37" s="595">
        <v>740</v>
      </c>
      <c r="R37" s="595">
        <v>2120</v>
      </c>
      <c r="S37" s="595">
        <v>8620</v>
      </c>
      <c r="T37" s="595">
        <v>310</v>
      </c>
      <c r="U37" s="595">
        <v>1240</v>
      </c>
      <c r="V37" s="595">
        <v>50</v>
      </c>
      <c r="W37" s="595">
        <v>460</v>
      </c>
      <c r="X37" s="595">
        <v>16360</v>
      </c>
      <c r="Y37" s="596">
        <f>ROUND(X37/1.302,0)</f>
        <v>12565</v>
      </c>
      <c r="Z37" s="596">
        <f>X37-Y37</f>
        <v>3795</v>
      </c>
      <c r="AA37" s="595">
        <v>650</v>
      </c>
      <c r="AB37" s="597">
        <f>G37+J37+L37+M37+R37+S37+T37+U37+V37+W37+X37+AA37</f>
        <v>62050</v>
      </c>
    </row>
    <row r="38" spans="1:28" x14ac:dyDescent="0.25">
      <c r="A38" s="835"/>
      <c r="B38" s="593">
        <v>4</v>
      </c>
      <c r="C38" s="833"/>
      <c r="D38" s="593">
        <v>0</v>
      </c>
      <c r="E38" s="594" t="s">
        <v>9</v>
      </c>
      <c r="F38" s="594">
        <v>3</v>
      </c>
      <c r="G38" s="595">
        <v>22310</v>
      </c>
      <c r="H38" s="596">
        <f t="shared" si="53"/>
        <v>17135</v>
      </c>
      <c r="I38" s="596">
        <f t="shared" si="54"/>
        <v>5175</v>
      </c>
      <c r="J38" s="595">
        <v>1910</v>
      </c>
      <c r="K38" s="595">
        <f>0.2*J38</f>
        <v>382</v>
      </c>
      <c r="L38" s="595">
        <v>3970</v>
      </c>
      <c r="M38" s="596">
        <f>N38+O38+P38+Q38</f>
        <v>13670</v>
      </c>
      <c r="N38" s="595">
        <v>460</v>
      </c>
      <c r="O38" s="595">
        <v>9200</v>
      </c>
      <c r="P38" s="595">
        <v>3270</v>
      </c>
      <c r="Q38" s="595">
        <v>740</v>
      </c>
      <c r="R38" s="595">
        <v>2120</v>
      </c>
      <c r="S38" s="595">
        <v>8620</v>
      </c>
      <c r="T38" s="595">
        <v>310</v>
      </c>
      <c r="U38" s="595">
        <v>1240</v>
      </c>
      <c r="V38" s="595">
        <v>50</v>
      </c>
      <c r="W38" s="595">
        <v>2570</v>
      </c>
      <c r="X38" s="595">
        <v>17850</v>
      </c>
      <c r="Y38" s="596">
        <f>ROUND(X38/1.302,0)</f>
        <v>13710</v>
      </c>
      <c r="Z38" s="596">
        <f>X38-Y38</f>
        <v>4140</v>
      </c>
      <c r="AA38" s="595">
        <v>650</v>
      </c>
      <c r="AB38" s="597">
        <f>G38+J38+L38+M38+R38+S38+T38+U38+V38+W38+X38+AA38</f>
        <v>75270</v>
      </c>
    </row>
    <row r="39" spans="1:28" x14ac:dyDescent="0.25">
      <c r="A39" s="835"/>
      <c r="B39" s="593"/>
      <c r="C39" s="833" t="s">
        <v>36</v>
      </c>
      <c r="D39" s="593"/>
      <c r="E39" s="594"/>
      <c r="F39" s="594"/>
      <c r="G39" s="595"/>
      <c r="H39" s="595"/>
      <c r="I39" s="595"/>
      <c r="J39" s="595" t="s">
        <v>97</v>
      </c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95"/>
      <c r="AB39" s="597"/>
    </row>
    <row r="40" spans="1:28" x14ac:dyDescent="0.25">
      <c r="A40" s="835"/>
      <c r="B40" s="593">
        <v>4</v>
      </c>
      <c r="C40" s="833"/>
      <c r="D40" s="593">
        <v>3</v>
      </c>
      <c r="E40" s="594" t="s">
        <v>11</v>
      </c>
      <c r="F40" s="594">
        <v>1</v>
      </c>
      <c r="G40" s="595">
        <f>G36*0.1</f>
        <v>2231</v>
      </c>
      <c r="H40" s="596">
        <f>ROUND(G40/1.302,0)</f>
        <v>1714</v>
      </c>
      <c r="I40" s="596">
        <f>G40-H40</f>
        <v>517</v>
      </c>
      <c r="J40" s="595">
        <f t="shared" ref="J40:L42" si="55">J36*0.1</f>
        <v>91</v>
      </c>
      <c r="K40" s="595">
        <f>0.2*J40</f>
        <v>18.2</v>
      </c>
      <c r="L40" s="595">
        <f t="shared" si="55"/>
        <v>264</v>
      </c>
      <c r="M40" s="596">
        <f>N40+O40+P40+Q40</f>
        <v>263</v>
      </c>
      <c r="N40" s="595">
        <f t="shared" ref="N40:X42" si="56">N36*0.1</f>
        <v>46</v>
      </c>
      <c r="O40" s="595">
        <f t="shared" si="56"/>
        <v>60</v>
      </c>
      <c r="P40" s="595">
        <f t="shared" si="56"/>
        <v>83</v>
      </c>
      <c r="Q40" s="595">
        <f t="shared" si="56"/>
        <v>74</v>
      </c>
      <c r="R40" s="595">
        <f t="shared" si="56"/>
        <v>212</v>
      </c>
      <c r="S40" s="595">
        <f t="shared" si="56"/>
        <v>862</v>
      </c>
      <c r="T40" s="595">
        <f t="shared" si="56"/>
        <v>31</v>
      </c>
      <c r="U40" s="595">
        <f t="shared" si="56"/>
        <v>124</v>
      </c>
      <c r="V40" s="595">
        <f t="shared" si="56"/>
        <v>5</v>
      </c>
      <c r="W40" s="595">
        <f t="shared" si="56"/>
        <v>19</v>
      </c>
      <c r="X40" s="595">
        <f t="shared" si="56"/>
        <v>1487</v>
      </c>
      <c r="Y40" s="596">
        <f>ROUND(X40/1.302,0)</f>
        <v>1142</v>
      </c>
      <c r="Z40" s="596">
        <f>X40-Y40</f>
        <v>345</v>
      </c>
      <c r="AA40" s="595">
        <v>0</v>
      </c>
      <c r="AB40" s="597">
        <f>G40+J40+L40+M40+R40+S40+T40+U40+V40+W40+X40+AA40</f>
        <v>5589</v>
      </c>
    </row>
    <row r="41" spans="1:28" x14ac:dyDescent="0.25">
      <c r="A41" s="835"/>
      <c r="B41" s="593">
        <v>4</v>
      </c>
      <c r="C41" s="833"/>
      <c r="D41" s="593">
        <v>3</v>
      </c>
      <c r="E41" s="594" t="s">
        <v>13</v>
      </c>
      <c r="F41" s="594">
        <v>2</v>
      </c>
      <c r="G41" s="595">
        <f>G37*0.1</f>
        <v>2231</v>
      </c>
      <c r="H41" s="596">
        <f>ROUND(G41/1.302,0)</f>
        <v>1714</v>
      </c>
      <c r="I41" s="596">
        <f>G41-H41</f>
        <v>517</v>
      </c>
      <c r="J41" s="595">
        <f t="shared" si="55"/>
        <v>161</v>
      </c>
      <c r="K41" s="595">
        <f>0.2*J41</f>
        <v>32.200000000000003</v>
      </c>
      <c r="L41" s="595">
        <f t="shared" si="55"/>
        <v>317</v>
      </c>
      <c r="M41" s="596">
        <f>N41+O41+P41+Q41</f>
        <v>515</v>
      </c>
      <c r="N41" s="595">
        <f t="shared" si="56"/>
        <v>46</v>
      </c>
      <c r="O41" s="595">
        <f t="shared" si="56"/>
        <v>298</v>
      </c>
      <c r="P41" s="595">
        <f t="shared" si="56"/>
        <v>97</v>
      </c>
      <c r="Q41" s="595">
        <f t="shared" si="56"/>
        <v>74</v>
      </c>
      <c r="R41" s="595">
        <f t="shared" si="56"/>
        <v>212</v>
      </c>
      <c r="S41" s="595">
        <f t="shared" si="56"/>
        <v>862</v>
      </c>
      <c r="T41" s="595">
        <f t="shared" si="56"/>
        <v>31</v>
      </c>
      <c r="U41" s="595">
        <f t="shared" si="56"/>
        <v>124</v>
      </c>
      <c r="V41" s="595">
        <f t="shared" si="56"/>
        <v>5</v>
      </c>
      <c r="W41" s="595">
        <f t="shared" si="56"/>
        <v>46</v>
      </c>
      <c r="X41" s="595">
        <f t="shared" si="56"/>
        <v>1636</v>
      </c>
      <c r="Y41" s="596">
        <f>ROUND(X41/1.302,0)</f>
        <v>1257</v>
      </c>
      <c r="Z41" s="596">
        <f>X41-Y41</f>
        <v>379</v>
      </c>
      <c r="AA41" s="595">
        <v>0</v>
      </c>
      <c r="AB41" s="597">
        <f>G41+J41+L41+M41+R41+S41+T41+U41+V41+W41+X41+AA41</f>
        <v>6140</v>
      </c>
    </row>
    <row r="42" spans="1:28" x14ac:dyDescent="0.25">
      <c r="A42" s="835"/>
      <c r="B42" s="593">
        <v>4</v>
      </c>
      <c r="C42" s="598"/>
      <c r="D42" s="593">
        <v>3</v>
      </c>
      <c r="E42" s="594" t="s">
        <v>9</v>
      </c>
      <c r="F42" s="594">
        <v>3</v>
      </c>
      <c r="G42" s="595">
        <f>G38*0.1</f>
        <v>2231</v>
      </c>
      <c r="H42" s="596">
        <f>ROUND(G42/1.302,0)</f>
        <v>1714</v>
      </c>
      <c r="I42" s="596">
        <f>G42-H42</f>
        <v>517</v>
      </c>
      <c r="J42" s="595">
        <f t="shared" si="55"/>
        <v>191</v>
      </c>
      <c r="K42" s="595">
        <f>0.2*J42</f>
        <v>38.200000000000003</v>
      </c>
      <c r="L42" s="595">
        <f t="shared" si="55"/>
        <v>397</v>
      </c>
      <c r="M42" s="596">
        <f>N42+O42+P42+Q42</f>
        <v>1367</v>
      </c>
      <c r="N42" s="595">
        <f t="shared" si="56"/>
        <v>46</v>
      </c>
      <c r="O42" s="595">
        <f t="shared" si="56"/>
        <v>920</v>
      </c>
      <c r="P42" s="595">
        <f t="shared" si="56"/>
        <v>327</v>
      </c>
      <c r="Q42" s="595">
        <f t="shared" si="56"/>
        <v>74</v>
      </c>
      <c r="R42" s="595">
        <f t="shared" si="56"/>
        <v>212</v>
      </c>
      <c r="S42" s="595">
        <f t="shared" si="56"/>
        <v>862</v>
      </c>
      <c r="T42" s="595">
        <f t="shared" si="56"/>
        <v>31</v>
      </c>
      <c r="U42" s="595">
        <f t="shared" si="56"/>
        <v>124</v>
      </c>
      <c r="V42" s="595">
        <f t="shared" si="56"/>
        <v>5</v>
      </c>
      <c r="W42" s="595">
        <f t="shared" si="56"/>
        <v>257</v>
      </c>
      <c r="X42" s="595">
        <f t="shared" si="56"/>
        <v>1785</v>
      </c>
      <c r="Y42" s="596">
        <f>ROUND(X42/1.302,0)</f>
        <v>1371</v>
      </c>
      <c r="Z42" s="596">
        <f>X42-Y42</f>
        <v>414</v>
      </c>
      <c r="AA42" s="595">
        <v>0</v>
      </c>
      <c r="AB42" s="597">
        <f>G42+J42+L42+M42+R42+S42+T42+U42+V42+W42+X42+AA42</f>
        <v>7462</v>
      </c>
    </row>
    <row r="43" spans="1:28" x14ac:dyDescent="0.25">
      <c r="A43" s="835"/>
      <c r="B43" s="593"/>
      <c r="C43" s="592"/>
      <c r="D43" s="592"/>
      <c r="E43" s="592"/>
      <c r="F43" s="592"/>
      <c r="G43" s="592"/>
      <c r="H43" s="592"/>
      <c r="I43" s="592"/>
      <c r="J43" s="592"/>
      <c r="K43" s="592"/>
      <c r="L43" s="592"/>
      <c r="M43" s="592"/>
      <c r="N43" s="592"/>
      <c r="O43" s="592"/>
      <c r="P43" s="592"/>
      <c r="Q43" s="592"/>
      <c r="R43" s="592"/>
      <c r="S43" s="592"/>
      <c r="T43" s="592"/>
      <c r="U43" s="592"/>
      <c r="V43" s="592"/>
      <c r="W43" s="592"/>
      <c r="X43" s="592"/>
      <c r="Y43" s="592"/>
      <c r="Z43" s="592"/>
      <c r="AA43" s="592"/>
      <c r="AB43" s="592"/>
    </row>
    <row r="44" spans="1:28" x14ac:dyDescent="0.25">
      <c r="A44" s="835"/>
      <c r="B44" s="593">
        <v>4</v>
      </c>
      <c r="C44" s="592" t="s">
        <v>420</v>
      </c>
      <c r="D44" s="593">
        <v>30</v>
      </c>
      <c r="E44" s="594" t="s">
        <v>9</v>
      </c>
      <c r="F44" s="594">
        <v>3</v>
      </c>
      <c r="G44" s="595">
        <f>ROUND(0.25*G38,0)</f>
        <v>5578</v>
      </c>
      <c r="H44" s="595">
        <f t="shared" ref="H44:Z44" si="57">ROUND(0.25*H38,0)</f>
        <v>4284</v>
      </c>
      <c r="I44" s="595">
        <f t="shared" si="57"/>
        <v>1294</v>
      </c>
      <c r="J44" s="595">
        <f t="shared" si="57"/>
        <v>478</v>
      </c>
      <c r="K44" s="595">
        <f t="shared" si="57"/>
        <v>96</v>
      </c>
      <c r="L44" s="595">
        <f t="shared" si="57"/>
        <v>993</v>
      </c>
      <c r="M44" s="595">
        <f t="shared" si="57"/>
        <v>3418</v>
      </c>
      <c r="N44" s="595">
        <f t="shared" si="57"/>
        <v>115</v>
      </c>
      <c r="O44" s="595">
        <f t="shared" si="57"/>
        <v>2300</v>
      </c>
      <c r="P44" s="595">
        <f t="shared" si="57"/>
        <v>818</v>
      </c>
      <c r="Q44" s="595">
        <f t="shared" si="57"/>
        <v>185</v>
      </c>
      <c r="R44" s="595">
        <f t="shared" si="57"/>
        <v>530</v>
      </c>
      <c r="S44" s="595">
        <f t="shared" si="57"/>
        <v>2155</v>
      </c>
      <c r="T44" s="595">
        <f t="shared" si="57"/>
        <v>78</v>
      </c>
      <c r="U44" s="595">
        <f t="shared" si="57"/>
        <v>310</v>
      </c>
      <c r="V44" s="595">
        <f t="shared" si="57"/>
        <v>13</v>
      </c>
      <c r="W44" s="595">
        <f t="shared" si="57"/>
        <v>643</v>
      </c>
      <c r="X44" s="595">
        <f t="shared" si="57"/>
        <v>4463</v>
      </c>
      <c r="Y44" s="595">
        <f t="shared" si="57"/>
        <v>3428</v>
      </c>
      <c r="Z44" s="595">
        <f t="shared" si="57"/>
        <v>1035</v>
      </c>
      <c r="AA44" s="595">
        <v>0</v>
      </c>
      <c r="AB44" s="597">
        <f>G44+J44+L44+M44+R44+S44+T44+U44+V44+W44+X44+AA44</f>
        <v>18659</v>
      </c>
    </row>
  </sheetData>
  <mergeCells count="35">
    <mergeCell ref="A29:A31"/>
    <mergeCell ref="C29:C31"/>
    <mergeCell ref="C36:C38"/>
    <mergeCell ref="C39:C41"/>
    <mergeCell ref="A36:A44"/>
    <mergeCell ref="A15:A17"/>
    <mergeCell ref="C15:C17"/>
    <mergeCell ref="A20:A24"/>
    <mergeCell ref="C20:C24"/>
    <mergeCell ref="A25:A28"/>
    <mergeCell ref="C25:C28"/>
    <mergeCell ref="A11:A14"/>
    <mergeCell ref="C11:C14"/>
    <mergeCell ref="S3:S4"/>
    <mergeCell ref="T3:T4"/>
    <mergeCell ref="U3:U4"/>
    <mergeCell ref="L3:L4"/>
    <mergeCell ref="A6:A10"/>
    <mergeCell ref="C6:C10"/>
    <mergeCell ref="A2:AB2"/>
    <mergeCell ref="A3:A4"/>
    <mergeCell ref="C3:C4"/>
    <mergeCell ref="E3:E4"/>
    <mergeCell ref="G3:G4"/>
    <mergeCell ref="H3:I3"/>
    <mergeCell ref="J3:J4"/>
    <mergeCell ref="M3:M4"/>
    <mergeCell ref="N3:Q3"/>
    <mergeCell ref="R3:R4"/>
    <mergeCell ref="Y3:Z3"/>
    <mergeCell ref="AA3:AA4"/>
    <mergeCell ref="AB3:AB4"/>
    <mergeCell ref="V3:V4"/>
    <mergeCell ref="W3:W4"/>
    <mergeCell ref="X3:X4"/>
  </mergeCells>
  <pageMargins left="0.11811023622047245" right="0.11811023622047245" top="0.74803149606299213" bottom="0.74803149606299213" header="0.31496062992125984" footer="0.31496062992125984"/>
  <pageSetup paperSize="8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zoomScale="70" zoomScaleNormal="70" workbookViewId="0">
      <selection activeCell="G34" sqref="G34"/>
    </sheetView>
  </sheetViews>
  <sheetFormatPr defaultColWidth="9.140625" defaultRowHeight="15.75" x14ac:dyDescent="0.25"/>
  <cols>
    <col min="1" max="1" width="8.140625" style="50" customWidth="1"/>
    <col min="2" max="2" width="54.140625" style="50" customWidth="1"/>
    <col min="3" max="3" width="25.140625" style="50" customWidth="1"/>
    <col min="4" max="4" width="31.5703125" style="50" customWidth="1"/>
    <col min="5" max="5" width="26.7109375" style="50" customWidth="1"/>
    <col min="6" max="6" width="31.5703125" style="50" customWidth="1"/>
    <col min="7" max="7" width="31.85546875" style="50" customWidth="1"/>
    <col min="8" max="16384" width="9.140625" style="50"/>
  </cols>
  <sheetData>
    <row r="1" spans="1:7" x14ac:dyDescent="0.25">
      <c r="A1" s="27"/>
      <c r="B1" s="49" t="s">
        <v>98</v>
      </c>
      <c r="C1" s="49"/>
      <c r="D1" s="49"/>
      <c r="E1" s="49"/>
    </row>
    <row r="2" spans="1:7" ht="137.25" customHeight="1" x14ac:dyDescent="0.25">
      <c r="A2" s="51" t="s">
        <v>41</v>
      </c>
      <c r="B2" s="52" t="s">
        <v>42</v>
      </c>
      <c r="C2" s="53" t="s">
        <v>99</v>
      </c>
      <c r="D2" s="54" t="s">
        <v>100</v>
      </c>
      <c r="E2" s="54" t="s">
        <v>101</v>
      </c>
      <c r="F2" s="54" t="s">
        <v>100</v>
      </c>
      <c r="G2" s="54" t="s">
        <v>101</v>
      </c>
    </row>
    <row r="3" spans="1:7" x14ac:dyDescent="0.25">
      <c r="A3" s="51"/>
      <c r="B3" s="55"/>
      <c r="C3" s="53"/>
      <c r="D3" s="836" t="s">
        <v>102</v>
      </c>
      <c r="E3" s="837"/>
      <c r="F3" s="838" t="s">
        <v>40</v>
      </c>
      <c r="G3" s="838"/>
    </row>
    <row r="4" spans="1:7" ht="38.25" customHeight="1" x14ac:dyDescent="0.25">
      <c r="A4" s="26">
        <v>1</v>
      </c>
      <c r="B4" s="280" t="s">
        <v>43</v>
      </c>
      <c r="C4" s="285" t="s">
        <v>103</v>
      </c>
      <c r="D4" s="2">
        <v>1.1519999999999999</v>
      </c>
      <c r="E4" s="2">
        <v>2.7269999999999999</v>
      </c>
      <c r="F4" s="284">
        <f>D4</f>
        <v>1.1519999999999999</v>
      </c>
      <c r="G4" s="284">
        <v>2.641</v>
      </c>
    </row>
    <row r="5" spans="1:7" ht="35.25" customHeight="1" x14ac:dyDescent="0.25">
      <c r="A5" s="26">
        <v>2</v>
      </c>
      <c r="B5" s="280" t="s">
        <v>104</v>
      </c>
      <c r="C5" s="285" t="s">
        <v>105</v>
      </c>
      <c r="D5" s="2">
        <v>1.244</v>
      </c>
      <c r="E5" s="2">
        <v>2.194</v>
      </c>
      <c r="F5" s="284">
        <f t="shared" ref="F5:F17" si="0">D5</f>
        <v>1.244</v>
      </c>
      <c r="G5" s="284">
        <v>2.1560000000000001</v>
      </c>
    </row>
    <row r="6" spans="1:7" ht="34.5" customHeight="1" x14ac:dyDescent="0.25">
      <c r="A6" s="26">
        <v>3</v>
      </c>
      <c r="B6" s="280" t="s">
        <v>45</v>
      </c>
      <c r="C6" s="285" t="s">
        <v>106</v>
      </c>
      <c r="D6" s="2">
        <v>1.282</v>
      </c>
      <c r="E6" s="2">
        <v>2.1589999999999998</v>
      </c>
      <c r="F6" s="284">
        <f t="shared" si="0"/>
        <v>1.282</v>
      </c>
      <c r="G6" s="286">
        <v>2.1059999999999999</v>
      </c>
    </row>
    <row r="7" spans="1:7" ht="36.75" customHeight="1" x14ac:dyDescent="0.25">
      <c r="A7" s="26">
        <v>4</v>
      </c>
      <c r="B7" s="280" t="s">
        <v>46</v>
      </c>
      <c r="C7" s="285" t="s">
        <v>107</v>
      </c>
      <c r="D7" s="2">
        <v>2.0270000000000001</v>
      </c>
      <c r="E7" s="2">
        <v>3.3260000000000001</v>
      </c>
      <c r="F7" s="284">
        <f t="shared" si="0"/>
        <v>2.0270000000000001</v>
      </c>
      <c r="G7" s="284">
        <v>3.2090000000000001</v>
      </c>
    </row>
    <row r="8" spans="1:7" ht="52.5" customHeight="1" x14ac:dyDescent="0.25">
      <c r="A8" s="26">
        <v>5</v>
      </c>
      <c r="B8" s="280" t="s">
        <v>47</v>
      </c>
      <c r="C8" s="285" t="s">
        <v>108</v>
      </c>
      <c r="D8" s="2">
        <v>1.395</v>
      </c>
      <c r="E8" s="2">
        <v>1.9790000000000001</v>
      </c>
      <c r="F8" s="284">
        <f t="shared" si="0"/>
        <v>1.395</v>
      </c>
      <c r="G8" s="286">
        <v>1.9890000000000001</v>
      </c>
    </row>
    <row r="9" spans="1:7" ht="51" customHeight="1" x14ac:dyDescent="0.25">
      <c r="A9" s="26">
        <v>6</v>
      </c>
      <c r="B9" s="280" t="s">
        <v>48</v>
      </c>
      <c r="C9" s="285" t="s">
        <v>109</v>
      </c>
      <c r="D9" s="2">
        <v>2.4420000000000002</v>
      </c>
      <c r="E9" s="2">
        <v>2.6</v>
      </c>
      <c r="F9" s="284">
        <f t="shared" si="0"/>
        <v>2.4420000000000002</v>
      </c>
      <c r="G9" s="284">
        <v>2.5539999999999998</v>
      </c>
    </row>
    <row r="10" spans="1:7" ht="39.75" customHeight="1" x14ac:dyDescent="0.25">
      <c r="A10" s="26">
        <v>7</v>
      </c>
      <c r="B10" s="280" t="s">
        <v>49</v>
      </c>
      <c r="C10" s="285" t="s">
        <v>110</v>
      </c>
      <c r="D10" s="2">
        <v>2.169</v>
      </c>
      <c r="E10" s="2">
        <v>3.0059999999999998</v>
      </c>
      <c r="F10" s="284">
        <f t="shared" si="0"/>
        <v>2.169</v>
      </c>
      <c r="G10" s="286">
        <v>2.9319999999999999</v>
      </c>
    </row>
    <row r="11" spans="1:7" ht="55.5" customHeight="1" x14ac:dyDescent="0.25">
      <c r="A11" s="26">
        <v>8</v>
      </c>
      <c r="B11" s="280" t="s">
        <v>50</v>
      </c>
      <c r="C11" s="287" t="s">
        <v>111</v>
      </c>
      <c r="D11" s="2">
        <v>1.504</v>
      </c>
      <c r="E11" s="2">
        <v>2.4710000000000001</v>
      </c>
      <c r="F11" s="284">
        <f t="shared" si="0"/>
        <v>1.504</v>
      </c>
      <c r="G11" s="286">
        <v>2.3980000000000001</v>
      </c>
    </row>
    <row r="12" spans="1:7" ht="67.5" customHeight="1" x14ac:dyDescent="0.25">
      <c r="A12" s="26">
        <v>9</v>
      </c>
      <c r="B12" s="280" t="s">
        <v>51</v>
      </c>
      <c r="C12" s="285" t="s">
        <v>112</v>
      </c>
      <c r="D12" s="2">
        <v>3.258</v>
      </c>
      <c r="E12" s="2">
        <v>2.8919999999999999</v>
      </c>
      <c r="F12" s="284">
        <f t="shared" si="0"/>
        <v>3.258</v>
      </c>
      <c r="G12" s="284">
        <v>2.8540000000000001</v>
      </c>
    </row>
    <row r="13" spans="1:7" ht="38.25" customHeight="1" x14ac:dyDescent="0.25">
      <c r="A13" s="26">
        <v>10</v>
      </c>
      <c r="B13" s="280" t="s">
        <v>52</v>
      </c>
      <c r="C13" s="285" t="s">
        <v>113</v>
      </c>
      <c r="D13" s="2">
        <v>1.3620000000000001</v>
      </c>
      <c r="E13" s="2">
        <v>2.9540000000000002</v>
      </c>
      <c r="F13" s="284">
        <f t="shared" si="0"/>
        <v>1.3620000000000001</v>
      </c>
      <c r="G13" s="286">
        <v>2.823</v>
      </c>
    </row>
    <row r="14" spans="1:7" ht="57" customHeight="1" x14ac:dyDescent="0.25">
      <c r="A14" s="26">
        <v>11</v>
      </c>
      <c r="B14" s="280" t="s">
        <v>53</v>
      </c>
      <c r="C14" s="285" t="s">
        <v>114</v>
      </c>
      <c r="D14" s="2">
        <v>1.2470000000000001</v>
      </c>
      <c r="E14" s="2">
        <v>3.2010000000000001</v>
      </c>
      <c r="F14" s="284">
        <f t="shared" si="0"/>
        <v>1.2470000000000001</v>
      </c>
      <c r="G14" s="284">
        <v>3.0470000000000002</v>
      </c>
    </row>
    <row r="15" spans="1:7" ht="39.75" customHeight="1" x14ac:dyDescent="0.25">
      <c r="A15" s="26">
        <v>12</v>
      </c>
      <c r="B15" s="280" t="s">
        <v>54</v>
      </c>
      <c r="C15" s="285" t="s">
        <v>115</v>
      </c>
      <c r="D15" s="2">
        <v>1.4350000000000001</v>
      </c>
      <c r="E15" s="2">
        <v>2.5099999999999998</v>
      </c>
      <c r="F15" s="284">
        <f t="shared" si="0"/>
        <v>1.4350000000000001</v>
      </c>
      <c r="G15" s="288">
        <v>2.2879999999999998</v>
      </c>
    </row>
    <row r="16" spans="1:7" ht="42.75" customHeight="1" x14ac:dyDescent="0.25">
      <c r="A16" s="26">
        <v>13</v>
      </c>
      <c r="B16" s="280" t="s">
        <v>55</v>
      </c>
      <c r="C16" s="285" t="s">
        <v>116</v>
      </c>
      <c r="D16" s="2">
        <v>1.4650000000000001</v>
      </c>
      <c r="E16" s="2">
        <v>2.694</v>
      </c>
      <c r="F16" s="284">
        <f t="shared" si="0"/>
        <v>1.4650000000000001</v>
      </c>
      <c r="G16" s="284">
        <v>2.593</v>
      </c>
    </row>
    <row r="17" spans="1:7" ht="41.25" customHeight="1" x14ac:dyDescent="0.25">
      <c r="A17" s="26">
        <v>14</v>
      </c>
      <c r="B17" s="280" t="s">
        <v>56</v>
      </c>
      <c r="C17" s="287" t="s">
        <v>117</v>
      </c>
      <c r="D17" s="2">
        <v>2.9380000000000002</v>
      </c>
      <c r="E17" s="2">
        <v>12.574999999999999</v>
      </c>
      <c r="F17" s="284">
        <f t="shared" si="0"/>
        <v>2.9380000000000002</v>
      </c>
      <c r="G17" s="284">
        <v>11.721</v>
      </c>
    </row>
    <row r="18" spans="1:7" x14ac:dyDescent="0.25">
      <c r="A18" s="27"/>
      <c r="B18" s="27"/>
      <c r="C18" s="27"/>
      <c r="D18" s="27"/>
      <c r="E18" s="27"/>
    </row>
    <row r="19" spans="1:7" x14ac:dyDescent="0.25">
      <c r="A19" s="27"/>
      <c r="B19" s="28" t="s">
        <v>118</v>
      </c>
      <c r="C19" s="27"/>
      <c r="D19" s="27"/>
      <c r="E19" s="27"/>
    </row>
    <row r="20" spans="1:7" x14ac:dyDescent="0.25">
      <c r="A20" s="56">
        <v>100</v>
      </c>
      <c r="B20" s="283" t="s">
        <v>28</v>
      </c>
      <c r="C20" s="56"/>
      <c r="D20" s="281">
        <v>3.3740000000000001</v>
      </c>
      <c r="E20" s="286">
        <f>E12</f>
        <v>2.8919999999999999</v>
      </c>
      <c r="F20" s="56"/>
      <c r="G20" s="56"/>
    </row>
    <row r="21" spans="1:7" x14ac:dyDescent="0.25">
      <c r="A21" s="56">
        <v>0</v>
      </c>
      <c r="B21" s="283" t="s">
        <v>24</v>
      </c>
      <c r="C21" s="56"/>
      <c r="D21" s="281">
        <v>2.4510000000000001</v>
      </c>
      <c r="E21" s="286">
        <f>E9</f>
        <v>2.6</v>
      </c>
      <c r="F21" s="56"/>
      <c r="G21" s="56"/>
    </row>
    <row r="23" spans="1:7" x14ac:dyDescent="0.25">
      <c r="A23" s="40">
        <v>21</v>
      </c>
      <c r="B23" s="282" t="s">
        <v>142</v>
      </c>
      <c r="C23" s="288" t="s">
        <v>152</v>
      </c>
      <c r="D23" s="40"/>
      <c r="E23" s="40"/>
      <c r="F23" s="281">
        <v>1.153</v>
      </c>
      <c r="G23" s="286">
        <v>2.4820000000000002</v>
      </c>
    </row>
    <row r="24" spans="1:7" x14ac:dyDescent="0.25">
      <c r="A24" s="40">
        <v>22</v>
      </c>
      <c r="B24" s="282" t="s">
        <v>143</v>
      </c>
      <c r="C24" s="288" t="s">
        <v>153</v>
      </c>
      <c r="D24" s="56"/>
      <c r="E24" s="40"/>
      <c r="F24" s="282">
        <v>1.796</v>
      </c>
      <c r="G24" s="286">
        <v>2.5550000000000002</v>
      </c>
    </row>
    <row r="25" spans="1:7" x14ac:dyDescent="0.25">
      <c r="A25" s="40">
        <v>23</v>
      </c>
      <c r="B25" s="282" t="s">
        <v>144</v>
      </c>
      <c r="C25" s="288" t="s">
        <v>154</v>
      </c>
      <c r="D25" s="56"/>
      <c r="E25" s="40"/>
      <c r="F25" s="282">
        <v>1.4379999999999999</v>
      </c>
      <c r="G25" s="286">
        <v>2.3140000000000001</v>
      </c>
    </row>
    <row r="26" spans="1:7" x14ac:dyDescent="0.25">
      <c r="A26" s="40">
        <v>24</v>
      </c>
      <c r="B26" s="282" t="s">
        <v>145</v>
      </c>
      <c r="C26" s="288" t="s">
        <v>110</v>
      </c>
      <c r="D26" s="56"/>
      <c r="E26" s="40"/>
      <c r="F26" s="281">
        <v>2.1749999999999998</v>
      </c>
      <c r="G26" s="286">
        <v>2.9319999999999999</v>
      </c>
    </row>
    <row r="27" spans="1:7" x14ac:dyDescent="0.25">
      <c r="A27" s="40">
        <v>25</v>
      </c>
      <c r="B27" s="282" t="s">
        <v>146</v>
      </c>
      <c r="C27" s="288" t="s">
        <v>155</v>
      </c>
      <c r="D27" s="56"/>
      <c r="E27" s="40"/>
      <c r="F27" s="282">
        <v>1.427</v>
      </c>
      <c r="G27" s="286">
        <v>2.6659999999999999</v>
      </c>
    </row>
    <row r="28" spans="1:7" x14ac:dyDescent="0.25">
      <c r="A28" s="40">
        <v>26</v>
      </c>
      <c r="B28" s="282" t="s">
        <v>147</v>
      </c>
      <c r="C28" s="288" t="s">
        <v>156</v>
      </c>
      <c r="D28" s="56"/>
      <c r="E28" s="40"/>
      <c r="F28" s="282">
        <v>1.2010000000000001</v>
      </c>
      <c r="G28" s="286">
        <v>2.4159999999999999</v>
      </c>
    </row>
    <row r="29" spans="1:7" x14ac:dyDescent="0.25">
      <c r="A29" s="40">
        <v>27</v>
      </c>
      <c r="B29" s="282" t="s">
        <v>148</v>
      </c>
      <c r="C29" s="288" t="s">
        <v>113</v>
      </c>
      <c r="D29" s="56"/>
      <c r="E29" s="40"/>
      <c r="F29" s="282">
        <v>1.385</v>
      </c>
      <c r="G29" s="286">
        <v>2.823</v>
      </c>
    </row>
    <row r="30" spans="1:7" x14ac:dyDescent="0.25">
      <c r="A30" s="40">
        <v>28</v>
      </c>
      <c r="B30" s="282" t="s">
        <v>149</v>
      </c>
      <c r="C30" s="288" t="s">
        <v>157</v>
      </c>
      <c r="D30" s="56"/>
      <c r="E30" s="40"/>
      <c r="F30" s="282">
        <v>1.7509999999999999</v>
      </c>
      <c r="G30" s="286">
        <v>4.806</v>
      </c>
    </row>
    <row r="31" spans="1:7" x14ac:dyDescent="0.25">
      <c r="A31" s="40">
        <v>29</v>
      </c>
      <c r="B31" s="282" t="s">
        <v>150</v>
      </c>
      <c r="C31" s="288" t="s">
        <v>114</v>
      </c>
      <c r="D31" s="56"/>
      <c r="E31" s="40"/>
      <c r="F31" s="282">
        <v>1.2270000000000001</v>
      </c>
      <c r="G31" s="286">
        <v>3.0470000000000002</v>
      </c>
    </row>
    <row r="32" spans="1:7" x14ac:dyDescent="0.25">
      <c r="A32" s="40">
        <v>30</v>
      </c>
      <c r="B32" s="282" t="s">
        <v>151</v>
      </c>
      <c r="C32" s="288" t="s">
        <v>110</v>
      </c>
      <c r="D32" s="40"/>
      <c r="E32" s="40"/>
      <c r="F32" s="281">
        <v>2.1749999999999998</v>
      </c>
      <c r="G32" s="286">
        <v>2.9319999999999999</v>
      </c>
    </row>
    <row r="33" spans="1:7" x14ac:dyDescent="0.25">
      <c r="A33" s="40">
        <v>31</v>
      </c>
      <c r="B33" s="40" t="s">
        <v>477</v>
      </c>
      <c r="C33" s="40" t="s">
        <v>476</v>
      </c>
      <c r="D33" s="40"/>
      <c r="E33" s="40"/>
      <c r="F33" s="281">
        <v>1.59</v>
      </c>
      <c r="G33" s="694">
        <v>3.3929999999999998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18" sqref="I18"/>
    </sheetView>
  </sheetViews>
  <sheetFormatPr defaultRowHeight="15" x14ac:dyDescent="0.25"/>
  <cols>
    <col min="1" max="1" width="14.42578125" customWidth="1"/>
  </cols>
  <sheetData>
    <row r="1" spans="1:6" x14ac:dyDescent="0.25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506</v>
      </c>
    </row>
    <row r="2" spans="1:6" x14ac:dyDescent="0.25">
      <c r="A2" t="s">
        <v>16</v>
      </c>
      <c r="B2" t="s">
        <v>504</v>
      </c>
      <c r="D2" t="s">
        <v>513</v>
      </c>
      <c r="E2" t="s">
        <v>514</v>
      </c>
      <c r="F2" t="s">
        <v>510</v>
      </c>
    </row>
    <row r="3" spans="1:6" x14ac:dyDescent="0.25">
      <c r="A3" t="s">
        <v>181</v>
      </c>
      <c r="B3" t="s">
        <v>505</v>
      </c>
      <c r="D3" t="s">
        <v>511</v>
      </c>
      <c r="E3" t="s">
        <v>512</v>
      </c>
      <c r="F3" t="s">
        <v>510</v>
      </c>
    </row>
    <row r="4" spans="1:6" x14ac:dyDescent="0.25">
      <c r="A4" t="s">
        <v>412</v>
      </c>
      <c r="B4" t="s">
        <v>507</v>
      </c>
      <c r="D4" t="s">
        <v>508</v>
      </c>
      <c r="E4" t="s">
        <v>509</v>
      </c>
      <c r="F4" t="s">
        <v>510</v>
      </c>
    </row>
    <row r="5" spans="1:6" x14ac:dyDescent="0.25">
      <c r="A5" t="s">
        <v>17</v>
      </c>
    </row>
    <row r="6" spans="1:6" x14ac:dyDescent="0.25">
      <c r="A6" t="s">
        <v>246</v>
      </c>
    </row>
    <row r="7" spans="1:6" x14ac:dyDescent="0.25">
      <c r="A7" t="s">
        <v>28</v>
      </c>
    </row>
    <row r="8" spans="1:6" x14ac:dyDescent="0.25">
      <c r="A8" t="s">
        <v>18</v>
      </c>
    </row>
    <row r="9" spans="1:6" x14ac:dyDescent="0.25">
      <c r="A9" t="s">
        <v>174</v>
      </c>
      <c r="B9" t="s">
        <v>517</v>
      </c>
      <c r="D9" t="s">
        <v>515</v>
      </c>
      <c r="E9" t="s">
        <v>516</v>
      </c>
      <c r="F9" t="s">
        <v>510</v>
      </c>
    </row>
    <row r="10" spans="1:6" x14ac:dyDescent="0.25">
      <c r="A10" t="s">
        <v>248</v>
      </c>
    </row>
    <row r="11" spans="1:6" x14ac:dyDescent="0.25">
      <c r="A11" t="s">
        <v>177</v>
      </c>
      <c r="B11" t="s">
        <v>518</v>
      </c>
      <c r="D11" t="s">
        <v>519</v>
      </c>
      <c r="E11" t="s">
        <v>520</v>
      </c>
      <c r="F11" t="s">
        <v>510</v>
      </c>
    </row>
    <row r="12" spans="1:6" x14ac:dyDescent="0.25">
      <c r="A12" t="s">
        <v>475</v>
      </c>
    </row>
    <row r="13" spans="1:6" x14ac:dyDescent="0.25">
      <c r="A13" t="s">
        <v>20</v>
      </c>
    </row>
    <row r="14" spans="1:6" x14ac:dyDescent="0.25">
      <c r="A14" t="s">
        <v>250</v>
      </c>
    </row>
    <row r="15" spans="1:6" x14ac:dyDescent="0.25">
      <c r="A15" t="s">
        <v>178</v>
      </c>
    </row>
    <row r="16" spans="1:6" x14ac:dyDescent="0.25">
      <c r="A16" t="s">
        <v>22</v>
      </c>
    </row>
    <row r="17" spans="1:6" x14ac:dyDescent="0.25">
      <c r="A17" t="s">
        <v>415</v>
      </c>
    </row>
    <row r="18" spans="1:6" x14ac:dyDescent="0.25">
      <c r="A18" t="s">
        <v>247</v>
      </c>
    </row>
    <row r="19" spans="1:6" x14ac:dyDescent="0.25">
      <c r="A19" t="s">
        <v>416</v>
      </c>
      <c r="B19" t="s">
        <v>521</v>
      </c>
      <c r="D19" t="s">
        <v>522</v>
      </c>
      <c r="E19" t="s">
        <v>523</v>
      </c>
      <c r="F19" t="s">
        <v>510</v>
      </c>
    </row>
    <row r="20" spans="1:6" x14ac:dyDescent="0.25">
      <c r="A20" t="s">
        <v>26</v>
      </c>
    </row>
    <row r="21" spans="1:6" x14ac:dyDescent="0.25">
      <c r="A21" t="s">
        <v>180</v>
      </c>
    </row>
    <row r="22" spans="1:6" x14ac:dyDescent="0.25">
      <c r="A22" t="s">
        <v>251</v>
      </c>
    </row>
    <row r="23" spans="1:6" x14ac:dyDescent="0.25">
      <c r="A23" t="s">
        <v>252</v>
      </c>
    </row>
    <row r="24" spans="1:6" x14ac:dyDescent="0.25">
      <c r="A24" t="s">
        <v>27</v>
      </c>
    </row>
    <row r="25" spans="1:6" x14ac:dyDescent="0.25">
      <c r="A25" t="s">
        <v>29</v>
      </c>
    </row>
    <row r="26" spans="1:6" x14ac:dyDescent="0.25">
      <c r="A26" t="s">
        <v>249</v>
      </c>
    </row>
    <row r="27" spans="1:6" x14ac:dyDescent="0.25">
      <c r="A27" t="s">
        <v>176</v>
      </c>
      <c r="B27" t="s">
        <v>526</v>
      </c>
      <c r="D27" t="s">
        <v>524</v>
      </c>
      <c r="E27" t="s">
        <v>525</v>
      </c>
      <c r="F27" t="s">
        <v>510</v>
      </c>
    </row>
    <row r="28" spans="1:6" x14ac:dyDescent="0.25">
      <c r="A28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0"/>
  <sheetViews>
    <sheetView view="pageBreakPreview" topLeftCell="B1" zoomScale="25" zoomScaleNormal="70" zoomScaleSheetLayoutView="25" workbookViewId="0">
      <pane xSplit="2" ySplit="8" topLeftCell="D9" activePane="bottomRight" state="frozen"/>
      <selection activeCell="B1" sqref="B1"/>
      <selection pane="topRight" activeCell="C1" sqref="C1"/>
      <selection pane="bottomLeft" activeCell="B5" sqref="B5"/>
      <selection pane="bottomRight" activeCell="F6" sqref="F6"/>
    </sheetView>
  </sheetViews>
  <sheetFormatPr defaultRowHeight="15" x14ac:dyDescent="0.25"/>
  <cols>
    <col min="1" max="2" width="8.140625" customWidth="1"/>
    <col min="3" max="3" width="106.7109375" customWidth="1"/>
    <col min="4" max="4" width="44.28515625" customWidth="1"/>
    <col min="5" max="5" width="41.140625" customWidth="1"/>
    <col min="6" max="6" width="31.85546875" customWidth="1"/>
    <col min="7" max="7" width="60.42578125" customWidth="1"/>
    <col min="8" max="10" width="61.28515625" customWidth="1"/>
    <col min="11" max="11" width="64.42578125" style="44" customWidth="1"/>
    <col min="12" max="12" width="64.140625" style="44" customWidth="1"/>
    <col min="13" max="13" width="66.140625" customWidth="1"/>
    <col min="14" max="14" width="65.5703125" customWidth="1"/>
    <col min="15" max="15" width="55.5703125" style="44" customWidth="1"/>
    <col min="16" max="16" width="53.5703125" customWidth="1"/>
    <col min="17" max="17" width="58.140625" customWidth="1"/>
    <col min="18" max="18" width="69.85546875" customWidth="1"/>
    <col min="19" max="21" width="58" style="721" customWidth="1"/>
    <col min="22" max="22" width="66.7109375" style="147" customWidth="1"/>
    <col min="23" max="23" width="66.85546875" style="437" customWidth="1"/>
    <col min="24" max="24" width="65.85546875" style="184" customWidth="1"/>
    <col min="25" max="25" width="64.140625" style="279" customWidth="1"/>
    <col min="26" max="26" width="60.5703125" style="184" customWidth="1"/>
    <col min="27" max="27" width="53.7109375" hidden="1" customWidth="1"/>
    <col min="28" max="28" width="39" hidden="1" customWidth="1"/>
    <col min="29" max="32" width="32.140625" hidden="1" customWidth="1"/>
    <col min="33" max="34" width="21.7109375" hidden="1" customWidth="1"/>
    <col min="35" max="35" width="20.5703125" customWidth="1"/>
    <col min="36" max="36" width="31.7109375" customWidth="1"/>
  </cols>
  <sheetData>
    <row r="1" spans="1:35" ht="32.25" customHeight="1" x14ac:dyDescent="0.25">
      <c r="C1" s="359"/>
      <c r="D1" s="359"/>
      <c r="E1" s="359"/>
      <c r="F1" s="359"/>
      <c r="G1" s="359"/>
      <c r="H1" s="359"/>
      <c r="I1" s="359"/>
      <c r="J1" s="359"/>
      <c r="K1" s="360"/>
      <c r="L1" s="360"/>
      <c r="M1" s="359"/>
      <c r="N1" s="359"/>
      <c r="O1" s="360"/>
      <c r="P1" s="359"/>
      <c r="Q1" s="359"/>
      <c r="R1" s="359"/>
      <c r="V1" s="361"/>
      <c r="W1" s="361"/>
      <c r="X1" s="361"/>
      <c r="Y1" s="361"/>
      <c r="Z1" s="361"/>
      <c r="AA1" s="359"/>
      <c r="AB1" s="359"/>
      <c r="AC1" s="359"/>
      <c r="AD1" s="359"/>
      <c r="AE1" s="359"/>
      <c r="AF1" s="359"/>
      <c r="AG1" s="359"/>
      <c r="AH1" s="359"/>
    </row>
    <row r="2" spans="1:35" ht="53.25" customHeight="1" x14ac:dyDescent="0.3">
      <c r="C2" s="763" t="s">
        <v>424</v>
      </c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  <c r="Y2" s="763"/>
      <c r="Z2" s="763"/>
      <c r="AA2" s="763"/>
      <c r="AB2" s="763"/>
      <c r="AC2" s="368"/>
      <c r="AD2" s="417"/>
      <c r="AE2" s="368"/>
      <c r="AF2" s="368"/>
      <c r="AG2" s="368"/>
      <c r="AH2" s="368"/>
    </row>
    <row r="3" spans="1:35" ht="45" customHeight="1" x14ac:dyDescent="0.25">
      <c r="C3" s="359"/>
      <c r="D3" s="359"/>
      <c r="E3" s="359"/>
      <c r="F3" s="359"/>
      <c r="G3" s="359"/>
      <c r="H3" s="359"/>
      <c r="I3" s="359"/>
      <c r="J3" s="359"/>
      <c r="K3" s="360"/>
      <c r="L3" s="360"/>
      <c r="M3" s="359"/>
      <c r="N3" s="359"/>
      <c r="O3" s="360"/>
      <c r="P3" s="359"/>
      <c r="Q3" s="359"/>
      <c r="R3" s="359"/>
      <c r="V3" s="361"/>
      <c r="W3" s="361"/>
      <c r="X3" s="361"/>
      <c r="Y3" s="361"/>
      <c r="Z3" s="361"/>
      <c r="AA3" s="359"/>
      <c r="AB3" s="359"/>
      <c r="AC3" s="359"/>
      <c r="AD3" s="359"/>
      <c r="AE3" s="359"/>
      <c r="AF3" s="359"/>
      <c r="AG3" s="359"/>
      <c r="AH3" s="359"/>
    </row>
    <row r="4" spans="1:35" ht="45" x14ac:dyDescent="0.6">
      <c r="A4" s="765" t="s">
        <v>41</v>
      </c>
      <c r="B4" s="514"/>
      <c r="C4" s="289"/>
      <c r="D4" s="407"/>
      <c r="E4" s="769" t="s">
        <v>61</v>
      </c>
      <c r="F4" s="770"/>
      <c r="G4" s="770"/>
      <c r="H4" s="770"/>
      <c r="I4" s="770"/>
      <c r="J4" s="770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0"/>
      <c r="X4" s="770"/>
      <c r="Y4" s="770"/>
      <c r="Z4" s="770"/>
      <c r="AA4" s="291"/>
      <c r="AB4" s="298"/>
      <c r="AC4" s="448"/>
      <c r="AD4" s="448"/>
      <c r="AE4" s="389"/>
      <c r="AF4" s="409"/>
      <c r="AG4" s="389"/>
      <c r="AH4" s="298"/>
    </row>
    <row r="5" spans="1:35" s="406" customFormat="1" ht="45" x14ac:dyDescent="0.6">
      <c r="A5" s="766"/>
      <c r="B5" s="515"/>
      <c r="C5" s="402"/>
      <c r="D5" s="408"/>
      <c r="E5" s="524"/>
      <c r="F5" s="525"/>
      <c r="G5" s="774" t="s">
        <v>484</v>
      </c>
      <c r="H5" s="775"/>
      <c r="I5" s="774" t="s">
        <v>480</v>
      </c>
      <c r="J5" s="775"/>
      <c r="K5" s="776" t="s">
        <v>480</v>
      </c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  <c r="Z5" s="777"/>
      <c r="AA5" s="403"/>
      <c r="AB5" s="404"/>
      <c r="AC5" s="449"/>
      <c r="AD5" s="449"/>
      <c r="AE5" s="405"/>
      <c r="AF5" s="410"/>
      <c r="AG5" s="405"/>
      <c r="AH5" s="404"/>
    </row>
    <row r="6" spans="1:35" s="154" customFormat="1" ht="326.25" customHeight="1" x14ac:dyDescent="0.25">
      <c r="A6" s="766"/>
      <c r="B6" s="515"/>
      <c r="C6" s="537" t="s">
        <v>42</v>
      </c>
      <c r="D6" s="717" t="s">
        <v>431</v>
      </c>
      <c r="E6" s="539" t="s">
        <v>453</v>
      </c>
      <c r="F6" s="538" t="s">
        <v>483</v>
      </c>
      <c r="G6" s="756" t="s">
        <v>485</v>
      </c>
      <c r="H6" s="542" t="s">
        <v>486</v>
      </c>
      <c r="I6" s="756" t="s">
        <v>497</v>
      </c>
      <c r="J6" s="761" t="s">
        <v>498</v>
      </c>
      <c r="K6" s="538" t="s">
        <v>454</v>
      </c>
      <c r="L6" s="538" t="s">
        <v>130</v>
      </c>
      <c r="M6" s="543" t="s">
        <v>133</v>
      </c>
      <c r="N6" s="543" t="s">
        <v>132</v>
      </c>
      <c r="O6" s="538" t="s">
        <v>131</v>
      </c>
      <c r="P6" s="543" t="s">
        <v>134</v>
      </c>
      <c r="Q6" s="543" t="s">
        <v>135</v>
      </c>
      <c r="R6" s="538" t="s">
        <v>228</v>
      </c>
      <c r="S6" s="742" t="s">
        <v>496</v>
      </c>
      <c r="T6" s="742" t="s">
        <v>495</v>
      </c>
      <c r="U6" s="751" t="s">
        <v>494</v>
      </c>
      <c r="V6" s="544" t="s">
        <v>229</v>
      </c>
      <c r="W6" s="538" t="s">
        <v>230</v>
      </c>
      <c r="X6" s="544" t="s">
        <v>493</v>
      </c>
      <c r="Y6" s="544" t="s">
        <v>421</v>
      </c>
      <c r="Z6" s="545" t="s">
        <v>171</v>
      </c>
      <c r="AA6" s="526" t="s">
        <v>140</v>
      </c>
      <c r="AB6" s="527" t="s">
        <v>171</v>
      </c>
      <c r="AC6" s="451" t="s">
        <v>425</v>
      </c>
      <c r="AD6" s="451" t="s">
        <v>452</v>
      </c>
      <c r="AE6" s="452" t="s">
        <v>427</v>
      </c>
      <c r="AF6" s="450" t="s">
        <v>428</v>
      </c>
      <c r="AG6" s="393" t="s">
        <v>429</v>
      </c>
      <c r="AH6" s="363"/>
    </row>
    <row r="7" spans="1:35" ht="35.25" x14ac:dyDescent="0.5">
      <c r="A7" s="766"/>
      <c r="B7" s="515"/>
      <c r="C7" s="546"/>
      <c r="D7" s="718" t="s">
        <v>232</v>
      </c>
      <c r="E7" s="548" t="s">
        <v>232</v>
      </c>
      <c r="F7" s="548" t="s">
        <v>232</v>
      </c>
      <c r="G7" s="757" t="s">
        <v>141</v>
      </c>
      <c r="H7" s="550" t="s">
        <v>141</v>
      </c>
      <c r="I7" s="760" t="s">
        <v>141</v>
      </c>
      <c r="J7" s="760" t="s">
        <v>141</v>
      </c>
      <c r="K7" s="551" t="s">
        <v>141</v>
      </c>
      <c r="L7" s="551" t="s">
        <v>141</v>
      </c>
      <c r="M7" s="547" t="s">
        <v>141</v>
      </c>
      <c r="N7" s="547" t="s">
        <v>141</v>
      </c>
      <c r="O7" s="551" t="s">
        <v>141</v>
      </c>
      <c r="P7" s="547" t="s">
        <v>141</v>
      </c>
      <c r="Q7" s="547" t="s">
        <v>141</v>
      </c>
      <c r="R7" s="551" t="s">
        <v>141</v>
      </c>
      <c r="S7" s="743" t="s">
        <v>141</v>
      </c>
      <c r="T7" s="743"/>
      <c r="U7" s="749"/>
      <c r="V7" s="551" t="s">
        <v>141</v>
      </c>
      <c r="W7" s="551" t="s">
        <v>141</v>
      </c>
      <c r="X7" s="551" t="s">
        <v>141</v>
      </c>
      <c r="Y7" s="551"/>
      <c r="Z7" s="551" t="s">
        <v>141</v>
      </c>
      <c r="AA7" s="528" t="s">
        <v>141</v>
      </c>
      <c r="AB7" s="529" t="s">
        <v>141</v>
      </c>
      <c r="AC7" s="453" t="s">
        <v>141</v>
      </c>
      <c r="AD7" s="453" t="s">
        <v>141</v>
      </c>
      <c r="AE7" s="454" t="s">
        <v>141</v>
      </c>
      <c r="AF7" s="455" t="s">
        <v>141</v>
      </c>
      <c r="AG7" s="394" t="s">
        <v>141</v>
      </c>
      <c r="AH7" s="293"/>
    </row>
    <row r="8" spans="1:35" ht="35.25" x14ac:dyDescent="0.5">
      <c r="A8" s="768"/>
      <c r="B8" s="516"/>
      <c r="C8" s="552"/>
      <c r="D8" s="719">
        <v>1</v>
      </c>
      <c r="E8" s="548" t="s">
        <v>434</v>
      </c>
      <c r="F8" s="548" t="s">
        <v>435</v>
      </c>
      <c r="G8" s="758">
        <v>13</v>
      </c>
      <c r="H8" s="554">
        <v>14</v>
      </c>
      <c r="I8" s="758"/>
      <c r="J8" s="758"/>
      <c r="K8" s="551">
        <v>2</v>
      </c>
      <c r="L8" s="551">
        <v>3</v>
      </c>
      <c r="M8" s="547"/>
      <c r="N8" s="547"/>
      <c r="O8" s="551">
        <v>4</v>
      </c>
      <c r="P8" s="547"/>
      <c r="Q8" s="547"/>
      <c r="R8" s="551" t="s">
        <v>233</v>
      </c>
      <c r="S8" s="743">
        <v>6</v>
      </c>
      <c r="T8" s="743"/>
      <c r="U8" s="749"/>
      <c r="V8" s="551" t="s">
        <v>234</v>
      </c>
      <c r="W8" s="551">
        <v>8</v>
      </c>
      <c r="X8" s="555" t="s">
        <v>235</v>
      </c>
      <c r="Y8" s="555"/>
      <c r="Z8" s="555" t="s">
        <v>236</v>
      </c>
      <c r="AA8" s="528">
        <v>11</v>
      </c>
      <c r="AB8" s="530">
        <v>12</v>
      </c>
      <c r="AC8" s="456">
        <v>13</v>
      </c>
      <c r="AD8" s="456"/>
      <c r="AE8" s="457">
        <v>14</v>
      </c>
      <c r="AF8" s="458">
        <v>15</v>
      </c>
      <c r="AG8" s="390" t="s">
        <v>430</v>
      </c>
      <c r="AH8" s="295"/>
    </row>
    <row r="9" spans="1:35" ht="163.5" customHeight="1" x14ac:dyDescent="0.25">
      <c r="A9" s="6">
        <v>1</v>
      </c>
      <c r="B9" s="6"/>
      <c r="C9" s="557" t="s">
        <v>43</v>
      </c>
      <c r="D9" s="720">
        <v>640</v>
      </c>
      <c r="E9" s="561">
        <f>SUMIF('2020'!$B:$B,'Свод 2020'!$A9,('2020'!$P:$P))-SUMIFS('2020'!$P:$P,'2020'!$B:$B,'Свод 2020'!$A9,'2020'!$G:$G,4)</f>
        <v>658</v>
      </c>
      <c r="F9" s="567">
        <f>E9-D9</f>
        <v>18</v>
      </c>
      <c r="G9" s="759">
        <v>68549.3</v>
      </c>
      <c r="H9" s="563">
        <v>69470.899999999994</v>
      </c>
      <c r="I9" s="759">
        <v>73830.7</v>
      </c>
      <c r="J9" s="759">
        <f>I9-G9</f>
        <v>5281.4</v>
      </c>
      <c r="K9" s="564">
        <f>ROUND((SUMIF('2020'!$B:$B,'Свод 2020'!$A9,('2020'!$BL:$BL))-SUMIFS('2020'!$BL:$BL,'2020'!$B:$B,'Свод 2020'!$A9,'2020'!$G:$G,4))/1000,1)</f>
        <v>65388.4</v>
      </c>
      <c r="L9" s="564">
        <f>N9-M9</f>
        <v>6286.5</v>
      </c>
      <c r="M9" s="565">
        <f>ROUND((SUMIF('2020'!$B:$B,'Свод 2020'!$A9,('2020'!$AQ:$AQ))-SUMIFS('2020'!$AQ:$AQ,'2020'!$B:$B,'Свод 2020'!$A9,'2020'!$G:$G,4)+SUMIF('2020'!$B:$B,'Свод 2020'!$A9,('2020'!$BH:$BH))-SUMIFS('2020'!$BH:$BH,'2020'!$B:$B,'Свод 2020'!$A9,'2020'!$G:$G,4))/1000,1)</f>
        <v>41357.9</v>
      </c>
      <c r="N9" s="565">
        <f>ROUND((SUMIF('2020'!$B:$B,'Свод 2020'!$A9,('2020'!$BM:$BM))-SUMIFS('2020'!$BM:$BM,'2020'!$B:$B,'Свод 2020'!$A9,'2020'!$G:$G,4)+SUMIF('2020'!$B:$B,'Свод 2020'!$A9,('2020'!$CD:$CD))-SUMIFS('2020'!$CD:$CD,'2020'!$B:$B,'Свод 2020'!$A9,'2020'!$G:$G,4))/1000,1)</f>
        <v>47644.4</v>
      </c>
      <c r="O9" s="564">
        <f>Q9-P9</f>
        <v>2341.4</v>
      </c>
      <c r="P9" s="565">
        <f>ROUND((SUMIF('2020'!$B:$B,'Свод 2020'!$A9,('2020'!$BB:$BB))-SUMIFS('2020'!$BB:$BB,'2020'!$B:$B,'Свод 2020'!$A9,'2020'!$G:$G,4))/1000,1)</f>
        <v>1355.7</v>
      </c>
      <c r="Q9" s="565">
        <f>ROUND((SUMIF('2020'!$B:$B,'Свод 2020'!$A9,('2020'!$BX:$BX))-SUMIFS('2020'!$BX:$BX,'2020'!$B:$B,'Свод 2020'!$A9,'2020'!$G:$G,4))/1000,1)</f>
        <v>3697.1</v>
      </c>
      <c r="R9" s="564">
        <f>K9+L9+O9</f>
        <v>74016.3</v>
      </c>
      <c r="S9" s="744">
        <v>468.9</v>
      </c>
      <c r="T9" s="744">
        <v>921.6</v>
      </c>
      <c r="U9" s="750">
        <f>T9-S9</f>
        <v>452.7</v>
      </c>
      <c r="V9" s="564">
        <f>K9+L9+O9+S9</f>
        <v>74485.2</v>
      </c>
      <c r="W9" s="564">
        <f>ROUND(R9*R$27,1)</f>
        <v>73830.7</v>
      </c>
      <c r="X9" s="566">
        <f t="shared" ref="X9:X24" si="0">S9+W9</f>
        <v>74299.600000000006</v>
      </c>
      <c r="Y9" s="566">
        <f>N9*R$27</f>
        <v>47524.95</v>
      </c>
      <c r="Z9" s="566">
        <f>X9-V9</f>
        <v>-185.6</v>
      </c>
      <c r="AA9" s="522">
        <f t="shared" ref="AA9:AA24" si="1">ROUND((K9+L9+O9)*AA$27,1)+S9</f>
        <v>79063.5</v>
      </c>
      <c r="AB9" s="523">
        <f t="shared" ref="AB9:AB24" si="2">AA9-V9</f>
        <v>4578.3</v>
      </c>
      <c r="AC9" s="460">
        <v>49845.8</v>
      </c>
      <c r="AD9" s="460"/>
      <c r="AE9" s="461">
        <v>50767.4</v>
      </c>
      <c r="AF9" s="459">
        <f t="shared" ref="AF9:AF25" si="3">W9-AC9</f>
        <v>23984.9</v>
      </c>
      <c r="AG9" s="391">
        <f t="shared" ref="AG9:AG25" si="4">X9-AE9</f>
        <v>23532.2</v>
      </c>
      <c r="AH9" s="313"/>
      <c r="AI9" s="265">
        <f t="shared" ref="AI9:AI25" si="5">(AA9-S9)/(V9-S9)</f>
        <v>1.061855</v>
      </c>
    </row>
    <row r="10" spans="1:35" ht="159" customHeight="1" x14ac:dyDescent="0.25">
      <c r="A10" s="6">
        <v>2</v>
      </c>
      <c r="B10" s="6"/>
      <c r="C10" s="557" t="s">
        <v>44</v>
      </c>
      <c r="D10" s="720">
        <v>1135</v>
      </c>
      <c r="E10" s="561">
        <f>SUMIF('2020'!$B:$B,'Свод 2020'!$A10,('2020'!$P:$P))-SUMIFS('2020'!$P:$P,'2020'!$B:$B,'Свод 2020'!$A10,'2020'!$G:$G,4)</f>
        <v>1150</v>
      </c>
      <c r="F10" s="567">
        <f t="shared" ref="F10:F25" si="6">E10-D10</f>
        <v>15</v>
      </c>
      <c r="G10" s="759">
        <v>131165.6</v>
      </c>
      <c r="H10" s="563">
        <v>152859.9</v>
      </c>
      <c r="I10" s="759">
        <v>132971.9</v>
      </c>
      <c r="J10" s="759">
        <f t="shared" ref="J10:J24" si="7">I10-G10</f>
        <v>1806.3</v>
      </c>
      <c r="K10" s="564">
        <f>ROUND((SUMIF('2020'!$B:$B,'Свод 2020'!$A10,('2020'!$BL:$BL))-SUMIFS('2020'!$BL:$BL,'2020'!$B:$B,'Свод 2020'!$A10,'2020'!$G:$G,4))/1000,1)</f>
        <v>113404.2</v>
      </c>
      <c r="L10" s="564">
        <f t="shared" ref="L10:L22" si="8">N10-M10</f>
        <v>17148.2</v>
      </c>
      <c r="M10" s="565">
        <f>ROUND((SUMIF('2020'!$B:$B,'Свод 2020'!$A10,('2020'!$AQ:$AQ))-SUMIFS('2020'!$AQ:$AQ,'2020'!$B:$B,'Свод 2020'!$A10,'2020'!$G:$G,4)+SUMIF('2020'!$B:$B,'Свод 2020'!$A10,('2020'!$BH:$BH))-SUMIFS('2020'!$BH:$BH,'2020'!$B:$B,'Свод 2020'!$A10,'2020'!$G:$G,4))/1000,1)</f>
        <v>70279.3</v>
      </c>
      <c r="N10" s="565">
        <f>ROUND((SUMIF('2020'!$B:$B,'Свод 2020'!$A10,('2020'!$BM:$BM))-SUMIFS('2020'!$BM:$BM,'2020'!$B:$B,'Свод 2020'!$A10,'2020'!$G:$G,4)+SUMIF('2020'!$B:$B,'Свод 2020'!$A10,('2020'!$CD:$CD))-SUMIFS('2020'!$CD:$CD,'2020'!$B:$B,'Свод 2020'!$A10,'2020'!$G:$G,4))/1000,1)</f>
        <v>87427.5</v>
      </c>
      <c r="O10" s="564">
        <f t="shared" ref="O10:O22" si="9">Q10-P10</f>
        <v>2753.7</v>
      </c>
      <c r="P10" s="565">
        <f>ROUND((SUMIF('2020'!$B:$B,'Свод 2020'!$A10,('2020'!$BB:$BB))-SUMIFS('2020'!$BB:$BB,'2020'!$B:$B,'Свод 2020'!$A10,'2020'!$G:$G,4))/1000,1)</f>
        <v>2306.3000000000002</v>
      </c>
      <c r="Q10" s="565">
        <f>ROUND((SUMIF('2020'!$B:$B,'Свод 2020'!$A10,('2020'!$BX:$BX))-SUMIFS('2020'!$BX:$BX,'2020'!$B:$B,'Свод 2020'!$A10,'2020'!$G:$G,4))/1000,1)</f>
        <v>5060</v>
      </c>
      <c r="R10" s="564">
        <f t="shared" ref="R10:R24" si="10">K10+L10+O10</f>
        <v>133306.1</v>
      </c>
      <c r="S10" s="744">
        <v>21694.3</v>
      </c>
      <c r="T10" s="744">
        <v>21694.3</v>
      </c>
      <c r="U10" s="750">
        <f t="shared" ref="U10:U25" si="11">T10-S10</f>
        <v>0</v>
      </c>
      <c r="V10" s="564">
        <f t="shared" ref="V10:V24" si="12">K10+L10+O10+S10</f>
        <v>155000.4</v>
      </c>
      <c r="W10" s="564">
        <f t="shared" ref="W10:W24" si="13">ROUND(R10*R$27,1)</f>
        <v>132971.9</v>
      </c>
      <c r="X10" s="566">
        <f t="shared" si="0"/>
        <v>154666.20000000001</v>
      </c>
      <c r="Y10" s="566">
        <f t="shared" ref="Y10:Y23" si="14">N10*R$27</f>
        <v>87208.3</v>
      </c>
      <c r="Z10" s="566">
        <f t="shared" ref="Z10:Z24" si="15">X10-V10</f>
        <v>-334.2</v>
      </c>
      <c r="AA10" s="522">
        <f t="shared" si="1"/>
        <v>163246</v>
      </c>
      <c r="AB10" s="523">
        <f t="shared" si="2"/>
        <v>8245.6</v>
      </c>
      <c r="AC10" s="460">
        <v>100634.2</v>
      </c>
      <c r="AD10" s="460"/>
      <c r="AE10" s="461">
        <v>122328.5</v>
      </c>
      <c r="AF10" s="459">
        <f t="shared" si="3"/>
        <v>32337.7</v>
      </c>
      <c r="AG10" s="391">
        <f t="shared" si="4"/>
        <v>32337.7</v>
      </c>
      <c r="AH10" s="313"/>
      <c r="AI10" s="265">
        <f t="shared" si="5"/>
        <v>1.061855</v>
      </c>
    </row>
    <row r="11" spans="1:35" ht="166.5" customHeight="1" x14ac:dyDescent="0.25">
      <c r="A11" s="6">
        <v>3</v>
      </c>
      <c r="B11" s="6"/>
      <c r="C11" s="557" t="s">
        <v>45</v>
      </c>
      <c r="D11" s="720">
        <v>796</v>
      </c>
      <c r="E11" s="561">
        <f>SUMIF('2020'!$B:$B,'Свод 2020'!$A11,('2020'!$P:$P))-SUMIFS('2020'!$P:$P,'2020'!$B:$B,'Свод 2020'!$A11,'2020'!$G:$G,4)</f>
        <v>838</v>
      </c>
      <c r="F11" s="567">
        <f t="shared" si="6"/>
        <v>42</v>
      </c>
      <c r="G11" s="759">
        <v>76302.100000000006</v>
      </c>
      <c r="H11" s="563">
        <v>84232</v>
      </c>
      <c r="I11" s="759">
        <v>79629.5</v>
      </c>
      <c r="J11" s="759">
        <f t="shared" si="7"/>
        <v>3327.4</v>
      </c>
      <c r="K11" s="564">
        <f>ROUND((SUMIF('2020'!$B:$B,'Свод 2020'!$A11,('2020'!$BL:$BL))-SUMIFS('2020'!$BL:$BL,'2020'!$B:$B,'Свод 2020'!$A11,'2020'!$G:$G,4))/1000,1)</f>
        <v>66641.3</v>
      </c>
      <c r="L11" s="564">
        <f t="shared" si="8"/>
        <v>11611.1</v>
      </c>
      <c r="M11" s="565">
        <f>ROUND((SUMIF('2020'!$B:$B,'Свод 2020'!$A11,('2020'!$AQ:$AQ))-SUMIFS('2020'!$AQ:$AQ,'2020'!$B:$B,'Свод 2020'!$A11,'2020'!$G:$G,4)+SUMIF('2020'!$B:$B,'Свод 2020'!$A11,('2020'!$BH:$BH))-SUMIFS('2020'!$BH:$BH,'2020'!$B:$B,'Свод 2020'!$A11,'2020'!$G:$G,4))/1000,1)</f>
        <v>41173.9</v>
      </c>
      <c r="N11" s="565">
        <f>ROUND((SUMIF('2020'!$B:$B,'Свод 2020'!$A11,('2020'!$BM:$BM))-SUMIFS('2020'!$BM:$BM,'2020'!$B:$B,'Свод 2020'!$A11,'2020'!$G:$G,4)+SUMIF('2020'!$B:$B,'Свод 2020'!$A11,('2020'!$CD:$CD))-SUMIFS('2020'!$CD:$CD,'2020'!$B:$B,'Свод 2020'!$A11,'2020'!$G:$G,4))/1000,1)</f>
        <v>52785</v>
      </c>
      <c r="O11" s="564">
        <f t="shared" si="9"/>
        <v>1577.3</v>
      </c>
      <c r="P11" s="565">
        <f>ROUND((SUMIF('2020'!$B:$B,'Свод 2020'!$A11,('2020'!$BB:$BB))-SUMIFS('2020'!$BB:$BB,'2020'!$B:$B,'Свод 2020'!$A11,'2020'!$G:$G,4))/1000,1)</f>
        <v>1360.9</v>
      </c>
      <c r="Q11" s="565">
        <f>ROUND((SUMIF('2020'!$B:$B,'Свод 2020'!$A11,('2020'!$BX:$BX))-SUMIFS('2020'!$BX:$BX,'2020'!$B:$B,'Свод 2020'!$A11,'2020'!$G:$G,4))/1000,1)</f>
        <v>2938.2</v>
      </c>
      <c r="R11" s="564">
        <f t="shared" si="10"/>
        <v>79829.7</v>
      </c>
      <c r="S11" s="744">
        <v>6965.3</v>
      </c>
      <c r="T11" s="744">
        <v>7929.9</v>
      </c>
      <c r="U11" s="750">
        <f t="shared" si="11"/>
        <v>964.6</v>
      </c>
      <c r="V11" s="564">
        <f t="shared" si="12"/>
        <v>86795</v>
      </c>
      <c r="W11" s="564">
        <f t="shared" si="13"/>
        <v>79629.5</v>
      </c>
      <c r="X11" s="566">
        <f t="shared" si="0"/>
        <v>86594.8</v>
      </c>
      <c r="Y11" s="566">
        <f t="shared" si="14"/>
        <v>52652.66</v>
      </c>
      <c r="Z11" s="566">
        <f t="shared" si="15"/>
        <v>-200.2</v>
      </c>
      <c r="AA11" s="522">
        <f t="shared" si="1"/>
        <v>91732.9</v>
      </c>
      <c r="AB11" s="523">
        <f t="shared" si="2"/>
        <v>4937.8999999999996</v>
      </c>
      <c r="AC11" s="460">
        <v>55066.8</v>
      </c>
      <c r="AD11" s="460"/>
      <c r="AE11" s="461">
        <v>62996.7</v>
      </c>
      <c r="AF11" s="459">
        <f t="shared" si="3"/>
        <v>24562.7</v>
      </c>
      <c r="AG11" s="391">
        <f t="shared" si="4"/>
        <v>23598.1</v>
      </c>
      <c r="AH11" s="313"/>
      <c r="AI11" s="265">
        <f t="shared" si="5"/>
        <v>1.061855</v>
      </c>
    </row>
    <row r="12" spans="1:35" ht="161.25" customHeight="1" x14ac:dyDescent="0.25">
      <c r="A12" s="6">
        <v>4</v>
      </c>
      <c r="B12" s="6"/>
      <c r="C12" s="557" t="s">
        <v>46</v>
      </c>
      <c r="D12" s="720">
        <v>682</v>
      </c>
      <c r="E12" s="561">
        <f>SUMIF('2020'!$B:$B,'Свод 2020'!$A12,('2020'!$P:$P))-SUMIFS('2020'!$P:$P,'2020'!$B:$B,'Свод 2020'!$A12,'2020'!$G:$G,4)</f>
        <v>714</v>
      </c>
      <c r="F12" s="567">
        <f t="shared" si="6"/>
        <v>32</v>
      </c>
      <c r="G12" s="759">
        <v>103440.9</v>
      </c>
      <c r="H12" s="563">
        <v>107621.5</v>
      </c>
      <c r="I12" s="759">
        <v>112179.7</v>
      </c>
      <c r="J12" s="759">
        <f t="shared" si="7"/>
        <v>8738.7999999999993</v>
      </c>
      <c r="K12" s="564">
        <f>ROUND((SUMIF('2020'!$B:$B,'Свод 2020'!$A12,('2020'!$BL:$BL))-SUMIFS('2020'!$BL:$BL,'2020'!$B:$B,'Свод 2020'!$A12,'2020'!$G:$G,4))/1000,1)</f>
        <v>66725.2</v>
      </c>
      <c r="L12" s="564">
        <f t="shared" si="8"/>
        <v>42603.5</v>
      </c>
      <c r="M12" s="565">
        <f>ROUND((SUMIF('2020'!$B:$B,'Свод 2020'!$A12,('2020'!$AQ:$AQ))-SUMIFS('2020'!$AQ:$AQ,'2020'!$B:$B,'Свод 2020'!$A12,'2020'!$G:$G,4)+SUMIF('2020'!$B:$B,'Свод 2020'!$A12,('2020'!$BH:$BH))-SUMIFS('2020'!$BH:$BH,'2020'!$B:$B,'Свод 2020'!$A12,'2020'!$G:$G,4))/1000,1)</f>
        <v>41483.5</v>
      </c>
      <c r="N12" s="565">
        <f>ROUND((SUMIF('2020'!$B:$B,'Свод 2020'!$A12,('2020'!$BM:$BM))-SUMIFS('2020'!$BM:$BM,'2020'!$B:$B,'Свод 2020'!$A12,'2020'!$G:$G,4)+SUMIF('2020'!$B:$B,'Свод 2020'!$A12,('2020'!$CD:$CD))-SUMIFS('2020'!$CD:$CD,'2020'!$B:$B,'Свод 2020'!$A12,'2020'!$G:$G,4))/1000,1)</f>
        <v>84087</v>
      </c>
      <c r="O12" s="564">
        <f t="shared" si="9"/>
        <v>3133</v>
      </c>
      <c r="P12" s="565">
        <f>ROUND((SUMIF('2020'!$B:$B,'Свод 2020'!$A12,('2020'!$BB:$BB))-SUMIFS('2020'!$BB:$BB,'2020'!$B:$B,'Свод 2020'!$A12,'2020'!$G:$G,4))/1000,1)</f>
        <v>1346.9</v>
      </c>
      <c r="Q12" s="565">
        <f>ROUND((SUMIF('2020'!$B:$B,'Свод 2020'!$A12,('2020'!$BX:$BX))-SUMIFS('2020'!$BX:$BX,'2020'!$B:$B,'Свод 2020'!$A12,'2020'!$G:$G,4))/1000,1)</f>
        <v>4479.8999999999996</v>
      </c>
      <c r="R12" s="564">
        <f t="shared" si="10"/>
        <v>112461.7</v>
      </c>
      <c r="S12" s="744">
        <v>4596.8999999999996</v>
      </c>
      <c r="T12" s="744">
        <v>4180.6000000000004</v>
      </c>
      <c r="U12" s="750">
        <f t="shared" si="11"/>
        <v>-416.3</v>
      </c>
      <c r="V12" s="564">
        <f t="shared" si="12"/>
        <v>117058.6</v>
      </c>
      <c r="W12" s="564">
        <f t="shared" si="13"/>
        <v>112179.7</v>
      </c>
      <c r="X12" s="566">
        <f t="shared" si="0"/>
        <v>116776.6</v>
      </c>
      <c r="Y12" s="566">
        <f t="shared" si="14"/>
        <v>83876.179999999993</v>
      </c>
      <c r="Z12" s="566">
        <f t="shared" si="15"/>
        <v>-282</v>
      </c>
      <c r="AA12" s="522">
        <f t="shared" si="1"/>
        <v>124014.9</v>
      </c>
      <c r="AB12" s="523">
        <f t="shared" si="2"/>
        <v>6956.3</v>
      </c>
      <c r="AC12" s="460">
        <v>71433</v>
      </c>
      <c r="AD12" s="460"/>
      <c r="AE12" s="461">
        <v>75613.600000000006</v>
      </c>
      <c r="AF12" s="462">
        <f t="shared" si="3"/>
        <v>40746.699999999997</v>
      </c>
      <c r="AG12" s="391">
        <f t="shared" si="4"/>
        <v>41163</v>
      </c>
      <c r="AH12" s="313"/>
      <c r="AI12" s="265">
        <f t="shared" si="5"/>
        <v>1.061855</v>
      </c>
    </row>
    <row r="13" spans="1:35" ht="186.75" customHeight="1" x14ac:dyDescent="0.25">
      <c r="A13" s="6">
        <v>5</v>
      </c>
      <c r="B13" s="6"/>
      <c r="C13" s="557" t="s">
        <v>47</v>
      </c>
      <c r="D13" s="720">
        <v>2573</v>
      </c>
      <c r="E13" s="561">
        <f>SUMIF('2020'!$B:$B,'Свод 2020'!$A13,('2020'!$P:$P))-SUMIFS('2020'!$P:$P,'2020'!$B:$B,'Свод 2020'!$A13,'2020'!$G:$G,4)</f>
        <v>2681</v>
      </c>
      <c r="F13" s="567">
        <f t="shared" si="6"/>
        <v>108</v>
      </c>
      <c r="G13" s="759">
        <v>279304</v>
      </c>
      <c r="H13" s="563">
        <v>303523.3</v>
      </c>
      <c r="I13" s="759">
        <v>300000.5</v>
      </c>
      <c r="J13" s="759">
        <f t="shared" si="7"/>
        <v>20696.5</v>
      </c>
      <c r="K13" s="564">
        <f>ROUND((SUMIF('2020'!$B:$B,'Свод 2020'!$A13,('2020'!$BL:$BL))-SUMIFS('2020'!$BL:$BL,'2020'!$B:$B,'Свод 2020'!$A13,'2020'!$G:$G,4))/1000,1)</f>
        <v>236954</v>
      </c>
      <c r="L13" s="564">
        <f t="shared" si="8"/>
        <v>58991.3</v>
      </c>
      <c r="M13" s="565">
        <f>ROUND((SUMIF('2020'!$B:$B,'Свод 2020'!$A13,('2020'!$AQ:$AQ))-SUMIFS('2020'!$AQ:$AQ,'2020'!$B:$B,'Свод 2020'!$A13,'2020'!$G:$G,4)+SUMIF('2020'!$B:$B,'Свод 2020'!$A13,('2020'!$BH:$BH))-SUMIFS('2020'!$BH:$BH,'2020'!$B:$B,'Свод 2020'!$A13,'2020'!$G:$G,4))/1000,1)</f>
        <v>149345</v>
      </c>
      <c r="N13" s="565">
        <f>ROUND((SUMIF('2020'!$B:$B,'Свод 2020'!$A13,('2020'!$BM:$BM))-SUMIFS('2020'!$BM:$BM,'2020'!$B:$B,'Свод 2020'!$A13,'2020'!$G:$G,4)+SUMIF('2020'!$B:$B,'Свод 2020'!$A13,('2020'!$CD:$CD))-SUMIFS('2020'!$CD:$CD,'2020'!$B:$B,'Свод 2020'!$A13,'2020'!$G:$G,4))/1000,1)</f>
        <v>208336.3</v>
      </c>
      <c r="O13" s="564">
        <f t="shared" si="9"/>
        <v>4809.2</v>
      </c>
      <c r="P13" s="565">
        <f>ROUND((SUMIF('2020'!$B:$B,'Свод 2020'!$A13,('2020'!$BB:$BB))-SUMIFS('2020'!$BB:$BB,'2020'!$B:$B,'Свод 2020'!$A13,'2020'!$G:$G,4))/1000,1)</f>
        <v>4912.3999999999996</v>
      </c>
      <c r="Q13" s="565">
        <f>ROUND((SUMIF('2020'!$B:$B,'Свод 2020'!$A13,('2020'!$BX:$BX))-SUMIFS('2020'!$BX:$BX,'2020'!$B:$B,'Свод 2020'!$A13,'2020'!$G:$G,4))/1000,1)</f>
        <v>9721.6</v>
      </c>
      <c r="R13" s="564">
        <f t="shared" si="10"/>
        <v>300754.5</v>
      </c>
      <c r="S13" s="744">
        <v>19262.5</v>
      </c>
      <c r="T13" s="744">
        <v>24219.3</v>
      </c>
      <c r="U13" s="750">
        <f t="shared" si="11"/>
        <v>4956.8</v>
      </c>
      <c r="V13" s="564">
        <f t="shared" si="12"/>
        <v>320017</v>
      </c>
      <c r="W13" s="564">
        <f>ROUND(R13*R$27,1)+0.1</f>
        <v>300000.5</v>
      </c>
      <c r="X13" s="566">
        <f t="shared" si="0"/>
        <v>319263</v>
      </c>
      <c r="Y13" s="566">
        <f t="shared" si="14"/>
        <v>207813.96</v>
      </c>
      <c r="Z13" s="566">
        <f t="shared" si="15"/>
        <v>-754</v>
      </c>
      <c r="AA13" s="522">
        <f t="shared" si="1"/>
        <v>338620.1</v>
      </c>
      <c r="AB13" s="523">
        <f t="shared" si="2"/>
        <v>18603.099999999999</v>
      </c>
      <c r="AC13" s="460">
        <v>202030.2</v>
      </c>
      <c r="AD13" s="460"/>
      <c r="AE13" s="461">
        <v>226249.5</v>
      </c>
      <c r="AF13" s="459">
        <f t="shared" si="3"/>
        <v>97970.3</v>
      </c>
      <c r="AG13" s="391">
        <f t="shared" si="4"/>
        <v>93013.5</v>
      </c>
      <c r="AH13" s="313"/>
      <c r="AI13" s="265">
        <f t="shared" si="5"/>
        <v>1.061855</v>
      </c>
    </row>
    <row r="14" spans="1:35" ht="244.5" customHeight="1" x14ac:dyDescent="0.25">
      <c r="A14" s="6">
        <v>6</v>
      </c>
      <c r="B14" s="6"/>
      <c r="C14" s="557" t="s">
        <v>48</v>
      </c>
      <c r="D14" s="720">
        <v>3905</v>
      </c>
      <c r="E14" s="561">
        <f>SUMIF('2020'!$B:$B,'Свод 2020'!$A14,('2020'!$P:$P))-SUMIFS('2020'!$P:$P,'2020'!$B:$B,'Свод 2020'!$A14,'2020'!$G:$G,4)</f>
        <v>3657</v>
      </c>
      <c r="F14" s="754">
        <f t="shared" si="6"/>
        <v>-248</v>
      </c>
      <c r="G14" s="759">
        <v>728194</v>
      </c>
      <c r="H14" s="563">
        <v>785373.7</v>
      </c>
      <c r="I14" s="759">
        <v>707429.6</v>
      </c>
      <c r="J14" s="755">
        <f t="shared" si="7"/>
        <v>-20764.400000000001</v>
      </c>
      <c r="K14" s="564">
        <f>ROUND((SUMIF('2020'!$B:$B,'Свод 2020'!$A14,('2020'!$BL:$BL))-SUMIFS('2020'!$BL:$BL,'2020'!$B:$B,'Свод 2020'!$A14,'2020'!$G:$G,4))/1000,1)</f>
        <v>368189.2</v>
      </c>
      <c r="L14" s="564">
        <f t="shared" si="8"/>
        <v>329018.5</v>
      </c>
      <c r="M14" s="565">
        <f>ROUND((SUMIF('2020'!$B:$B,'Свод 2020'!$A14,('2020'!$AQ:$AQ))-SUMIFS('2020'!$AQ:$AQ,'2020'!$B:$B,'Свод 2020'!$A14,'2020'!$G:$G,4)+SUMIF('2020'!$B:$B,'Свод 2020'!$A14,('2020'!$BH:$BH))-SUMIFS('2020'!$BH:$BH,'2020'!$B:$B,'Свод 2020'!$A14,'2020'!$G:$G,4))/1000,1)</f>
        <v>228168.2</v>
      </c>
      <c r="N14" s="565">
        <f>ROUND((SUMIF('2020'!$B:$B,'Свод 2020'!$A14,('2020'!$BM:$BM))-SUMIFS('2020'!$BM:$BM,'2020'!$B:$B,'Свод 2020'!$A14,'2020'!$G:$G,4)+SUMIF('2020'!$B:$B,'Свод 2020'!$A14,('2020'!$CD:$CD))-SUMIFS('2020'!$CD:$CD,'2020'!$B:$B,'Свод 2020'!$A14,'2020'!$G:$G,4))/1000,1)</f>
        <v>557186.69999999995</v>
      </c>
      <c r="O14" s="564">
        <f t="shared" si="9"/>
        <v>12000</v>
      </c>
      <c r="P14" s="565">
        <f>ROUND((SUMIF('2020'!$B:$B,'Свод 2020'!$A14,('2020'!$BB:$BB))-SUMIFS('2020'!$BB:$BB,'2020'!$B:$B,'Свод 2020'!$A14,'2020'!$G:$G,4))/1000,1)</f>
        <v>7500</v>
      </c>
      <c r="Q14" s="565">
        <f>ROUND((SUMIF('2020'!$B:$B,'Свод 2020'!$A14,('2020'!$BX:$BX))-SUMIFS('2020'!$BX:$BX,'2020'!$B:$B,'Свод 2020'!$A14,'2020'!$G:$G,4))/1000,1)</f>
        <v>19500</v>
      </c>
      <c r="R14" s="564">
        <f t="shared" si="10"/>
        <v>709207.7</v>
      </c>
      <c r="S14" s="744">
        <v>18546.599999999999</v>
      </c>
      <c r="T14" s="744">
        <v>57179.7</v>
      </c>
      <c r="U14" s="750">
        <f t="shared" si="11"/>
        <v>38633.1</v>
      </c>
      <c r="V14" s="564">
        <f t="shared" si="12"/>
        <v>727754.3</v>
      </c>
      <c r="W14" s="564">
        <f t="shared" si="13"/>
        <v>707429.6</v>
      </c>
      <c r="X14" s="566">
        <f t="shared" si="0"/>
        <v>725976.2</v>
      </c>
      <c r="Y14" s="566">
        <f t="shared" si="14"/>
        <v>555789.71</v>
      </c>
      <c r="Z14" s="566">
        <f t="shared" si="15"/>
        <v>-1778.1</v>
      </c>
      <c r="AA14" s="522">
        <f t="shared" si="1"/>
        <v>771622.3</v>
      </c>
      <c r="AB14" s="523">
        <f t="shared" si="2"/>
        <v>43868</v>
      </c>
      <c r="AC14" s="460">
        <v>468920.2</v>
      </c>
      <c r="AD14" s="460"/>
      <c r="AE14" s="461">
        <v>526099.9</v>
      </c>
      <c r="AF14" s="462">
        <f t="shared" si="3"/>
        <v>238509.4</v>
      </c>
      <c r="AG14" s="391">
        <f t="shared" si="4"/>
        <v>199876.3</v>
      </c>
      <c r="AH14" s="313"/>
      <c r="AI14" s="265">
        <f t="shared" si="5"/>
        <v>1.061855</v>
      </c>
    </row>
    <row r="15" spans="1:35" ht="158.25" customHeight="1" x14ac:dyDescent="0.25">
      <c r="A15" s="6">
        <v>7</v>
      </c>
      <c r="B15" s="6"/>
      <c r="C15" s="557" t="s">
        <v>49</v>
      </c>
      <c r="D15" s="720">
        <v>1264</v>
      </c>
      <c r="E15" s="561">
        <f>SUMIF('2020'!$B:$B,'Свод 2020'!$A15,('2020'!$P:$P))-SUMIFS('2020'!$P:$P,'2020'!$B:$B,'Свод 2020'!$A15,'2020'!$G:$G,4)</f>
        <v>1285</v>
      </c>
      <c r="F15" s="567">
        <f t="shared" si="6"/>
        <v>21</v>
      </c>
      <c r="G15" s="759">
        <v>195921.2</v>
      </c>
      <c r="H15" s="563">
        <v>202930.7</v>
      </c>
      <c r="I15" s="759">
        <v>205759.3</v>
      </c>
      <c r="J15" s="759">
        <f t="shared" si="7"/>
        <v>9838.1</v>
      </c>
      <c r="K15" s="564">
        <f>ROUND((SUMIF('2020'!$B:$B,'Свод 2020'!$A15,('2020'!$BL:$BL))-SUMIFS('2020'!$BL:$BL,'2020'!$B:$B,'Свод 2020'!$A15,'2020'!$G:$G,4))/1000,1)</f>
        <v>116824</v>
      </c>
      <c r="L15" s="564">
        <f t="shared" si="8"/>
        <v>84672.9</v>
      </c>
      <c r="M15" s="565">
        <f>ROUND((SUMIF('2020'!$B:$B,'Свод 2020'!$A15,('2020'!$AQ:$AQ))-SUMIFS('2020'!$AQ:$AQ,'2020'!$B:$B,'Свод 2020'!$A15,'2020'!$G:$G,4)+SUMIF('2020'!$B:$B,'Свод 2020'!$A15,('2020'!$BH:$BH))-SUMIFS('2020'!$BH:$BH,'2020'!$B:$B,'Свод 2020'!$A15,'2020'!$G:$G,4))/1000,1)</f>
        <v>72693</v>
      </c>
      <c r="N15" s="565">
        <f>ROUND((SUMIF('2020'!$B:$B,'Свод 2020'!$A15,('2020'!$BM:$BM))-SUMIFS('2020'!$BM:$BM,'2020'!$B:$B,'Свод 2020'!$A15,'2020'!$G:$G,4)+SUMIF('2020'!$B:$B,'Свод 2020'!$A15,('2020'!$CD:$CD))-SUMIFS('2020'!$CD:$CD,'2020'!$B:$B,'Свод 2020'!$A15,'2020'!$G:$G,4))/1000,1)</f>
        <v>157365.9</v>
      </c>
      <c r="O15" s="564">
        <f t="shared" si="9"/>
        <v>4779.6000000000004</v>
      </c>
      <c r="P15" s="565">
        <f>ROUND((SUMIF('2020'!$B:$B,'Свод 2020'!$A15,('2020'!$BB:$BB))-SUMIFS('2020'!$BB:$BB,'2020'!$B:$B,'Свод 2020'!$A15,'2020'!$G:$G,4))/1000,1)</f>
        <v>2382.6</v>
      </c>
      <c r="Q15" s="565">
        <f>ROUND((SUMIF('2020'!$B:$B,'Свод 2020'!$A15,('2020'!$BX:$BX))-SUMIFS('2020'!$BX:$BX,'2020'!$B:$B,'Свод 2020'!$A15,'2020'!$G:$G,4))/1000,1)</f>
        <v>7162.2</v>
      </c>
      <c r="R15" s="564">
        <f t="shared" si="10"/>
        <v>206276.5</v>
      </c>
      <c r="S15" s="744">
        <v>5832.7</v>
      </c>
      <c r="T15" s="744">
        <v>7009.5</v>
      </c>
      <c r="U15" s="750">
        <f t="shared" si="11"/>
        <v>1176.8</v>
      </c>
      <c r="V15" s="564">
        <f t="shared" si="12"/>
        <v>212109.2</v>
      </c>
      <c r="W15" s="564">
        <f t="shared" si="13"/>
        <v>205759.3</v>
      </c>
      <c r="X15" s="566">
        <f t="shared" si="0"/>
        <v>211592</v>
      </c>
      <c r="Y15" s="566">
        <f t="shared" si="14"/>
        <v>156971.35</v>
      </c>
      <c r="Z15" s="566">
        <f t="shared" si="15"/>
        <v>-517.20000000000005</v>
      </c>
      <c r="AA15" s="517">
        <f t="shared" si="1"/>
        <v>224868.4</v>
      </c>
      <c r="AB15" s="518">
        <f t="shared" si="2"/>
        <v>12759.2</v>
      </c>
      <c r="AC15" s="460">
        <v>138599.79999999999</v>
      </c>
      <c r="AD15" s="460"/>
      <c r="AE15" s="461">
        <v>145609.29999999999</v>
      </c>
      <c r="AF15" s="462">
        <f t="shared" si="3"/>
        <v>67159.5</v>
      </c>
      <c r="AG15" s="391">
        <f t="shared" si="4"/>
        <v>65982.7</v>
      </c>
      <c r="AH15" s="313"/>
      <c r="AI15" s="265">
        <f t="shared" si="5"/>
        <v>1.061855</v>
      </c>
    </row>
    <row r="16" spans="1:35" ht="219.75" customHeight="1" x14ac:dyDescent="0.25">
      <c r="A16" s="6">
        <v>8</v>
      </c>
      <c r="B16" s="6"/>
      <c r="C16" s="557" t="s">
        <v>50</v>
      </c>
      <c r="D16" s="720">
        <v>2426</v>
      </c>
      <c r="E16" s="561">
        <f>SUMIF('2020'!$B:$B,'Свод 2020'!$A16,('2020'!$P:$P))-SUMIFS('2020'!$P:$P,'2020'!$B:$B,'Свод 2020'!$A16,'2020'!$G:$G,4)</f>
        <v>2590</v>
      </c>
      <c r="F16" s="567">
        <f t="shared" si="6"/>
        <v>164</v>
      </c>
      <c r="G16" s="759">
        <v>368621.9</v>
      </c>
      <c r="H16" s="563">
        <v>584625.19999999995</v>
      </c>
      <c r="I16" s="759">
        <v>409780.3</v>
      </c>
      <c r="J16" s="759">
        <f t="shared" si="7"/>
        <v>41158.400000000001</v>
      </c>
      <c r="K16" s="564">
        <f>ROUND((SUMIF('2020'!$B:$B,'Свод 2020'!$A16,('2020'!$BL:$BL))-SUMIFS('2020'!$BL:$BL,'2020'!$B:$B,'Свод 2020'!$A16,'2020'!$G:$G,4))/1000,1)</f>
        <v>305331.59999999998</v>
      </c>
      <c r="L16" s="564">
        <f t="shared" si="8"/>
        <v>96255.6</v>
      </c>
      <c r="M16" s="565">
        <f>ROUND((SUMIF('2020'!$B:$B,'Свод 2020'!$A16,('2020'!$AQ:$AQ))-SUMIFS('2020'!$AQ:$AQ,'2020'!$B:$B,'Свод 2020'!$A16,'2020'!$G:$G,4)+SUMIF('2020'!$B:$B,'Свод 2020'!$A16,('2020'!$BH:$BH))-SUMIFS('2020'!$BH:$BH,'2020'!$B:$B,'Свод 2020'!$A16,'2020'!$G:$G,4))/1000,1)</f>
        <v>190983.4</v>
      </c>
      <c r="N16" s="565">
        <f>ROUND((SUMIF('2020'!$B:$B,'Свод 2020'!$A16,('2020'!$BM:$BM))-SUMIFS('2020'!$BM:$BM,'2020'!$B:$B,'Свод 2020'!$A16,'2020'!$G:$G,4)+SUMIF('2020'!$B:$B,'Свод 2020'!$A16,('2020'!$CD:$CD))-SUMIFS('2020'!$CD:$CD,'2020'!$B:$B,'Свод 2020'!$A16,'2020'!$G:$G,4))/1000,1)</f>
        <v>287239</v>
      </c>
      <c r="O16" s="564">
        <f t="shared" si="9"/>
        <v>9223.1</v>
      </c>
      <c r="P16" s="565">
        <f>ROUND((SUMIF('2020'!$B:$B,'Свод 2020'!$A16,('2020'!$BB:$BB))-SUMIFS('2020'!$BB:$BB,'2020'!$B:$B,'Свод 2020'!$A16,'2020'!$G:$G,4))/1000,1)</f>
        <v>6269.9</v>
      </c>
      <c r="Q16" s="565">
        <f>ROUND((SUMIF('2020'!$B:$B,'Свод 2020'!$A16,('2020'!$BX:$BX))-SUMIFS('2020'!$BX:$BX,'2020'!$B:$B,'Свод 2020'!$A16,'2020'!$G:$G,4))/1000,1)</f>
        <v>15493</v>
      </c>
      <c r="R16" s="564">
        <f t="shared" si="10"/>
        <v>410810.3</v>
      </c>
      <c r="S16" s="744">
        <v>109633.7</v>
      </c>
      <c r="T16" s="744">
        <v>216003.3</v>
      </c>
      <c r="U16" s="750">
        <f t="shared" si="11"/>
        <v>106369.60000000001</v>
      </c>
      <c r="V16" s="564">
        <f t="shared" si="12"/>
        <v>520444</v>
      </c>
      <c r="W16" s="564">
        <f t="shared" si="13"/>
        <v>409780.3</v>
      </c>
      <c r="X16" s="566">
        <f t="shared" si="0"/>
        <v>519414</v>
      </c>
      <c r="Y16" s="566">
        <f t="shared" si="14"/>
        <v>286518.83</v>
      </c>
      <c r="Z16" s="566">
        <f t="shared" si="15"/>
        <v>-1030</v>
      </c>
      <c r="AA16" s="517">
        <f t="shared" si="1"/>
        <v>545854.6</v>
      </c>
      <c r="AB16" s="518">
        <f t="shared" si="2"/>
        <v>25410.6</v>
      </c>
      <c r="AC16" s="460">
        <v>244041.5</v>
      </c>
      <c r="AD16" s="460"/>
      <c r="AE16" s="461">
        <v>460044.79999999999</v>
      </c>
      <c r="AF16" s="462">
        <f t="shared" si="3"/>
        <v>165738.79999999999</v>
      </c>
      <c r="AG16" s="391">
        <f t="shared" si="4"/>
        <v>59369.2</v>
      </c>
      <c r="AH16" s="313"/>
      <c r="AI16" s="265">
        <f t="shared" si="5"/>
        <v>1.061855</v>
      </c>
    </row>
    <row r="17" spans="1:35" ht="258.75" customHeight="1" x14ac:dyDescent="0.25">
      <c r="A17" s="6">
        <v>9</v>
      </c>
      <c r="B17" s="6"/>
      <c r="C17" s="557" t="s">
        <v>51</v>
      </c>
      <c r="D17" s="720">
        <v>3137</v>
      </c>
      <c r="E17" s="561">
        <f>SUMIF('2020'!$B:$B,'Свод 2020'!$A17,('2020'!$P:$P))-SUMIFS('2020'!$P:$P,'2020'!$B:$B,'Свод 2020'!$A17,'2020'!$G:$G,4)</f>
        <v>3383</v>
      </c>
      <c r="F17" s="567">
        <f t="shared" si="6"/>
        <v>246</v>
      </c>
      <c r="G17" s="759">
        <v>736621.1</v>
      </c>
      <c r="H17" s="563">
        <v>832223.3</v>
      </c>
      <c r="I17" s="759">
        <v>788290.7</v>
      </c>
      <c r="J17" s="759">
        <f t="shared" si="7"/>
        <v>51669.599999999999</v>
      </c>
      <c r="K17" s="564">
        <f>ROUND((SUMIF('2020'!$B:$B,'Свод 2020'!$A17,('2020'!$BL:$BL))-SUMIFS('2020'!$BL:$BL,'2020'!$B:$B,'Свод 2020'!$A17,'2020'!$G:$G,4))/1000,1)</f>
        <v>320793.2</v>
      </c>
      <c r="L17" s="564">
        <f t="shared" si="8"/>
        <v>456926.7</v>
      </c>
      <c r="M17" s="565">
        <f>ROUND((SUMIF('2020'!$B:$B,'Свод 2020'!$A17,('2020'!$AQ:$AQ))-SUMIFS('2020'!$AQ:$AQ,'2020'!$B:$B,'Свод 2020'!$A17,'2020'!$G:$G,4)+SUMIF('2020'!$B:$B,'Свод 2020'!$A17,('2020'!$BH:$BH))-SUMIFS('2020'!$BH:$BH,'2020'!$B:$B,'Свод 2020'!$A17,'2020'!$G:$G,4))/1000,1)</f>
        <v>202359</v>
      </c>
      <c r="N17" s="565">
        <f>ROUND((SUMIF('2020'!$B:$B,'Свод 2020'!$A17,('2020'!$BM:$BM))-SUMIFS('2020'!$BM:$BM,'2020'!$B:$B,'Свод 2020'!$A17,'2020'!$G:$G,4)+SUMIF('2020'!$B:$B,'Свод 2020'!$A17,('2020'!$CD:$CD))-SUMIFS('2020'!$CD:$CD,'2020'!$B:$B,'Свод 2020'!$A17,'2020'!$G:$G,4))/1000,1)</f>
        <v>659285.69999999995</v>
      </c>
      <c r="O17" s="564">
        <f t="shared" si="9"/>
        <v>12552.2</v>
      </c>
      <c r="P17" s="565">
        <f>ROUND((SUMIF('2020'!$B:$B,'Свод 2020'!$A17,('2020'!$BB:$BB))-SUMIFS('2020'!$BB:$BB,'2020'!$B:$B,'Свод 2020'!$A17,'2020'!$G:$G,4))/1000,1)</f>
        <v>6634.3</v>
      </c>
      <c r="Q17" s="565">
        <f>ROUND((SUMIF('2020'!$B:$B,'Свод 2020'!$A17,('2020'!$BX:$BX))-SUMIFS('2020'!$BX:$BX,'2020'!$B:$B,'Свод 2020'!$A17,'2020'!$G:$G,4))/1000,1)</f>
        <v>19186.5</v>
      </c>
      <c r="R17" s="564">
        <f t="shared" si="10"/>
        <v>790272.1</v>
      </c>
      <c r="S17" s="744">
        <v>61811.5</v>
      </c>
      <c r="T17" s="744">
        <v>95602.2</v>
      </c>
      <c r="U17" s="750">
        <f t="shared" si="11"/>
        <v>33790.699999999997</v>
      </c>
      <c r="V17" s="564">
        <f t="shared" si="12"/>
        <v>852083.6</v>
      </c>
      <c r="W17" s="564">
        <f t="shared" si="13"/>
        <v>788290.7</v>
      </c>
      <c r="X17" s="566">
        <f t="shared" si="0"/>
        <v>850102.2</v>
      </c>
      <c r="Y17" s="566">
        <f t="shared" si="14"/>
        <v>657632.73</v>
      </c>
      <c r="Z17" s="566">
        <f t="shared" si="15"/>
        <v>-1981.4</v>
      </c>
      <c r="AA17" s="517">
        <f t="shared" si="1"/>
        <v>900965.8</v>
      </c>
      <c r="AB17" s="518">
        <f t="shared" si="2"/>
        <v>48882.2</v>
      </c>
      <c r="AC17" s="460">
        <v>481257.1</v>
      </c>
      <c r="AD17" s="460"/>
      <c r="AE17" s="461">
        <v>576859.19999999995</v>
      </c>
      <c r="AF17" s="462">
        <f t="shared" si="3"/>
        <v>307033.59999999998</v>
      </c>
      <c r="AG17" s="391">
        <f t="shared" si="4"/>
        <v>273243</v>
      </c>
      <c r="AH17" s="313"/>
      <c r="AI17" s="265">
        <f t="shared" si="5"/>
        <v>1.061855</v>
      </c>
    </row>
    <row r="18" spans="1:35" ht="151.5" customHeight="1" x14ac:dyDescent="0.25">
      <c r="A18" s="6">
        <v>10</v>
      </c>
      <c r="B18" s="6"/>
      <c r="C18" s="557" t="s">
        <v>52</v>
      </c>
      <c r="D18" s="720">
        <v>1956</v>
      </c>
      <c r="E18" s="561">
        <f>SUMIF('2020'!$B:$B,'Свод 2020'!$A18,('2020'!$P:$P))-SUMIFS('2020'!$P:$P,'2020'!$B:$B,'Свод 2020'!$A18,'2020'!$G:$G,4)</f>
        <v>1975</v>
      </c>
      <c r="F18" s="567">
        <f t="shared" si="6"/>
        <v>19</v>
      </c>
      <c r="G18" s="759">
        <v>233879.5</v>
      </c>
      <c r="H18" s="563">
        <v>241526.2</v>
      </c>
      <c r="I18" s="759">
        <v>249462.39999999999</v>
      </c>
      <c r="J18" s="759">
        <f t="shared" si="7"/>
        <v>15582.9</v>
      </c>
      <c r="K18" s="564">
        <f>ROUND((SUMIF('2020'!$B:$B,'Свод 2020'!$A18,('2020'!$BL:$BL))-SUMIFS('2020'!$BL:$BL,'2020'!$B:$B,'Свод 2020'!$A18,'2020'!$G:$G,4))/1000,1)</f>
        <v>197262.2</v>
      </c>
      <c r="L18" s="564">
        <f t="shared" si="8"/>
        <v>44947.5</v>
      </c>
      <c r="M18" s="565">
        <f>ROUND((SUMIF('2020'!$B:$B,'Свод 2020'!$A18,('2020'!$AQ:$AQ))-SUMIFS('2020'!$AQ:$AQ,'2020'!$B:$B,'Свод 2020'!$A18,'2020'!$G:$G,4)+SUMIF('2020'!$B:$B,'Свод 2020'!$A18,('2020'!$BH:$BH))-SUMIFS('2020'!$BH:$BH,'2020'!$B:$B,'Свод 2020'!$A18,'2020'!$G:$G,4))/1000,1)</f>
        <v>124164.6</v>
      </c>
      <c r="N18" s="565">
        <f>ROUND((SUMIF('2020'!$B:$B,'Свод 2020'!$A18,('2020'!$BM:$BM))-SUMIFS('2020'!$BM:$BM,'2020'!$B:$B,'Свод 2020'!$A18,'2020'!$G:$G,4)+SUMIF('2020'!$B:$B,'Свод 2020'!$A18,('2020'!$CD:$CD))-SUMIFS('2020'!$CD:$CD,'2020'!$B:$B,'Свод 2020'!$A18,'2020'!$G:$G,4))/1000,1)</f>
        <v>169112.1</v>
      </c>
      <c r="O18" s="564">
        <f t="shared" si="9"/>
        <v>7879.7</v>
      </c>
      <c r="P18" s="565">
        <f>ROUND((SUMIF('2020'!$B:$B,'Свод 2020'!$A18,('2020'!$BB:$BB))-SUMIFS('2020'!$BB:$BB,'2020'!$B:$B,'Свод 2020'!$A18,'2020'!$G:$G,4))/1000,1)</f>
        <v>4032.6</v>
      </c>
      <c r="Q18" s="565">
        <f>ROUND((SUMIF('2020'!$B:$B,'Свод 2020'!$A18,('2020'!$BX:$BX))-SUMIFS('2020'!$BX:$BX,'2020'!$B:$B,'Свод 2020'!$A18,'2020'!$G:$G,4))/1000,1)</f>
        <v>11912.3</v>
      </c>
      <c r="R18" s="564">
        <f t="shared" si="10"/>
        <v>250089.4</v>
      </c>
      <c r="S18" s="744">
        <v>5626.4</v>
      </c>
      <c r="T18" s="744">
        <v>7646.7</v>
      </c>
      <c r="U18" s="750">
        <f t="shared" si="11"/>
        <v>2020.3</v>
      </c>
      <c r="V18" s="564">
        <f t="shared" si="12"/>
        <v>255715.8</v>
      </c>
      <c r="W18" s="564">
        <f t="shared" si="13"/>
        <v>249462.39999999999</v>
      </c>
      <c r="X18" s="566">
        <f t="shared" si="0"/>
        <v>255088.8</v>
      </c>
      <c r="Y18" s="566">
        <f t="shared" si="14"/>
        <v>168688.1</v>
      </c>
      <c r="Z18" s="566">
        <f t="shared" si="15"/>
        <v>-627</v>
      </c>
      <c r="AA18" s="517">
        <f t="shared" si="1"/>
        <v>271185.09999999998</v>
      </c>
      <c r="AB18" s="518">
        <f t="shared" si="2"/>
        <v>15469.3</v>
      </c>
      <c r="AC18" s="460">
        <v>167235.1</v>
      </c>
      <c r="AD18" s="460"/>
      <c r="AE18" s="461">
        <v>174881.8</v>
      </c>
      <c r="AF18" s="459">
        <f t="shared" si="3"/>
        <v>82227.3</v>
      </c>
      <c r="AG18" s="391">
        <f t="shared" si="4"/>
        <v>80207</v>
      </c>
      <c r="AH18" s="313"/>
      <c r="AI18" s="265">
        <f t="shared" si="5"/>
        <v>1.061855</v>
      </c>
    </row>
    <row r="19" spans="1:35" ht="183.75" customHeight="1" x14ac:dyDescent="0.25">
      <c r="A19" s="6">
        <v>11</v>
      </c>
      <c r="B19" s="6"/>
      <c r="C19" s="557" t="s">
        <v>53</v>
      </c>
      <c r="D19" s="720">
        <v>1510</v>
      </c>
      <c r="E19" s="561">
        <f>SUMIF('2020'!$B:$B,'Свод 2020'!$A19,('2020'!$P:$P))-SUMIFS('2020'!$P:$P,'2020'!$B:$B,'Свод 2020'!$A19,'2020'!$G:$G,4)</f>
        <v>1534</v>
      </c>
      <c r="F19" s="567">
        <f t="shared" si="6"/>
        <v>24</v>
      </c>
      <c r="G19" s="759">
        <v>158986.5</v>
      </c>
      <c r="H19" s="563">
        <v>251863.3</v>
      </c>
      <c r="I19" s="759">
        <v>170691.20000000001</v>
      </c>
      <c r="J19" s="759">
        <f t="shared" si="7"/>
        <v>11704.7</v>
      </c>
      <c r="K19" s="564">
        <f>ROUND((SUMIF('2020'!$B:$B,'Свод 2020'!$A19,('2020'!$BL:$BL))-SUMIFS('2020'!$BL:$BL,'2020'!$B:$B,'Свод 2020'!$A19,'2020'!$G:$G,4))/1000,1)</f>
        <v>142662.6</v>
      </c>
      <c r="L19" s="564">
        <f t="shared" si="8"/>
        <v>22014.1</v>
      </c>
      <c r="M19" s="565">
        <f>ROUND((SUMIF('2020'!$B:$B,'Свод 2020'!$A19,('2020'!$AQ:$AQ))-SUMIFS('2020'!$AQ:$AQ,'2020'!$B:$B,'Свод 2020'!$A19,'2020'!$G:$G,4)+SUMIF('2020'!$B:$B,'Свод 2020'!$A19,('2020'!$BH:$BH))-SUMIFS('2020'!$BH:$BH,'2020'!$B:$B,'Свод 2020'!$A19,'2020'!$G:$G,4))/1000,1)</f>
        <v>89126.2</v>
      </c>
      <c r="N19" s="565">
        <f>ROUND((SUMIF('2020'!$B:$B,'Свод 2020'!$A19,('2020'!$BM:$BM))-SUMIFS('2020'!$BM:$BM,'2020'!$B:$B,'Свод 2020'!$A19,'2020'!$G:$G,4)+SUMIF('2020'!$B:$B,'Свод 2020'!$A19,('2020'!$CD:$CD))-SUMIFS('2020'!$CD:$CD,'2020'!$B:$B,'Свод 2020'!$A19,'2020'!$G:$G,4))/1000,1)</f>
        <v>111140.3</v>
      </c>
      <c r="O19" s="564">
        <f t="shared" si="9"/>
        <v>6443.5</v>
      </c>
      <c r="P19" s="565">
        <f>ROUND((SUMIF('2020'!$B:$B,'Свод 2020'!$A19,('2020'!$BB:$BB))-SUMIFS('2020'!$BB:$BB,'2020'!$B:$B,'Свод 2020'!$A19,'2020'!$G:$G,4))/1000,1)</f>
        <v>2930.2</v>
      </c>
      <c r="Q19" s="565">
        <f>ROUND((SUMIF('2020'!$B:$B,'Свод 2020'!$A19,('2020'!$BX:$BX))-SUMIFS('2020'!$BX:$BX,'2020'!$B:$B,'Свод 2020'!$A19,'2020'!$G:$G,4))/1000,1)</f>
        <v>9373.7000000000007</v>
      </c>
      <c r="R19" s="564">
        <f t="shared" si="10"/>
        <v>171120.2</v>
      </c>
      <c r="S19" s="744">
        <v>69934.899999999994</v>
      </c>
      <c r="T19" s="744">
        <v>92876.800000000003</v>
      </c>
      <c r="U19" s="750">
        <f t="shared" si="11"/>
        <v>22941.9</v>
      </c>
      <c r="V19" s="564">
        <f t="shared" si="12"/>
        <v>241055.1</v>
      </c>
      <c r="W19" s="564">
        <f t="shared" si="13"/>
        <v>170691.20000000001</v>
      </c>
      <c r="X19" s="566">
        <f t="shared" si="0"/>
        <v>240626.1</v>
      </c>
      <c r="Y19" s="566">
        <f t="shared" si="14"/>
        <v>110861.65</v>
      </c>
      <c r="Z19" s="566">
        <f t="shared" si="15"/>
        <v>-429</v>
      </c>
      <c r="AA19" s="517">
        <f t="shared" si="1"/>
        <v>251639.7</v>
      </c>
      <c r="AB19" s="518">
        <f t="shared" si="2"/>
        <v>10584.6</v>
      </c>
      <c r="AC19" s="460">
        <v>164752.6</v>
      </c>
      <c r="AD19" s="460"/>
      <c r="AE19" s="461">
        <v>257629.4</v>
      </c>
      <c r="AF19" s="459">
        <f t="shared" si="3"/>
        <v>5938.6</v>
      </c>
      <c r="AG19" s="391">
        <f t="shared" si="4"/>
        <v>-17003.3</v>
      </c>
      <c r="AH19" s="313"/>
      <c r="AI19" s="265">
        <f t="shared" si="5"/>
        <v>1.061855</v>
      </c>
    </row>
    <row r="20" spans="1:35" ht="180.75" customHeight="1" x14ac:dyDescent="0.25">
      <c r="A20" s="6">
        <v>12</v>
      </c>
      <c r="B20" s="6"/>
      <c r="C20" s="557" t="s">
        <v>54</v>
      </c>
      <c r="D20" s="720">
        <v>1891</v>
      </c>
      <c r="E20" s="561">
        <f>SUMIF('2020'!$B:$B,'Свод 2020'!$A20,('2020'!$P:$P))-SUMIFS('2020'!$P:$P,'2020'!$B:$B,'Свод 2020'!$A20,'2020'!$G:$G,4)</f>
        <v>1921</v>
      </c>
      <c r="F20" s="567">
        <f t="shared" si="6"/>
        <v>30</v>
      </c>
      <c r="G20" s="759">
        <v>248087.4</v>
      </c>
      <c r="H20" s="563">
        <v>258563.5</v>
      </c>
      <c r="I20" s="759">
        <v>256742.8</v>
      </c>
      <c r="J20" s="759">
        <f t="shared" si="7"/>
        <v>8655.4</v>
      </c>
      <c r="K20" s="564">
        <f>ROUND((SUMIF('2020'!$B:$B,'Свод 2020'!$A20,('2020'!$BL:$BL))-SUMIFS('2020'!$BL:$BL,'2020'!$B:$B,'Свод 2020'!$A20,'2020'!$G:$G,4))/1000,1)</f>
        <v>197814.3</v>
      </c>
      <c r="L20" s="564">
        <f t="shared" si="8"/>
        <v>53544.3</v>
      </c>
      <c r="M20" s="565">
        <f>ROUND((SUMIF('2020'!$B:$B,'Свод 2020'!$A20,('2020'!$AQ:$AQ))-SUMIFS('2020'!$AQ:$AQ,'2020'!$B:$B,'Свод 2020'!$A20,'2020'!$G:$G,4)+SUMIF('2020'!$B:$B,'Свод 2020'!$A20,('2020'!$BH:$BH))-SUMIFS('2020'!$BH:$BH,'2020'!$B:$B,'Свод 2020'!$A20,'2020'!$G:$G,4))/1000,1)</f>
        <v>123117.2</v>
      </c>
      <c r="N20" s="565">
        <f>ROUND((SUMIF('2020'!$B:$B,'Свод 2020'!$A20,('2020'!$BM:$BM))-SUMIFS('2020'!$BM:$BM,'2020'!$B:$B,'Свод 2020'!$A20,'2020'!$G:$G,4)+SUMIF('2020'!$B:$B,'Свод 2020'!$A20,('2020'!$CD:$CD))-SUMIFS('2020'!$CD:$CD,'2020'!$B:$B,'Свод 2020'!$A20,'2020'!$G:$G,4))/1000,1)</f>
        <v>176661.5</v>
      </c>
      <c r="O20" s="564">
        <f t="shared" si="9"/>
        <v>6029.5</v>
      </c>
      <c r="P20" s="565">
        <f>ROUND((SUMIF('2020'!$B:$B,'Свод 2020'!$A20,('2020'!$BB:$BB))-SUMIFS('2020'!$BB:$BB,'2020'!$B:$B,'Свод 2020'!$A20,'2020'!$G:$G,4))/1000,1)</f>
        <v>3995.4</v>
      </c>
      <c r="Q20" s="565">
        <f>ROUND((SUMIF('2020'!$B:$B,'Свод 2020'!$A20,('2020'!$BX:$BX))-SUMIFS('2020'!$BX:$BX,'2020'!$B:$B,'Свод 2020'!$A20,'2020'!$G:$G,4))/1000,1)</f>
        <v>10024.9</v>
      </c>
      <c r="R20" s="564">
        <f t="shared" si="10"/>
        <v>257388.1</v>
      </c>
      <c r="S20" s="744">
        <v>10373.1</v>
      </c>
      <c r="T20" s="744">
        <v>10476.1</v>
      </c>
      <c r="U20" s="750">
        <f t="shared" si="11"/>
        <v>103</v>
      </c>
      <c r="V20" s="564">
        <f t="shared" si="12"/>
        <v>267761.2</v>
      </c>
      <c r="W20" s="564">
        <f t="shared" si="13"/>
        <v>256742.8</v>
      </c>
      <c r="X20" s="566">
        <f t="shared" si="0"/>
        <v>267115.90000000002</v>
      </c>
      <c r="Y20" s="566">
        <f t="shared" si="14"/>
        <v>176218.57</v>
      </c>
      <c r="Z20" s="566">
        <f t="shared" si="15"/>
        <v>-645.29999999999995</v>
      </c>
      <c r="AA20" s="517">
        <f t="shared" si="1"/>
        <v>283681.90000000002</v>
      </c>
      <c r="AB20" s="518">
        <f t="shared" si="2"/>
        <v>15920.7</v>
      </c>
      <c r="AC20" s="460">
        <v>175589.9</v>
      </c>
      <c r="AD20" s="460"/>
      <c r="AE20" s="461">
        <v>186066</v>
      </c>
      <c r="AF20" s="462">
        <f t="shared" si="3"/>
        <v>81152.899999999994</v>
      </c>
      <c r="AG20" s="391">
        <f t="shared" si="4"/>
        <v>81049.899999999994</v>
      </c>
      <c r="AH20" s="313"/>
      <c r="AI20" s="265">
        <f t="shared" si="5"/>
        <v>1.061855</v>
      </c>
    </row>
    <row r="21" spans="1:35" ht="162" customHeight="1" x14ac:dyDescent="0.25">
      <c r="A21" s="6">
        <v>13</v>
      </c>
      <c r="B21" s="6"/>
      <c r="C21" s="557" t="s">
        <v>55</v>
      </c>
      <c r="D21" s="720">
        <v>790</v>
      </c>
      <c r="E21" s="561">
        <f>SUMIF('2020'!$B:$B,'Свод 2020'!$A21,('2020'!$P:$P))-SUMIFS('2020'!$P:$P,'2020'!$B:$B,'Свод 2020'!$A21,'2020'!$G:$G,4)</f>
        <v>848</v>
      </c>
      <c r="F21" s="567">
        <f t="shared" si="6"/>
        <v>58</v>
      </c>
      <c r="G21" s="759">
        <v>88106.7</v>
      </c>
      <c r="H21" s="563">
        <v>176886.3</v>
      </c>
      <c r="I21" s="759">
        <v>100525.7</v>
      </c>
      <c r="J21" s="759">
        <f t="shared" si="7"/>
        <v>12419</v>
      </c>
      <c r="K21" s="564">
        <f>ROUND((SUMIF('2020'!$B:$B,'Свод 2020'!$A21,('2020'!$BL:$BL))-SUMIFS('2020'!$BL:$BL,'2020'!$B:$B,'Свод 2020'!$A21,'2020'!$G:$G,4))/1000,1)</f>
        <v>76108.399999999994</v>
      </c>
      <c r="L21" s="564">
        <f t="shared" si="8"/>
        <v>22031.599999999999</v>
      </c>
      <c r="M21" s="565">
        <f>ROUND((SUMIF('2020'!$B:$B,'Свод 2020'!$A21,('2020'!$AQ:$AQ))-SUMIFS('2020'!$AQ:$AQ,'2020'!$B:$B,'Свод 2020'!$A21,'2020'!$G:$G,4)+SUMIF('2020'!$B:$B,'Свод 2020'!$A21,('2020'!$BH:$BH))-SUMIFS('2020'!$BH:$BH,'2020'!$B:$B,'Свод 2020'!$A21,'2020'!$G:$G,4))/1000,1)</f>
        <v>47379.8</v>
      </c>
      <c r="N21" s="565">
        <f>ROUND((SUMIF('2020'!$B:$B,'Свод 2020'!$A21,('2020'!$BM:$BM))-SUMIFS('2020'!$BM:$BM,'2020'!$B:$B,'Свод 2020'!$A21,'2020'!$G:$G,4)+SUMIF('2020'!$B:$B,'Свод 2020'!$A21,('2020'!$CD:$CD))-SUMIFS('2020'!$CD:$CD,'2020'!$B:$B,'Свод 2020'!$A21,'2020'!$G:$G,4))/1000,1)</f>
        <v>69411.399999999994</v>
      </c>
      <c r="O21" s="564">
        <f t="shared" si="9"/>
        <v>2638.4</v>
      </c>
      <c r="P21" s="565">
        <f>ROUND((SUMIF('2020'!$B:$B,'Свод 2020'!$A21,('2020'!$BB:$BB))-SUMIFS('2020'!$BB:$BB,'2020'!$B:$B,'Свод 2020'!$A21,'2020'!$G:$G,4))/1000,1)</f>
        <v>1557.5</v>
      </c>
      <c r="Q21" s="565">
        <f>ROUND((SUMIF('2020'!$B:$B,'Свод 2020'!$A21,('2020'!$BX:$BX))-SUMIFS('2020'!$BX:$BX,'2020'!$B:$B,'Свод 2020'!$A21,'2020'!$G:$G,4))/1000,1)</f>
        <v>4195.8999999999996</v>
      </c>
      <c r="R21" s="564">
        <f t="shared" si="10"/>
        <v>100778.4</v>
      </c>
      <c r="S21" s="744">
        <v>60877</v>
      </c>
      <c r="T21" s="744">
        <v>88779.6</v>
      </c>
      <c r="U21" s="750">
        <f t="shared" si="11"/>
        <v>27902.6</v>
      </c>
      <c r="V21" s="564">
        <f t="shared" si="12"/>
        <v>161655.4</v>
      </c>
      <c r="W21" s="564">
        <f t="shared" si="13"/>
        <v>100525.7</v>
      </c>
      <c r="X21" s="566">
        <f t="shared" si="0"/>
        <v>161402.70000000001</v>
      </c>
      <c r="Y21" s="566">
        <f t="shared" si="14"/>
        <v>69237.37</v>
      </c>
      <c r="Z21" s="566">
        <f t="shared" si="15"/>
        <v>-252.7</v>
      </c>
      <c r="AA21" s="517">
        <f t="shared" si="1"/>
        <v>167889</v>
      </c>
      <c r="AB21" s="518">
        <f t="shared" si="2"/>
        <v>6233.6</v>
      </c>
      <c r="AC21" s="460">
        <v>59181.8</v>
      </c>
      <c r="AD21" s="460"/>
      <c r="AE21" s="461">
        <v>147961.4</v>
      </c>
      <c r="AF21" s="462">
        <f t="shared" si="3"/>
        <v>41343.9</v>
      </c>
      <c r="AG21" s="391">
        <f t="shared" si="4"/>
        <v>13441.3</v>
      </c>
      <c r="AH21" s="313"/>
      <c r="AI21" s="265">
        <f t="shared" si="5"/>
        <v>1.061855</v>
      </c>
    </row>
    <row r="22" spans="1:35" ht="150.75" customHeight="1" x14ac:dyDescent="0.25">
      <c r="A22" s="6">
        <v>14</v>
      </c>
      <c r="B22" s="6"/>
      <c r="C22" s="557" t="s">
        <v>56</v>
      </c>
      <c r="D22" s="720">
        <v>524</v>
      </c>
      <c r="E22" s="561">
        <f>SUMIF('2020'!$B:$B,'Свод 2020'!$A22,('2020'!$P:$P))-SUMIFS('2020'!$P:$P,'2020'!$B:$B,'Свод 2020'!$A22,'2020'!$G:$G,4)</f>
        <v>565</v>
      </c>
      <c r="F22" s="567">
        <f t="shared" si="6"/>
        <v>41</v>
      </c>
      <c r="G22" s="759">
        <v>105570.9</v>
      </c>
      <c r="H22" s="563">
        <v>109598.6</v>
      </c>
      <c r="I22" s="759">
        <v>118247.6</v>
      </c>
      <c r="J22" s="759">
        <f t="shared" si="7"/>
        <v>12676.7</v>
      </c>
      <c r="K22" s="564">
        <f>ROUND((SUMIF('2020'!$B:$B,'Свод 2020'!$A22,('2020'!$BL:$BL))-SUMIFS('2020'!$BL:$BL,'2020'!$B:$B,'Свод 2020'!$A22,'2020'!$G:$G,4))/1000,1)</f>
        <v>48406.1</v>
      </c>
      <c r="L22" s="564">
        <f t="shared" si="8"/>
        <v>58656.9</v>
      </c>
      <c r="M22" s="565">
        <f>ROUND((SUMIF('2020'!$B:$B,'Свод 2020'!$A22,('2020'!$AQ:$AQ))-SUMIFS('2020'!$AQ:$AQ,'2020'!$B:$B,'Свод 2020'!$A22,'2020'!$G:$G,4)+SUMIF('2020'!$B:$B,'Свод 2020'!$A22,('2020'!$BH:$BH))-SUMIFS('2020'!$BH:$BH,'2020'!$B:$B,'Свод 2020'!$A22,'2020'!$G:$G,4))/1000,1)</f>
        <v>30266.7</v>
      </c>
      <c r="N22" s="565">
        <f>ROUND((SUMIF('2020'!$B:$B,'Свод 2020'!$A22,('2020'!$BM:$BM))-SUMIFS('2020'!$BM:$BM,'2020'!$B:$B,'Свод 2020'!$A22,'2020'!$G:$G,4)+SUMIF('2020'!$B:$B,'Свод 2020'!$A22,('2020'!$CD:$CD))-SUMIFS('2020'!$CD:$CD,'2020'!$B:$B,'Свод 2020'!$A22,'2020'!$G:$G,4))/1000,1)</f>
        <v>88923.6</v>
      </c>
      <c r="O22" s="564">
        <f t="shared" si="9"/>
        <v>11481.8</v>
      </c>
      <c r="P22" s="565">
        <f>ROUND((SUMIF('2020'!$B:$B,'Свод 2020'!$A22,('2020'!$BB:$BB))-SUMIFS('2020'!$BB:$BB,'2020'!$B:$B,'Свод 2020'!$A22,'2020'!$G:$G,4))/1000,1)</f>
        <v>992</v>
      </c>
      <c r="Q22" s="565">
        <f>ROUND((SUMIF('2020'!$B:$B,'Свод 2020'!$A22,('2020'!$BX:$BX))-SUMIFS('2020'!$BX:$BX,'2020'!$B:$B,'Свод 2020'!$A22,'2020'!$G:$G,4))/1000,1)</f>
        <v>12473.8</v>
      </c>
      <c r="R22" s="564">
        <f t="shared" si="10"/>
        <v>118544.8</v>
      </c>
      <c r="S22" s="744">
        <v>3228.3</v>
      </c>
      <c r="T22" s="744">
        <v>4027.7</v>
      </c>
      <c r="U22" s="750">
        <f t="shared" si="11"/>
        <v>799.4</v>
      </c>
      <c r="V22" s="564">
        <f t="shared" si="12"/>
        <v>121773.1</v>
      </c>
      <c r="W22" s="564">
        <f t="shared" si="13"/>
        <v>118247.6</v>
      </c>
      <c r="X22" s="566">
        <f t="shared" si="0"/>
        <v>121475.9</v>
      </c>
      <c r="Y22" s="566">
        <f>N22*R$27</f>
        <v>88700.65</v>
      </c>
      <c r="Z22" s="566">
        <f t="shared" si="15"/>
        <v>-297.2</v>
      </c>
      <c r="AA22" s="517">
        <f t="shared" si="1"/>
        <v>129105.7</v>
      </c>
      <c r="AB22" s="518">
        <f t="shared" si="2"/>
        <v>7332.6</v>
      </c>
      <c r="AC22" s="460">
        <v>66782.5</v>
      </c>
      <c r="AD22" s="460"/>
      <c r="AE22" s="461">
        <v>70810.2</v>
      </c>
      <c r="AF22" s="462">
        <f t="shared" si="3"/>
        <v>51465.1</v>
      </c>
      <c r="AG22" s="391">
        <f t="shared" si="4"/>
        <v>50665.7</v>
      </c>
      <c r="AH22" s="313"/>
      <c r="AI22" s="265">
        <f t="shared" si="5"/>
        <v>1.061855</v>
      </c>
    </row>
    <row r="23" spans="1:35" ht="69.75" customHeight="1" x14ac:dyDescent="0.25">
      <c r="A23" s="56">
        <v>100</v>
      </c>
      <c r="B23" s="56"/>
      <c r="C23" s="558" t="s">
        <v>28</v>
      </c>
      <c r="D23" s="720">
        <v>16</v>
      </c>
      <c r="E23" s="561">
        <f>SUMIF('2020'!$B:$B,'Свод 2020'!$A23,('2020'!$P:$P))-SUMIFS('2020'!$P:$P,'2020'!$B:$B,'Свод 2020'!$A23,'2020'!$G:$G,4)</f>
        <v>19</v>
      </c>
      <c r="F23" s="567">
        <f t="shared" si="6"/>
        <v>3</v>
      </c>
      <c r="G23" s="759">
        <v>5458.8</v>
      </c>
      <c r="H23" s="563">
        <v>5458.8</v>
      </c>
      <c r="I23" s="759">
        <v>6790.9</v>
      </c>
      <c r="J23" s="759">
        <f t="shared" si="7"/>
        <v>1332.1</v>
      </c>
      <c r="K23" s="564">
        <f>ROUND((SUMIF('2020'!$B:$B,'Свод 2020'!$A23,('2020'!$BL:$BL))-SUMIFS('2020'!$BL:$BL,'2020'!$B:$B,'Свод 2020'!$A23,'2020'!$G:$G,4))/1000,1)</f>
        <v>2567.8000000000002</v>
      </c>
      <c r="L23" s="564">
        <f>N23-M23</f>
        <v>4144.8</v>
      </c>
      <c r="M23" s="565">
        <f>ROUND((SUMIF('2020'!$B:$B,'Свод 2020'!$A23,('2020'!$AQ:$AQ))-SUMIFS('2020'!$AQ:$AQ,'2020'!$B:$B,'Свод 2020'!$A23,'2020'!$G:$G,4)+SUMIF('2020'!$B:$B,'Свод 2020'!$A23,('2020'!$BH:$BH))-SUMIFS('2020'!$BH:$BH,'2020'!$B:$B,'Свод 2020'!$A23,'2020'!$G:$G,4))/1000,1)</f>
        <v>1745.9</v>
      </c>
      <c r="N23" s="565">
        <f>ROUND((SUMIF('2020'!$B:$B,'Свод 2020'!$A23,('2020'!$BM:$BM))-SUMIFS('2020'!$BM:$BM,'2020'!$B:$B,'Свод 2020'!$A23,'2020'!$G:$G,4)+SUMIF('2020'!$B:$B,'Свод 2020'!$A23,('2020'!$CD:$CD))-SUMIFS('2020'!$CD:$CD,'2020'!$B:$B,'Свод 2020'!$A23,'2020'!$G:$G,4))/1000,1)</f>
        <v>5890.7</v>
      </c>
      <c r="O23" s="564">
        <f>Q23-P23</f>
        <v>95.4</v>
      </c>
      <c r="P23" s="565">
        <f>ROUND((SUMIF('2020'!$B:$B,'Свод 2020'!$A23,('2020'!$BB:$BB))-SUMIFS('2020'!$BB:$BB,'2020'!$B:$B,'Свод 2020'!$A23,'2020'!$G:$G,4))/1000,1)</f>
        <v>50.5</v>
      </c>
      <c r="Q23" s="565">
        <f>ROUND((SUMIF('2020'!$B:$B,'Свод 2020'!$A23,('2020'!$BX:$BX))-SUMIFS('2020'!$BX:$BX,'2020'!$B:$B,'Свод 2020'!$A23,'2020'!$G:$G,4))/1000,1)</f>
        <v>145.9</v>
      </c>
      <c r="R23" s="564">
        <f t="shared" si="10"/>
        <v>6808</v>
      </c>
      <c r="S23" s="744">
        <v>0</v>
      </c>
      <c r="T23" s="744">
        <v>0</v>
      </c>
      <c r="U23" s="750">
        <f t="shared" si="11"/>
        <v>0</v>
      </c>
      <c r="V23" s="564">
        <f t="shared" si="12"/>
        <v>6808</v>
      </c>
      <c r="W23" s="564">
        <f t="shared" si="13"/>
        <v>6790.9</v>
      </c>
      <c r="X23" s="566">
        <f t="shared" si="0"/>
        <v>6790.9</v>
      </c>
      <c r="Y23" s="566">
        <f t="shared" si="14"/>
        <v>5875.93</v>
      </c>
      <c r="Z23" s="566">
        <f t="shared" si="15"/>
        <v>-17.100000000000001</v>
      </c>
      <c r="AA23" s="517">
        <f t="shared" si="1"/>
        <v>7229.1</v>
      </c>
      <c r="AB23" s="518">
        <f t="shared" si="2"/>
        <v>421.1</v>
      </c>
      <c r="AC23" s="460">
        <v>2177.6999999999998</v>
      </c>
      <c r="AD23" s="460"/>
      <c r="AE23" s="461">
        <v>2177.6999999999998</v>
      </c>
      <c r="AF23" s="462">
        <f t="shared" si="3"/>
        <v>4613.2</v>
      </c>
      <c r="AG23" s="391">
        <f t="shared" si="4"/>
        <v>4613.2</v>
      </c>
      <c r="AH23" s="313"/>
      <c r="AI23" s="265">
        <f t="shared" si="5"/>
        <v>1.0618540000000001</v>
      </c>
    </row>
    <row r="24" spans="1:35" ht="69.75" customHeight="1" x14ac:dyDescent="0.25">
      <c r="A24" s="56">
        <v>0</v>
      </c>
      <c r="B24" s="56"/>
      <c r="C24" s="558" t="s">
        <v>24</v>
      </c>
      <c r="D24" s="720">
        <v>8</v>
      </c>
      <c r="E24" s="561">
        <f>SUMIF('2020'!$B:$B,'Свод 2020'!$A24,('2020'!$P:$P))-SUMIFS('2020'!$P:$P,'2020'!$B:$B,'Свод 2020'!$A24,'2020'!$G:$G,4)</f>
        <v>9</v>
      </c>
      <c r="F24" s="567">
        <f t="shared" si="6"/>
        <v>1</v>
      </c>
      <c r="G24" s="759">
        <v>2117.5</v>
      </c>
      <c r="H24" s="563">
        <v>2117.5</v>
      </c>
      <c r="I24" s="759">
        <v>2496</v>
      </c>
      <c r="J24" s="759">
        <f t="shared" si="7"/>
        <v>378.5</v>
      </c>
      <c r="K24" s="564">
        <f>ROUND((SUMIF('2020'!$B:$B,'Свод 2020'!$A24,('2020'!$BL:$BL))-SUMIFS('2020'!$BL:$BL,'2020'!$B:$B,'Свод 2020'!$A24,'2020'!$G:$G,4))/1000,1)</f>
        <v>1263.4000000000001</v>
      </c>
      <c r="L24" s="564">
        <f>N24-M24</f>
        <v>1200</v>
      </c>
      <c r="M24" s="565">
        <f>ROUND((SUMIF('2020'!$B:$B,'Свод 2020'!$A24,('2020'!$AQ:$AQ))-SUMIFS('2020'!$AQ:$AQ,'2020'!$B:$B,'Свод 2020'!$A24,'2020'!$G:$G,4)+SUMIF('2020'!$B:$B,'Свод 2020'!$A24,('2020'!$BH:$BH))-SUMIFS('2020'!$BH:$BH,'2020'!$B:$B,'Свод 2020'!$A24,'2020'!$G:$G,4))/1000,1)</f>
        <v>827</v>
      </c>
      <c r="N24" s="565">
        <f>ROUND((SUMIF('2020'!$B:$B,'Свод 2020'!$A24,('2020'!$BM:$BM))-SUMIFS('2020'!$BM:$BM,'2020'!$B:$B,'Свод 2020'!$A24,'2020'!$G:$G,4)+SUMIF('2020'!$B:$B,'Свод 2020'!$A24,('2020'!$CD:$CD))-SUMIFS('2020'!$CD:$CD,'2020'!$B:$B,'Свод 2020'!$A24,'2020'!$G:$G,4))/1000,1)</f>
        <v>2027</v>
      </c>
      <c r="O24" s="564">
        <f>Q24-P24</f>
        <v>38.9</v>
      </c>
      <c r="P24" s="565">
        <f>ROUND((SUMIF('2020'!$B:$B,'Свод 2020'!$A24,('2020'!$BB:$BB))-SUMIFS('2020'!$BB:$BB,'2020'!$B:$B,'Свод 2020'!$A24,'2020'!$G:$G,4))/1000,1)</f>
        <v>24.3</v>
      </c>
      <c r="Q24" s="565">
        <f>ROUND((SUMIF('2020'!$B:$B,'Свод 2020'!$A24,('2020'!$BX:$BX))-SUMIFS('2020'!$BX:$BX,'2020'!$B:$B,'Свод 2020'!$A24,'2020'!$G:$G,4))/1000,1)</f>
        <v>63.2</v>
      </c>
      <c r="R24" s="564">
        <f t="shared" si="10"/>
        <v>2502.3000000000002</v>
      </c>
      <c r="S24" s="744">
        <v>0</v>
      </c>
      <c r="T24" s="744">
        <v>0</v>
      </c>
      <c r="U24" s="750">
        <f t="shared" si="11"/>
        <v>0</v>
      </c>
      <c r="V24" s="564">
        <f t="shared" si="12"/>
        <v>2502.3000000000002</v>
      </c>
      <c r="W24" s="564">
        <f t="shared" si="13"/>
        <v>2496</v>
      </c>
      <c r="X24" s="566">
        <f t="shared" si="0"/>
        <v>2496</v>
      </c>
      <c r="Y24" s="566">
        <f>N24*R$27</f>
        <v>2021.92</v>
      </c>
      <c r="Z24" s="566">
        <f t="shared" si="15"/>
        <v>-6.3</v>
      </c>
      <c r="AA24" s="517">
        <f t="shared" si="1"/>
        <v>2657.1</v>
      </c>
      <c r="AB24" s="518">
        <f t="shared" si="2"/>
        <v>154.80000000000001</v>
      </c>
      <c r="AC24" s="460">
        <v>1299.8</v>
      </c>
      <c r="AD24" s="460"/>
      <c r="AE24" s="461">
        <v>1299.8</v>
      </c>
      <c r="AF24" s="462">
        <f t="shared" si="3"/>
        <v>1196.2</v>
      </c>
      <c r="AG24" s="391">
        <f t="shared" si="4"/>
        <v>1196.2</v>
      </c>
      <c r="AH24" s="313"/>
      <c r="AI24" s="265">
        <f t="shared" si="5"/>
        <v>1.061863</v>
      </c>
    </row>
    <row r="25" spans="1:35" ht="80.25" customHeight="1" x14ac:dyDescent="0.25">
      <c r="A25" s="8"/>
      <c r="B25" s="8"/>
      <c r="C25" s="558" t="s">
        <v>57</v>
      </c>
      <c r="D25" s="720">
        <v>23253</v>
      </c>
      <c r="E25" s="561">
        <f>SUM(E9:E24)</f>
        <v>23827</v>
      </c>
      <c r="F25" s="567">
        <f t="shared" si="6"/>
        <v>574</v>
      </c>
      <c r="G25" s="762">
        <f t="shared" ref="G25:J25" si="16">SUM(G9:G24)</f>
        <v>3530327.4</v>
      </c>
      <c r="H25" s="746">
        <f t="shared" si="16"/>
        <v>4168874.7</v>
      </c>
      <c r="I25" s="746">
        <f t="shared" si="16"/>
        <v>3714828.8</v>
      </c>
      <c r="J25" s="746">
        <f t="shared" si="16"/>
        <v>184501.4</v>
      </c>
      <c r="K25" s="564">
        <f t="shared" ref="K25:AB25" si="17">SUM(K9:K24)</f>
        <v>2326335.9</v>
      </c>
      <c r="L25" s="564">
        <f t="shared" si="17"/>
        <v>1310053.5</v>
      </c>
      <c r="M25" s="565">
        <f t="shared" si="17"/>
        <v>1454470.6</v>
      </c>
      <c r="N25" s="565">
        <f t="shared" si="17"/>
        <v>2764524.1</v>
      </c>
      <c r="O25" s="564">
        <f t="shared" si="17"/>
        <v>87776.7</v>
      </c>
      <c r="P25" s="565">
        <f t="shared" si="17"/>
        <v>47651.5</v>
      </c>
      <c r="Q25" s="565">
        <f t="shared" si="17"/>
        <v>135428.20000000001</v>
      </c>
      <c r="R25" s="565">
        <f t="shared" si="17"/>
        <v>3724166.1</v>
      </c>
      <c r="S25" s="744">
        <f t="shared" si="17"/>
        <v>398852.1</v>
      </c>
      <c r="T25" s="744">
        <f t="shared" si="17"/>
        <v>638547.30000000005</v>
      </c>
      <c r="U25" s="750">
        <f t="shared" si="11"/>
        <v>239695.2</v>
      </c>
      <c r="V25" s="566">
        <f>SUM(V9:V24)</f>
        <v>4123018.2</v>
      </c>
      <c r="W25" s="566">
        <f t="shared" ref="W25:AA25" si="18">SUM(W9:W24)</f>
        <v>3714828.8</v>
      </c>
      <c r="X25" s="566">
        <f t="shared" si="18"/>
        <v>4113680.9</v>
      </c>
      <c r="Y25" s="566">
        <f t="shared" si="18"/>
        <v>2757592.86</v>
      </c>
      <c r="Z25" s="752">
        <f>SUM(Z9:Z24)</f>
        <v>-9337.2999999999993</v>
      </c>
      <c r="AA25" s="517">
        <f t="shared" si="18"/>
        <v>4353376.0999999996</v>
      </c>
      <c r="AB25" s="518">
        <f t="shared" si="17"/>
        <v>230357.9</v>
      </c>
      <c r="AC25" s="463">
        <f>SUM(AC9:AC24)</f>
        <v>2448848</v>
      </c>
      <c r="AD25" s="463"/>
      <c r="AE25" s="464">
        <f>SUM(AE9:AE24)</f>
        <v>3087395.2</v>
      </c>
      <c r="AF25" s="465">
        <f t="shared" si="3"/>
        <v>1265980.8</v>
      </c>
      <c r="AG25" s="392">
        <f t="shared" si="4"/>
        <v>1026285.7</v>
      </c>
      <c r="AH25" s="313"/>
      <c r="AI25" s="265">
        <f t="shared" si="5"/>
        <v>1.061855</v>
      </c>
    </row>
    <row r="26" spans="1:35" ht="121.5" x14ac:dyDescent="0.8">
      <c r="C26" s="556" t="s">
        <v>138</v>
      </c>
      <c r="D26" s="570"/>
      <c r="E26" s="571"/>
      <c r="F26" s="571"/>
      <c r="G26" s="571"/>
      <c r="H26" s="571"/>
      <c r="I26" s="747">
        <v>4353376.0999999996</v>
      </c>
      <c r="J26" s="571"/>
      <c r="K26" s="572"/>
      <c r="L26" s="572"/>
      <c r="M26" s="573"/>
      <c r="N26" s="574"/>
      <c r="O26" s="771">
        <v>2020</v>
      </c>
      <c r="P26" s="575"/>
      <c r="Q26" s="576" t="s">
        <v>138</v>
      </c>
      <c r="R26" s="577">
        <v>3714828.8</v>
      </c>
      <c r="S26" s="722">
        <v>638547.30000000005</v>
      </c>
      <c r="T26" s="578"/>
      <c r="U26" s="578"/>
      <c r="V26" s="579">
        <f>R26+S26</f>
        <v>4353376.0999999996</v>
      </c>
      <c r="W26" s="579">
        <f>R26</f>
        <v>3714828.8</v>
      </c>
      <c r="X26" s="579">
        <f>V26</f>
        <v>4353376.0999999996</v>
      </c>
      <c r="Y26" s="579">
        <f>N26</f>
        <v>0</v>
      </c>
      <c r="Z26" s="566"/>
      <c r="AA26" s="519"/>
      <c r="AB26" s="518"/>
      <c r="AC26" s="460"/>
      <c r="AD26" s="460"/>
      <c r="AE26" s="466"/>
      <c r="AF26" s="466"/>
      <c r="AG26" s="379"/>
      <c r="AH26" s="313"/>
    </row>
    <row r="27" spans="1:35" ht="182.25" x14ac:dyDescent="0.85">
      <c r="C27" s="467"/>
      <c r="D27" s="580"/>
      <c r="E27" s="571"/>
      <c r="F27" s="571"/>
      <c r="G27" s="571"/>
      <c r="H27" s="571"/>
      <c r="I27" s="571"/>
      <c r="J27" s="571"/>
      <c r="K27" s="572"/>
      <c r="L27" s="572"/>
      <c r="M27" s="573"/>
      <c r="N27" s="574"/>
      <c r="O27" s="771"/>
      <c r="P27" s="575"/>
      <c r="Q27" s="575"/>
      <c r="R27" s="581">
        <f>R26/R25</f>
        <v>0.99749278100000005</v>
      </c>
      <c r="S27" s="723" t="s">
        <v>139</v>
      </c>
      <c r="T27" s="753">
        <f>R26-R25</f>
        <v>-9337.2999999999993</v>
      </c>
      <c r="U27" s="582"/>
      <c r="V27" s="577">
        <f>V26-V25</f>
        <v>230357.9</v>
      </c>
      <c r="W27" s="745">
        <f>S26-S25</f>
        <v>239695.2</v>
      </c>
      <c r="X27" s="583">
        <f>X26-X25</f>
        <v>239695.2</v>
      </c>
      <c r="Y27" s="584"/>
      <c r="Z27" s="583"/>
      <c r="AA27" s="520">
        <f>(V26-S25)/(V25-S25)</f>
        <v>1.0618548941699999</v>
      </c>
      <c r="AB27" s="521"/>
      <c r="AC27" s="466"/>
      <c r="AD27" s="466"/>
      <c r="AE27" s="466"/>
      <c r="AF27" s="466"/>
      <c r="AG27" s="379"/>
      <c r="AH27" s="313"/>
    </row>
    <row r="28" spans="1:35" ht="30.75" hidden="1" x14ac:dyDescent="0.45">
      <c r="A28" s="11">
        <v>100</v>
      </c>
      <c r="B28" s="11"/>
      <c r="C28" s="468" t="s">
        <v>28</v>
      </c>
      <c r="D28" s="468"/>
      <c r="E28" s="469">
        <f>SUMIF('2020'!$B:$B,'Свод 2020'!$A28,('2020'!$P:$P))-SUMIFS('2020'!$P:$P,'2020'!$B:$B,'Свод 2020'!$A28,'2020'!$G:$G,4)</f>
        <v>19</v>
      </c>
      <c r="F28" s="469"/>
      <c r="G28" s="469"/>
      <c r="H28" s="469"/>
      <c r="I28" s="469"/>
      <c r="J28" s="469"/>
      <c r="K28" s="470">
        <f>SUMIF('2020'!$B:$B,'Свод 2020'!$A28,('2020'!$BL:$BL))-SUMIFS('2020'!$BL:$BL,'2020'!$B:$B,'Свод 2020'!$A28,'2020'!$G:$G,4)</f>
        <v>2567820</v>
      </c>
      <c r="L28" s="470"/>
      <c r="M28" s="471"/>
      <c r="N28" s="472"/>
      <c r="O28" s="473"/>
      <c r="P28" s="471"/>
      <c r="Q28" s="471"/>
      <c r="R28" s="471"/>
      <c r="S28" s="724"/>
      <c r="T28" s="724"/>
      <c r="U28" s="724"/>
      <c r="V28" s="475"/>
      <c r="W28" s="476"/>
      <c r="X28" s="477"/>
      <c r="Y28" s="478"/>
      <c r="Z28" s="477"/>
      <c r="AA28" s="471"/>
      <c r="AB28" s="479">
        <f>AA28-V28</f>
        <v>0</v>
      </c>
      <c r="AC28" s="480"/>
      <c r="AD28" s="480"/>
      <c r="AE28" s="480"/>
      <c r="AF28" s="480"/>
      <c r="AG28" s="380"/>
      <c r="AH28" s="312"/>
    </row>
    <row r="29" spans="1:35" ht="30.75" hidden="1" x14ac:dyDescent="0.45">
      <c r="A29" s="11">
        <v>0</v>
      </c>
      <c r="B29" s="11"/>
      <c r="C29" s="468" t="s">
        <v>24</v>
      </c>
      <c r="D29" s="468"/>
      <c r="E29" s="469">
        <f>SUMIF('2020'!$B:$B,'Свод 2020'!$A29,('2020'!$P:$P))-SUMIFS('2020'!$P:$P,'2020'!$B:$B,'Свод 2020'!$A29,'2020'!$G:$G,4)</f>
        <v>9</v>
      </c>
      <c r="F29" s="469"/>
      <c r="G29" s="469"/>
      <c r="H29" s="469"/>
      <c r="I29" s="469"/>
      <c r="J29" s="469"/>
      <c r="K29" s="470">
        <f>SUMIF('2020'!$B:$B,'Свод 2020'!$A29,('2020'!$BL:$BL))-SUMIFS('2020'!$BL:$BL,'2020'!$B:$B,'Свод 2020'!$A29,'2020'!$G:$G,4)</f>
        <v>1263420</v>
      </c>
      <c r="L29" s="470"/>
      <c r="M29" s="471"/>
      <c r="N29" s="472"/>
      <c r="O29" s="473"/>
      <c r="P29" s="471"/>
      <c r="Q29" s="471"/>
      <c r="R29" s="471"/>
      <c r="S29" s="724"/>
      <c r="T29" s="724"/>
      <c r="U29" s="724"/>
      <c r="V29" s="475"/>
      <c r="W29" s="476"/>
      <c r="X29" s="477"/>
      <c r="Y29" s="478"/>
      <c r="Z29" s="477"/>
      <c r="AA29" s="471"/>
      <c r="AB29" s="481">
        <f>AA29-V29</f>
        <v>0</v>
      </c>
      <c r="AC29" s="480"/>
      <c r="AD29" s="480"/>
      <c r="AE29" s="480"/>
      <c r="AF29" s="480"/>
      <c r="AG29" s="380"/>
      <c r="AH29" s="312"/>
    </row>
    <row r="30" spans="1:35" s="44" customFormat="1" ht="30.75" hidden="1" x14ac:dyDescent="0.45">
      <c r="A30" s="41"/>
      <c r="B30" s="41"/>
      <c r="C30" s="482" t="s">
        <v>57</v>
      </c>
      <c r="D30" s="482"/>
      <c r="E30" s="483">
        <f>E29+E28</f>
        <v>28</v>
      </c>
      <c r="F30" s="483"/>
      <c r="G30" s="483"/>
      <c r="H30" s="483"/>
      <c r="I30" s="483"/>
      <c r="J30" s="483"/>
      <c r="K30" s="483">
        <f>K29+K28</f>
        <v>3831240</v>
      </c>
      <c r="L30" s="483"/>
      <c r="M30" s="483"/>
      <c r="N30" s="484"/>
      <c r="O30" s="485"/>
      <c r="P30" s="483"/>
      <c r="Q30" s="483"/>
      <c r="R30" s="483"/>
      <c r="S30" s="725"/>
      <c r="T30" s="725"/>
      <c r="U30" s="725"/>
      <c r="V30" s="487"/>
      <c r="W30" s="488"/>
      <c r="X30" s="489"/>
      <c r="Y30" s="490"/>
      <c r="Z30" s="489"/>
      <c r="AA30" s="483"/>
      <c r="AB30" s="491">
        <f>AA30-V30</f>
        <v>0</v>
      </c>
      <c r="AC30" s="492"/>
      <c r="AD30" s="492"/>
      <c r="AE30" s="492"/>
      <c r="AF30" s="492"/>
      <c r="AG30" s="381"/>
      <c r="AH30" s="312"/>
    </row>
    <row r="31" spans="1:35" s="44" customFormat="1" ht="30.75" hidden="1" x14ac:dyDescent="0.45">
      <c r="A31" s="67"/>
      <c r="B31" s="67"/>
      <c r="C31" s="493"/>
      <c r="D31" s="493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772">
        <v>2020</v>
      </c>
      <c r="P31" s="483"/>
      <c r="Q31" s="483"/>
      <c r="R31" s="495">
        <f>4167213.3-S26-954651.8</f>
        <v>2574014.2000000002</v>
      </c>
      <c r="S31" s="726">
        <v>638547.30000000005</v>
      </c>
      <c r="T31" s="726"/>
      <c r="U31" s="726"/>
      <c r="V31" s="497">
        <f>R31+S31</f>
        <v>3212561.5</v>
      </c>
      <c r="W31" s="498"/>
      <c r="X31" s="499"/>
      <c r="Y31" s="500"/>
      <c r="Z31" s="499"/>
      <c r="AA31" s="494"/>
      <c r="AB31" s="501"/>
      <c r="AC31" s="492"/>
      <c r="AD31" s="492"/>
      <c r="AE31" s="492"/>
      <c r="AF31" s="492"/>
      <c r="AG31" s="381"/>
      <c r="AH31" s="312"/>
    </row>
    <row r="32" spans="1:35" s="44" customFormat="1" ht="30.75" hidden="1" x14ac:dyDescent="0.45">
      <c r="A32" s="67"/>
      <c r="B32" s="67"/>
      <c r="C32" s="493"/>
      <c r="D32" s="493"/>
      <c r="E32" s="494"/>
      <c r="F32" s="494"/>
      <c r="G32" s="494"/>
      <c r="H32" s="494"/>
      <c r="I32" s="494"/>
      <c r="J32" s="494"/>
      <c r="K32" s="494"/>
      <c r="L32" s="494"/>
      <c r="M32" s="494"/>
      <c r="N32" s="494"/>
      <c r="O32" s="773"/>
      <c r="P32" s="483"/>
      <c r="Q32" s="483"/>
      <c r="R32" s="502">
        <f>R31/R25</f>
        <v>0.69116525200000001</v>
      </c>
      <c r="S32" s="727" t="s">
        <v>139</v>
      </c>
      <c r="T32" s="727"/>
      <c r="U32" s="727"/>
      <c r="V32" s="497">
        <f>V31-V25</f>
        <v>-910456.7</v>
      </c>
      <c r="W32" s="498"/>
      <c r="X32" s="499"/>
      <c r="Y32" s="500"/>
      <c r="Z32" s="499"/>
      <c r="AA32" s="494"/>
      <c r="AB32" s="501"/>
      <c r="AC32" s="492"/>
      <c r="AD32" s="492"/>
      <c r="AE32" s="492"/>
      <c r="AF32" s="492"/>
      <c r="AG32" s="381"/>
      <c r="AH32" s="312"/>
    </row>
    <row r="33" spans="1:35" s="44" customFormat="1" ht="30.75" hidden="1" x14ac:dyDescent="0.45">
      <c r="A33" s="67"/>
      <c r="B33" s="67"/>
      <c r="C33" s="493"/>
      <c r="D33" s="493"/>
      <c r="E33" s="494"/>
      <c r="F33" s="494"/>
      <c r="G33" s="494"/>
      <c r="H33" s="494"/>
      <c r="I33" s="494"/>
      <c r="J33" s="494"/>
      <c r="K33" s="494"/>
      <c r="L33" s="494"/>
      <c r="M33" s="494"/>
      <c r="N33" s="494"/>
      <c r="O33" s="772">
        <v>2021</v>
      </c>
      <c r="P33" s="483"/>
      <c r="Q33" s="483"/>
      <c r="R33" s="495">
        <f>4272775.3-994512.1-S26</f>
        <v>2639715.9</v>
      </c>
      <c r="S33" s="726">
        <v>638547.30000000005</v>
      </c>
      <c r="T33" s="726"/>
      <c r="U33" s="726"/>
      <c r="V33" s="497">
        <f>R33+S33</f>
        <v>3278263.2</v>
      </c>
      <c r="W33" s="498"/>
      <c r="X33" s="499"/>
      <c r="Y33" s="500"/>
      <c r="Z33" s="499"/>
      <c r="AA33" s="494"/>
      <c r="AB33" s="501"/>
      <c r="AC33" s="492"/>
      <c r="AD33" s="492"/>
      <c r="AE33" s="492"/>
      <c r="AF33" s="492"/>
      <c r="AG33" s="381"/>
      <c r="AH33" s="312"/>
    </row>
    <row r="34" spans="1:35" s="44" customFormat="1" ht="30.75" hidden="1" x14ac:dyDescent="0.45">
      <c r="A34" s="67"/>
      <c r="B34" s="67"/>
      <c r="C34" s="493"/>
      <c r="D34" s="493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773"/>
      <c r="P34" s="483"/>
      <c r="Q34" s="483"/>
      <c r="R34" s="504">
        <f>R33/R25</f>
        <v>0.70880724139999995</v>
      </c>
      <c r="S34" s="727" t="s">
        <v>139</v>
      </c>
      <c r="T34" s="727"/>
      <c r="U34" s="727"/>
      <c r="V34" s="497">
        <f>V33-V25</f>
        <v>-844755</v>
      </c>
      <c r="W34" s="498"/>
      <c r="X34" s="499"/>
      <c r="Y34" s="500"/>
      <c r="Z34" s="499"/>
      <c r="AA34" s="494"/>
      <c r="AB34" s="501"/>
      <c r="AC34" s="492"/>
      <c r="AD34" s="492"/>
      <c r="AE34" s="492"/>
      <c r="AF34" s="492"/>
      <c r="AG34" s="381"/>
      <c r="AH34" s="312"/>
    </row>
    <row r="35" spans="1:35" ht="30.75" hidden="1" x14ac:dyDescent="0.45">
      <c r="C35" s="467"/>
      <c r="D35" s="467"/>
      <c r="E35" s="467"/>
      <c r="F35" s="467"/>
      <c r="G35" s="467"/>
      <c r="H35" s="467"/>
      <c r="I35" s="467"/>
      <c r="J35" s="467"/>
      <c r="K35" s="505"/>
      <c r="L35" s="505"/>
      <c r="M35" s="467">
        <v>2021</v>
      </c>
      <c r="N35" s="506">
        <f>1416095.2+427657</f>
        <v>1843752.2</v>
      </c>
      <c r="O35" s="505"/>
      <c r="P35" s="467"/>
      <c r="Q35" s="467"/>
      <c r="R35" s="467"/>
      <c r="S35" s="728"/>
      <c r="T35" s="728"/>
      <c r="U35" s="728"/>
      <c r="V35" s="507"/>
      <c r="W35" s="508"/>
      <c r="X35" s="509"/>
      <c r="Y35" s="510"/>
      <c r="Z35" s="509"/>
      <c r="AA35" s="467"/>
      <c r="AB35" s="501"/>
      <c r="AC35" s="480"/>
      <c r="AD35" s="480"/>
      <c r="AE35" s="480"/>
      <c r="AF35" s="480"/>
      <c r="AG35" s="380"/>
      <c r="AH35" s="299"/>
    </row>
    <row r="36" spans="1:35" ht="30.75" x14ac:dyDescent="0.45">
      <c r="C36" s="511"/>
      <c r="D36" s="511"/>
      <c r="E36" s="511"/>
      <c r="F36" s="511"/>
      <c r="G36" s="511"/>
      <c r="H36" s="511"/>
      <c r="I36" s="511"/>
      <c r="J36" s="511"/>
      <c r="K36" s="512"/>
      <c r="L36" s="512"/>
      <c r="M36" s="511"/>
      <c r="N36" s="511"/>
      <c r="O36" s="512"/>
      <c r="P36" s="511"/>
      <c r="Q36" s="511"/>
      <c r="R36" s="511"/>
      <c r="S36" s="728"/>
      <c r="T36" s="728"/>
      <c r="U36" s="728"/>
      <c r="V36" s="512"/>
      <c r="W36" s="508"/>
      <c r="X36" s="512"/>
      <c r="Y36" s="512"/>
      <c r="Z36" s="512"/>
      <c r="AA36" s="511"/>
      <c r="AB36" s="513"/>
      <c r="AC36" s="480"/>
      <c r="AD36" s="480"/>
      <c r="AE36" s="480"/>
      <c r="AF36" s="480"/>
      <c r="AG36" s="380"/>
      <c r="AH36" s="377"/>
    </row>
    <row r="37" spans="1:35" ht="18.75" hidden="1" x14ac:dyDescent="0.25">
      <c r="C37" s="357"/>
      <c r="D37" s="357"/>
      <c r="E37" s="357"/>
      <c r="F37" s="357"/>
      <c r="G37" s="357"/>
      <c r="H37" s="357"/>
      <c r="I37" s="357"/>
      <c r="J37" s="357"/>
      <c r="K37" s="350"/>
      <c r="L37" s="350"/>
      <c r="M37" s="357"/>
      <c r="N37" s="357"/>
      <c r="O37" s="350"/>
      <c r="P37" s="357"/>
      <c r="Q37" s="357"/>
      <c r="R37" s="357"/>
      <c r="S37" s="729"/>
      <c r="T37" s="729"/>
      <c r="U37" s="729"/>
      <c r="V37" s="350"/>
      <c r="W37" s="440"/>
      <c r="X37" s="350"/>
      <c r="Y37" s="350"/>
      <c r="Z37" s="350"/>
      <c r="AA37" s="357"/>
      <c r="AB37" s="358"/>
      <c r="AC37" s="380"/>
      <c r="AD37" s="380"/>
      <c r="AE37" s="380"/>
      <c r="AF37" s="380"/>
      <c r="AG37" s="380"/>
      <c r="AH37" s="358"/>
    </row>
    <row r="38" spans="1:35" ht="20.25" hidden="1" x14ac:dyDescent="0.3">
      <c r="C38" s="764" t="s">
        <v>423</v>
      </c>
      <c r="D38" s="764"/>
      <c r="E38" s="764"/>
      <c r="F38" s="764"/>
      <c r="G38" s="764"/>
      <c r="H38" s="764"/>
      <c r="I38" s="764"/>
      <c r="J38" s="764"/>
      <c r="K38" s="764"/>
      <c r="L38" s="764"/>
      <c r="M38" s="764"/>
      <c r="N38" s="764"/>
      <c r="O38" s="764"/>
      <c r="P38" s="764"/>
      <c r="Q38" s="764"/>
      <c r="R38" s="764"/>
      <c r="S38" s="764"/>
      <c r="T38" s="764"/>
      <c r="U38" s="764"/>
      <c r="V38" s="764"/>
      <c r="W38" s="764"/>
      <c r="X38" s="764"/>
      <c r="Y38" s="764"/>
      <c r="Z38" s="764"/>
      <c r="AA38" s="764"/>
      <c r="AB38" s="764"/>
      <c r="AC38" s="380"/>
      <c r="AD38" s="380"/>
      <c r="AE38" s="380"/>
      <c r="AF38" s="380"/>
      <c r="AG38" s="380"/>
      <c r="AH38" s="378"/>
    </row>
    <row r="39" spans="1:35" ht="18.75" hidden="1" x14ac:dyDescent="0.25">
      <c r="C39" s="357"/>
      <c r="D39" s="357"/>
      <c r="E39" s="357"/>
      <c r="F39" s="357"/>
      <c r="G39" s="357"/>
      <c r="H39" s="357"/>
      <c r="I39" s="357"/>
      <c r="J39" s="357"/>
      <c r="K39" s="350"/>
      <c r="L39" s="350"/>
      <c r="M39" s="357"/>
      <c r="N39" s="357"/>
      <c r="O39" s="350"/>
      <c r="P39" s="357"/>
      <c r="Q39" s="357"/>
      <c r="R39" s="357"/>
      <c r="S39" s="729"/>
      <c r="T39" s="729"/>
      <c r="U39" s="729"/>
      <c r="V39" s="350"/>
      <c r="W39" s="440"/>
      <c r="X39" s="350"/>
      <c r="Y39" s="350"/>
      <c r="Z39" s="350"/>
      <c r="AA39" s="357"/>
      <c r="AB39" s="358"/>
      <c r="AC39" s="380"/>
      <c r="AD39" s="380"/>
      <c r="AE39" s="380"/>
      <c r="AF39" s="380"/>
      <c r="AG39" s="380"/>
      <c r="AH39" s="358"/>
    </row>
    <row r="40" spans="1:35" ht="18.75" hidden="1" x14ac:dyDescent="0.3">
      <c r="C40" s="365"/>
      <c r="D40" s="395"/>
      <c r="E40" s="767" t="s">
        <v>62</v>
      </c>
      <c r="F40" s="767"/>
      <c r="G40" s="767"/>
      <c r="H40" s="767"/>
      <c r="I40" s="767"/>
      <c r="J40" s="767"/>
      <c r="K40" s="767"/>
      <c r="L40" s="767"/>
      <c r="M40" s="767"/>
      <c r="N40" s="767"/>
      <c r="O40" s="767"/>
      <c r="P40" s="767"/>
      <c r="Q40" s="767"/>
      <c r="R40" s="767"/>
      <c r="S40" s="767"/>
      <c r="T40" s="767"/>
      <c r="U40" s="767"/>
      <c r="V40" s="767"/>
      <c r="W40" s="767"/>
      <c r="X40" s="767"/>
      <c r="Y40" s="767"/>
      <c r="Z40" s="767"/>
      <c r="AA40" s="767"/>
      <c r="AB40" s="767"/>
      <c r="AC40" s="382"/>
      <c r="AD40" s="382"/>
      <c r="AE40" s="382"/>
      <c r="AF40" s="382"/>
      <c r="AG40" s="383"/>
      <c r="AH40" s="376"/>
    </row>
    <row r="41" spans="1:35" ht="57" hidden="1" x14ac:dyDescent="0.25">
      <c r="A41" s="765" t="s">
        <v>41</v>
      </c>
      <c r="B41" s="514"/>
      <c r="C41" s="765" t="s">
        <v>42</v>
      </c>
      <c r="D41" s="289"/>
      <c r="E41" s="314" t="s">
        <v>58</v>
      </c>
      <c r="F41" s="397"/>
      <c r="G41" s="397"/>
      <c r="H41" s="397"/>
      <c r="I41" s="397"/>
      <c r="J41" s="397"/>
      <c r="K41" s="315" t="s">
        <v>129</v>
      </c>
      <c r="L41" s="316" t="s">
        <v>130</v>
      </c>
      <c r="M41" s="314" t="s">
        <v>133</v>
      </c>
      <c r="N41" s="314" t="s">
        <v>132</v>
      </c>
      <c r="O41" s="316" t="s">
        <v>131</v>
      </c>
      <c r="P41" s="314" t="s">
        <v>134</v>
      </c>
      <c r="Q41" s="314" t="s">
        <v>135</v>
      </c>
      <c r="R41" s="314"/>
      <c r="S41" s="730" t="s">
        <v>136</v>
      </c>
      <c r="T41" s="730"/>
      <c r="U41" s="730"/>
      <c r="V41" s="133" t="s">
        <v>137</v>
      </c>
      <c r="W41" s="441"/>
      <c r="X41" s="355"/>
      <c r="Y41" s="362" t="s">
        <v>421</v>
      </c>
      <c r="Z41" s="355"/>
      <c r="AA41" s="45" t="s">
        <v>140</v>
      </c>
      <c r="AB41" s="369" t="s">
        <v>171</v>
      </c>
      <c r="AC41" s="382" t="s">
        <v>425</v>
      </c>
      <c r="AD41" s="382"/>
      <c r="AE41" s="382"/>
      <c r="AF41" s="382"/>
      <c r="AG41" s="383" t="s">
        <v>426</v>
      </c>
      <c r="AH41" s="364"/>
    </row>
    <row r="42" spans="1:35" ht="18.75" hidden="1" x14ac:dyDescent="0.3">
      <c r="A42" s="766"/>
      <c r="B42" s="515"/>
      <c r="C42" s="766"/>
      <c r="D42" s="290"/>
      <c r="E42" s="304"/>
      <c r="F42" s="398"/>
      <c r="G42" s="398"/>
      <c r="H42" s="398"/>
      <c r="I42" s="398"/>
      <c r="J42" s="398"/>
      <c r="K42" s="302" t="s">
        <v>141</v>
      </c>
      <c r="L42" s="293" t="s">
        <v>141</v>
      </c>
      <c r="M42" s="292" t="s">
        <v>141</v>
      </c>
      <c r="N42" s="292" t="s">
        <v>141</v>
      </c>
      <c r="O42" s="293" t="s">
        <v>141</v>
      </c>
      <c r="P42" s="292" t="s">
        <v>141</v>
      </c>
      <c r="Q42" s="292" t="s">
        <v>141</v>
      </c>
      <c r="R42" s="292"/>
      <c r="S42" s="731" t="s">
        <v>141</v>
      </c>
      <c r="T42" s="731"/>
      <c r="U42" s="731"/>
      <c r="V42" s="294" t="s">
        <v>141</v>
      </c>
      <c r="W42" s="438"/>
      <c r="X42" s="303"/>
      <c r="Y42" s="356"/>
      <c r="Z42" s="303"/>
      <c r="AA42" s="292" t="s">
        <v>141</v>
      </c>
      <c r="AB42" s="371" t="s">
        <v>141</v>
      </c>
      <c r="AC42" s="384" t="s">
        <v>141</v>
      </c>
      <c r="AD42" s="384"/>
      <c r="AE42" s="384"/>
      <c r="AF42" s="384"/>
      <c r="AG42" s="384" t="s">
        <v>141</v>
      </c>
      <c r="AH42" s="292"/>
    </row>
    <row r="43" spans="1:35" ht="18.75" hidden="1" x14ac:dyDescent="0.25">
      <c r="A43" s="766"/>
      <c r="B43" s="515"/>
      <c r="C43" s="766"/>
      <c r="D43" s="290"/>
      <c r="E43" s="304"/>
      <c r="F43" s="307"/>
      <c r="G43" s="307"/>
      <c r="H43" s="307"/>
      <c r="I43" s="307"/>
      <c r="J43" s="307"/>
      <c r="K43" s="297"/>
      <c r="L43" s="297"/>
      <c r="M43" s="12"/>
      <c r="N43" s="12"/>
      <c r="O43" s="297"/>
      <c r="P43" s="12"/>
      <c r="Q43" s="12"/>
      <c r="R43" s="12"/>
      <c r="S43" s="729"/>
      <c r="T43" s="729"/>
      <c r="U43" s="729"/>
      <c r="V43" s="300"/>
      <c r="W43" s="440"/>
      <c r="X43" s="301"/>
      <c r="Y43" s="350"/>
      <c r="Z43" s="301"/>
      <c r="AA43" s="12"/>
      <c r="AB43" s="372"/>
      <c r="AC43" s="379"/>
      <c r="AD43" s="379"/>
      <c r="AE43" s="379"/>
      <c r="AF43" s="379"/>
      <c r="AG43" s="379"/>
      <c r="AH43" s="299"/>
    </row>
    <row r="44" spans="1:35" ht="18.75" hidden="1" x14ac:dyDescent="0.3">
      <c r="A44" s="6">
        <v>3</v>
      </c>
      <c r="B44" s="6"/>
      <c r="C44" s="7" t="s">
        <v>45</v>
      </c>
      <c r="D44" s="7"/>
      <c r="E44" s="318">
        <f>SUMIFS('2020'!$P:$P,'2020'!$B:$B,'Свод 2020'!$A44,'2020'!$G:$G,4)</f>
        <v>160</v>
      </c>
      <c r="F44" s="318"/>
      <c r="G44" s="318"/>
      <c r="H44" s="318"/>
      <c r="I44" s="318"/>
      <c r="J44" s="318"/>
      <c r="K44" s="308">
        <f>ROUND((SUMIFS('2020'!$BL:$BL,'2020'!$B:$B,'Свод 2020'!$A44,'2020'!$G:$G,4))/1000,1)</f>
        <v>12131</v>
      </c>
      <c r="L44" s="308">
        <f>N44-M44</f>
        <v>1834.7</v>
      </c>
      <c r="M44" s="309">
        <f>ROUND((SUMIFS('2020'!$AQ:$AQ,'2020'!$B:$B,'Свод 2020'!$A44,'2020'!$G:$G,4)+SUMIFS('2020'!$BH:$BH,'2020'!$B:$B,'Свод 2020'!$A44,'2020'!$G:$G,4))/1000,1)</f>
        <v>6505.9</v>
      </c>
      <c r="N44" s="309">
        <f>ROUND((SUMIFS('2020'!$BM:$BM,'2020'!$B:$B,'Свод 2020'!$A44,'2020'!$G:$G,4)+SUMIFS('2020'!$CD:$CD,'2020'!$B:$B,'Свод 2020'!$A44,'2020'!$G:$G,4))/1000,1)</f>
        <v>8340.6</v>
      </c>
      <c r="O44" s="308">
        <f>Q44-P44</f>
        <v>375.2</v>
      </c>
      <c r="P44" s="309">
        <f>ROUND(SUMIFS('2020'!$BB:$BB,'2020'!$B:$B,'Свод 2020'!$A44,'2020'!$G:$G,4)/1000,1)</f>
        <v>339.2</v>
      </c>
      <c r="Q44" s="309">
        <f>ROUND(SUMIFS('2020'!$BX:$BX,'2020'!$B:$B,'Свод 2020'!$A44,'2020'!$G:$G,4)/1000,1)</f>
        <v>714.4</v>
      </c>
      <c r="R44" s="309"/>
      <c r="S44" s="732">
        <v>0</v>
      </c>
      <c r="T44" s="732"/>
      <c r="U44" s="732"/>
      <c r="V44" s="310">
        <f>K44+L44+O44+S44</f>
        <v>14340.9</v>
      </c>
      <c r="W44" s="439"/>
      <c r="X44" s="311"/>
      <c r="Y44" s="366">
        <f t="shared" ref="Y44:Y57" si="19">ROUND(N44*AA$63,1)</f>
        <v>6034.5</v>
      </c>
      <c r="Z44" s="311"/>
      <c r="AA44" s="309">
        <f t="shared" ref="AA44:AA57" si="20">ROUND((K44+L44+O44)*AA$63,1)+S44</f>
        <v>10375.700000000001</v>
      </c>
      <c r="AB44" s="370">
        <f t="shared" ref="AB44:AB60" si="21">AA44-V44</f>
        <v>-3965.2</v>
      </c>
      <c r="AC44" s="379"/>
      <c r="AD44" s="379"/>
      <c r="AE44" s="379"/>
      <c r="AF44" s="379"/>
      <c r="AG44" s="379"/>
      <c r="AH44" s="312"/>
      <c r="AI44" s="111">
        <f t="shared" ref="AI44:AI57" si="22">(AA44-S44)/(V44-S44)</f>
        <v>0.72350000000000003</v>
      </c>
    </row>
    <row r="45" spans="1:35" ht="18.75" hidden="1" x14ac:dyDescent="0.3">
      <c r="A45" s="6">
        <v>5</v>
      </c>
      <c r="B45" s="6"/>
      <c r="C45" s="7" t="s">
        <v>47</v>
      </c>
      <c r="D45" s="7"/>
      <c r="E45" s="332">
        <f>SUMIFS('2020'!$P:$P,'2020'!$B:$B,'Свод 2020'!$A45,'2020'!$G:$G,4)</f>
        <v>418</v>
      </c>
      <c r="F45" s="332"/>
      <c r="G45" s="332"/>
      <c r="H45" s="332"/>
      <c r="I45" s="332"/>
      <c r="J45" s="332"/>
      <c r="K45" s="319">
        <f>ROUND((SUMIFS('2020'!$BL:$BL,'2020'!$B:$B,'Свод 2020'!$A45,'2020'!$G:$G,4))/1000,1)</f>
        <v>31627.8</v>
      </c>
      <c r="L45" s="319">
        <f t="shared" ref="L45:L57" si="23">N45-M45</f>
        <v>6824.7</v>
      </c>
      <c r="M45" s="320">
        <f>ROUND((SUMIFS('2020'!$AQ:$AQ,'2020'!$B:$B,'Свод 2020'!$A45,'2020'!$G:$G,4)+SUMIFS('2020'!$BH:$BH,'2020'!$B:$B,'Свод 2020'!$A45,'2020'!$G:$G,4))/1000,1)</f>
        <v>17277.599999999999</v>
      </c>
      <c r="N45" s="320">
        <f>ROUND((SUMIFS('2020'!$BM:$BM,'2020'!$B:$B,'Свод 2020'!$A45,'2020'!$G:$G,4)+SUMIFS('2020'!$CD:$CD,'2020'!$B:$B,'Свод 2020'!$A45,'2020'!$G:$G,4))/1000,1)</f>
        <v>24102.3</v>
      </c>
      <c r="O45" s="319">
        <f t="shared" ref="O45:O57" si="24">Q45-P45</f>
        <v>876.4</v>
      </c>
      <c r="P45" s="320">
        <f>ROUND(SUMIFS('2020'!$BB:$BB,'2020'!$B:$B,'Свод 2020'!$A45,'2020'!$G:$G,4)/1000,1)</f>
        <v>886.2</v>
      </c>
      <c r="Q45" s="320">
        <f>ROUND(SUMIFS('2020'!$BX:$BX,'2020'!$B:$B,'Свод 2020'!$A45,'2020'!$G:$G,4)/1000,1)</f>
        <v>1762.6</v>
      </c>
      <c r="R45" s="320"/>
      <c r="S45" s="733">
        <v>0</v>
      </c>
      <c r="T45" s="733"/>
      <c r="U45" s="733"/>
      <c r="V45" s="322">
        <f t="shared" ref="V45:V57" si="25">K45+L45+O45+S45</f>
        <v>39328.9</v>
      </c>
      <c r="W45" s="442"/>
      <c r="X45" s="323"/>
      <c r="Y45" s="366">
        <f t="shared" si="19"/>
        <v>17438.2</v>
      </c>
      <c r="Z45" s="323"/>
      <c r="AA45" s="320">
        <f t="shared" si="20"/>
        <v>28454.799999999999</v>
      </c>
      <c r="AB45" s="373">
        <f t="shared" si="21"/>
        <v>-10874.1</v>
      </c>
      <c r="AC45" s="379"/>
      <c r="AD45" s="379"/>
      <c r="AE45" s="379"/>
      <c r="AF45" s="379"/>
      <c r="AG45" s="379"/>
      <c r="AH45" s="324"/>
      <c r="AI45" s="111">
        <f t="shared" si="22"/>
        <v>0.72350999999999999</v>
      </c>
    </row>
    <row r="46" spans="1:35" ht="18.75" hidden="1" x14ac:dyDescent="0.3">
      <c r="A46" s="6">
        <v>8</v>
      </c>
      <c r="B46" s="6"/>
      <c r="C46" s="7" t="s">
        <v>50</v>
      </c>
      <c r="D46" s="7"/>
      <c r="E46" s="332">
        <f>SUMIFS('2020'!$P:$P,'2020'!$B:$B,'Свод 2020'!$A46,'2020'!$G:$G,4)</f>
        <v>0</v>
      </c>
      <c r="F46" s="332"/>
      <c r="G46" s="332"/>
      <c r="H46" s="332"/>
      <c r="I46" s="332"/>
      <c r="J46" s="332"/>
      <c r="K46" s="319">
        <f>ROUND((SUMIFS('2020'!$BL:$BL,'2020'!$B:$B,'Свод 2020'!$A46,'2020'!$G:$G,4))/1000,1)</f>
        <v>0</v>
      </c>
      <c r="L46" s="319">
        <f t="shared" si="23"/>
        <v>0</v>
      </c>
      <c r="M46" s="320">
        <f>ROUND((SUMIFS('2020'!$AQ:$AQ,'2020'!$B:$B,'Свод 2020'!$A46,'2020'!$G:$G,4)+SUMIFS('2020'!$BH:$BH,'2020'!$B:$B,'Свод 2020'!$A46,'2020'!$G:$G,4))/1000,1)</f>
        <v>0</v>
      </c>
      <c r="N46" s="320">
        <f>ROUND((SUMIFS('2020'!$BM:$BM,'2020'!$B:$B,'Свод 2020'!$A46,'2020'!$G:$G,4)+SUMIFS('2020'!$CD:$CD,'2020'!$B:$B,'Свод 2020'!$A46,'2020'!$G:$G,4))/1000,1)</f>
        <v>0</v>
      </c>
      <c r="O46" s="319">
        <f t="shared" si="24"/>
        <v>0</v>
      </c>
      <c r="P46" s="320">
        <f>ROUND(SUMIFS('2020'!$BB:$BB,'2020'!$B:$B,'Свод 2020'!$A46,'2020'!$G:$G,4)/1000,1)</f>
        <v>0</v>
      </c>
      <c r="Q46" s="320">
        <f>ROUND(SUMIFS('2020'!$BX:$BX,'2020'!$B:$B,'Свод 2020'!$A46,'2020'!$G:$G,4)/1000,1)</f>
        <v>0</v>
      </c>
      <c r="R46" s="320"/>
      <c r="S46" s="733">
        <v>0</v>
      </c>
      <c r="T46" s="733"/>
      <c r="U46" s="733"/>
      <c r="V46" s="322">
        <f t="shared" si="25"/>
        <v>0</v>
      </c>
      <c r="W46" s="442"/>
      <c r="X46" s="323"/>
      <c r="Y46" s="366">
        <f t="shared" si="19"/>
        <v>0</v>
      </c>
      <c r="Z46" s="323"/>
      <c r="AA46" s="320">
        <f t="shared" si="20"/>
        <v>0</v>
      </c>
      <c r="AB46" s="373">
        <f t="shared" si="21"/>
        <v>0</v>
      </c>
      <c r="AC46" s="379"/>
      <c r="AD46" s="379"/>
      <c r="AE46" s="379"/>
      <c r="AF46" s="379"/>
      <c r="AG46" s="379"/>
      <c r="AH46" s="324"/>
      <c r="AI46" s="111" t="e">
        <f t="shared" si="22"/>
        <v>#DIV/0!</v>
      </c>
    </row>
    <row r="47" spans="1:35" ht="18.75" hidden="1" x14ac:dyDescent="0.3">
      <c r="A47" s="6">
        <v>12</v>
      </c>
      <c r="B47" s="6"/>
      <c r="C47" s="7" t="s">
        <v>54</v>
      </c>
      <c r="D47" s="7"/>
      <c r="E47" s="332">
        <f>SUMIFS('2020'!$P:$P,'2020'!$B:$B,'Свод 2020'!$A47,'2020'!$G:$G,4)</f>
        <v>822</v>
      </c>
      <c r="F47" s="332"/>
      <c r="G47" s="332"/>
      <c r="H47" s="332"/>
      <c r="I47" s="332"/>
      <c r="J47" s="332"/>
      <c r="K47" s="319">
        <f>ROUND((SUMIFS('2020'!$BL:$BL,'2020'!$B:$B,'Свод 2020'!$A47,'2020'!$G:$G,4))/1000,1)</f>
        <v>55364.6</v>
      </c>
      <c r="L47" s="319">
        <f t="shared" si="23"/>
        <v>13064.6</v>
      </c>
      <c r="M47" s="320">
        <f>ROUND((SUMIFS('2020'!$AQ:$AQ,'2020'!$B:$B,'Свод 2020'!$A47,'2020'!$G:$G,4)+SUMIFS('2020'!$BH:$BH,'2020'!$B:$B,'Свод 2020'!$A47,'2020'!$G:$G,4))/1000,1)</f>
        <v>30033.599999999999</v>
      </c>
      <c r="N47" s="320">
        <f>ROUND((SUMIFS('2020'!$BM:$BM,'2020'!$B:$B,'Свод 2020'!$A47,'2020'!$G:$G,4)+SUMIFS('2020'!$CD:$CD,'2020'!$B:$B,'Свод 2020'!$A47,'2020'!$G:$G,4))/1000,1)</f>
        <v>43098.2</v>
      </c>
      <c r="O47" s="319">
        <f t="shared" si="24"/>
        <v>1998.8</v>
      </c>
      <c r="P47" s="320">
        <f>ROUND(SUMIFS('2020'!$BB:$BB,'2020'!$B:$B,'Свод 2020'!$A47,'2020'!$G:$G,4)/1000,1)</f>
        <v>1551.8</v>
      </c>
      <c r="Q47" s="320">
        <f>ROUND(SUMIFS('2020'!$BX:$BX,'2020'!$B:$B,'Свод 2020'!$A47,'2020'!$G:$G,4)/1000,1)</f>
        <v>3550.6</v>
      </c>
      <c r="R47" s="320"/>
      <c r="S47" s="733">
        <v>0</v>
      </c>
      <c r="T47" s="733"/>
      <c r="U47" s="733"/>
      <c r="V47" s="322">
        <f t="shared" si="25"/>
        <v>70428</v>
      </c>
      <c r="W47" s="442"/>
      <c r="X47" s="323"/>
      <c r="Y47" s="366">
        <f t="shared" si="19"/>
        <v>31181.9</v>
      </c>
      <c r="Z47" s="323"/>
      <c r="AA47" s="320">
        <f t="shared" si="20"/>
        <v>50955.199999999997</v>
      </c>
      <c r="AB47" s="373">
        <f t="shared" si="21"/>
        <v>-19472.8</v>
      </c>
      <c r="AC47" s="379"/>
      <c r="AD47" s="379"/>
      <c r="AE47" s="379"/>
      <c r="AF47" s="379"/>
      <c r="AG47" s="379"/>
      <c r="AH47" s="324"/>
      <c r="AI47" s="111">
        <f t="shared" si="22"/>
        <v>0.72350999999999999</v>
      </c>
    </row>
    <row r="48" spans="1:35" ht="18.75" hidden="1" x14ac:dyDescent="0.3">
      <c r="A48" s="40">
        <v>21</v>
      </c>
      <c r="B48" s="559"/>
      <c r="C48" s="58" t="s">
        <v>158</v>
      </c>
      <c r="D48" s="396"/>
      <c r="E48" s="332">
        <f>SUMIFS('2020'!$P:$P,'2020'!$B:$B,'Свод 2020'!$A48,'2020'!$G:$G,4)</f>
        <v>434</v>
      </c>
      <c r="F48" s="332"/>
      <c r="G48" s="332"/>
      <c r="H48" s="332"/>
      <c r="I48" s="332"/>
      <c r="J48" s="332"/>
      <c r="K48" s="319">
        <f>ROUND((SUMIFS('2020'!$BL:$BL,'2020'!$B:$B,'Свод 2020'!$A48,'2020'!$G:$G,4))/1000,1)</f>
        <v>32886.6</v>
      </c>
      <c r="L48" s="319">
        <f t="shared" si="23"/>
        <v>2697.5</v>
      </c>
      <c r="M48" s="320">
        <f>ROUND((SUMIFS('2020'!$AQ:$AQ,'2020'!$B:$B,'Свод 2020'!$A48,'2020'!$G:$G,4)+SUMIFS('2020'!$BH:$BH,'2020'!$B:$B,'Свод 2020'!$A48,'2020'!$G:$G,4))/1000,1)</f>
        <v>17630.2</v>
      </c>
      <c r="N48" s="320">
        <f>ROUND((SUMIFS('2020'!$BM:$BM,'2020'!$B:$B,'Свод 2020'!$A48,'2020'!$G:$G,4)+SUMIFS('2020'!$CD:$CD,'2020'!$B:$B,'Свод 2020'!$A48,'2020'!$G:$G,4))/1000,1)</f>
        <v>20327.7</v>
      </c>
      <c r="O48" s="319">
        <f t="shared" si="24"/>
        <v>1363.5</v>
      </c>
      <c r="P48" s="320">
        <f>ROUND(SUMIFS('2020'!$BB:$BB,'2020'!$B:$B,'Свод 2020'!$A48,'2020'!$G:$G,4)/1000,1)</f>
        <v>920.1</v>
      </c>
      <c r="Q48" s="320">
        <f>ROUND(SUMIFS('2020'!$BX:$BX,'2020'!$B:$B,'Свод 2020'!$A48,'2020'!$G:$G,4)/1000,1)</f>
        <v>2283.6</v>
      </c>
      <c r="R48" s="349"/>
      <c r="S48" s="734">
        <v>1700</v>
      </c>
      <c r="T48" s="734"/>
      <c r="U48" s="734"/>
      <c r="V48" s="322">
        <f t="shared" si="25"/>
        <v>38647.599999999999</v>
      </c>
      <c r="W48" s="442"/>
      <c r="X48" s="323"/>
      <c r="Y48" s="366">
        <f t="shared" si="19"/>
        <v>14707.2</v>
      </c>
      <c r="Z48" s="323"/>
      <c r="AA48" s="320">
        <f t="shared" si="20"/>
        <v>28431.9</v>
      </c>
      <c r="AB48" s="373">
        <f t="shared" si="21"/>
        <v>-10215.700000000001</v>
      </c>
      <c r="AC48" s="379"/>
      <c r="AD48" s="379"/>
      <c r="AE48" s="379"/>
      <c r="AF48" s="379"/>
      <c r="AG48" s="379"/>
      <c r="AH48" s="324"/>
      <c r="AI48" s="111">
        <f t="shared" si="22"/>
        <v>0.72350999999999999</v>
      </c>
    </row>
    <row r="49" spans="1:35" ht="18.75" hidden="1" x14ac:dyDescent="0.3">
      <c r="A49" s="40">
        <v>22</v>
      </c>
      <c r="B49" s="559"/>
      <c r="C49" s="59" t="s">
        <v>167</v>
      </c>
      <c r="D49" s="396"/>
      <c r="E49" s="332">
        <f>SUMIFS('2020'!$P:$P,'2020'!$B:$B,'Свод 2020'!$A49,'2020'!$G:$G,4)</f>
        <v>499</v>
      </c>
      <c r="F49" s="332"/>
      <c r="G49" s="332"/>
      <c r="H49" s="332"/>
      <c r="I49" s="332"/>
      <c r="J49" s="332"/>
      <c r="K49" s="319">
        <f>ROUND((SUMIFS('2020'!$BL:$BL,'2020'!$B:$B,'Свод 2020'!$A49,'2020'!$G:$G,4))/1000,1)</f>
        <v>33830.300000000003</v>
      </c>
      <c r="L49" s="319">
        <f t="shared" si="23"/>
        <v>14369.3</v>
      </c>
      <c r="M49" s="320">
        <f>ROUND((SUMIFS('2020'!$AQ:$AQ,'2020'!$B:$B,'Свод 2020'!$A49,'2020'!$G:$G,4)+SUMIFS('2020'!$BH:$BH,'2020'!$B:$B,'Свод 2020'!$A49,'2020'!$G:$G,4))/1000,1)</f>
        <v>18051.900000000001</v>
      </c>
      <c r="N49" s="320">
        <f>ROUND((SUMIFS('2020'!$BM:$BM,'2020'!$B:$B,'Свод 2020'!$A49,'2020'!$G:$G,4)+SUMIFS('2020'!$CD:$CD,'2020'!$B:$B,'Свод 2020'!$A49,'2020'!$G:$G,4))/1000,1)</f>
        <v>32421.200000000001</v>
      </c>
      <c r="O49" s="319">
        <f t="shared" si="24"/>
        <v>1481.9</v>
      </c>
      <c r="P49" s="320">
        <f>ROUND(SUMIFS('2020'!$BB:$BB,'2020'!$B:$B,'Свод 2020'!$A49,'2020'!$G:$G,4)/1000,1)</f>
        <v>952.9</v>
      </c>
      <c r="Q49" s="320">
        <f>ROUND(SUMIFS('2020'!$BX:$BX,'2020'!$B:$B,'Свод 2020'!$A49,'2020'!$G:$G,4)/1000,1)</f>
        <v>2434.8000000000002</v>
      </c>
      <c r="R49" s="349"/>
      <c r="S49" s="734">
        <v>22700</v>
      </c>
      <c r="T49" s="734"/>
      <c r="U49" s="734"/>
      <c r="V49" s="322">
        <f t="shared" si="25"/>
        <v>72381.5</v>
      </c>
      <c r="W49" s="442"/>
      <c r="X49" s="323"/>
      <c r="Y49" s="366">
        <f t="shared" si="19"/>
        <v>23457</v>
      </c>
      <c r="Z49" s="323"/>
      <c r="AA49" s="320">
        <f t="shared" si="20"/>
        <v>58644.9</v>
      </c>
      <c r="AB49" s="373">
        <f t="shared" si="21"/>
        <v>-13736.6</v>
      </c>
      <c r="AC49" s="379"/>
      <c r="AD49" s="379"/>
      <c r="AE49" s="379"/>
      <c r="AF49" s="379"/>
      <c r="AG49" s="379"/>
      <c r="AH49" s="324"/>
      <c r="AI49" s="111">
        <f t="shared" si="22"/>
        <v>0.72350999999999999</v>
      </c>
    </row>
    <row r="50" spans="1:35" ht="18.75" hidden="1" x14ac:dyDescent="0.3">
      <c r="A50" s="40">
        <v>23</v>
      </c>
      <c r="B50" s="559"/>
      <c r="C50" s="58" t="s">
        <v>160</v>
      </c>
      <c r="D50" s="396"/>
      <c r="E50" s="332">
        <f>SUMIFS('2020'!$P:$P,'2020'!$B:$B,'Свод 2020'!$A50,'2020'!$G:$G,4)</f>
        <v>112</v>
      </c>
      <c r="F50" s="332"/>
      <c r="G50" s="332"/>
      <c r="H50" s="332"/>
      <c r="I50" s="332"/>
      <c r="J50" s="332"/>
      <c r="K50" s="319">
        <f>ROUND((SUMIFS('2020'!$BL:$BL,'2020'!$B:$B,'Свод 2020'!$A50,'2020'!$G:$G,4))/1000,1)</f>
        <v>8430.2000000000007</v>
      </c>
      <c r="L50" s="319">
        <f t="shared" si="23"/>
        <v>1970.1</v>
      </c>
      <c r="M50" s="320">
        <f>ROUND((SUMIFS('2020'!$AQ:$AQ,'2020'!$B:$B,'Свод 2020'!$A50,'2020'!$G:$G,4)+SUMIFS('2020'!$BH:$BH,'2020'!$B:$B,'Свод 2020'!$A50,'2020'!$G:$G,4))/1000,1)</f>
        <v>4497.8999999999996</v>
      </c>
      <c r="N50" s="320">
        <f>ROUND((SUMIFS('2020'!$BM:$BM,'2020'!$B:$B,'Свод 2020'!$A50,'2020'!$G:$G,4)+SUMIFS('2020'!$CD:$CD,'2020'!$B:$B,'Свод 2020'!$A50,'2020'!$G:$G,4))/1000,1)</f>
        <v>6468</v>
      </c>
      <c r="O50" s="319">
        <f t="shared" si="24"/>
        <v>312</v>
      </c>
      <c r="P50" s="320">
        <f>ROUND(SUMIFS('2020'!$BB:$BB,'2020'!$B:$B,'Свод 2020'!$A50,'2020'!$G:$G,4)/1000,1)</f>
        <v>237.4</v>
      </c>
      <c r="Q50" s="320">
        <f>ROUND(SUMIFS('2020'!$BX:$BX,'2020'!$B:$B,'Свод 2020'!$A50,'2020'!$G:$G,4)/1000,1)</f>
        <v>549.4</v>
      </c>
      <c r="R50" s="349"/>
      <c r="S50" s="734">
        <v>3343</v>
      </c>
      <c r="T50" s="734"/>
      <c r="U50" s="734"/>
      <c r="V50" s="322">
        <f t="shared" si="25"/>
        <v>14055.3</v>
      </c>
      <c r="W50" s="442"/>
      <c r="X50" s="323"/>
      <c r="Y50" s="366">
        <f t="shared" si="19"/>
        <v>4679.6000000000004</v>
      </c>
      <c r="Z50" s="323"/>
      <c r="AA50" s="320">
        <f t="shared" si="20"/>
        <v>11093.4</v>
      </c>
      <c r="AB50" s="373">
        <f t="shared" si="21"/>
        <v>-2961.9</v>
      </c>
      <c r="AC50" s="379"/>
      <c r="AD50" s="379"/>
      <c r="AE50" s="379"/>
      <c r="AF50" s="379"/>
      <c r="AG50" s="379"/>
      <c r="AH50" s="324"/>
      <c r="AI50" s="111">
        <f t="shared" si="22"/>
        <v>0.72350000000000003</v>
      </c>
    </row>
    <row r="51" spans="1:35" ht="37.5" hidden="1" customHeight="1" x14ac:dyDescent="0.3">
      <c r="A51" s="40">
        <v>24</v>
      </c>
      <c r="B51" s="559"/>
      <c r="C51" s="58" t="s">
        <v>164</v>
      </c>
      <c r="D51" s="396"/>
      <c r="E51" s="332">
        <f>SUMIFS('2020'!$P:$P,'2020'!$B:$B,'Свод 2020'!$A51,'2020'!$G:$G,4)</f>
        <v>139</v>
      </c>
      <c r="F51" s="332"/>
      <c r="G51" s="332"/>
      <c r="H51" s="332"/>
      <c r="I51" s="332"/>
      <c r="J51" s="332"/>
      <c r="K51" s="319">
        <f>ROUND((SUMIFS('2020'!$BL:$BL,'2020'!$B:$B,'Свод 2020'!$A51,'2020'!$G:$G,4))/1000,1)</f>
        <v>10550.3</v>
      </c>
      <c r="L51" s="319">
        <f t="shared" si="23"/>
        <v>6653.5</v>
      </c>
      <c r="M51" s="320">
        <f>ROUND((SUMIFS('2020'!$AQ:$AQ,'2020'!$B:$B,'Свод 2020'!$A51,'2020'!$G:$G,4)+SUMIFS('2020'!$BH:$BH,'2020'!$B:$B,'Свод 2020'!$A51,'2020'!$G:$G,4))/1000,1)</f>
        <v>5662.6</v>
      </c>
      <c r="N51" s="320">
        <f>ROUND((SUMIFS('2020'!$BM:$BM,'2020'!$B:$B,'Свод 2020'!$A51,'2020'!$G:$G,4)+SUMIFS('2020'!$CD:$CD,'2020'!$B:$B,'Свод 2020'!$A51,'2020'!$G:$G,4))/1000,1)</f>
        <v>12316.1</v>
      </c>
      <c r="O51" s="319">
        <f t="shared" si="24"/>
        <v>569.29999999999995</v>
      </c>
      <c r="P51" s="320">
        <f>ROUND(SUMIFS('2020'!$BB:$BB,'2020'!$B:$B,'Свод 2020'!$A51,'2020'!$G:$G,4)/1000,1)</f>
        <v>294.7</v>
      </c>
      <c r="Q51" s="320">
        <f>ROUND(SUMIFS('2020'!$BX:$BX,'2020'!$B:$B,'Свод 2020'!$A51,'2020'!$G:$G,4)/1000,1)</f>
        <v>864</v>
      </c>
      <c r="R51" s="349"/>
      <c r="S51" s="734">
        <v>1429.3</v>
      </c>
      <c r="T51" s="734"/>
      <c r="U51" s="734"/>
      <c r="V51" s="322">
        <f t="shared" si="25"/>
        <v>19202.400000000001</v>
      </c>
      <c r="W51" s="442"/>
      <c r="X51" s="323"/>
      <c r="Y51" s="366">
        <f t="shared" si="19"/>
        <v>8910.7999999999993</v>
      </c>
      <c r="Z51" s="323"/>
      <c r="AA51" s="320">
        <f t="shared" si="20"/>
        <v>14288.3</v>
      </c>
      <c r="AB51" s="373">
        <f t="shared" si="21"/>
        <v>-4914.1000000000004</v>
      </c>
      <c r="AC51" s="379"/>
      <c r="AD51" s="379"/>
      <c r="AE51" s="379"/>
      <c r="AF51" s="379"/>
      <c r="AG51" s="379"/>
      <c r="AH51" s="324"/>
      <c r="AI51" s="111">
        <f t="shared" si="22"/>
        <v>0.72350999999999999</v>
      </c>
    </row>
    <row r="52" spans="1:35" ht="18.75" hidden="1" x14ac:dyDescent="0.3">
      <c r="A52" s="40">
        <v>25</v>
      </c>
      <c r="B52" s="559"/>
      <c r="C52" s="58" t="s">
        <v>166</v>
      </c>
      <c r="D52" s="396"/>
      <c r="E52" s="332">
        <f>SUMIFS('2020'!$P:$P,'2020'!$B:$B,'Свод 2020'!$A52,'2020'!$G:$G,4)</f>
        <v>310</v>
      </c>
      <c r="F52" s="332"/>
      <c r="G52" s="332"/>
      <c r="H52" s="332"/>
      <c r="I52" s="332"/>
      <c r="J52" s="332"/>
      <c r="K52" s="319">
        <f>ROUND((SUMIFS('2020'!$BL:$BL,'2020'!$B:$B,'Свод 2020'!$A52,'2020'!$G:$G,4))/1000,1)</f>
        <v>20503.2</v>
      </c>
      <c r="L52" s="319">
        <f t="shared" si="23"/>
        <v>4672.8999999999996</v>
      </c>
      <c r="M52" s="320">
        <f>ROUND((SUMIFS('2020'!$AQ:$AQ,'2020'!$B:$B,'Свод 2020'!$A52,'2020'!$G:$G,4)+SUMIFS('2020'!$BH:$BH,'2020'!$B:$B,'Свод 2020'!$A52,'2020'!$G:$G,4))/1000,1)</f>
        <v>10943.7</v>
      </c>
      <c r="N52" s="320">
        <f>ROUND((SUMIFS('2020'!$BM:$BM,'2020'!$B:$B,'Свод 2020'!$A52,'2020'!$G:$G,4)+SUMIFS('2020'!$CD:$CD,'2020'!$B:$B,'Свод 2020'!$A52,'2020'!$G:$G,4))/1000,1)</f>
        <v>15616.6</v>
      </c>
      <c r="O52" s="319">
        <f t="shared" si="24"/>
        <v>962.4</v>
      </c>
      <c r="P52" s="320">
        <f>ROUND(SUMIFS('2020'!$BB:$BB,'2020'!$B:$B,'Свод 2020'!$A52,'2020'!$G:$G,4)/1000,1)</f>
        <v>577.70000000000005</v>
      </c>
      <c r="Q52" s="320">
        <f>ROUND(SUMIFS('2020'!$BX:$BX,'2020'!$B:$B,'Свод 2020'!$A52,'2020'!$G:$G,4)/1000,1)</f>
        <v>1540.1</v>
      </c>
      <c r="R52" s="349"/>
      <c r="S52" s="734">
        <v>15645.2</v>
      </c>
      <c r="T52" s="734"/>
      <c r="U52" s="734"/>
      <c r="V52" s="322">
        <f t="shared" si="25"/>
        <v>41783.699999999997</v>
      </c>
      <c r="W52" s="442"/>
      <c r="X52" s="323"/>
      <c r="Y52" s="366">
        <f t="shared" si="19"/>
        <v>11298.7</v>
      </c>
      <c r="Z52" s="323"/>
      <c r="AA52" s="320">
        <f t="shared" si="20"/>
        <v>34556.6</v>
      </c>
      <c r="AB52" s="373">
        <f t="shared" si="21"/>
        <v>-7227.1</v>
      </c>
      <c r="AC52" s="379"/>
      <c r="AD52" s="379"/>
      <c r="AE52" s="379"/>
      <c r="AF52" s="379"/>
      <c r="AG52" s="379"/>
      <c r="AH52" s="324"/>
      <c r="AI52" s="111">
        <f t="shared" si="22"/>
        <v>0.72350999999999999</v>
      </c>
    </row>
    <row r="53" spans="1:35" ht="18.75" hidden="1" x14ac:dyDescent="0.3">
      <c r="A53" s="40">
        <v>26</v>
      </c>
      <c r="B53" s="559"/>
      <c r="C53" s="58" t="s">
        <v>161</v>
      </c>
      <c r="D53" s="396"/>
      <c r="E53" s="332">
        <f>SUMIFS('2020'!$P:$P,'2020'!$B:$B,'Свод 2020'!$A53,'2020'!$G:$G,4)</f>
        <v>70</v>
      </c>
      <c r="F53" s="332"/>
      <c r="G53" s="332"/>
      <c r="H53" s="332"/>
      <c r="I53" s="332"/>
      <c r="J53" s="332"/>
      <c r="K53" s="319">
        <f>ROUND((SUMIFS('2020'!$BL:$BL,'2020'!$B:$B,'Свод 2020'!$A53,'2020'!$G:$G,4))/1000,1)</f>
        <v>5356.7</v>
      </c>
      <c r="L53" s="319">
        <f t="shared" si="23"/>
        <v>581.20000000000005</v>
      </c>
      <c r="M53" s="320">
        <f>ROUND((SUMIFS('2020'!$AQ:$AQ,'2020'!$B:$B,'Свод 2020'!$A53,'2020'!$G:$G,4)+SUMIFS('2020'!$BH:$BH,'2020'!$B:$B,'Свод 2020'!$A53,'2020'!$G:$G,4))/1000,1)</f>
        <v>2891.5</v>
      </c>
      <c r="N53" s="320">
        <f>ROUND((SUMIFS('2020'!$BM:$BM,'2020'!$B:$B,'Свод 2020'!$A53,'2020'!$G:$G,4)+SUMIFS('2020'!$CD:$CD,'2020'!$B:$B,'Свод 2020'!$A53,'2020'!$G:$G,4))/1000,1)</f>
        <v>3472.7</v>
      </c>
      <c r="O53" s="319">
        <f t="shared" si="24"/>
        <v>210.1</v>
      </c>
      <c r="P53" s="320">
        <f>ROUND(SUMIFS('2020'!$BB:$BB,'2020'!$B:$B,'Свод 2020'!$A53,'2020'!$G:$G,4)/1000,1)</f>
        <v>148.4</v>
      </c>
      <c r="Q53" s="320">
        <f>ROUND(SUMIFS('2020'!$BX:$BX,'2020'!$B:$B,'Свод 2020'!$A53,'2020'!$G:$G,4)/1000,1)</f>
        <v>358.5</v>
      </c>
      <c r="R53" s="349"/>
      <c r="S53" s="734">
        <v>3.4</v>
      </c>
      <c r="T53" s="734"/>
      <c r="U53" s="734"/>
      <c r="V53" s="322">
        <f t="shared" si="25"/>
        <v>6151.4</v>
      </c>
      <c r="W53" s="442"/>
      <c r="X53" s="323"/>
      <c r="Y53" s="366">
        <f t="shared" si="19"/>
        <v>2512.5</v>
      </c>
      <c r="Z53" s="323"/>
      <c r="AA53" s="320">
        <f t="shared" si="20"/>
        <v>4451.5</v>
      </c>
      <c r="AB53" s="373">
        <f t="shared" si="21"/>
        <v>-1699.9</v>
      </c>
      <c r="AC53" s="379"/>
      <c r="AD53" s="379"/>
      <c r="AE53" s="379"/>
      <c r="AF53" s="379"/>
      <c r="AG53" s="379"/>
      <c r="AH53" s="324"/>
      <c r="AI53" s="111">
        <f t="shared" si="22"/>
        <v>0.72350000000000003</v>
      </c>
    </row>
    <row r="54" spans="1:35" ht="18.75" hidden="1" x14ac:dyDescent="0.3">
      <c r="A54" s="40">
        <v>27</v>
      </c>
      <c r="B54" s="559"/>
      <c r="C54" s="58" t="s">
        <v>162</v>
      </c>
      <c r="D54" s="396"/>
      <c r="E54" s="332">
        <f>SUMIFS('2020'!$P:$P,'2020'!$B:$B,'Свод 2020'!$A54,'2020'!$G:$G,4)</f>
        <v>132</v>
      </c>
      <c r="F54" s="332"/>
      <c r="G54" s="332"/>
      <c r="H54" s="332"/>
      <c r="I54" s="332"/>
      <c r="J54" s="332"/>
      <c r="K54" s="319">
        <f>ROUND((SUMIFS('2020'!$BL:$BL,'2020'!$B:$B,'Свод 2020'!$A54,'2020'!$G:$G,4))/1000,1)</f>
        <v>9935.6</v>
      </c>
      <c r="L54" s="319">
        <f t="shared" si="23"/>
        <v>2041</v>
      </c>
      <c r="M54" s="320">
        <f>ROUND((SUMIFS('2020'!$AQ:$AQ,'2020'!$B:$B,'Свод 2020'!$A54,'2020'!$G:$G,4)+SUMIFS('2020'!$BH:$BH,'2020'!$B:$B,'Свод 2020'!$A54,'2020'!$G:$G,4))/1000,1)</f>
        <v>5301.1</v>
      </c>
      <c r="N54" s="320">
        <f>ROUND((SUMIFS('2020'!$BM:$BM,'2020'!$B:$B,'Свод 2020'!$A54,'2020'!$G:$G,4)+SUMIFS('2020'!$CD:$CD,'2020'!$B:$B,'Свод 2020'!$A54,'2020'!$G:$G,4))/1000,1)</f>
        <v>7342.1</v>
      </c>
      <c r="O54" s="319">
        <f t="shared" si="24"/>
        <v>510.2</v>
      </c>
      <c r="P54" s="320">
        <f>ROUND(SUMIFS('2020'!$BB:$BB,'2020'!$B:$B,'Свод 2020'!$A54,'2020'!$G:$G,4)/1000,1)</f>
        <v>279.8</v>
      </c>
      <c r="Q54" s="320">
        <f>ROUND(SUMIFS('2020'!$BX:$BX,'2020'!$B:$B,'Свод 2020'!$A54,'2020'!$G:$G,4)/1000,1)</f>
        <v>790</v>
      </c>
      <c r="R54" s="349"/>
      <c r="S54" s="734">
        <v>256.89999999999998</v>
      </c>
      <c r="T54" s="734"/>
      <c r="U54" s="734"/>
      <c r="V54" s="322">
        <f t="shared" si="25"/>
        <v>12743.7</v>
      </c>
      <c r="W54" s="442"/>
      <c r="X54" s="323"/>
      <c r="Y54" s="366">
        <f t="shared" si="19"/>
        <v>5312.1</v>
      </c>
      <c r="Z54" s="323"/>
      <c r="AA54" s="320">
        <f t="shared" si="20"/>
        <v>9291.2000000000007</v>
      </c>
      <c r="AB54" s="373">
        <f t="shared" si="21"/>
        <v>-3452.5</v>
      </c>
      <c r="AC54" s="379"/>
      <c r="AD54" s="379"/>
      <c r="AE54" s="379"/>
      <c r="AF54" s="379"/>
      <c r="AG54" s="379"/>
      <c r="AH54" s="324"/>
      <c r="AI54" s="111">
        <f t="shared" si="22"/>
        <v>0.72350999999999999</v>
      </c>
    </row>
    <row r="55" spans="1:35" ht="18.75" hidden="1" x14ac:dyDescent="0.3">
      <c r="A55" s="40">
        <v>28</v>
      </c>
      <c r="B55" s="559"/>
      <c r="C55" s="58" t="s">
        <v>165</v>
      </c>
      <c r="D55" s="396"/>
      <c r="E55" s="332">
        <f>SUMIFS('2020'!$P:$P,'2020'!$B:$B,'Свод 2020'!$A55,'2020'!$G:$G,4)</f>
        <v>127</v>
      </c>
      <c r="F55" s="332"/>
      <c r="G55" s="332"/>
      <c r="H55" s="332"/>
      <c r="I55" s="332"/>
      <c r="J55" s="332"/>
      <c r="K55" s="319">
        <f>ROUND((SUMIFS('2020'!$BL:$BL,'2020'!$B:$B,'Свод 2020'!$A55,'2020'!$G:$G,4))/1000,1)</f>
        <v>9559.2999999999993</v>
      </c>
      <c r="L55" s="319">
        <f t="shared" si="23"/>
        <v>3830.4</v>
      </c>
      <c r="M55" s="320">
        <f>ROUND((SUMIFS('2020'!$AQ:$AQ,'2020'!$B:$B,'Свод 2020'!$A55,'2020'!$G:$G,4)+SUMIFS('2020'!$BH:$BH,'2020'!$B:$B,'Свод 2020'!$A55,'2020'!$G:$G,4))/1000,1)</f>
        <v>5100.3</v>
      </c>
      <c r="N55" s="320">
        <f>ROUND((SUMIFS('2020'!$BM:$BM,'2020'!$B:$B,'Свод 2020'!$A55,'2020'!$G:$G,4)+SUMIFS('2020'!$CD:$CD,'2020'!$B:$B,'Свод 2020'!$A55,'2020'!$G:$G,4))/1000,1)</f>
        <v>8930.7000000000007</v>
      </c>
      <c r="O55" s="319">
        <f t="shared" si="24"/>
        <v>1024.8</v>
      </c>
      <c r="P55" s="320">
        <f>ROUND(SUMIFS('2020'!$BB:$BB,'2020'!$B:$B,'Свод 2020'!$A55,'2020'!$G:$G,4)/1000,1)</f>
        <v>269.2</v>
      </c>
      <c r="Q55" s="320">
        <f>ROUND(SUMIFS('2020'!$BX:$BX,'2020'!$B:$B,'Свод 2020'!$A55,'2020'!$G:$G,4)/1000,1)</f>
        <v>1294</v>
      </c>
      <c r="R55" s="349"/>
      <c r="S55" s="734">
        <v>5000</v>
      </c>
      <c r="T55" s="734"/>
      <c r="U55" s="734"/>
      <c r="V55" s="322">
        <f t="shared" si="25"/>
        <v>19414.5</v>
      </c>
      <c r="W55" s="442"/>
      <c r="X55" s="323"/>
      <c r="Y55" s="366">
        <f t="shared" si="19"/>
        <v>6461.4</v>
      </c>
      <c r="Z55" s="323"/>
      <c r="AA55" s="320">
        <f t="shared" si="20"/>
        <v>15429</v>
      </c>
      <c r="AB55" s="373">
        <f t="shared" si="21"/>
        <v>-3985.5</v>
      </c>
      <c r="AC55" s="379"/>
      <c r="AD55" s="379"/>
      <c r="AE55" s="379"/>
      <c r="AF55" s="379"/>
      <c r="AG55" s="379"/>
      <c r="AH55" s="324"/>
      <c r="AI55" s="111">
        <f t="shared" si="22"/>
        <v>0.72350999999999999</v>
      </c>
    </row>
    <row r="56" spans="1:35" ht="18.75" hidden="1" x14ac:dyDescent="0.3">
      <c r="A56" s="40">
        <v>29</v>
      </c>
      <c r="B56" s="559"/>
      <c r="C56" s="59" t="s">
        <v>159</v>
      </c>
      <c r="D56" s="396"/>
      <c r="E56" s="331">
        <f>SUMIFS('2020'!$P:$P,'2020'!$B:$B,'Свод 2020'!$A56,'2020'!$G:$G,4)</f>
        <v>119</v>
      </c>
      <c r="F56" s="331"/>
      <c r="G56" s="331"/>
      <c r="H56" s="331"/>
      <c r="I56" s="331"/>
      <c r="J56" s="331"/>
      <c r="K56" s="319">
        <f>ROUND((SUMIFS('2020'!$BL:$BL,'2020'!$B:$B,'Свод 2020'!$A56,'2020'!$G:$G,4))/1000,1)</f>
        <v>8957.1</v>
      </c>
      <c r="L56" s="326">
        <f t="shared" si="23"/>
        <v>1084.9000000000001</v>
      </c>
      <c r="M56" s="320">
        <f>ROUND((SUMIFS('2020'!$AQ:$AQ,'2020'!$B:$B,'Свод 2020'!$A56,'2020'!$G:$G,4)+SUMIFS('2020'!$BH:$BH,'2020'!$B:$B,'Свод 2020'!$A56,'2020'!$G:$G,4))/1000,1)</f>
        <v>4779</v>
      </c>
      <c r="N56" s="320">
        <f>ROUND((SUMIFS('2020'!$BM:$BM,'2020'!$B:$B,'Свод 2020'!$A56,'2020'!$G:$G,4)+SUMIFS('2020'!$CD:$CD,'2020'!$B:$B,'Свод 2020'!$A56,'2020'!$G:$G,4))/1000,1)</f>
        <v>5863.9</v>
      </c>
      <c r="O56" s="326">
        <f t="shared" si="24"/>
        <v>516.4</v>
      </c>
      <c r="P56" s="320">
        <f>ROUND(SUMIFS('2020'!$BB:$BB,'2020'!$B:$B,'Свод 2020'!$A56,'2020'!$G:$G,4)/1000,1)</f>
        <v>252.3</v>
      </c>
      <c r="Q56" s="320">
        <f>ROUND(SUMIFS('2020'!$BX:$BX,'2020'!$B:$B,'Свод 2020'!$A56,'2020'!$G:$G,4)/1000,1)</f>
        <v>768.7</v>
      </c>
      <c r="R56" s="327"/>
      <c r="S56" s="735">
        <v>0</v>
      </c>
      <c r="T56" s="735"/>
      <c r="U56" s="735"/>
      <c r="V56" s="329">
        <f t="shared" si="25"/>
        <v>10558.4</v>
      </c>
      <c r="W56" s="443"/>
      <c r="X56" s="330"/>
      <c r="Y56" s="366">
        <f t="shared" si="19"/>
        <v>4242.6000000000004</v>
      </c>
      <c r="Z56" s="330"/>
      <c r="AA56" s="320">
        <f t="shared" si="20"/>
        <v>7639.1</v>
      </c>
      <c r="AB56" s="373">
        <f t="shared" si="21"/>
        <v>-2919.3</v>
      </c>
      <c r="AC56" s="379"/>
      <c r="AD56" s="379"/>
      <c r="AE56" s="379"/>
      <c r="AF56" s="379"/>
      <c r="AG56" s="379"/>
      <c r="AH56" s="324"/>
      <c r="AI56" s="111">
        <f t="shared" si="22"/>
        <v>0.72350999999999999</v>
      </c>
    </row>
    <row r="57" spans="1:35" ht="18.75" hidden="1" x14ac:dyDescent="0.3">
      <c r="A57" s="57">
        <v>30</v>
      </c>
      <c r="B57" s="57"/>
      <c r="C57" s="64" t="s">
        <v>163</v>
      </c>
      <c r="D57" s="64"/>
      <c r="E57" s="332">
        <f>SUMIFS('2020'!$P:$P,'2020'!$B:$B,'Свод 2020'!$A57,'2020'!$G:$G,4)</f>
        <v>187</v>
      </c>
      <c r="F57" s="332"/>
      <c r="G57" s="332"/>
      <c r="H57" s="332"/>
      <c r="I57" s="332"/>
      <c r="J57" s="332"/>
      <c r="K57" s="319">
        <f>ROUND((SUMIFS('2020'!$BL:$BL,'2020'!$B:$B,'Свод 2020'!$A57,'2020'!$G:$G,4))/1000,1)</f>
        <v>14075.5</v>
      </c>
      <c r="L57" s="319">
        <f t="shared" si="23"/>
        <v>8824.2000000000007</v>
      </c>
      <c r="M57" s="320">
        <f>ROUND((SUMIFS('2020'!$AQ:$AQ,'2020'!$B:$B,'Свод 2020'!$A57,'2020'!$G:$G,4)+SUMIFS('2020'!$BH:$BH,'2020'!$B:$B,'Свод 2020'!$A57,'2020'!$G:$G,4))/1000,1)</f>
        <v>7509.9</v>
      </c>
      <c r="N57" s="320">
        <f>ROUND((SUMIFS('2020'!$BM:$BM,'2020'!$B:$B,'Свод 2020'!$A57,'2020'!$G:$G,4)+SUMIFS('2020'!$CD:$CD,'2020'!$B:$B,'Свод 2020'!$A57,'2020'!$G:$G,4))/1000,1)</f>
        <v>16334.1</v>
      </c>
      <c r="O57" s="319">
        <f t="shared" si="24"/>
        <v>766</v>
      </c>
      <c r="P57" s="320">
        <f>ROUND(SUMIFS('2020'!$BB:$BB,'2020'!$B:$B,'Свод 2020'!$A57,'2020'!$G:$G,4)/1000,1)</f>
        <v>396.4</v>
      </c>
      <c r="Q57" s="320">
        <f>ROUND(SUMIFS('2020'!$BX:$BX,'2020'!$B:$B,'Свод 2020'!$A57,'2020'!$G:$G,4)/1000,1)</f>
        <v>1162.4000000000001</v>
      </c>
      <c r="R57" s="349"/>
      <c r="S57" s="734">
        <v>9244.4</v>
      </c>
      <c r="T57" s="734"/>
      <c r="U57" s="734"/>
      <c r="V57" s="322">
        <f t="shared" si="25"/>
        <v>32910.1</v>
      </c>
      <c r="W57" s="442"/>
      <c r="X57" s="323"/>
      <c r="Y57" s="366">
        <f t="shared" si="19"/>
        <v>11817.8</v>
      </c>
      <c r="Z57" s="323"/>
      <c r="AA57" s="320">
        <f t="shared" si="20"/>
        <v>26366.7</v>
      </c>
      <c r="AB57" s="373">
        <f t="shared" si="21"/>
        <v>-6543.4</v>
      </c>
      <c r="AC57" s="385"/>
      <c r="AD57" s="385"/>
      <c r="AE57" s="385"/>
      <c r="AF57" s="385"/>
      <c r="AG57" s="385"/>
      <c r="AH57" s="324"/>
      <c r="AI57" s="111">
        <f t="shared" si="22"/>
        <v>0.72350999999999999</v>
      </c>
    </row>
    <row r="58" spans="1:35" s="44" customFormat="1" ht="18.75" hidden="1" x14ac:dyDescent="0.25">
      <c r="C58" s="305" t="s">
        <v>168</v>
      </c>
      <c r="D58" s="305"/>
      <c r="E58" s="331">
        <f>SUM(E44:E57)</f>
        <v>3529</v>
      </c>
      <c r="F58" s="331"/>
      <c r="G58" s="331"/>
      <c r="H58" s="331"/>
      <c r="I58" s="331"/>
      <c r="J58" s="331"/>
      <c r="K58" s="326">
        <f t="shared" ref="K58:AA58" si="26">SUM(K44:K57)</f>
        <v>253208.2</v>
      </c>
      <c r="L58" s="326">
        <f t="shared" si="26"/>
        <v>68449</v>
      </c>
      <c r="M58" s="326">
        <f t="shared" si="26"/>
        <v>136185.20000000001</v>
      </c>
      <c r="N58" s="326">
        <f t="shared" si="26"/>
        <v>204634.2</v>
      </c>
      <c r="O58" s="326">
        <f t="shared" si="26"/>
        <v>10967</v>
      </c>
      <c r="P58" s="326">
        <f t="shared" si="26"/>
        <v>7106.1</v>
      </c>
      <c r="Q58" s="326">
        <f t="shared" si="26"/>
        <v>18073.099999999999</v>
      </c>
      <c r="R58" s="326"/>
      <c r="S58" s="736">
        <f>SUM(S44:S57)</f>
        <v>59322.2</v>
      </c>
      <c r="T58" s="736"/>
      <c r="U58" s="736"/>
      <c r="V58" s="329">
        <f>SUM(V44:V57)</f>
        <v>391946.4</v>
      </c>
      <c r="W58" s="443"/>
      <c r="X58" s="330"/>
      <c r="Y58" s="326">
        <f t="shared" ref="Y58" si="27">SUM(Y44:Y57)</f>
        <v>148054.29999999999</v>
      </c>
      <c r="Z58" s="330"/>
      <c r="AA58" s="326">
        <f t="shared" si="26"/>
        <v>299978.3</v>
      </c>
      <c r="AB58" s="373">
        <f t="shared" si="21"/>
        <v>-91968.1</v>
      </c>
      <c r="AC58" s="385"/>
      <c r="AD58" s="385"/>
      <c r="AE58" s="385"/>
      <c r="AF58" s="385"/>
      <c r="AG58" s="385"/>
      <c r="AH58" s="324"/>
    </row>
    <row r="59" spans="1:35" s="44" customFormat="1" ht="18.75" hidden="1" x14ac:dyDescent="0.25">
      <c r="A59" s="41"/>
      <c r="B59" s="41"/>
      <c r="C59" s="306"/>
      <c r="D59" s="306"/>
      <c r="E59" s="332">
        <f>SUM(E48:E57)</f>
        <v>2129</v>
      </c>
      <c r="F59" s="332"/>
      <c r="G59" s="332"/>
      <c r="H59" s="332"/>
      <c r="I59" s="332"/>
      <c r="J59" s="332"/>
      <c r="K59" s="319">
        <f t="shared" ref="K59:AA59" si="28">SUM(K48:K57)</f>
        <v>154084.79999999999</v>
      </c>
      <c r="L59" s="319">
        <f t="shared" si="28"/>
        <v>46725</v>
      </c>
      <c r="M59" s="319">
        <f t="shared" si="28"/>
        <v>82368.100000000006</v>
      </c>
      <c r="N59" s="319">
        <f t="shared" si="28"/>
        <v>129093.1</v>
      </c>
      <c r="O59" s="319">
        <f t="shared" si="28"/>
        <v>7716.6</v>
      </c>
      <c r="P59" s="319">
        <f t="shared" si="28"/>
        <v>4328.8999999999996</v>
      </c>
      <c r="Q59" s="319">
        <f t="shared" si="28"/>
        <v>12045.5</v>
      </c>
      <c r="R59" s="319"/>
      <c r="S59" s="737">
        <f t="shared" si="28"/>
        <v>59322.2</v>
      </c>
      <c r="T59" s="737"/>
      <c r="U59" s="737"/>
      <c r="V59" s="322">
        <f t="shared" si="28"/>
        <v>267848.59999999998</v>
      </c>
      <c r="W59" s="442"/>
      <c r="X59" s="323"/>
      <c r="Y59" s="319">
        <f t="shared" ref="Y59" si="29">SUM(Y48:Y57)</f>
        <v>93399.7</v>
      </c>
      <c r="Z59" s="323"/>
      <c r="AA59" s="319">
        <f t="shared" si="28"/>
        <v>210192.6</v>
      </c>
      <c r="AB59" s="374">
        <f t="shared" si="21"/>
        <v>-57656</v>
      </c>
      <c r="AC59" s="385"/>
      <c r="AD59" s="385"/>
      <c r="AE59" s="385"/>
      <c r="AF59" s="385"/>
      <c r="AG59" s="385"/>
      <c r="AH59" s="320"/>
    </row>
    <row r="60" spans="1:35" s="44" customFormat="1" ht="18.75" hidden="1" x14ac:dyDescent="0.25">
      <c r="A60" s="41"/>
      <c r="B60" s="41"/>
      <c r="C60" s="306" t="s">
        <v>169</v>
      </c>
      <c r="D60" s="306"/>
      <c r="E60" s="332">
        <f>SUM(E44:E47)</f>
        <v>1400</v>
      </c>
      <c r="F60" s="332"/>
      <c r="G60" s="332"/>
      <c r="H60" s="332"/>
      <c r="I60" s="332"/>
      <c r="J60" s="332"/>
      <c r="K60" s="319">
        <f t="shared" ref="K60:V60" si="30">SUM(K44:K47)</f>
        <v>99123.4</v>
      </c>
      <c r="L60" s="319">
        <f t="shared" si="30"/>
        <v>21724</v>
      </c>
      <c r="M60" s="319">
        <f t="shared" si="30"/>
        <v>53817.1</v>
      </c>
      <c r="N60" s="319">
        <f t="shared" si="30"/>
        <v>75541.100000000006</v>
      </c>
      <c r="O60" s="319">
        <f t="shared" si="30"/>
        <v>3250.4</v>
      </c>
      <c r="P60" s="319">
        <f t="shared" si="30"/>
        <v>2777.2</v>
      </c>
      <c r="Q60" s="319">
        <f t="shared" si="30"/>
        <v>6027.6</v>
      </c>
      <c r="R60" s="319"/>
      <c r="S60" s="737">
        <f>SUM(S44:S47)</f>
        <v>0</v>
      </c>
      <c r="T60" s="737"/>
      <c r="U60" s="737"/>
      <c r="V60" s="322">
        <f t="shared" si="30"/>
        <v>124097.8</v>
      </c>
      <c r="W60" s="442"/>
      <c r="X60" s="323"/>
      <c r="Y60" s="319">
        <f t="shared" ref="Y60" si="31">SUM(Y44:Y47)</f>
        <v>54654.6</v>
      </c>
      <c r="Z60" s="323"/>
      <c r="AA60" s="319">
        <f>SUM(AA44:AA47)</f>
        <v>89785.7</v>
      </c>
      <c r="AB60" s="374">
        <f t="shared" si="21"/>
        <v>-34312.1</v>
      </c>
      <c r="AC60" s="385"/>
      <c r="AD60" s="385"/>
      <c r="AE60" s="385"/>
      <c r="AF60" s="385"/>
      <c r="AG60" s="385"/>
      <c r="AH60" s="320"/>
    </row>
    <row r="61" spans="1:35" s="44" customFormat="1" ht="18.75" hidden="1" x14ac:dyDescent="0.25">
      <c r="C61" s="307"/>
      <c r="D61" s="307"/>
      <c r="E61" s="333"/>
      <c r="F61" s="333"/>
      <c r="G61" s="333"/>
      <c r="H61" s="333"/>
      <c r="I61" s="333"/>
      <c r="J61" s="333"/>
      <c r="K61" s="334"/>
      <c r="L61" s="334"/>
      <c r="M61" s="334"/>
      <c r="N61" s="334"/>
      <c r="O61" s="334"/>
      <c r="P61" s="334"/>
      <c r="Q61" s="334"/>
      <c r="R61" s="334"/>
      <c r="S61" s="738"/>
      <c r="T61" s="748"/>
      <c r="U61" s="748"/>
      <c r="V61" s="336"/>
      <c r="W61" s="444"/>
      <c r="X61" s="337"/>
      <c r="Y61" s="351"/>
      <c r="Z61" s="337"/>
      <c r="AA61" s="334"/>
      <c r="AB61" s="375"/>
      <c r="AC61" s="379"/>
      <c r="AD61" s="379"/>
      <c r="AE61" s="379"/>
      <c r="AF61" s="379"/>
      <c r="AG61" s="379"/>
      <c r="AH61" s="324"/>
    </row>
    <row r="62" spans="1:35" ht="18.75" hidden="1" x14ac:dyDescent="0.25">
      <c r="C62" s="296" t="s">
        <v>138</v>
      </c>
      <c r="D62" s="296"/>
      <c r="E62" s="338"/>
      <c r="F62" s="338"/>
      <c r="G62" s="338"/>
      <c r="H62" s="338"/>
      <c r="I62" s="338"/>
      <c r="J62" s="338"/>
      <c r="K62" s="339"/>
      <c r="L62" s="339"/>
      <c r="M62" s="338"/>
      <c r="N62" s="367">
        <f>157149.1</f>
        <v>157149.1</v>
      </c>
      <c r="O62" s="339"/>
      <c r="P62" s="338"/>
      <c r="Q62" s="338"/>
      <c r="R62" s="338">
        <v>2019</v>
      </c>
      <c r="S62" s="739" t="s">
        <v>138</v>
      </c>
      <c r="T62" s="739"/>
      <c r="U62" s="739"/>
      <c r="V62" s="341">
        <v>299978.3</v>
      </c>
      <c r="W62" s="445"/>
      <c r="X62" s="342"/>
      <c r="Y62" s="352">
        <f>N62</f>
        <v>157149.1</v>
      </c>
      <c r="Z62" s="342"/>
      <c r="AA62" s="324"/>
      <c r="AB62" s="373"/>
      <c r="AC62" s="379"/>
      <c r="AD62" s="379"/>
      <c r="AE62" s="379"/>
      <c r="AF62" s="379"/>
      <c r="AG62" s="379"/>
      <c r="AH62" s="324"/>
    </row>
    <row r="63" spans="1:35" ht="18.75" hidden="1" x14ac:dyDescent="0.25">
      <c r="C63" s="12"/>
      <c r="D63" s="12"/>
      <c r="E63" s="338"/>
      <c r="F63" s="338"/>
      <c r="G63" s="338"/>
      <c r="H63" s="338"/>
      <c r="I63" s="338"/>
      <c r="J63" s="338"/>
      <c r="K63" s="339"/>
      <c r="L63" s="339"/>
      <c r="M63" s="338"/>
      <c r="N63" s="338"/>
      <c r="O63" s="339"/>
      <c r="P63" s="338"/>
      <c r="Q63" s="338"/>
      <c r="R63" s="338"/>
      <c r="S63" s="740" t="s">
        <v>139</v>
      </c>
      <c r="T63" s="740"/>
      <c r="U63" s="740"/>
      <c r="V63" s="344">
        <f>V62-V58</f>
        <v>-91968.1</v>
      </c>
      <c r="W63" s="446"/>
      <c r="X63" s="345"/>
      <c r="Y63" s="353">
        <f>Y62-Y58</f>
        <v>9094.7999999999993</v>
      </c>
      <c r="Z63" s="345"/>
      <c r="AA63" s="346">
        <f>(V62-S58)/(V58-S58)</f>
        <v>0.72350748983000002</v>
      </c>
      <c r="AB63" s="373"/>
      <c r="AC63" s="386"/>
      <c r="AD63" s="386"/>
      <c r="AE63" s="386"/>
      <c r="AF63" s="386"/>
      <c r="AG63" s="386"/>
      <c r="AH63" s="324"/>
    </row>
    <row r="64" spans="1:35" ht="18.75" hidden="1" x14ac:dyDescent="0.25">
      <c r="C64" s="12"/>
      <c r="D64" s="12"/>
      <c r="E64" s="338"/>
      <c r="F64" s="338"/>
      <c r="G64" s="338"/>
      <c r="H64" s="338"/>
      <c r="I64" s="338"/>
      <c r="J64" s="338"/>
      <c r="K64" s="339"/>
      <c r="L64" s="339"/>
      <c r="M64" s="338"/>
      <c r="N64" s="338"/>
      <c r="O64" s="339"/>
      <c r="P64" s="338"/>
      <c r="Q64" s="338"/>
      <c r="R64" s="338">
        <v>2020</v>
      </c>
      <c r="S64" s="739" t="s">
        <v>138</v>
      </c>
      <c r="T64" s="739"/>
      <c r="U64" s="739"/>
      <c r="V64" s="341">
        <v>307273.3</v>
      </c>
      <c r="W64" s="447"/>
      <c r="X64" s="347"/>
      <c r="Y64" s="354"/>
      <c r="Z64" s="347"/>
      <c r="AA64" s="338"/>
      <c r="AB64" s="338"/>
      <c r="AC64" s="387"/>
      <c r="AD64" s="387"/>
      <c r="AE64" s="387"/>
      <c r="AF64" s="387"/>
      <c r="AG64" s="387"/>
      <c r="AH64" s="338"/>
    </row>
    <row r="65" spans="3:34" ht="18.75" hidden="1" x14ac:dyDescent="0.25">
      <c r="C65" s="12"/>
      <c r="D65" s="12"/>
      <c r="E65" s="338"/>
      <c r="F65" s="338"/>
      <c r="G65" s="338"/>
      <c r="H65" s="338"/>
      <c r="I65" s="338"/>
      <c r="J65" s="338"/>
      <c r="K65" s="339"/>
      <c r="L65" s="339"/>
      <c r="M65" s="338"/>
      <c r="N65" s="338"/>
      <c r="O65" s="339"/>
      <c r="P65" s="338"/>
      <c r="Q65" s="338"/>
      <c r="R65" s="338"/>
      <c r="S65" s="740" t="s">
        <v>139</v>
      </c>
      <c r="T65" s="740"/>
      <c r="U65" s="740"/>
      <c r="V65" s="344">
        <f>V64-V58</f>
        <v>-84673.1</v>
      </c>
      <c r="W65" s="447"/>
      <c r="X65" s="347"/>
      <c r="Y65" s="354"/>
      <c r="Z65" s="347"/>
      <c r="AA65" s="338"/>
      <c r="AB65" s="338"/>
      <c r="AC65" s="387"/>
      <c r="AD65" s="387"/>
      <c r="AE65" s="387"/>
      <c r="AF65" s="387"/>
      <c r="AG65" s="387"/>
      <c r="AH65" s="338"/>
    </row>
    <row r="66" spans="3:34" ht="18.75" hidden="1" x14ac:dyDescent="0.25">
      <c r="C66" s="12"/>
      <c r="D66" s="12"/>
      <c r="E66" s="338"/>
      <c r="F66" s="338"/>
      <c r="G66" s="338"/>
      <c r="H66" s="338"/>
      <c r="I66" s="338"/>
      <c r="J66" s="338"/>
      <c r="K66" s="339"/>
      <c r="L66" s="339"/>
      <c r="M66" s="338"/>
      <c r="N66" s="338"/>
      <c r="O66" s="339"/>
      <c r="P66" s="338"/>
      <c r="Q66" s="338"/>
      <c r="R66" s="338">
        <v>2021</v>
      </c>
      <c r="S66" s="739" t="s">
        <v>138</v>
      </c>
      <c r="T66" s="739"/>
      <c r="U66" s="739"/>
      <c r="V66" s="341">
        <v>313596.40000000002</v>
      </c>
      <c r="W66" s="447"/>
      <c r="X66" s="347"/>
      <c r="Y66" s="354"/>
      <c r="Z66" s="347"/>
      <c r="AA66" s="338"/>
      <c r="AB66" s="338"/>
      <c r="AC66" s="387"/>
      <c r="AD66" s="387"/>
      <c r="AE66" s="387"/>
      <c r="AF66" s="387"/>
      <c r="AG66" s="387"/>
      <c r="AH66" s="338"/>
    </row>
    <row r="67" spans="3:34" ht="18.75" hidden="1" x14ac:dyDescent="0.25">
      <c r="C67" s="12"/>
      <c r="D67" s="12"/>
      <c r="E67" s="338"/>
      <c r="F67" s="338"/>
      <c r="G67" s="338"/>
      <c r="H67" s="338"/>
      <c r="I67" s="338"/>
      <c r="J67" s="338"/>
      <c r="K67" s="339"/>
      <c r="L67" s="339"/>
      <c r="M67" s="338"/>
      <c r="N67" s="338"/>
      <c r="O67" s="339"/>
      <c r="P67" s="338"/>
      <c r="Q67" s="338"/>
      <c r="R67" s="338"/>
      <c r="S67" s="740" t="s">
        <v>139</v>
      </c>
      <c r="T67" s="740"/>
      <c r="U67" s="740"/>
      <c r="V67" s="344">
        <f>V66-V58</f>
        <v>-78350</v>
      </c>
      <c r="W67" s="447"/>
      <c r="X67" s="347"/>
      <c r="Y67" s="354"/>
      <c r="Z67" s="347"/>
      <c r="AA67" s="338"/>
      <c r="AB67" s="338"/>
      <c r="AC67" s="387"/>
      <c r="AD67" s="387"/>
      <c r="AE67" s="387"/>
      <c r="AF67" s="387"/>
      <c r="AG67" s="387"/>
      <c r="AH67" s="338"/>
    </row>
    <row r="68" spans="3:34" ht="18.75" hidden="1" x14ac:dyDescent="0.25">
      <c r="C68" s="12"/>
      <c r="D68" s="12"/>
      <c r="E68" s="338"/>
      <c r="F68" s="338"/>
      <c r="G68" s="338"/>
      <c r="H68" s="338"/>
      <c r="I68" s="338"/>
      <c r="J68" s="338"/>
      <c r="K68" s="339"/>
      <c r="L68" s="339"/>
      <c r="M68" s="338"/>
      <c r="N68" s="338"/>
      <c r="O68" s="339"/>
      <c r="P68" s="338"/>
      <c r="Q68" s="338"/>
      <c r="R68" s="338"/>
      <c r="S68" s="741">
        <f>S59-59322.8</f>
        <v>-0.6</v>
      </c>
      <c r="T68" s="741"/>
      <c r="U68" s="741"/>
      <c r="V68" s="361"/>
      <c r="W68" s="447"/>
      <c r="X68" s="354"/>
      <c r="Y68" s="354"/>
      <c r="Z68" s="354"/>
      <c r="AA68" s="338"/>
      <c r="AB68" s="338"/>
      <c r="AC68" s="387"/>
      <c r="AD68" s="387"/>
      <c r="AE68" s="387"/>
      <c r="AF68" s="387"/>
      <c r="AG68" s="387"/>
      <c r="AH68" s="338"/>
    </row>
    <row r="69" spans="3:34" hidden="1" x14ac:dyDescent="0.25">
      <c r="V69" s="361"/>
      <c r="X69" s="361"/>
      <c r="Y69" s="361"/>
      <c r="Z69" s="361"/>
      <c r="AC69" s="388"/>
      <c r="AD69" s="388"/>
      <c r="AE69" s="388"/>
      <c r="AF69" s="388"/>
      <c r="AG69" s="388"/>
    </row>
    <row r="70" spans="3:34" x14ac:dyDescent="0.25">
      <c r="V70" s="361"/>
      <c r="X70" s="361"/>
      <c r="Y70" s="361"/>
      <c r="Z70" s="361"/>
      <c r="AC70" s="388"/>
      <c r="AD70" s="388"/>
      <c r="AE70" s="388"/>
      <c r="AF70" s="388"/>
      <c r="AG70" s="388"/>
    </row>
    <row r="71" spans="3:34" x14ac:dyDescent="0.25">
      <c r="V71" s="361"/>
      <c r="X71" s="361"/>
      <c r="Y71" s="361"/>
      <c r="Z71" s="361"/>
    </row>
    <row r="72" spans="3:34" x14ac:dyDescent="0.25">
      <c r="V72" s="361"/>
      <c r="X72" s="361"/>
      <c r="Y72" s="361"/>
      <c r="Z72" s="361"/>
    </row>
    <row r="73" spans="3:34" x14ac:dyDescent="0.25">
      <c r="V73" s="361"/>
      <c r="X73" s="361"/>
      <c r="Y73" s="361"/>
      <c r="Z73" s="361"/>
    </row>
    <row r="74" spans="3:34" x14ac:dyDescent="0.25">
      <c r="V74" s="361"/>
      <c r="X74" s="361"/>
      <c r="Y74" s="361"/>
      <c r="Z74" s="361"/>
    </row>
    <row r="75" spans="3:34" x14ac:dyDescent="0.25">
      <c r="V75" s="361"/>
      <c r="X75" s="361"/>
      <c r="Y75" s="361"/>
      <c r="Z75" s="361"/>
    </row>
    <row r="76" spans="3:34" x14ac:dyDescent="0.25">
      <c r="V76" s="361"/>
      <c r="X76" s="361"/>
      <c r="Y76" s="361"/>
      <c r="Z76" s="361"/>
    </row>
    <row r="77" spans="3:34" x14ac:dyDescent="0.25">
      <c r="V77" s="361"/>
      <c r="X77" s="361"/>
      <c r="Y77" s="361"/>
      <c r="Z77" s="361"/>
    </row>
    <row r="78" spans="3:34" x14ac:dyDescent="0.25">
      <c r="V78" s="361"/>
      <c r="X78" s="361"/>
      <c r="Y78" s="361"/>
      <c r="Z78" s="361"/>
    </row>
    <row r="79" spans="3:34" x14ac:dyDescent="0.25">
      <c r="V79" s="361"/>
      <c r="X79" s="361"/>
      <c r="Y79" s="361"/>
      <c r="Z79" s="361"/>
    </row>
    <row r="80" spans="3:34" ht="18.75" x14ac:dyDescent="0.25">
      <c r="V80" s="361"/>
      <c r="X80" s="361"/>
      <c r="Y80" s="361"/>
      <c r="Z80" s="354"/>
    </row>
    <row r="81" spans="22:26" x14ac:dyDescent="0.25">
      <c r="V81" s="361"/>
      <c r="X81" s="361"/>
      <c r="Y81" s="361"/>
      <c r="Z81" s="361"/>
    </row>
    <row r="82" spans="22:26" x14ac:dyDescent="0.25">
      <c r="V82" s="361"/>
      <c r="X82" s="361"/>
      <c r="Y82" s="361"/>
      <c r="Z82" s="361"/>
    </row>
    <row r="83" spans="22:26" x14ac:dyDescent="0.25">
      <c r="V83" s="361"/>
      <c r="X83" s="361"/>
      <c r="Y83" s="361"/>
      <c r="Z83" s="361"/>
    </row>
    <row r="84" spans="22:26" x14ac:dyDescent="0.25">
      <c r="V84" s="361"/>
      <c r="X84" s="361"/>
      <c r="Y84" s="361"/>
      <c r="Z84" s="361"/>
    </row>
    <row r="85" spans="22:26" x14ac:dyDescent="0.25">
      <c r="V85" s="361"/>
      <c r="X85" s="361"/>
      <c r="Y85" s="361"/>
      <c r="Z85" s="361"/>
    </row>
    <row r="86" spans="22:26" x14ac:dyDescent="0.25">
      <c r="V86" s="361"/>
      <c r="X86" s="361"/>
      <c r="Y86" s="361"/>
      <c r="Z86" s="361"/>
    </row>
    <row r="87" spans="22:26" x14ac:dyDescent="0.25">
      <c r="V87" s="361"/>
      <c r="X87" s="361"/>
      <c r="Y87" s="361"/>
      <c r="Z87" s="361"/>
    </row>
    <row r="88" spans="22:26" x14ac:dyDescent="0.25">
      <c r="V88" s="361"/>
      <c r="X88" s="361"/>
      <c r="Y88" s="361"/>
      <c r="Z88" s="361"/>
    </row>
    <row r="89" spans="22:26" x14ac:dyDescent="0.25">
      <c r="V89" s="361"/>
      <c r="X89" s="361"/>
      <c r="Y89" s="361"/>
      <c r="Z89" s="361"/>
    </row>
    <row r="90" spans="22:26" x14ac:dyDescent="0.25">
      <c r="V90" s="361"/>
      <c r="X90" s="361"/>
      <c r="Y90" s="361"/>
      <c r="Z90" s="361"/>
    </row>
  </sheetData>
  <mergeCells count="13">
    <mergeCell ref="C2:AB2"/>
    <mergeCell ref="C38:AB38"/>
    <mergeCell ref="A41:A43"/>
    <mergeCell ref="C41:C43"/>
    <mergeCell ref="E40:AB40"/>
    <mergeCell ref="A4:A8"/>
    <mergeCell ref="E4:Z4"/>
    <mergeCell ref="O26:O27"/>
    <mergeCell ref="O31:O32"/>
    <mergeCell ref="O33:O34"/>
    <mergeCell ref="G5:H5"/>
    <mergeCell ref="K5:Z5"/>
    <mergeCell ref="I5:J5"/>
  </mergeCells>
  <pageMargins left="0.70866141732283472" right="0" top="0.15748031496062992" bottom="0.15748031496062992" header="0.31496062992125984" footer="0.31496062992125984"/>
  <pageSetup paperSize="8" scale="13" orientation="landscape" r:id="rId1"/>
  <rowBreaks count="1" manualBreakCount="1">
    <brk id="36" max="16383" man="1"/>
  </rowBreaks>
  <colBreaks count="2" manualBreakCount="2">
    <brk id="26" max="38" man="1"/>
    <brk id="32" max="3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0"/>
  <sheetViews>
    <sheetView view="pageBreakPreview" topLeftCell="B1" zoomScale="25" zoomScaleNormal="70" zoomScaleSheetLayoutView="25" workbookViewId="0">
      <pane xSplit="2" ySplit="8" topLeftCell="N22" activePane="bottomRight" state="frozen"/>
      <selection activeCell="B1" sqref="B1"/>
      <selection pane="topRight" activeCell="C1" sqref="C1"/>
      <selection pane="bottomLeft" activeCell="B5" sqref="B5"/>
      <selection pane="bottomRight" activeCell="T7" sqref="T7"/>
    </sheetView>
  </sheetViews>
  <sheetFormatPr defaultRowHeight="15" x14ac:dyDescent="0.25"/>
  <cols>
    <col min="1" max="2" width="8.140625" customWidth="1"/>
    <col min="3" max="3" width="106.7109375" customWidth="1"/>
    <col min="4" max="4" width="34" hidden="1" customWidth="1"/>
    <col min="5" max="5" width="41.140625" customWidth="1"/>
    <col min="6" max="6" width="31.85546875" hidden="1" customWidth="1"/>
    <col min="7" max="7" width="48.85546875" hidden="1" customWidth="1"/>
    <col min="8" max="8" width="51.140625" hidden="1" customWidth="1"/>
    <col min="9" max="9" width="64.42578125" style="44" customWidth="1"/>
    <col min="10" max="10" width="64.140625" style="44" customWidth="1"/>
    <col min="11" max="11" width="70.140625" customWidth="1"/>
    <col min="12" max="12" width="71.28515625" customWidth="1"/>
    <col min="13" max="13" width="55.5703125" style="44" customWidth="1"/>
    <col min="14" max="14" width="53.5703125" customWidth="1"/>
    <col min="15" max="15" width="58.140625" customWidth="1"/>
    <col min="16" max="16" width="69.85546875" customWidth="1"/>
    <col min="17" max="17" width="58" style="44" customWidth="1"/>
    <col min="18" max="18" width="66.7109375" style="147" customWidth="1"/>
    <col min="19" max="19" width="66.85546875" style="437" customWidth="1"/>
    <col min="20" max="20" width="65.85546875" style="184" customWidth="1"/>
    <col min="21" max="21" width="64.140625" style="279" customWidth="1"/>
    <col min="22" max="22" width="60.5703125" style="184" customWidth="1"/>
    <col min="23" max="23" width="53.7109375" hidden="1" customWidth="1"/>
    <col min="24" max="24" width="39" hidden="1" customWidth="1"/>
    <col min="25" max="28" width="32.140625" hidden="1" customWidth="1"/>
    <col min="29" max="30" width="21.7109375" hidden="1" customWidth="1"/>
    <col min="31" max="31" width="20.5703125" customWidth="1"/>
    <col min="32" max="32" width="31.7109375" customWidth="1"/>
  </cols>
  <sheetData>
    <row r="1" spans="1:31" ht="32.25" customHeight="1" x14ac:dyDescent="0.25">
      <c r="C1" s="359"/>
      <c r="D1" s="359"/>
      <c r="E1" s="359"/>
      <c r="F1" s="359"/>
      <c r="G1" s="359"/>
      <c r="H1" s="359"/>
      <c r="I1" s="360"/>
      <c r="J1" s="360"/>
      <c r="K1" s="359"/>
      <c r="L1" s="359"/>
      <c r="M1" s="360"/>
      <c r="N1" s="359"/>
      <c r="O1" s="359"/>
      <c r="P1" s="359"/>
      <c r="Q1" s="360"/>
      <c r="R1" s="361"/>
      <c r="S1" s="361"/>
      <c r="T1" s="361"/>
      <c r="U1" s="361"/>
      <c r="V1" s="361"/>
      <c r="W1" s="359"/>
      <c r="X1" s="359"/>
      <c r="Y1" s="359"/>
      <c r="Z1" s="359"/>
      <c r="AA1" s="359"/>
      <c r="AB1" s="359"/>
      <c r="AC1" s="359"/>
      <c r="AD1" s="359"/>
    </row>
    <row r="2" spans="1:31" ht="53.25" customHeight="1" x14ac:dyDescent="0.3">
      <c r="C2" s="763" t="s">
        <v>459</v>
      </c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  <c r="Y2" s="531"/>
      <c r="Z2" s="531"/>
      <c r="AA2" s="531"/>
      <c r="AB2" s="531"/>
      <c r="AC2" s="531"/>
      <c r="AD2" s="531"/>
    </row>
    <row r="3" spans="1:31" ht="45" customHeight="1" x14ac:dyDescent="0.25">
      <c r="C3" s="359"/>
      <c r="D3" s="359"/>
      <c r="E3" s="359"/>
      <c r="F3" s="359"/>
      <c r="G3" s="359"/>
      <c r="H3" s="359"/>
      <c r="I3" s="360"/>
      <c r="J3" s="360"/>
      <c r="K3" s="359"/>
      <c r="L3" s="359"/>
      <c r="M3" s="360"/>
      <c r="N3" s="359"/>
      <c r="O3" s="359"/>
      <c r="P3" s="359"/>
      <c r="Q3" s="360"/>
      <c r="R3" s="361"/>
      <c r="S3" s="361"/>
      <c r="T3" s="361"/>
      <c r="U3" s="361"/>
      <c r="V3" s="361"/>
      <c r="W3" s="359"/>
      <c r="X3" s="359"/>
      <c r="Y3" s="359"/>
      <c r="Z3" s="359"/>
      <c r="AA3" s="359"/>
      <c r="AB3" s="359"/>
      <c r="AC3" s="359"/>
      <c r="AD3" s="359"/>
    </row>
    <row r="4" spans="1:31" ht="45" x14ac:dyDescent="0.6">
      <c r="A4" s="765" t="s">
        <v>41</v>
      </c>
      <c r="B4" s="532"/>
      <c r="C4" s="532"/>
      <c r="D4" s="407"/>
      <c r="E4" s="769" t="s">
        <v>61</v>
      </c>
      <c r="F4" s="770"/>
      <c r="G4" s="770"/>
      <c r="H4" s="770"/>
      <c r="I4" s="770"/>
      <c r="J4" s="770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291"/>
      <c r="X4" s="298"/>
      <c r="Y4" s="448"/>
      <c r="Z4" s="448"/>
      <c r="AA4" s="389"/>
      <c r="AB4" s="409"/>
      <c r="AC4" s="389"/>
      <c r="AD4" s="298"/>
    </row>
    <row r="5" spans="1:31" s="406" customFormat="1" ht="45" x14ac:dyDescent="0.6">
      <c r="A5" s="766"/>
      <c r="B5" s="533"/>
      <c r="C5" s="402"/>
      <c r="D5" s="408"/>
      <c r="E5" s="535"/>
      <c r="F5" s="536"/>
      <c r="G5" s="774" t="s">
        <v>237</v>
      </c>
      <c r="H5" s="775"/>
      <c r="I5" s="776" t="s">
        <v>487</v>
      </c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403"/>
      <c r="X5" s="404"/>
      <c r="Y5" s="449"/>
      <c r="Z5" s="449"/>
      <c r="AA5" s="405"/>
      <c r="AB5" s="410"/>
      <c r="AC5" s="405"/>
      <c r="AD5" s="404"/>
    </row>
    <row r="6" spans="1:31" s="154" customFormat="1" ht="326.25" customHeight="1" x14ac:dyDescent="0.25">
      <c r="A6" s="766"/>
      <c r="B6" s="533"/>
      <c r="C6" s="537" t="s">
        <v>42</v>
      </c>
      <c r="D6" s="539" t="s">
        <v>432</v>
      </c>
      <c r="E6" s="539" t="s">
        <v>488</v>
      </c>
      <c r="F6" s="540" t="s">
        <v>433</v>
      </c>
      <c r="G6" s="541" t="s">
        <v>425</v>
      </c>
      <c r="H6" s="542" t="s">
        <v>427</v>
      </c>
      <c r="I6" s="538" t="s">
        <v>489</v>
      </c>
      <c r="J6" s="538" t="s">
        <v>130</v>
      </c>
      <c r="K6" s="543" t="s">
        <v>133</v>
      </c>
      <c r="L6" s="543" t="s">
        <v>132</v>
      </c>
      <c r="M6" s="538" t="s">
        <v>131</v>
      </c>
      <c r="N6" s="543" t="s">
        <v>134</v>
      </c>
      <c r="O6" s="543" t="s">
        <v>135</v>
      </c>
      <c r="P6" s="538" t="s">
        <v>228</v>
      </c>
      <c r="Q6" s="538" t="s">
        <v>136</v>
      </c>
      <c r="R6" s="544" t="s">
        <v>229</v>
      </c>
      <c r="S6" s="538" t="s">
        <v>230</v>
      </c>
      <c r="T6" s="544" t="s">
        <v>455</v>
      </c>
      <c r="U6" s="544" t="s">
        <v>421</v>
      </c>
      <c r="V6" s="545" t="s">
        <v>171</v>
      </c>
      <c r="W6" s="526" t="s">
        <v>140</v>
      </c>
      <c r="X6" s="527" t="s">
        <v>171</v>
      </c>
      <c r="Y6" s="451" t="s">
        <v>425</v>
      </c>
      <c r="Z6" s="451" t="s">
        <v>452</v>
      </c>
      <c r="AA6" s="452" t="s">
        <v>427</v>
      </c>
      <c r="AB6" s="450" t="s">
        <v>428</v>
      </c>
      <c r="AC6" s="393" t="s">
        <v>429</v>
      </c>
      <c r="AD6" s="363"/>
    </row>
    <row r="7" spans="1:31" ht="35.25" x14ac:dyDescent="0.5">
      <c r="A7" s="766"/>
      <c r="B7" s="533"/>
      <c r="C7" s="546"/>
      <c r="D7" s="547" t="s">
        <v>232</v>
      </c>
      <c r="E7" s="548" t="s">
        <v>232</v>
      </c>
      <c r="F7" s="548" t="s">
        <v>232</v>
      </c>
      <c r="G7" s="549" t="s">
        <v>141</v>
      </c>
      <c r="H7" s="550" t="s">
        <v>141</v>
      </c>
      <c r="I7" s="551" t="s">
        <v>141</v>
      </c>
      <c r="J7" s="551" t="s">
        <v>141</v>
      </c>
      <c r="K7" s="547" t="s">
        <v>141</v>
      </c>
      <c r="L7" s="547" t="s">
        <v>141</v>
      </c>
      <c r="M7" s="551" t="s">
        <v>141</v>
      </c>
      <c r="N7" s="547" t="s">
        <v>141</v>
      </c>
      <c r="O7" s="547" t="s">
        <v>141</v>
      </c>
      <c r="P7" s="551" t="s">
        <v>141</v>
      </c>
      <c r="Q7" s="551" t="s">
        <v>141</v>
      </c>
      <c r="R7" s="551" t="s">
        <v>141</v>
      </c>
      <c r="S7" s="551" t="s">
        <v>141</v>
      </c>
      <c r="T7" s="551" t="s">
        <v>141</v>
      </c>
      <c r="U7" s="551"/>
      <c r="V7" s="551" t="s">
        <v>141</v>
      </c>
      <c r="W7" s="528" t="s">
        <v>141</v>
      </c>
      <c r="X7" s="529" t="s">
        <v>141</v>
      </c>
      <c r="Y7" s="453" t="s">
        <v>141</v>
      </c>
      <c r="Z7" s="453" t="s">
        <v>141</v>
      </c>
      <c r="AA7" s="454" t="s">
        <v>141</v>
      </c>
      <c r="AB7" s="455" t="s">
        <v>141</v>
      </c>
      <c r="AC7" s="394" t="s">
        <v>141</v>
      </c>
      <c r="AD7" s="293"/>
    </row>
    <row r="8" spans="1:31" ht="35.25" x14ac:dyDescent="0.5">
      <c r="A8" s="768"/>
      <c r="B8" s="534"/>
      <c r="C8" s="552"/>
      <c r="D8" s="553">
        <v>1</v>
      </c>
      <c r="E8" s="548" t="s">
        <v>434</v>
      </c>
      <c r="F8" s="548" t="s">
        <v>435</v>
      </c>
      <c r="G8" s="554">
        <v>13</v>
      </c>
      <c r="H8" s="554">
        <v>14</v>
      </c>
      <c r="I8" s="551">
        <v>2</v>
      </c>
      <c r="J8" s="551">
        <v>3</v>
      </c>
      <c r="K8" s="547"/>
      <c r="L8" s="547"/>
      <c r="M8" s="551">
        <v>4</v>
      </c>
      <c r="N8" s="547"/>
      <c r="O8" s="547"/>
      <c r="P8" s="551" t="s">
        <v>233</v>
      </c>
      <c r="Q8" s="551">
        <v>6</v>
      </c>
      <c r="R8" s="551" t="s">
        <v>234</v>
      </c>
      <c r="S8" s="551">
        <v>8</v>
      </c>
      <c r="T8" s="555" t="s">
        <v>235</v>
      </c>
      <c r="U8" s="555"/>
      <c r="V8" s="555" t="s">
        <v>236</v>
      </c>
      <c r="W8" s="528">
        <v>11</v>
      </c>
      <c r="X8" s="530">
        <v>12</v>
      </c>
      <c r="Y8" s="456">
        <v>13</v>
      </c>
      <c r="Z8" s="456"/>
      <c r="AA8" s="457">
        <v>14</v>
      </c>
      <c r="AB8" s="458">
        <v>15</v>
      </c>
      <c r="AC8" s="390" t="s">
        <v>430</v>
      </c>
      <c r="AD8" s="295"/>
    </row>
    <row r="9" spans="1:31" ht="163.5" customHeight="1" x14ac:dyDescent="0.25">
      <c r="A9" s="6">
        <v>1</v>
      </c>
      <c r="B9" s="6"/>
      <c r="C9" s="557" t="s">
        <v>43</v>
      </c>
      <c r="D9" s="560">
        <v>624</v>
      </c>
      <c r="E9" s="561">
        <f>SUMIF('2020'!$B:$B,'Свод 2021 '!$A9,('2020'!$P:$P))-SUMIFS('2020'!$P:$P,'2020'!$B:$B,'Свод 2021 '!$A9,'2020'!$G:$G,4)</f>
        <v>658</v>
      </c>
      <c r="F9" s="562">
        <f>E9-D9</f>
        <v>34</v>
      </c>
      <c r="G9" s="563">
        <v>49845.8</v>
      </c>
      <c r="H9" s="563">
        <v>50767.4</v>
      </c>
      <c r="I9" s="564">
        <f>ROUND((SUMIF('2020'!$B:$B,'Свод 2021 '!$A9,('2020'!$BL:$BL))-SUMIFS('2020'!$BL:$BL,'2020'!$B:$B,'Свод 2021 '!$A9,'2020'!$G:$G,4))/1000,1)</f>
        <v>65388.4</v>
      </c>
      <c r="J9" s="564">
        <f>L9-K9</f>
        <v>6286.5</v>
      </c>
      <c r="K9" s="565">
        <f>ROUND((SUMIF('2020'!$B:$B,'Свод 2021 '!$A9,('2020'!$AQ:$AQ))-SUMIFS('2020'!$AQ:$AQ,'2020'!$B:$B,'Свод 2021 '!$A9,'2020'!$G:$G,4)+SUMIF('2020'!$B:$B,'Свод 2021 '!$A9,('2020'!$BH:$BH))-SUMIFS('2020'!$BH:$BH,'2020'!$B:$B,'Свод 2021 '!$A9,'2020'!$G:$G,4))/1000,1)</f>
        <v>41357.9</v>
      </c>
      <c r="L9" s="565">
        <f>ROUND((SUMIF('2020'!$B:$B,'Свод 2021 '!$A9,('2020'!$BM:$BM))-SUMIFS('2020'!$BM:$BM,'2020'!$B:$B,'Свод 2021 '!$A9,'2020'!$G:$G,4)+SUMIF('2020'!$B:$B,'Свод 2021 '!$A9,('2020'!$CD:$CD))-SUMIFS('2020'!$CD:$CD,'2020'!$B:$B,'Свод 2021 '!$A9,'2020'!$G:$G,4))/1000,1)</f>
        <v>47644.4</v>
      </c>
      <c r="M9" s="564">
        <f>O9-N9</f>
        <v>2341.4</v>
      </c>
      <c r="N9" s="565">
        <f>ROUND((SUMIF('2020'!$B:$B,'Свод 2021 '!$A9,('2020'!$BB:$BB))-SUMIFS('2020'!$BB:$BB,'2020'!$B:$B,'Свод 2021 '!$A9,'2020'!$G:$G,4))/1000,1)</f>
        <v>1355.7</v>
      </c>
      <c r="O9" s="565">
        <f>ROUND((SUMIF('2020'!$B:$B,'Свод 2021 '!$A9,('2020'!$BX:$BX))-SUMIFS('2020'!$BX:$BX,'2020'!$B:$B,'Свод 2021 '!$A9,'2020'!$G:$G,4))/1000,1)</f>
        <v>3697.1</v>
      </c>
      <c r="P9" s="564">
        <f>I9+J9+M9</f>
        <v>74016.3</v>
      </c>
      <c r="Q9" s="564">
        <v>921.6</v>
      </c>
      <c r="R9" s="564">
        <f t="shared" ref="R9:R24" si="0">I9+J9+M9+Q9</f>
        <v>74937.899999999994</v>
      </c>
      <c r="S9" s="564">
        <f>ROUND(P9*P$27,1)</f>
        <v>76204.2</v>
      </c>
      <c r="T9" s="566">
        <f>Q9+S9</f>
        <v>77125.8</v>
      </c>
      <c r="U9" s="566">
        <f>L9*P$27</f>
        <v>49052.78</v>
      </c>
      <c r="V9" s="566">
        <f>T9-R9</f>
        <v>2187.9</v>
      </c>
      <c r="W9" s="522">
        <f>ROUND((I9+J9+M9)*W$27,1)+Q9</f>
        <v>77125.8</v>
      </c>
      <c r="X9" s="523">
        <f>W9-R9</f>
        <v>2187.9</v>
      </c>
      <c r="Y9" s="460">
        <v>49845.8</v>
      </c>
      <c r="Z9" s="460"/>
      <c r="AA9" s="461">
        <v>50767.4</v>
      </c>
      <c r="AB9" s="459">
        <f>S9-Y9</f>
        <v>26358.400000000001</v>
      </c>
      <c r="AC9" s="391">
        <f>T9-AA9</f>
        <v>26358.400000000001</v>
      </c>
      <c r="AD9" s="313"/>
      <c r="AE9" s="265">
        <f>(W9-Q9)/(R9-Q9)</f>
        <v>1.02956</v>
      </c>
    </row>
    <row r="10" spans="1:31" ht="159" customHeight="1" x14ac:dyDescent="0.25">
      <c r="A10" s="6">
        <v>2</v>
      </c>
      <c r="B10" s="6"/>
      <c r="C10" s="557" t="s">
        <v>44</v>
      </c>
      <c r="D10" s="560">
        <v>1192</v>
      </c>
      <c r="E10" s="561">
        <f>SUMIF('2020'!$B:$B,'Свод 2021 '!$A10,('2020'!$P:$P))-SUMIFS('2020'!$P:$P,'2020'!$B:$B,'Свод 2021 '!$A10,'2020'!$G:$G,4)</f>
        <v>1150</v>
      </c>
      <c r="F10" s="567">
        <f t="shared" ref="F10:F25" si="1">E10-D10</f>
        <v>-42</v>
      </c>
      <c r="G10" s="563">
        <v>100634.2</v>
      </c>
      <c r="H10" s="563">
        <v>122328.5</v>
      </c>
      <c r="I10" s="564">
        <f>ROUND((SUMIF('2020'!$B:$B,'Свод 2021 '!$A10,('2020'!$BL:$BL))-SUMIFS('2020'!$BL:$BL,'2020'!$B:$B,'Свод 2021 '!$A10,'2020'!$G:$G,4))/1000,1)</f>
        <v>113404.2</v>
      </c>
      <c r="J10" s="564">
        <f t="shared" ref="J10:J22" si="2">L10-K10</f>
        <v>17148.2</v>
      </c>
      <c r="K10" s="565">
        <f>ROUND((SUMIF('2020'!$B:$B,'Свод 2021 '!$A10,('2020'!$AQ:$AQ))-SUMIFS('2020'!$AQ:$AQ,'2020'!$B:$B,'Свод 2021 '!$A10,'2020'!$G:$G,4)+SUMIF('2020'!$B:$B,'Свод 2021 '!$A10,('2020'!$BH:$BH))-SUMIFS('2020'!$BH:$BH,'2020'!$B:$B,'Свод 2021 '!$A10,'2020'!$G:$G,4))/1000,1)</f>
        <v>70279.3</v>
      </c>
      <c r="L10" s="565">
        <f>ROUND((SUMIF('2020'!$B:$B,'Свод 2021 '!$A10,('2020'!$BM:$BM))-SUMIFS('2020'!$BM:$BM,'2020'!$B:$B,'Свод 2021 '!$A10,'2020'!$G:$G,4)+SUMIF('2020'!$B:$B,'Свод 2021 '!$A10,('2020'!$CD:$CD))-SUMIFS('2020'!$CD:$CD,'2020'!$B:$B,'Свод 2021 '!$A10,'2020'!$G:$G,4))/1000,1)</f>
        <v>87427.5</v>
      </c>
      <c r="M10" s="564">
        <f t="shared" ref="M10:M22" si="3">O10-N10</f>
        <v>2753.7</v>
      </c>
      <c r="N10" s="565">
        <f>ROUND((SUMIF('2020'!$B:$B,'Свод 2021 '!$A10,('2020'!$BB:$BB))-SUMIFS('2020'!$BB:$BB,'2020'!$B:$B,'Свод 2021 '!$A10,'2020'!$G:$G,4))/1000,1)</f>
        <v>2306.3000000000002</v>
      </c>
      <c r="O10" s="565">
        <f>ROUND((SUMIF('2020'!$B:$B,'Свод 2021 '!$A10,('2020'!$BX:$BX))-SUMIFS('2020'!$BX:$BX,'2020'!$B:$B,'Свод 2021 '!$A10,'2020'!$G:$G,4))/1000,1)</f>
        <v>5060</v>
      </c>
      <c r="P10" s="564">
        <f t="shared" ref="P10:P25" si="4">I10+J10+M10</f>
        <v>133306.1</v>
      </c>
      <c r="Q10" s="564">
        <v>21694.3</v>
      </c>
      <c r="R10" s="564">
        <f t="shared" si="0"/>
        <v>155000.4</v>
      </c>
      <c r="S10" s="564">
        <f t="shared" ref="S10:S24" si="5">ROUND(P10*P$27,1)</f>
        <v>137246.70000000001</v>
      </c>
      <c r="T10" s="566">
        <f t="shared" ref="T10:T24" si="6">Q10+S10</f>
        <v>158941</v>
      </c>
      <c r="U10" s="566">
        <f t="shared" ref="U10:U23" si="7">L10*P$27</f>
        <v>90011.87</v>
      </c>
      <c r="V10" s="566">
        <f t="shared" ref="V10:V24" si="8">T10-R10</f>
        <v>3940.6</v>
      </c>
      <c r="W10" s="522">
        <f t="shared" ref="W10:W24" si="9">ROUND((I10+J10+M10)*W$27,1)+Q10</f>
        <v>158941</v>
      </c>
      <c r="X10" s="523">
        <f t="shared" ref="X10:X24" si="10">W10-R10</f>
        <v>3940.6</v>
      </c>
      <c r="Y10" s="460">
        <v>100634.2</v>
      </c>
      <c r="Z10" s="460"/>
      <c r="AA10" s="461">
        <v>122328.5</v>
      </c>
      <c r="AB10" s="459">
        <f t="shared" ref="AB10:AB25" si="11">S10-Y10</f>
        <v>36612.5</v>
      </c>
      <c r="AC10" s="391">
        <f t="shared" ref="AC10:AC25" si="12">T10-AA10</f>
        <v>36612.5</v>
      </c>
      <c r="AD10" s="313"/>
      <c r="AE10" s="265">
        <f t="shared" ref="AE10:AE25" si="13">(W10-Q10)/(R10-Q10)</f>
        <v>1.0295609999999999</v>
      </c>
    </row>
    <row r="11" spans="1:31" ht="166.5" customHeight="1" x14ac:dyDescent="0.25">
      <c r="A11" s="6">
        <v>3</v>
      </c>
      <c r="B11" s="6"/>
      <c r="C11" s="557" t="s">
        <v>45</v>
      </c>
      <c r="D11" s="560">
        <v>808</v>
      </c>
      <c r="E11" s="561">
        <f>SUMIF('2020'!$B:$B,'Свод 2021 '!$A11,('2020'!$P:$P))-SUMIFS('2020'!$P:$P,'2020'!$B:$B,'Свод 2021 '!$A11,'2020'!$G:$G,4)</f>
        <v>838</v>
      </c>
      <c r="F11" s="567">
        <f t="shared" si="1"/>
        <v>30</v>
      </c>
      <c r="G11" s="563">
        <v>55066.8</v>
      </c>
      <c r="H11" s="563">
        <v>62996.7</v>
      </c>
      <c r="I11" s="564">
        <f>ROUND((SUMIF('2020'!$B:$B,'Свод 2021 '!$A11,('2020'!$BL:$BL))-SUMIFS('2020'!$BL:$BL,'2020'!$B:$B,'Свод 2021 '!$A11,'2020'!$G:$G,4))/1000,1)</f>
        <v>66641.3</v>
      </c>
      <c r="J11" s="564">
        <f t="shared" si="2"/>
        <v>11611.1</v>
      </c>
      <c r="K11" s="565">
        <f>ROUND((SUMIF('2020'!$B:$B,'Свод 2021 '!$A11,('2020'!$AQ:$AQ))-SUMIFS('2020'!$AQ:$AQ,'2020'!$B:$B,'Свод 2021 '!$A11,'2020'!$G:$G,4)+SUMIF('2020'!$B:$B,'Свод 2021 '!$A11,('2020'!$BH:$BH))-SUMIFS('2020'!$BH:$BH,'2020'!$B:$B,'Свод 2021 '!$A11,'2020'!$G:$G,4))/1000,1)</f>
        <v>41173.9</v>
      </c>
      <c r="L11" s="565">
        <f>ROUND((SUMIF('2020'!$B:$B,'Свод 2021 '!$A11,('2020'!$BM:$BM))-SUMIFS('2020'!$BM:$BM,'2020'!$B:$B,'Свод 2021 '!$A11,'2020'!$G:$G,4)+SUMIF('2020'!$B:$B,'Свод 2021 '!$A11,('2020'!$CD:$CD))-SUMIFS('2020'!$CD:$CD,'2020'!$B:$B,'Свод 2021 '!$A11,'2020'!$G:$G,4))/1000,1)</f>
        <v>52785</v>
      </c>
      <c r="M11" s="564">
        <f t="shared" si="3"/>
        <v>1577.3</v>
      </c>
      <c r="N11" s="565">
        <f>ROUND((SUMIF('2020'!$B:$B,'Свод 2021 '!$A11,('2020'!$BB:$BB))-SUMIFS('2020'!$BB:$BB,'2020'!$B:$B,'Свод 2021 '!$A11,'2020'!$G:$G,4))/1000,1)</f>
        <v>1360.9</v>
      </c>
      <c r="O11" s="565">
        <f>ROUND((SUMIF('2020'!$B:$B,'Свод 2021 '!$A11,('2020'!$BX:$BX))-SUMIFS('2020'!$BX:$BX,'2020'!$B:$B,'Свод 2021 '!$A11,'2020'!$G:$G,4))/1000,1)</f>
        <v>2938.2</v>
      </c>
      <c r="P11" s="564">
        <f t="shared" si="4"/>
        <v>79829.7</v>
      </c>
      <c r="Q11" s="564">
        <v>7929.9</v>
      </c>
      <c r="R11" s="564">
        <f t="shared" si="0"/>
        <v>87759.6</v>
      </c>
      <c r="S11" s="564">
        <f t="shared" si="5"/>
        <v>82189.5</v>
      </c>
      <c r="T11" s="566">
        <f t="shared" si="6"/>
        <v>90119.4</v>
      </c>
      <c r="U11" s="566">
        <f t="shared" si="7"/>
        <v>54345.34</v>
      </c>
      <c r="V11" s="566">
        <f t="shared" si="8"/>
        <v>2359.8000000000002</v>
      </c>
      <c r="W11" s="522">
        <f t="shared" si="9"/>
        <v>90119.4</v>
      </c>
      <c r="X11" s="523">
        <f t="shared" si="10"/>
        <v>2359.8000000000002</v>
      </c>
      <c r="Y11" s="460">
        <v>55066.8</v>
      </c>
      <c r="Z11" s="460"/>
      <c r="AA11" s="461">
        <v>62996.7</v>
      </c>
      <c r="AB11" s="459">
        <f t="shared" si="11"/>
        <v>27122.7</v>
      </c>
      <c r="AC11" s="391">
        <f t="shared" si="12"/>
        <v>27122.7</v>
      </c>
      <c r="AD11" s="313"/>
      <c r="AE11" s="265">
        <f>(W11-Q11)/(R11-Q11)</f>
        <v>1.02956</v>
      </c>
    </row>
    <row r="12" spans="1:31" ht="161.25" customHeight="1" x14ac:dyDescent="0.25">
      <c r="A12" s="6">
        <v>4</v>
      </c>
      <c r="B12" s="6"/>
      <c r="C12" s="557" t="s">
        <v>46</v>
      </c>
      <c r="D12" s="560">
        <v>689</v>
      </c>
      <c r="E12" s="561">
        <f>SUMIF('2020'!$B:$B,'Свод 2021 '!$A12,('2020'!$P:$P))-SUMIFS('2020'!$P:$P,'2020'!$B:$B,'Свод 2021 '!$A12,'2020'!$G:$G,4)</f>
        <v>714</v>
      </c>
      <c r="F12" s="567">
        <f t="shared" si="1"/>
        <v>25</v>
      </c>
      <c r="G12" s="563">
        <v>71433</v>
      </c>
      <c r="H12" s="563">
        <v>75613.600000000006</v>
      </c>
      <c r="I12" s="564">
        <f>ROUND((SUMIF('2020'!$B:$B,'Свод 2021 '!$A12,('2020'!$BL:$BL))-SUMIFS('2020'!$BL:$BL,'2020'!$B:$B,'Свод 2021 '!$A12,'2020'!$G:$G,4))/1000,1)</f>
        <v>66725.2</v>
      </c>
      <c r="J12" s="564">
        <f t="shared" si="2"/>
        <v>42603.5</v>
      </c>
      <c r="K12" s="565">
        <f>ROUND((SUMIF('2020'!$B:$B,'Свод 2021 '!$A12,('2020'!$AQ:$AQ))-SUMIFS('2020'!$AQ:$AQ,'2020'!$B:$B,'Свод 2021 '!$A12,'2020'!$G:$G,4)+SUMIF('2020'!$B:$B,'Свод 2021 '!$A12,('2020'!$BH:$BH))-SUMIFS('2020'!$BH:$BH,'2020'!$B:$B,'Свод 2021 '!$A12,'2020'!$G:$G,4))/1000,1)</f>
        <v>41483.5</v>
      </c>
      <c r="L12" s="565">
        <f>ROUND((SUMIF('2020'!$B:$B,'Свод 2021 '!$A12,('2020'!$BM:$BM))-SUMIFS('2020'!$BM:$BM,'2020'!$B:$B,'Свод 2021 '!$A12,'2020'!$G:$G,4)+SUMIF('2020'!$B:$B,'Свод 2021 '!$A12,('2020'!$CD:$CD))-SUMIFS('2020'!$CD:$CD,'2020'!$B:$B,'Свод 2021 '!$A12,'2020'!$G:$G,4))/1000,1)</f>
        <v>84087</v>
      </c>
      <c r="M12" s="564">
        <f t="shared" si="3"/>
        <v>3133</v>
      </c>
      <c r="N12" s="565">
        <f>ROUND((SUMIF('2020'!$B:$B,'Свод 2021 '!$A12,('2020'!$BB:$BB))-SUMIFS('2020'!$BB:$BB,'2020'!$B:$B,'Свод 2021 '!$A12,'2020'!$G:$G,4))/1000,1)</f>
        <v>1346.9</v>
      </c>
      <c r="O12" s="565">
        <f>ROUND((SUMIF('2020'!$B:$B,'Свод 2021 '!$A12,('2020'!$BX:$BX))-SUMIFS('2020'!$BX:$BX,'2020'!$B:$B,'Свод 2021 '!$A12,'2020'!$G:$G,4))/1000,1)</f>
        <v>4479.8999999999996</v>
      </c>
      <c r="P12" s="564">
        <f t="shared" si="4"/>
        <v>112461.7</v>
      </c>
      <c r="Q12" s="564">
        <v>4180.6000000000004</v>
      </c>
      <c r="R12" s="564">
        <f t="shared" si="0"/>
        <v>116642.3</v>
      </c>
      <c r="S12" s="564">
        <f t="shared" si="5"/>
        <v>115786.1</v>
      </c>
      <c r="T12" s="566">
        <f t="shared" si="6"/>
        <v>119966.7</v>
      </c>
      <c r="U12" s="566">
        <f t="shared" si="7"/>
        <v>86572.63</v>
      </c>
      <c r="V12" s="566">
        <f t="shared" si="8"/>
        <v>3324.4</v>
      </c>
      <c r="W12" s="522">
        <f t="shared" si="9"/>
        <v>119966.7</v>
      </c>
      <c r="X12" s="523">
        <f t="shared" si="10"/>
        <v>3324.4</v>
      </c>
      <c r="Y12" s="460">
        <v>71433</v>
      </c>
      <c r="Z12" s="460"/>
      <c r="AA12" s="461">
        <v>75613.600000000006</v>
      </c>
      <c r="AB12" s="462">
        <f t="shared" si="11"/>
        <v>44353.1</v>
      </c>
      <c r="AC12" s="391">
        <f t="shared" si="12"/>
        <v>44353.1</v>
      </c>
      <c r="AD12" s="313"/>
      <c r="AE12" s="265">
        <f t="shared" si="13"/>
        <v>1.02956</v>
      </c>
    </row>
    <row r="13" spans="1:31" ht="186.75" customHeight="1" x14ac:dyDescent="0.25">
      <c r="A13" s="6">
        <v>5</v>
      </c>
      <c r="B13" s="6"/>
      <c r="C13" s="557" t="s">
        <v>47</v>
      </c>
      <c r="D13" s="560">
        <v>2591</v>
      </c>
      <c r="E13" s="561">
        <f>SUMIF('2020'!$B:$B,'Свод 2021 '!$A13,('2020'!$P:$P))-SUMIFS('2020'!$P:$P,'2020'!$B:$B,'Свод 2021 '!$A13,'2020'!$G:$G,4)</f>
        <v>2681</v>
      </c>
      <c r="F13" s="567">
        <f t="shared" si="1"/>
        <v>90</v>
      </c>
      <c r="G13" s="563">
        <v>202030.2</v>
      </c>
      <c r="H13" s="563">
        <v>226249.5</v>
      </c>
      <c r="I13" s="564">
        <f>ROUND((SUMIF('2020'!$B:$B,'Свод 2021 '!$A13,('2020'!$BL:$BL))-SUMIFS('2020'!$BL:$BL,'2020'!$B:$B,'Свод 2021 '!$A13,'2020'!$G:$G,4))/1000,1)</f>
        <v>236954</v>
      </c>
      <c r="J13" s="564">
        <f t="shared" si="2"/>
        <v>58991.3</v>
      </c>
      <c r="K13" s="565">
        <f>ROUND((SUMIF('2020'!$B:$B,'Свод 2021 '!$A13,('2020'!$AQ:$AQ))-SUMIFS('2020'!$AQ:$AQ,'2020'!$B:$B,'Свод 2021 '!$A13,'2020'!$G:$G,4)+SUMIF('2020'!$B:$B,'Свод 2021 '!$A13,('2020'!$BH:$BH))-SUMIFS('2020'!$BH:$BH,'2020'!$B:$B,'Свод 2021 '!$A13,'2020'!$G:$G,4))/1000,1)</f>
        <v>149345</v>
      </c>
      <c r="L13" s="565">
        <f>ROUND((SUMIF('2020'!$B:$B,'Свод 2021 '!$A13,('2020'!$BM:$BM))-SUMIFS('2020'!$BM:$BM,'2020'!$B:$B,'Свод 2021 '!$A13,'2020'!$G:$G,4)+SUMIF('2020'!$B:$B,'Свод 2021 '!$A13,('2020'!$CD:$CD))-SUMIFS('2020'!$CD:$CD,'2020'!$B:$B,'Свод 2021 '!$A13,'2020'!$G:$G,4))/1000,1)</f>
        <v>208336.3</v>
      </c>
      <c r="M13" s="564">
        <f t="shared" si="3"/>
        <v>4809.2</v>
      </c>
      <c r="N13" s="565">
        <f>ROUND((SUMIF('2020'!$B:$B,'Свод 2021 '!$A13,('2020'!$BB:$BB))-SUMIFS('2020'!$BB:$BB,'2020'!$B:$B,'Свод 2021 '!$A13,'2020'!$G:$G,4))/1000,1)</f>
        <v>4912.3999999999996</v>
      </c>
      <c r="O13" s="565">
        <f>ROUND((SUMIF('2020'!$B:$B,'Свод 2021 '!$A13,('2020'!$BX:$BX))-SUMIFS('2020'!$BX:$BX,'2020'!$B:$B,'Свод 2021 '!$A13,'2020'!$G:$G,4))/1000,1)</f>
        <v>9721.6</v>
      </c>
      <c r="P13" s="564">
        <f t="shared" si="4"/>
        <v>300754.5</v>
      </c>
      <c r="Q13" s="564">
        <v>24219.3</v>
      </c>
      <c r="R13" s="564">
        <f t="shared" si="0"/>
        <v>324973.8</v>
      </c>
      <c r="S13" s="564">
        <f>ROUND(P13*P$27,1)+0.1</f>
        <v>309645</v>
      </c>
      <c r="T13" s="566">
        <f t="shared" si="6"/>
        <v>333864.3</v>
      </c>
      <c r="U13" s="566">
        <f t="shared" si="7"/>
        <v>214494.76</v>
      </c>
      <c r="V13" s="566">
        <f t="shared" si="8"/>
        <v>8890.5</v>
      </c>
      <c r="W13" s="522">
        <f t="shared" si="9"/>
        <v>333864.2</v>
      </c>
      <c r="X13" s="523">
        <f t="shared" si="10"/>
        <v>8890.4</v>
      </c>
      <c r="Y13" s="460">
        <v>202030.2</v>
      </c>
      <c r="Z13" s="460"/>
      <c r="AA13" s="461">
        <v>226249.5</v>
      </c>
      <c r="AB13" s="459">
        <f t="shared" si="11"/>
        <v>107614.8</v>
      </c>
      <c r="AC13" s="391">
        <f t="shared" si="12"/>
        <v>107614.8</v>
      </c>
      <c r="AD13" s="313"/>
      <c r="AE13" s="265">
        <f t="shared" si="13"/>
        <v>1.02956</v>
      </c>
    </row>
    <row r="14" spans="1:31" ht="244.5" customHeight="1" x14ac:dyDescent="0.25">
      <c r="A14" s="6">
        <v>6</v>
      </c>
      <c r="B14" s="6"/>
      <c r="C14" s="557" t="s">
        <v>48</v>
      </c>
      <c r="D14" s="560">
        <v>3802</v>
      </c>
      <c r="E14" s="561">
        <f>SUMIF('2020'!$B:$B,'Свод 2021 '!$A14,('2020'!$P:$P))-SUMIFS('2020'!$P:$P,'2020'!$B:$B,'Свод 2021 '!$A14,'2020'!$G:$G,4)</f>
        <v>3657</v>
      </c>
      <c r="F14" s="562">
        <f t="shared" si="1"/>
        <v>-145</v>
      </c>
      <c r="G14" s="563">
        <v>468920.2</v>
      </c>
      <c r="H14" s="563">
        <v>526099.9</v>
      </c>
      <c r="I14" s="564">
        <f>ROUND((SUMIF('2020'!$B:$B,'Свод 2021 '!$A14,('2020'!$BL:$BL))-SUMIFS('2020'!$BL:$BL,'2020'!$B:$B,'Свод 2021 '!$A14,'2020'!$G:$G,4))/1000,1)</f>
        <v>368189.2</v>
      </c>
      <c r="J14" s="564">
        <f t="shared" si="2"/>
        <v>329018.5</v>
      </c>
      <c r="K14" s="565">
        <f>ROUND((SUMIF('2020'!$B:$B,'Свод 2021 '!$A14,('2020'!$AQ:$AQ))-SUMIFS('2020'!$AQ:$AQ,'2020'!$B:$B,'Свод 2021 '!$A14,'2020'!$G:$G,4)+SUMIF('2020'!$B:$B,'Свод 2021 '!$A14,('2020'!$BH:$BH))-SUMIFS('2020'!$BH:$BH,'2020'!$B:$B,'Свод 2021 '!$A14,'2020'!$G:$G,4))/1000,1)</f>
        <v>228168.2</v>
      </c>
      <c r="L14" s="565">
        <f>ROUND((SUMIF('2020'!$B:$B,'Свод 2021 '!$A14,('2020'!$BM:$BM))-SUMIFS('2020'!$BM:$BM,'2020'!$B:$B,'Свод 2021 '!$A14,'2020'!$G:$G,4)+SUMIF('2020'!$B:$B,'Свод 2021 '!$A14,('2020'!$CD:$CD))-SUMIFS('2020'!$CD:$CD,'2020'!$B:$B,'Свод 2021 '!$A14,'2020'!$G:$G,4))/1000,1)</f>
        <v>557186.69999999995</v>
      </c>
      <c r="M14" s="564">
        <f t="shared" si="3"/>
        <v>12000</v>
      </c>
      <c r="N14" s="565">
        <f>ROUND((SUMIF('2020'!$B:$B,'Свод 2021 '!$A14,('2020'!$BB:$BB))-SUMIFS('2020'!$BB:$BB,'2020'!$B:$B,'Свод 2021 '!$A14,'2020'!$G:$G,4))/1000,1)</f>
        <v>7500</v>
      </c>
      <c r="O14" s="565">
        <f>ROUND((SUMIF('2020'!$B:$B,'Свод 2021 '!$A14,('2020'!$BX:$BX))-SUMIFS('2020'!$BX:$BX,'2020'!$B:$B,'Свод 2021 '!$A14,'2020'!$G:$G,4))/1000,1)</f>
        <v>19500</v>
      </c>
      <c r="P14" s="564">
        <f t="shared" si="4"/>
        <v>709207.7</v>
      </c>
      <c r="Q14" s="564">
        <v>57179.7</v>
      </c>
      <c r="R14" s="564">
        <f t="shared" si="0"/>
        <v>766387.4</v>
      </c>
      <c r="S14" s="564">
        <f t="shared" si="5"/>
        <v>730172</v>
      </c>
      <c r="T14" s="566">
        <f t="shared" si="6"/>
        <v>787351.7</v>
      </c>
      <c r="U14" s="566">
        <f t="shared" si="7"/>
        <v>573657.25</v>
      </c>
      <c r="V14" s="566">
        <f t="shared" si="8"/>
        <v>20964.3</v>
      </c>
      <c r="W14" s="522">
        <f t="shared" si="9"/>
        <v>787351.7</v>
      </c>
      <c r="X14" s="523">
        <f t="shared" si="10"/>
        <v>20964.3</v>
      </c>
      <c r="Y14" s="460">
        <v>468920.2</v>
      </c>
      <c r="Z14" s="460"/>
      <c r="AA14" s="461">
        <v>526099.9</v>
      </c>
      <c r="AB14" s="462">
        <f t="shared" si="11"/>
        <v>261251.8</v>
      </c>
      <c r="AC14" s="391">
        <f t="shared" si="12"/>
        <v>261251.8</v>
      </c>
      <c r="AD14" s="313"/>
      <c r="AE14" s="265">
        <f t="shared" si="13"/>
        <v>1.02956</v>
      </c>
    </row>
    <row r="15" spans="1:31" ht="158.25" customHeight="1" x14ac:dyDescent="0.25">
      <c r="A15" s="6">
        <v>7</v>
      </c>
      <c r="B15" s="6"/>
      <c r="C15" s="557" t="s">
        <v>49</v>
      </c>
      <c r="D15" s="560">
        <v>1327</v>
      </c>
      <c r="E15" s="561">
        <f>SUMIF('2020'!$B:$B,'Свод 2021 '!$A15,('2020'!$P:$P))-SUMIFS('2020'!$P:$P,'2020'!$B:$B,'Свод 2021 '!$A15,'2020'!$G:$G,4)</f>
        <v>1285</v>
      </c>
      <c r="F15" s="567">
        <f t="shared" si="1"/>
        <v>-42</v>
      </c>
      <c r="G15" s="563">
        <v>138599.79999999999</v>
      </c>
      <c r="H15" s="563">
        <v>145609.29999999999</v>
      </c>
      <c r="I15" s="564">
        <f>ROUND((SUMIF('2020'!$B:$B,'Свод 2021 '!$A15,('2020'!$BL:$BL))-SUMIFS('2020'!$BL:$BL,'2020'!$B:$B,'Свод 2021 '!$A15,'2020'!$G:$G,4))/1000,1)</f>
        <v>116824</v>
      </c>
      <c r="J15" s="564">
        <f t="shared" si="2"/>
        <v>84672.9</v>
      </c>
      <c r="K15" s="565">
        <f>ROUND((SUMIF('2020'!$B:$B,'Свод 2021 '!$A15,('2020'!$AQ:$AQ))-SUMIFS('2020'!$AQ:$AQ,'2020'!$B:$B,'Свод 2021 '!$A15,'2020'!$G:$G,4)+SUMIF('2020'!$B:$B,'Свод 2021 '!$A15,('2020'!$BH:$BH))-SUMIFS('2020'!$BH:$BH,'2020'!$B:$B,'Свод 2021 '!$A15,'2020'!$G:$G,4))/1000,1)</f>
        <v>72693</v>
      </c>
      <c r="L15" s="565">
        <f>ROUND((SUMIF('2020'!$B:$B,'Свод 2021 '!$A15,('2020'!$BM:$BM))-SUMIFS('2020'!$BM:$BM,'2020'!$B:$B,'Свод 2021 '!$A15,'2020'!$G:$G,4)+SUMIF('2020'!$B:$B,'Свод 2021 '!$A15,('2020'!$CD:$CD))-SUMIFS('2020'!$CD:$CD,'2020'!$B:$B,'Свод 2021 '!$A15,'2020'!$G:$G,4))/1000,1)</f>
        <v>157365.9</v>
      </c>
      <c r="M15" s="564">
        <f t="shared" si="3"/>
        <v>4779.6000000000004</v>
      </c>
      <c r="N15" s="565">
        <f>ROUND((SUMIF('2020'!$B:$B,'Свод 2021 '!$A15,('2020'!$BB:$BB))-SUMIFS('2020'!$BB:$BB,'2020'!$B:$B,'Свод 2021 '!$A15,'2020'!$G:$G,4))/1000,1)</f>
        <v>2382.6</v>
      </c>
      <c r="O15" s="565">
        <f>ROUND((SUMIF('2020'!$B:$B,'Свод 2021 '!$A15,('2020'!$BX:$BX))-SUMIFS('2020'!$BX:$BX,'2020'!$B:$B,'Свод 2021 '!$A15,'2020'!$G:$G,4))/1000,1)</f>
        <v>7162.2</v>
      </c>
      <c r="P15" s="564">
        <f t="shared" si="4"/>
        <v>206276.5</v>
      </c>
      <c r="Q15" s="564">
        <v>7009.5</v>
      </c>
      <c r="R15" s="564">
        <f t="shared" si="0"/>
        <v>213286</v>
      </c>
      <c r="S15" s="564">
        <f t="shared" si="5"/>
        <v>212374.1</v>
      </c>
      <c r="T15" s="566">
        <f t="shared" si="6"/>
        <v>219383.6</v>
      </c>
      <c r="U15" s="566">
        <f t="shared" si="7"/>
        <v>162017.67000000001</v>
      </c>
      <c r="V15" s="566">
        <f t="shared" si="8"/>
        <v>6097.6</v>
      </c>
      <c r="W15" s="517">
        <f t="shared" si="9"/>
        <v>219383.6</v>
      </c>
      <c r="X15" s="518">
        <f t="shared" si="10"/>
        <v>6097.6</v>
      </c>
      <c r="Y15" s="460">
        <v>138599.79999999999</v>
      </c>
      <c r="Z15" s="460"/>
      <c r="AA15" s="461">
        <v>145609.29999999999</v>
      </c>
      <c r="AB15" s="462">
        <f t="shared" si="11"/>
        <v>73774.3</v>
      </c>
      <c r="AC15" s="391">
        <f t="shared" si="12"/>
        <v>73774.3</v>
      </c>
      <c r="AD15" s="313"/>
      <c r="AE15" s="265">
        <f t="shared" si="13"/>
        <v>1.02956</v>
      </c>
    </row>
    <row r="16" spans="1:31" ht="219.75" customHeight="1" x14ac:dyDescent="0.25">
      <c r="A16" s="6">
        <v>8</v>
      </c>
      <c r="B16" s="6"/>
      <c r="C16" s="557" t="s">
        <v>50</v>
      </c>
      <c r="D16" s="560">
        <v>2254</v>
      </c>
      <c r="E16" s="561">
        <f>SUMIF('2020'!$B:$B,'Свод 2021 '!$A16,('2020'!$P:$P))-SUMIFS('2020'!$P:$P,'2020'!$B:$B,'Свод 2021 '!$A16,'2020'!$G:$G,4)</f>
        <v>2590</v>
      </c>
      <c r="F16" s="562">
        <f t="shared" si="1"/>
        <v>336</v>
      </c>
      <c r="G16" s="563">
        <v>244041.5</v>
      </c>
      <c r="H16" s="563">
        <v>460044.79999999999</v>
      </c>
      <c r="I16" s="564">
        <f>ROUND((SUMIF('2020'!$B:$B,'Свод 2021 '!$A16,('2020'!$BL:$BL))-SUMIFS('2020'!$BL:$BL,'2020'!$B:$B,'Свод 2021 '!$A16,'2020'!$G:$G,4))/1000,1)</f>
        <v>305331.59999999998</v>
      </c>
      <c r="J16" s="564">
        <f t="shared" si="2"/>
        <v>96255.6</v>
      </c>
      <c r="K16" s="565">
        <f>ROUND((SUMIF('2020'!$B:$B,'Свод 2021 '!$A16,('2020'!$AQ:$AQ))-SUMIFS('2020'!$AQ:$AQ,'2020'!$B:$B,'Свод 2021 '!$A16,'2020'!$G:$G,4)+SUMIF('2020'!$B:$B,'Свод 2021 '!$A16,('2020'!$BH:$BH))-SUMIFS('2020'!$BH:$BH,'2020'!$B:$B,'Свод 2021 '!$A16,'2020'!$G:$G,4))/1000,1)</f>
        <v>190983.4</v>
      </c>
      <c r="L16" s="565">
        <f>ROUND((SUMIF('2020'!$B:$B,'Свод 2021 '!$A16,('2020'!$BM:$BM))-SUMIFS('2020'!$BM:$BM,'2020'!$B:$B,'Свод 2021 '!$A16,'2020'!$G:$G,4)+SUMIF('2020'!$B:$B,'Свод 2021 '!$A16,('2020'!$CD:$CD))-SUMIFS('2020'!$CD:$CD,'2020'!$B:$B,'Свод 2021 '!$A16,'2020'!$G:$G,4))/1000,1)</f>
        <v>287239</v>
      </c>
      <c r="M16" s="564">
        <f t="shared" si="3"/>
        <v>9223.1</v>
      </c>
      <c r="N16" s="565">
        <f>ROUND((SUMIF('2020'!$B:$B,'Свод 2021 '!$A16,('2020'!$BB:$BB))-SUMIFS('2020'!$BB:$BB,'2020'!$B:$B,'Свод 2021 '!$A16,'2020'!$G:$G,4))/1000,1)</f>
        <v>6269.9</v>
      </c>
      <c r="O16" s="565">
        <f>ROUND((SUMIF('2020'!$B:$B,'Свод 2021 '!$A16,('2020'!$BX:$BX))-SUMIFS('2020'!$BX:$BX,'2020'!$B:$B,'Свод 2021 '!$A16,'2020'!$G:$G,4))/1000,1)</f>
        <v>15493</v>
      </c>
      <c r="P16" s="564">
        <f t="shared" si="4"/>
        <v>410810.3</v>
      </c>
      <c r="Q16" s="564">
        <v>216003.3</v>
      </c>
      <c r="R16" s="564">
        <f t="shared" si="0"/>
        <v>626813.6</v>
      </c>
      <c r="S16" s="564">
        <f t="shared" si="5"/>
        <v>422953.9</v>
      </c>
      <c r="T16" s="566">
        <f t="shared" si="6"/>
        <v>638957.19999999995</v>
      </c>
      <c r="U16" s="566">
        <f t="shared" si="7"/>
        <v>295729.84000000003</v>
      </c>
      <c r="V16" s="566">
        <f t="shared" si="8"/>
        <v>12143.6</v>
      </c>
      <c r="W16" s="517">
        <f t="shared" si="9"/>
        <v>638957.19999999995</v>
      </c>
      <c r="X16" s="518">
        <f t="shared" si="10"/>
        <v>12143.6</v>
      </c>
      <c r="Y16" s="460">
        <v>244041.5</v>
      </c>
      <c r="Z16" s="460"/>
      <c r="AA16" s="461">
        <v>460044.79999999999</v>
      </c>
      <c r="AB16" s="462">
        <f t="shared" si="11"/>
        <v>178912.4</v>
      </c>
      <c r="AC16" s="391">
        <f t="shared" si="12"/>
        <v>178912.4</v>
      </c>
      <c r="AD16" s="313"/>
      <c r="AE16" s="265">
        <f t="shared" si="13"/>
        <v>1.02956</v>
      </c>
    </row>
    <row r="17" spans="1:31" ht="258.75" customHeight="1" x14ac:dyDescent="0.25">
      <c r="A17" s="6">
        <v>9</v>
      </c>
      <c r="B17" s="6"/>
      <c r="C17" s="557" t="s">
        <v>51</v>
      </c>
      <c r="D17" s="560">
        <v>3002</v>
      </c>
      <c r="E17" s="561">
        <f>SUMIF('2020'!$B:$B,'Свод 2021 '!$A17,('2020'!$P:$P))-SUMIFS('2020'!$P:$P,'2020'!$B:$B,'Свод 2021 '!$A17,'2020'!$G:$G,4)</f>
        <v>3383</v>
      </c>
      <c r="F17" s="562">
        <f t="shared" si="1"/>
        <v>381</v>
      </c>
      <c r="G17" s="563">
        <v>481257.1</v>
      </c>
      <c r="H17" s="563">
        <v>576859.19999999995</v>
      </c>
      <c r="I17" s="564">
        <f>ROUND((SUMIF('2020'!$B:$B,'Свод 2021 '!$A17,('2020'!$BL:$BL))-SUMIFS('2020'!$BL:$BL,'2020'!$B:$B,'Свод 2021 '!$A17,'2020'!$G:$G,4))/1000,1)</f>
        <v>320793.2</v>
      </c>
      <c r="J17" s="564">
        <f t="shared" si="2"/>
        <v>456926.7</v>
      </c>
      <c r="K17" s="565">
        <f>ROUND((SUMIF('2020'!$B:$B,'Свод 2021 '!$A17,('2020'!$AQ:$AQ))-SUMIFS('2020'!$AQ:$AQ,'2020'!$B:$B,'Свод 2021 '!$A17,'2020'!$G:$G,4)+SUMIF('2020'!$B:$B,'Свод 2021 '!$A17,('2020'!$BH:$BH))-SUMIFS('2020'!$BH:$BH,'2020'!$B:$B,'Свод 2021 '!$A17,'2020'!$G:$G,4))/1000,1)</f>
        <v>202359</v>
      </c>
      <c r="L17" s="565">
        <f>ROUND((SUMIF('2020'!$B:$B,'Свод 2021 '!$A17,('2020'!$BM:$BM))-SUMIFS('2020'!$BM:$BM,'2020'!$B:$B,'Свод 2021 '!$A17,'2020'!$G:$G,4)+SUMIF('2020'!$B:$B,'Свод 2021 '!$A17,('2020'!$CD:$CD))-SUMIFS('2020'!$CD:$CD,'2020'!$B:$B,'Свод 2021 '!$A17,'2020'!$G:$G,4))/1000,1)</f>
        <v>659285.69999999995</v>
      </c>
      <c r="M17" s="564">
        <f t="shared" si="3"/>
        <v>12552.2</v>
      </c>
      <c r="N17" s="565">
        <f>ROUND((SUMIF('2020'!$B:$B,'Свод 2021 '!$A17,('2020'!$BB:$BB))-SUMIFS('2020'!$BB:$BB,'2020'!$B:$B,'Свод 2021 '!$A17,'2020'!$G:$G,4))/1000,1)</f>
        <v>6634.3</v>
      </c>
      <c r="O17" s="565">
        <f>ROUND((SUMIF('2020'!$B:$B,'Свод 2021 '!$A17,('2020'!$BX:$BX))-SUMIFS('2020'!$BX:$BX,'2020'!$B:$B,'Свод 2021 '!$A17,'2020'!$G:$G,4))/1000,1)</f>
        <v>19186.5</v>
      </c>
      <c r="P17" s="564">
        <f t="shared" si="4"/>
        <v>790272.1</v>
      </c>
      <c r="Q17" s="564">
        <v>95602.2</v>
      </c>
      <c r="R17" s="564">
        <f t="shared" si="0"/>
        <v>885874.3</v>
      </c>
      <c r="S17" s="564">
        <f t="shared" si="5"/>
        <v>813632.7</v>
      </c>
      <c r="T17" s="566">
        <f t="shared" si="6"/>
        <v>909234.9</v>
      </c>
      <c r="U17" s="566">
        <f t="shared" si="7"/>
        <v>678774.32</v>
      </c>
      <c r="V17" s="566">
        <f t="shared" si="8"/>
        <v>23360.6</v>
      </c>
      <c r="W17" s="517">
        <f t="shared" si="9"/>
        <v>909234.9</v>
      </c>
      <c r="X17" s="518">
        <f t="shared" si="10"/>
        <v>23360.6</v>
      </c>
      <c r="Y17" s="460">
        <v>481257.1</v>
      </c>
      <c r="Z17" s="460"/>
      <c r="AA17" s="461">
        <v>576859.19999999995</v>
      </c>
      <c r="AB17" s="462">
        <f t="shared" si="11"/>
        <v>332375.59999999998</v>
      </c>
      <c r="AC17" s="391">
        <f t="shared" si="12"/>
        <v>332375.7</v>
      </c>
      <c r="AD17" s="313"/>
      <c r="AE17" s="265">
        <f t="shared" si="13"/>
        <v>1.02956</v>
      </c>
    </row>
    <row r="18" spans="1:31" ht="151.5" customHeight="1" x14ac:dyDescent="0.25">
      <c r="A18" s="6">
        <v>10</v>
      </c>
      <c r="B18" s="6"/>
      <c r="C18" s="557" t="s">
        <v>52</v>
      </c>
      <c r="D18" s="560">
        <v>1940</v>
      </c>
      <c r="E18" s="561">
        <f>SUMIF('2020'!$B:$B,'Свод 2021 '!$A18,('2020'!$P:$P))-SUMIFS('2020'!$P:$P,'2020'!$B:$B,'Свод 2021 '!$A18,'2020'!$G:$G,4)</f>
        <v>1975</v>
      </c>
      <c r="F18" s="562">
        <f t="shared" si="1"/>
        <v>35</v>
      </c>
      <c r="G18" s="563">
        <v>167235.1</v>
      </c>
      <c r="H18" s="563">
        <v>174881.8</v>
      </c>
      <c r="I18" s="564">
        <f>ROUND((SUMIF('2020'!$B:$B,'Свод 2021 '!$A18,('2020'!$BL:$BL))-SUMIFS('2020'!$BL:$BL,'2020'!$B:$B,'Свод 2021 '!$A18,'2020'!$G:$G,4))/1000,1)</f>
        <v>197262.2</v>
      </c>
      <c r="J18" s="564">
        <f t="shared" si="2"/>
        <v>44947.5</v>
      </c>
      <c r="K18" s="565">
        <f>ROUND((SUMIF('2020'!$B:$B,'Свод 2021 '!$A18,('2020'!$AQ:$AQ))-SUMIFS('2020'!$AQ:$AQ,'2020'!$B:$B,'Свод 2021 '!$A18,'2020'!$G:$G,4)+SUMIF('2020'!$B:$B,'Свод 2021 '!$A18,('2020'!$BH:$BH))-SUMIFS('2020'!$BH:$BH,'2020'!$B:$B,'Свод 2021 '!$A18,'2020'!$G:$G,4))/1000,1)</f>
        <v>124164.6</v>
      </c>
      <c r="L18" s="565">
        <f>ROUND((SUMIF('2020'!$B:$B,'Свод 2021 '!$A18,('2020'!$BM:$BM))-SUMIFS('2020'!$BM:$BM,'2020'!$B:$B,'Свод 2021 '!$A18,'2020'!$G:$G,4)+SUMIF('2020'!$B:$B,'Свод 2021 '!$A18,('2020'!$CD:$CD))-SUMIFS('2020'!$CD:$CD,'2020'!$B:$B,'Свод 2021 '!$A18,'2020'!$G:$G,4))/1000,1)</f>
        <v>169112.1</v>
      </c>
      <c r="M18" s="564">
        <f t="shared" si="3"/>
        <v>7879.7</v>
      </c>
      <c r="N18" s="565">
        <f>ROUND((SUMIF('2020'!$B:$B,'Свод 2021 '!$A18,('2020'!$BB:$BB))-SUMIFS('2020'!$BB:$BB,'2020'!$B:$B,'Свод 2021 '!$A18,'2020'!$G:$G,4))/1000,1)</f>
        <v>4032.6</v>
      </c>
      <c r="O18" s="565">
        <f>ROUND((SUMIF('2020'!$B:$B,'Свод 2021 '!$A18,('2020'!$BX:$BX))-SUMIFS('2020'!$BX:$BX,'2020'!$B:$B,'Свод 2021 '!$A18,'2020'!$G:$G,4))/1000,1)</f>
        <v>11912.3</v>
      </c>
      <c r="P18" s="564">
        <f t="shared" si="4"/>
        <v>250089.4</v>
      </c>
      <c r="Q18" s="564">
        <v>7646.7</v>
      </c>
      <c r="R18" s="564">
        <f t="shared" si="0"/>
        <v>257736.1</v>
      </c>
      <c r="S18" s="564">
        <f t="shared" si="5"/>
        <v>257482.1</v>
      </c>
      <c r="T18" s="566">
        <f t="shared" si="6"/>
        <v>265128.8</v>
      </c>
      <c r="U18" s="566">
        <f t="shared" si="7"/>
        <v>174111.09</v>
      </c>
      <c r="V18" s="566">
        <f t="shared" si="8"/>
        <v>7392.7</v>
      </c>
      <c r="W18" s="517">
        <f t="shared" si="9"/>
        <v>265128.8</v>
      </c>
      <c r="X18" s="518">
        <f t="shared" si="10"/>
        <v>7392.7</v>
      </c>
      <c r="Y18" s="460">
        <v>167235.1</v>
      </c>
      <c r="Z18" s="460"/>
      <c r="AA18" s="461">
        <v>174881.8</v>
      </c>
      <c r="AB18" s="459">
        <f t="shared" si="11"/>
        <v>90247</v>
      </c>
      <c r="AC18" s="391">
        <f t="shared" si="12"/>
        <v>90247</v>
      </c>
      <c r="AD18" s="313"/>
      <c r="AE18" s="265">
        <f t="shared" si="13"/>
        <v>1.02956</v>
      </c>
    </row>
    <row r="19" spans="1:31" ht="183.75" customHeight="1" x14ac:dyDescent="0.25">
      <c r="A19" s="6">
        <v>11</v>
      </c>
      <c r="B19" s="6"/>
      <c r="C19" s="557" t="s">
        <v>53</v>
      </c>
      <c r="D19" s="560">
        <v>1500</v>
      </c>
      <c r="E19" s="561">
        <f>SUMIF('2020'!$B:$B,'Свод 2021 '!$A19,('2020'!$P:$P))-SUMIFS('2020'!$P:$P,'2020'!$B:$B,'Свод 2021 '!$A19,'2020'!$G:$G,4)</f>
        <v>1534</v>
      </c>
      <c r="F19" s="562">
        <f t="shared" si="1"/>
        <v>34</v>
      </c>
      <c r="G19" s="563">
        <v>164752.6</v>
      </c>
      <c r="H19" s="563">
        <v>257629.4</v>
      </c>
      <c r="I19" s="564">
        <f>ROUND((SUMIF('2020'!$B:$B,'Свод 2021 '!$A19,('2020'!$BL:$BL))-SUMIFS('2020'!$BL:$BL,'2020'!$B:$B,'Свод 2021 '!$A19,'2020'!$G:$G,4))/1000,1)</f>
        <v>142662.6</v>
      </c>
      <c r="J19" s="564">
        <f t="shared" si="2"/>
        <v>22014.1</v>
      </c>
      <c r="K19" s="565">
        <f>ROUND((SUMIF('2020'!$B:$B,'Свод 2021 '!$A19,('2020'!$AQ:$AQ))-SUMIFS('2020'!$AQ:$AQ,'2020'!$B:$B,'Свод 2021 '!$A19,'2020'!$G:$G,4)+SUMIF('2020'!$B:$B,'Свод 2021 '!$A19,('2020'!$BH:$BH))-SUMIFS('2020'!$BH:$BH,'2020'!$B:$B,'Свод 2021 '!$A19,'2020'!$G:$G,4))/1000,1)</f>
        <v>89126.2</v>
      </c>
      <c r="L19" s="565">
        <f>ROUND((SUMIF('2020'!$B:$B,'Свод 2021 '!$A19,('2020'!$BM:$BM))-SUMIFS('2020'!$BM:$BM,'2020'!$B:$B,'Свод 2021 '!$A19,'2020'!$G:$G,4)+SUMIF('2020'!$B:$B,'Свод 2021 '!$A19,('2020'!$CD:$CD))-SUMIFS('2020'!$CD:$CD,'2020'!$B:$B,'Свод 2021 '!$A19,'2020'!$G:$G,4))/1000,1)</f>
        <v>111140.3</v>
      </c>
      <c r="M19" s="564">
        <f t="shared" si="3"/>
        <v>6443.5</v>
      </c>
      <c r="N19" s="565">
        <f>ROUND((SUMIF('2020'!$B:$B,'Свод 2021 '!$A19,('2020'!$BB:$BB))-SUMIFS('2020'!$BB:$BB,'2020'!$B:$B,'Свод 2021 '!$A19,'2020'!$G:$G,4))/1000,1)</f>
        <v>2930.2</v>
      </c>
      <c r="O19" s="565">
        <f>ROUND((SUMIF('2020'!$B:$B,'Свод 2021 '!$A19,('2020'!$BX:$BX))-SUMIFS('2020'!$BX:$BX,'2020'!$B:$B,'Свод 2021 '!$A19,'2020'!$G:$G,4))/1000,1)</f>
        <v>9373.7000000000007</v>
      </c>
      <c r="P19" s="564">
        <f t="shared" si="4"/>
        <v>171120.2</v>
      </c>
      <c r="Q19" s="564">
        <v>92876.800000000003</v>
      </c>
      <c r="R19" s="564">
        <f t="shared" si="0"/>
        <v>263997</v>
      </c>
      <c r="S19" s="564">
        <f t="shared" si="5"/>
        <v>176178.5</v>
      </c>
      <c r="T19" s="566">
        <f t="shared" si="6"/>
        <v>269055.3</v>
      </c>
      <c r="U19" s="566">
        <f t="shared" si="7"/>
        <v>114425.63</v>
      </c>
      <c r="V19" s="566">
        <f t="shared" si="8"/>
        <v>5058.3</v>
      </c>
      <c r="W19" s="517">
        <f t="shared" si="9"/>
        <v>269055.3</v>
      </c>
      <c r="X19" s="518">
        <f t="shared" si="10"/>
        <v>5058.3</v>
      </c>
      <c r="Y19" s="460">
        <v>164752.6</v>
      </c>
      <c r="Z19" s="460"/>
      <c r="AA19" s="461">
        <v>257629.4</v>
      </c>
      <c r="AB19" s="459">
        <f t="shared" si="11"/>
        <v>11425.9</v>
      </c>
      <c r="AC19" s="391">
        <f t="shared" si="12"/>
        <v>11425.9</v>
      </c>
      <c r="AD19" s="313"/>
      <c r="AE19" s="265">
        <f t="shared" si="13"/>
        <v>1.02956</v>
      </c>
    </row>
    <row r="20" spans="1:31" ht="180.75" customHeight="1" x14ac:dyDescent="0.25">
      <c r="A20" s="6">
        <v>12</v>
      </c>
      <c r="B20" s="6"/>
      <c r="C20" s="557" t="s">
        <v>54</v>
      </c>
      <c r="D20" s="560">
        <v>1951</v>
      </c>
      <c r="E20" s="561">
        <f>SUMIF('2020'!$B:$B,'Свод 2021 '!$A20,('2020'!$P:$P))-SUMIFS('2020'!$P:$P,'2020'!$B:$B,'Свод 2021 '!$A20,'2020'!$G:$G,4)</f>
        <v>1921</v>
      </c>
      <c r="F20" s="567">
        <f t="shared" si="1"/>
        <v>-30</v>
      </c>
      <c r="G20" s="563">
        <v>175589.9</v>
      </c>
      <c r="H20" s="563">
        <v>186066</v>
      </c>
      <c r="I20" s="564">
        <f>ROUND((SUMIF('2020'!$B:$B,'Свод 2021 '!$A20,('2020'!$BL:$BL))-SUMIFS('2020'!$BL:$BL,'2020'!$B:$B,'Свод 2021 '!$A20,'2020'!$G:$G,4))/1000,1)</f>
        <v>197814.3</v>
      </c>
      <c r="J20" s="564">
        <f t="shared" si="2"/>
        <v>53544.3</v>
      </c>
      <c r="K20" s="565">
        <f>ROUND((SUMIF('2020'!$B:$B,'Свод 2021 '!$A20,('2020'!$AQ:$AQ))-SUMIFS('2020'!$AQ:$AQ,'2020'!$B:$B,'Свод 2021 '!$A20,'2020'!$G:$G,4)+SUMIF('2020'!$B:$B,'Свод 2021 '!$A20,('2020'!$BH:$BH))-SUMIFS('2020'!$BH:$BH,'2020'!$B:$B,'Свод 2021 '!$A20,'2020'!$G:$G,4))/1000,1)</f>
        <v>123117.2</v>
      </c>
      <c r="L20" s="565">
        <f>ROUND((SUMIF('2020'!$B:$B,'Свод 2021 '!$A20,('2020'!$BM:$BM))-SUMIFS('2020'!$BM:$BM,'2020'!$B:$B,'Свод 2021 '!$A20,'2020'!$G:$G,4)+SUMIF('2020'!$B:$B,'Свод 2021 '!$A20,('2020'!$CD:$CD))-SUMIFS('2020'!$CD:$CD,'2020'!$B:$B,'Свод 2021 '!$A20,'2020'!$G:$G,4))/1000,1)</f>
        <v>176661.5</v>
      </c>
      <c r="M20" s="564">
        <f t="shared" si="3"/>
        <v>6029.5</v>
      </c>
      <c r="N20" s="565">
        <f>ROUND((SUMIF('2020'!$B:$B,'Свод 2021 '!$A20,('2020'!$BB:$BB))-SUMIFS('2020'!$BB:$BB,'2020'!$B:$B,'Свод 2021 '!$A20,'2020'!$G:$G,4))/1000,1)</f>
        <v>3995.4</v>
      </c>
      <c r="O20" s="565">
        <f>ROUND((SUMIF('2020'!$B:$B,'Свод 2021 '!$A20,('2020'!$BX:$BX))-SUMIFS('2020'!$BX:$BX,'2020'!$B:$B,'Свод 2021 '!$A20,'2020'!$G:$G,4))/1000,1)</f>
        <v>10024.9</v>
      </c>
      <c r="P20" s="564">
        <f t="shared" si="4"/>
        <v>257388.1</v>
      </c>
      <c r="Q20" s="564">
        <v>10476.1</v>
      </c>
      <c r="R20" s="564">
        <f t="shared" si="0"/>
        <v>267864.2</v>
      </c>
      <c r="S20" s="564">
        <f t="shared" si="5"/>
        <v>264996.5</v>
      </c>
      <c r="T20" s="566">
        <f t="shared" si="6"/>
        <v>275472.59999999998</v>
      </c>
      <c r="U20" s="566">
        <f t="shared" si="7"/>
        <v>181883.65</v>
      </c>
      <c r="V20" s="566">
        <f t="shared" si="8"/>
        <v>7608.4</v>
      </c>
      <c r="W20" s="517">
        <f t="shared" si="9"/>
        <v>275472.59999999998</v>
      </c>
      <c r="X20" s="518">
        <f t="shared" si="10"/>
        <v>7608.4</v>
      </c>
      <c r="Y20" s="460">
        <v>175589.9</v>
      </c>
      <c r="Z20" s="460"/>
      <c r="AA20" s="461">
        <v>186066</v>
      </c>
      <c r="AB20" s="462">
        <f t="shared" si="11"/>
        <v>89406.6</v>
      </c>
      <c r="AC20" s="391">
        <f t="shared" si="12"/>
        <v>89406.6</v>
      </c>
      <c r="AD20" s="313"/>
      <c r="AE20" s="265">
        <f t="shared" si="13"/>
        <v>1.02956</v>
      </c>
    </row>
    <row r="21" spans="1:31" ht="162" customHeight="1" x14ac:dyDescent="0.25">
      <c r="A21" s="6">
        <v>13</v>
      </c>
      <c r="B21" s="6"/>
      <c r="C21" s="557" t="s">
        <v>55</v>
      </c>
      <c r="D21" s="560">
        <v>754</v>
      </c>
      <c r="E21" s="561">
        <f>SUMIF('2020'!$B:$B,'Свод 2021 '!$A21,('2020'!$P:$P))-SUMIFS('2020'!$P:$P,'2020'!$B:$B,'Свод 2021 '!$A21,'2020'!$G:$G,4)</f>
        <v>848</v>
      </c>
      <c r="F21" s="562">
        <f t="shared" si="1"/>
        <v>94</v>
      </c>
      <c r="G21" s="563">
        <v>59181.8</v>
      </c>
      <c r="H21" s="563">
        <v>147961.4</v>
      </c>
      <c r="I21" s="564">
        <f>ROUND((SUMIF('2020'!$B:$B,'Свод 2021 '!$A21,('2020'!$BL:$BL))-SUMIFS('2020'!$BL:$BL,'2020'!$B:$B,'Свод 2021 '!$A21,'2020'!$G:$G,4))/1000,1)</f>
        <v>76108.399999999994</v>
      </c>
      <c r="J21" s="564">
        <f t="shared" si="2"/>
        <v>22031.599999999999</v>
      </c>
      <c r="K21" s="565">
        <f>ROUND((SUMIF('2020'!$B:$B,'Свод 2021 '!$A21,('2020'!$AQ:$AQ))-SUMIFS('2020'!$AQ:$AQ,'2020'!$B:$B,'Свод 2021 '!$A21,'2020'!$G:$G,4)+SUMIF('2020'!$B:$B,'Свод 2021 '!$A21,('2020'!$BH:$BH))-SUMIFS('2020'!$BH:$BH,'2020'!$B:$B,'Свод 2021 '!$A21,'2020'!$G:$G,4))/1000,1)</f>
        <v>47379.8</v>
      </c>
      <c r="L21" s="565">
        <f>ROUND((SUMIF('2020'!$B:$B,'Свод 2021 '!$A21,('2020'!$BM:$BM))-SUMIFS('2020'!$BM:$BM,'2020'!$B:$B,'Свод 2021 '!$A21,'2020'!$G:$G,4)+SUMIF('2020'!$B:$B,'Свод 2021 '!$A21,('2020'!$CD:$CD))-SUMIFS('2020'!$CD:$CD,'2020'!$B:$B,'Свод 2021 '!$A21,'2020'!$G:$G,4))/1000,1)</f>
        <v>69411.399999999994</v>
      </c>
      <c r="M21" s="564">
        <f t="shared" si="3"/>
        <v>2638.4</v>
      </c>
      <c r="N21" s="565">
        <f>ROUND((SUMIF('2020'!$B:$B,'Свод 2021 '!$A21,('2020'!$BB:$BB))-SUMIFS('2020'!$BB:$BB,'2020'!$B:$B,'Свод 2021 '!$A21,'2020'!$G:$G,4))/1000,1)</f>
        <v>1557.5</v>
      </c>
      <c r="O21" s="565">
        <f>ROUND((SUMIF('2020'!$B:$B,'Свод 2021 '!$A21,('2020'!$BX:$BX))-SUMIFS('2020'!$BX:$BX,'2020'!$B:$B,'Свод 2021 '!$A21,'2020'!$G:$G,4))/1000,1)</f>
        <v>4195.8999999999996</v>
      </c>
      <c r="P21" s="564">
        <f t="shared" si="4"/>
        <v>100778.4</v>
      </c>
      <c r="Q21" s="564">
        <v>88779.6</v>
      </c>
      <c r="R21" s="564">
        <f t="shared" si="0"/>
        <v>189558</v>
      </c>
      <c r="S21" s="564">
        <f t="shared" si="5"/>
        <v>103757.4</v>
      </c>
      <c r="T21" s="566">
        <f t="shared" si="6"/>
        <v>192537</v>
      </c>
      <c r="U21" s="566">
        <f t="shared" si="7"/>
        <v>71463.210000000006</v>
      </c>
      <c r="V21" s="566">
        <f t="shared" si="8"/>
        <v>2979</v>
      </c>
      <c r="W21" s="517">
        <f t="shared" si="9"/>
        <v>192537</v>
      </c>
      <c r="X21" s="518">
        <f t="shared" si="10"/>
        <v>2979</v>
      </c>
      <c r="Y21" s="460">
        <v>59181.8</v>
      </c>
      <c r="Z21" s="460"/>
      <c r="AA21" s="461">
        <v>147961.4</v>
      </c>
      <c r="AB21" s="462">
        <f t="shared" si="11"/>
        <v>44575.6</v>
      </c>
      <c r="AC21" s="391">
        <f t="shared" si="12"/>
        <v>44575.6</v>
      </c>
      <c r="AD21" s="313"/>
      <c r="AE21" s="265">
        <f t="shared" si="13"/>
        <v>1.02956</v>
      </c>
    </row>
    <row r="22" spans="1:31" ht="150.75" customHeight="1" x14ac:dyDescent="0.25">
      <c r="A22" s="6">
        <v>14</v>
      </c>
      <c r="B22" s="6"/>
      <c r="C22" s="557" t="s">
        <v>56</v>
      </c>
      <c r="D22" s="560">
        <v>481</v>
      </c>
      <c r="E22" s="561">
        <f>SUMIF('2020'!$B:$B,'Свод 2021 '!$A22,('2020'!$P:$P))-SUMIFS('2020'!$P:$P,'2020'!$B:$B,'Свод 2021 '!$A22,'2020'!$G:$G,4)</f>
        <v>565</v>
      </c>
      <c r="F22" s="562">
        <f t="shared" si="1"/>
        <v>84</v>
      </c>
      <c r="G22" s="563">
        <v>66782.5</v>
      </c>
      <c r="H22" s="563">
        <v>70810.2</v>
      </c>
      <c r="I22" s="564">
        <f>ROUND((SUMIF('2020'!$B:$B,'Свод 2021 '!$A22,('2020'!$BL:$BL))-SUMIFS('2020'!$BL:$BL,'2020'!$B:$B,'Свод 2021 '!$A22,'2020'!$G:$G,4))/1000,1)</f>
        <v>48406.1</v>
      </c>
      <c r="J22" s="564">
        <f t="shared" si="2"/>
        <v>58656.9</v>
      </c>
      <c r="K22" s="565">
        <f>ROUND((SUMIF('2020'!$B:$B,'Свод 2021 '!$A22,('2020'!$AQ:$AQ))-SUMIFS('2020'!$AQ:$AQ,'2020'!$B:$B,'Свод 2021 '!$A22,'2020'!$G:$G,4)+SUMIF('2020'!$B:$B,'Свод 2021 '!$A22,('2020'!$BH:$BH))-SUMIFS('2020'!$BH:$BH,'2020'!$B:$B,'Свод 2021 '!$A22,'2020'!$G:$G,4))/1000,1)</f>
        <v>30266.7</v>
      </c>
      <c r="L22" s="565">
        <f>ROUND((SUMIF('2020'!$B:$B,'Свод 2021 '!$A22,('2020'!$BM:$BM))-SUMIFS('2020'!$BM:$BM,'2020'!$B:$B,'Свод 2021 '!$A22,'2020'!$G:$G,4)+SUMIF('2020'!$B:$B,'Свод 2021 '!$A22,('2020'!$CD:$CD))-SUMIFS('2020'!$CD:$CD,'2020'!$B:$B,'Свод 2021 '!$A22,'2020'!$G:$G,4))/1000,1)</f>
        <v>88923.6</v>
      </c>
      <c r="M22" s="564">
        <f t="shared" si="3"/>
        <v>11481.8</v>
      </c>
      <c r="N22" s="565">
        <f>ROUND((SUMIF('2020'!$B:$B,'Свод 2021 '!$A22,('2020'!$BB:$BB))-SUMIFS('2020'!$BB:$BB,'2020'!$B:$B,'Свод 2021 '!$A22,'2020'!$G:$G,4))/1000,1)</f>
        <v>992</v>
      </c>
      <c r="O22" s="565">
        <f>ROUND((SUMIF('2020'!$B:$B,'Свод 2021 '!$A22,('2020'!$BX:$BX))-SUMIFS('2020'!$BX:$BX,'2020'!$B:$B,'Свод 2021 '!$A22,'2020'!$G:$G,4))/1000,1)</f>
        <v>12473.8</v>
      </c>
      <c r="P22" s="564">
        <f t="shared" si="4"/>
        <v>118544.8</v>
      </c>
      <c r="Q22" s="564">
        <v>4027.7</v>
      </c>
      <c r="R22" s="564">
        <f t="shared" si="0"/>
        <v>122572.5</v>
      </c>
      <c r="S22" s="564">
        <f t="shared" si="5"/>
        <v>122049</v>
      </c>
      <c r="T22" s="566">
        <f t="shared" si="6"/>
        <v>126076.7</v>
      </c>
      <c r="U22" s="566">
        <f>L22*P$27</f>
        <v>91552.2</v>
      </c>
      <c r="V22" s="566">
        <f t="shared" si="8"/>
        <v>3504.2</v>
      </c>
      <c r="W22" s="517">
        <f t="shared" si="9"/>
        <v>126076.7</v>
      </c>
      <c r="X22" s="518">
        <f t="shared" si="10"/>
        <v>3504.2</v>
      </c>
      <c r="Y22" s="460">
        <v>66782.5</v>
      </c>
      <c r="Z22" s="460"/>
      <c r="AA22" s="461">
        <v>70810.2</v>
      </c>
      <c r="AB22" s="462">
        <f t="shared" si="11"/>
        <v>55266.5</v>
      </c>
      <c r="AC22" s="391">
        <f t="shared" si="12"/>
        <v>55266.5</v>
      </c>
      <c r="AD22" s="313"/>
      <c r="AE22" s="265">
        <f t="shared" si="13"/>
        <v>1.02956</v>
      </c>
    </row>
    <row r="23" spans="1:31" ht="69.75" customHeight="1" x14ac:dyDescent="0.25">
      <c r="A23" s="56">
        <v>100</v>
      </c>
      <c r="B23" s="56"/>
      <c r="C23" s="558" t="s">
        <v>28</v>
      </c>
      <c r="D23" s="560">
        <v>9</v>
      </c>
      <c r="E23" s="561">
        <f>SUMIF('2020'!$B:$B,'Свод 2021 '!$A23,('2020'!$P:$P))-SUMIFS('2020'!$P:$P,'2020'!$B:$B,'Свод 2021 '!$A23,'2020'!$G:$G,4)</f>
        <v>19</v>
      </c>
      <c r="F23" s="562">
        <f t="shared" si="1"/>
        <v>10</v>
      </c>
      <c r="G23" s="563">
        <v>2177.6999999999998</v>
      </c>
      <c r="H23" s="563">
        <v>2177.6999999999998</v>
      </c>
      <c r="I23" s="564">
        <f>ROUND((SUMIF('2020'!$B:$B,'Свод 2021 '!$A23,('2020'!$BL:$BL))-SUMIFS('2020'!$BL:$BL,'2020'!$B:$B,'Свод 2021 '!$A23,'2020'!$G:$G,4))/1000,1)</f>
        <v>2567.8000000000002</v>
      </c>
      <c r="J23" s="564">
        <f>L23-K23</f>
        <v>4144.8</v>
      </c>
      <c r="K23" s="565">
        <f>ROUND((SUMIF('2020'!$B:$B,'Свод 2021 '!$A23,('2020'!$AQ:$AQ))-SUMIFS('2020'!$AQ:$AQ,'2020'!$B:$B,'Свод 2021 '!$A23,'2020'!$G:$G,4)+SUMIF('2020'!$B:$B,'Свод 2021 '!$A23,('2020'!$BH:$BH))-SUMIFS('2020'!$BH:$BH,'2020'!$B:$B,'Свод 2021 '!$A23,'2020'!$G:$G,4))/1000,1)</f>
        <v>1745.9</v>
      </c>
      <c r="L23" s="565">
        <f>ROUND((SUMIF('2020'!$B:$B,'Свод 2021 '!$A23,('2020'!$BM:$BM))-SUMIFS('2020'!$BM:$BM,'2020'!$B:$B,'Свод 2021 '!$A23,'2020'!$G:$G,4)+SUMIF('2020'!$B:$B,'Свод 2021 '!$A23,('2020'!$CD:$CD))-SUMIFS('2020'!$CD:$CD,'2020'!$B:$B,'Свод 2021 '!$A23,'2020'!$G:$G,4))/1000,1)</f>
        <v>5890.7</v>
      </c>
      <c r="M23" s="564">
        <f>O23-N23</f>
        <v>95.4</v>
      </c>
      <c r="N23" s="565">
        <f>ROUND((SUMIF('2020'!$B:$B,'Свод 2021 '!$A23,('2020'!$BB:$BB))-SUMIFS('2020'!$BB:$BB,'2020'!$B:$B,'Свод 2021 '!$A23,'2020'!$G:$G,4))/1000,1)</f>
        <v>50.5</v>
      </c>
      <c r="O23" s="565">
        <f>ROUND((SUMIF('2020'!$B:$B,'Свод 2021 '!$A23,('2020'!$BX:$BX))-SUMIFS('2020'!$BX:$BX,'2020'!$B:$B,'Свод 2021 '!$A23,'2020'!$G:$G,4))/1000,1)</f>
        <v>145.9</v>
      </c>
      <c r="P23" s="564">
        <f t="shared" si="4"/>
        <v>6808</v>
      </c>
      <c r="Q23" s="564">
        <v>0</v>
      </c>
      <c r="R23" s="564">
        <f t="shared" si="0"/>
        <v>6808</v>
      </c>
      <c r="S23" s="564">
        <f t="shared" si="5"/>
        <v>7009.2</v>
      </c>
      <c r="T23" s="566">
        <f t="shared" si="6"/>
        <v>7009.2</v>
      </c>
      <c r="U23" s="566">
        <f t="shared" si="7"/>
        <v>6064.83</v>
      </c>
      <c r="V23" s="566">
        <f t="shared" si="8"/>
        <v>201.2</v>
      </c>
      <c r="W23" s="517">
        <f t="shared" si="9"/>
        <v>7009.2</v>
      </c>
      <c r="X23" s="518">
        <f t="shared" si="10"/>
        <v>201.2</v>
      </c>
      <c r="Y23" s="460">
        <v>2177.6999999999998</v>
      </c>
      <c r="Z23" s="460"/>
      <c r="AA23" s="461">
        <v>2177.6999999999998</v>
      </c>
      <c r="AB23" s="462">
        <f t="shared" si="11"/>
        <v>4831.5</v>
      </c>
      <c r="AC23" s="391">
        <f t="shared" si="12"/>
        <v>4831.5</v>
      </c>
      <c r="AD23" s="313"/>
      <c r="AE23" s="265">
        <f t="shared" si="13"/>
        <v>1.0295529999999999</v>
      </c>
    </row>
    <row r="24" spans="1:31" ht="69.75" customHeight="1" x14ac:dyDescent="0.25">
      <c r="A24" s="56">
        <v>0</v>
      </c>
      <c r="B24" s="56"/>
      <c r="C24" s="558" t="s">
        <v>24</v>
      </c>
      <c r="D24" s="560">
        <v>7</v>
      </c>
      <c r="E24" s="561">
        <f>SUMIF('2020'!$B:$B,'Свод 2021 '!$A24,('2020'!$P:$P))-SUMIFS('2020'!$P:$P,'2020'!$B:$B,'Свод 2021 '!$A24,'2020'!$G:$G,4)</f>
        <v>9</v>
      </c>
      <c r="F24" s="562">
        <f t="shared" si="1"/>
        <v>2</v>
      </c>
      <c r="G24" s="563">
        <v>1299.8</v>
      </c>
      <c r="H24" s="563">
        <v>1299.8</v>
      </c>
      <c r="I24" s="564">
        <f>ROUND((SUMIF('2020'!$B:$B,'Свод 2021 '!$A24,('2020'!$BL:$BL))-SUMIFS('2020'!$BL:$BL,'2020'!$B:$B,'Свод 2021 '!$A24,'2020'!$G:$G,4))/1000,1)</f>
        <v>1263.4000000000001</v>
      </c>
      <c r="J24" s="564">
        <f>L24-K24</f>
        <v>1200</v>
      </c>
      <c r="K24" s="565">
        <f>ROUND((SUMIF('2020'!$B:$B,'Свод 2021 '!$A24,('2020'!$AQ:$AQ))-SUMIFS('2020'!$AQ:$AQ,'2020'!$B:$B,'Свод 2021 '!$A24,'2020'!$G:$G,4)+SUMIF('2020'!$B:$B,'Свод 2021 '!$A24,('2020'!$BH:$BH))-SUMIFS('2020'!$BH:$BH,'2020'!$B:$B,'Свод 2021 '!$A24,'2020'!$G:$G,4))/1000,1)</f>
        <v>827</v>
      </c>
      <c r="L24" s="565">
        <f>ROUND((SUMIF('2020'!$B:$B,'Свод 2021 '!$A24,('2020'!$BM:$BM))-SUMIFS('2020'!$BM:$BM,'2020'!$B:$B,'Свод 2021 '!$A24,'2020'!$G:$G,4)+SUMIF('2020'!$B:$B,'Свод 2021 '!$A24,('2020'!$CD:$CD))-SUMIFS('2020'!$CD:$CD,'2020'!$B:$B,'Свод 2021 '!$A24,'2020'!$G:$G,4))/1000,1)</f>
        <v>2027</v>
      </c>
      <c r="M24" s="564">
        <f>O24-N24</f>
        <v>38.9</v>
      </c>
      <c r="N24" s="565">
        <f>ROUND((SUMIF('2020'!$B:$B,'Свод 2021 '!$A24,('2020'!$BB:$BB))-SUMIFS('2020'!$BB:$BB,'2020'!$B:$B,'Свод 2021 '!$A24,'2020'!$G:$G,4))/1000,1)</f>
        <v>24.3</v>
      </c>
      <c r="O24" s="565">
        <f>ROUND((SUMIF('2020'!$B:$B,'Свод 2021 '!$A24,('2020'!$BX:$BX))-SUMIFS('2020'!$BX:$BX,'2020'!$B:$B,'Свод 2021 '!$A24,'2020'!$G:$G,4))/1000,1)</f>
        <v>63.2</v>
      </c>
      <c r="P24" s="564">
        <f t="shared" si="4"/>
        <v>2502.3000000000002</v>
      </c>
      <c r="Q24" s="564">
        <v>0</v>
      </c>
      <c r="R24" s="564">
        <f t="shared" si="0"/>
        <v>2502.3000000000002</v>
      </c>
      <c r="S24" s="564">
        <f t="shared" si="5"/>
        <v>2576.3000000000002</v>
      </c>
      <c r="T24" s="566">
        <f t="shared" si="6"/>
        <v>2576.3000000000002</v>
      </c>
      <c r="U24" s="566">
        <f>L24*P$27</f>
        <v>2086.92</v>
      </c>
      <c r="V24" s="566">
        <f t="shared" si="8"/>
        <v>74</v>
      </c>
      <c r="W24" s="517">
        <f t="shared" si="9"/>
        <v>2576.3000000000002</v>
      </c>
      <c r="X24" s="518">
        <f t="shared" si="10"/>
        <v>74</v>
      </c>
      <c r="Y24" s="460">
        <v>1299.8</v>
      </c>
      <c r="Z24" s="460"/>
      <c r="AA24" s="461">
        <v>1299.8</v>
      </c>
      <c r="AB24" s="462">
        <f t="shared" si="11"/>
        <v>1276.5</v>
      </c>
      <c r="AC24" s="391">
        <f t="shared" si="12"/>
        <v>1276.5</v>
      </c>
      <c r="AD24" s="313"/>
      <c r="AE24" s="265">
        <f t="shared" si="13"/>
        <v>1.0295730000000001</v>
      </c>
    </row>
    <row r="25" spans="1:31" ht="80.25" customHeight="1" x14ac:dyDescent="0.25">
      <c r="A25" s="8"/>
      <c r="B25" s="8"/>
      <c r="C25" s="558" t="s">
        <v>57</v>
      </c>
      <c r="D25" s="568">
        <f>SUM(D9:D24)</f>
        <v>22931</v>
      </c>
      <c r="E25" s="561">
        <f>SUM(E9:E24)</f>
        <v>23827</v>
      </c>
      <c r="F25" s="562">
        <f t="shared" si="1"/>
        <v>896</v>
      </c>
      <c r="G25" s="569">
        <f>SUM(G9:G24)</f>
        <v>2448848</v>
      </c>
      <c r="H25" s="569">
        <f>SUM(H9:H24)</f>
        <v>3087395.2</v>
      </c>
      <c r="I25" s="564">
        <f t="shared" ref="I25:X25" si="14">SUM(I9:I24)</f>
        <v>2326335.9</v>
      </c>
      <c r="J25" s="564">
        <f t="shared" si="14"/>
        <v>1310053.5</v>
      </c>
      <c r="K25" s="565">
        <f t="shared" si="14"/>
        <v>1454470.6</v>
      </c>
      <c r="L25" s="565">
        <f t="shared" si="14"/>
        <v>2764524.1</v>
      </c>
      <c r="M25" s="564">
        <f t="shared" si="14"/>
        <v>87776.7</v>
      </c>
      <c r="N25" s="565">
        <f t="shared" si="14"/>
        <v>47651.5</v>
      </c>
      <c r="O25" s="565">
        <f t="shared" si="14"/>
        <v>135428.20000000001</v>
      </c>
      <c r="P25" s="564">
        <f t="shared" si="4"/>
        <v>3724166.1</v>
      </c>
      <c r="Q25" s="564">
        <f t="shared" si="14"/>
        <v>638547.30000000005</v>
      </c>
      <c r="R25" s="566">
        <f t="shared" si="14"/>
        <v>4362713.4000000004</v>
      </c>
      <c r="S25" s="566">
        <f t="shared" si="14"/>
        <v>3834253.2</v>
      </c>
      <c r="T25" s="566">
        <f t="shared" si="14"/>
        <v>4472800.5</v>
      </c>
      <c r="U25" s="566">
        <f>SUM(U9:U24)</f>
        <v>2846243.99</v>
      </c>
      <c r="V25" s="566">
        <f t="shared" si="14"/>
        <v>110087.1</v>
      </c>
      <c r="W25" s="517">
        <f t="shared" si="14"/>
        <v>4472800.4000000004</v>
      </c>
      <c r="X25" s="518">
        <f t="shared" si="14"/>
        <v>110087</v>
      </c>
      <c r="Y25" s="463">
        <f>SUM(Y9:Y24)</f>
        <v>2448848</v>
      </c>
      <c r="Z25" s="463"/>
      <c r="AA25" s="464">
        <f>SUM(AA9:AA24)</f>
        <v>3087395.2</v>
      </c>
      <c r="AB25" s="465">
        <f t="shared" si="11"/>
        <v>1385405.2</v>
      </c>
      <c r="AC25" s="392">
        <f t="shared" si="12"/>
        <v>1385405.3</v>
      </c>
      <c r="AD25" s="313"/>
      <c r="AE25" s="265">
        <f t="shared" si="13"/>
        <v>1.02956</v>
      </c>
    </row>
    <row r="26" spans="1:31" ht="121.5" x14ac:dyDescent="0.8">
      <c r="C26" s="556" t="s">
        <v>138</v>
      </c>
      <c r="D26" s="570"/>
      <c r="E26" s="571"/>
      <c r="F26" s="571"/>
      <c r="G26" s="571"/>
      <c r="H26" s="571"/>
      <c r="I26" s="572"/>
      <c r="J26" s="572"/>
      <c r="K26" s="573">
        <v>2020</v>
      </c>
      <c r="L26" s="574"/>
      <c r="M26" s="771">
        <v>2021</v>
      </c>
      <c r="N26" s="575"/>
      <c r="O26" s="576" t="s">
        <v>138</v>
      </c>
      <c r="P26" s="577">
        <v>3834253.2</v>
      </c>
      <c r="Q26" s="578">
        <v>638547.30000000005</v>
      </c>
      <c r="R26" s="579">
        <f>P26+Q26</f>
        <v>4472800.5</v>
      </c>
      <c r="S26" s="579">
        <f>P26</f>
        <v>3834253.2</v>
      </c>
      <c r="T26" s="579">
        <f>R26</f>
        <v>4472800.5</v>
      </c>
      <c r="U26" s="579">
        <f>L26</f>
        <v>0</v>
      </c>
      <c r="V26" s="566"/>
      <c r="W26" s="519"/>
      <c r="X26" s="518"/>
      <c r="Y26" s="460"/>
      <c r="Z26" s="460"/>
      <c r="AA26" s="466"/>
      <c r="AB26" s="466"/>
      <c r="AC26" s="379"/>
      <c r="AD26" s="313"/>
    </row>
    <row r="27" spans="1:31" ht="182.25" x14ac:dyDescent="0.85">
      <c r="C27" s="467"/>
      <c r="D27" s="580"/>
      <c r="E27" s="571"/>
      <c r="F27" s="571"/>
      <c r="G27" s="571"/>
      <c r="H27" s="571"/>
      <c r="I27" s="572"/>
      <c r="J27" s="572"/>
      <c r="K27" s="573"/>
      <c r="L27" s="574"/>
      <c r="M27" s="771"/>
      <c r="N27" s="575"/>
      <c r="O27" s="575"/>
      <c r="P27" s="581">
        <f>P26/P25</f>
        <v>1.0295602014</v>
      </c>
      <c r="Q27" s="582" t="s">
        <v>139</v>
      </c>
      <c r="R27" s="577">
        <f>R26-R25</f>
        <v>110087.1</v>
      </c>
      <c r="S27" s="577"/>
      <c r="T27" s="583"/>
      <c r="U27" s="584"/>
      <c r="V27" s="583"/>
      <c r="W27" s="520">
        <f>(R26-Q25)/(R25-Q25)</f>
        <v>1.02956020141</v>
      </c>
      <c r="X27" s="521"/>
      <c r="Y27" s="466"/>
      <c r="Z27" s="466"/>
      <c r="AA27" s="466"/>
      <c r="AB27" s="466"/>
      <c r="AC27" s="379"/>
      <c r="AD27" s="313"/>
    </row>
    <row r="28" spans="1:31" ht="30.75" hidden="1" x14ac:dyDescent="0.45">
      <c r="A28" s="11">
        <v>100</v>
      </c>
      <c r="B28" s="11"/>
      <c r="C28" s="468" t="s">
        <v>28</v>
      </c>
      <c r="D28" s="468"/>
      <c r="E28" s="469">
        <f>SUMIF('2020'!$B:$B,'Свод 2021 '!$A28,('2020'!$P:$P))-SUMIFS('2020'!$P:$P,'2020'!$B:$B,'Свод 2021 '!$A28,'2020'!$G:$G,4)</f>
        <v>19</v>
      </c>
      <c r="F28" s="469"/>
      <c r="G28" s="469"/>
      <c r="H28" s="469"/>
      <c r="I28" s="470">
        <f>SUMIF('2020'!$B:$B,'Свод 2021 '!$A28,('2020'!$BL:$BL))-SUMIFS('2020'!$BL:$BL,'2020'!$B:$B,'Свод 2021 '!$A28,'2020'!$G:$G,4)</f>
        <v>2567820</v>
      </c>
      <c r="J28" s="470"/>
      <c r="K28" s="471"/>
      <c r="L28" s="472"/>
      <c r="M28" s="473"/>
      <c r="N28" s="471"/>
      <c r="O28" s="471"/>
      <c r="P28" s="471"/>
      <c r="Q28" s="474"/>
      <c r="R28" s="475"/>
      <c r="S28" s="476"/>
      <c r="T28" s="477"/>
      <c r="U28" s="478"/>
      <c r="V28" s="477"/>
      <c r="W28" s="471"/>
      <c r="X28" s="479">
        <f>W28-R28</f>
        <v>0</v>
      </c>
      <c r="Y28" s="480"/>
      <c r="Z28" s="480"/>
      <c r="AA28" s="480"/>
      <c r="AB28" s="480"/>
      <c r="AC28" s="380"/>
      <c r="AD28" s="312"/>
    </row>
    <row r="29" spans="1:31" ht="30.75" hidden="1" x14ac:dyDescent="0.45">
      <c r="A29" s="11">
        <v>0</v>
      </c>
      <c r="B29" s="11"/>
      <c r="C29" s="468" t="s">
        <v>24</v>
      </c>
      <c r="D29" s="468"/>
      <c r="E29" s="469">
        <f>SUMIF('2020'!$B:$B,'Свод 2021 '!$A29,('2020'!$P:$P))-SUMIFS('2020'!$P:$P,'2020'!$B:$B,'Свод 2021 '!$A29,'2020'!$G:$G,4)</f>
        <v>9</v>
      </c>
      <c r="F29" s="469"/>
      <c r="G29" s="469"/>
      <c r="H29" s="469"/>
      <c r="I29" s="470">
        <f>SUMIF('2020'!$B:$B,'Свод 2021 '!$A29,('2020'!$BL:$BL))-SUMIFS('2020'!$BL:$BL,'2020'!$B:$B,'Свод 2021 '!$A29,'2020'!$G:$G,4)</f>
        <v>1263420</v>
      </c>
      <c r="J29" s="470"/>
      <c r="K29" s="471"/>
      <c r="L29" s="472"/>
      <c r="M29" s="473"/>
      <c r="N29" s="471"/>
      <c r="O29" s="471"/>
      <c r="P29" s="471"/>
      <c r="Q29" s="474"/>
      <c r="R29" s="475"/>
      <c r="S29" s="476"/>
      <c r="T29" s="477"/>
      <c r="U29" s="478"/>
      <c r="V29" s="477"/>
      <c r="W29" s="471"/>
      <c r="X29" s="481">
        <f>W29-R29</f>
        <v>0</v>
      </c>
      <c r="Y29" s="480"/>
      <c r="Z29" s="480"/>
      <c r="AA29" s="480"/>
      <c r="AB29" s="480"/>
      <c r="AC29" s="380"/>
      <c r="AD29" s="312"/>
    </row>
    <row r="30" spans="1:31" s="44" customFormat="1" ht="30.75" hidden="1" x14ac:dyDescent="0.45">
      <c r="A30" s="41"/>
      <c r="B30" s="41"/>
      <c r="C30" s="482" t="s">
        <v>57</v>
      </c>
      <c r="D30" s="482"/>
      <c r="E30" s="483">
        <f>E29+E28</f>
        <v>28</v>
      </c>
      <c r="F30" s="483"/>
      <c r="G30" s="483"/>
      <c r="H30" s="483"/>
      <c r="I30" s="483">
        <f>I29+I28</f>
        <v>3831240</v>
      </c>
      <c r="J30" s="483"/>
      <c r="K30" s="483"/>
      <c r="L30" s="484"/>
      <c r="M30" s="485"/>
      <c r="N30" s="483"/>
      <c r="O30" s="483"/>
      <c r="P30" s="483"/>
      <c r="Q30" s="486"/>
      <c r="R30" s="487"/>
      <c r="S30" s="488"/>
      <c r="T30" s="489"/>
      <c r="U30" s="490"/>
      <c r="V30" s="489"/>
      <c r="W30" s="483"/>
      <c r="X30" s="491">
        <f>W30-R30</f>
        <v>0</v>
      </c>
      <c r="Y30" s="492"/>
      <c r="Z30" s="492"/>
      <c r="AA30" s="492"/>
      <c r="AB30" s="492"/>
      <c r="AC30" s="381"/>
      <c r="AD30" s="312"/>
    </row>
    <row r="31" spans="1:31" s="44" customFormat="1" ht="30.75" hidden="1" x14ac:dyDescent="0.45">
      <c r="A31" s="67"/>
      <c r="B31" s="67"/>
      <c r="C31" s="493"/>
      <c r="D31" s="493"/>
      <c r="E31" s="494"/>
      <c r="F31" s="494"/>
      <c r="G31" s="494"/>
      <c r="H31" s="494"/>
      <c r="I31" s="494"/>
      <c r="J31" s="494"/>
      <c r="K31" s="494"/>
      <c r="L31" s="494"/>
      <c r="M31" s="772">
        <v>2020</v>
      </c>
      <c r="N31" s="483"/>
      <c r="O31" s="483"/>
      <c r="P31" s="495">
        <f>4167213.3-Q26-954651.8</f>
        <v>2574014.2000000002</v>
      </c>
      <c r="Q31" s="496">
        <v>638547.30000000005</v>
      </c>
      <c r="R31" s="497">
        <f>P31+Q31</f>
        <v>3212561.5</v>
      </c>
      <c r="S31" s="498"/>
      <c r="T31" s="499"/>
      <c r="U31" s="500"/>
      <c r="V31" s="499"/>
      <c r="W31" s="494"/>
      <c r="X31" s="501"/>
      <c r="Y31" s="492"/>
      <c r="Z31" s="492"/>
      <c r="AA31" s="492"/>
      <c r="AB31" s="492"/>
      <c r="AC31" s="381"/>
      <c r="AD31" s="312"/>
    </row>
    <row r="32" spans="1:31" s="44" customFormat="1" ht="30.75" hidden="1" x14ac:dyDescent="0.45">
      <c r="A32" s="67"/>
      <c r="B32" s="67"/>
      <c r="C32" s="493"/>
      <c r="D32" s="493"/>
      <c r="E32" s="494"/>
      <c r="F32" s="494"/>
      <c r="G32" s="494"/>
      <c r="H32" s="494"/>
      <c r="I32" s="494"/>
      <c r="J32" s="494"/>
      <c r="K32" s="494"/>
      <c r="L32" s="494"/>
      <c r="M32" s="773"/>
      <c r="N32" s="483"/>
      <c r="O32" s="483"/>
      <c r="P32" s="502">
        <f>P31/P25</f>
        <v>0.69116525200000001</v>
      </c>
      <c r="Q32" s="503" t="s">
        <v>139</v>
      </c>
      <c r="R32" s="497">
        <f>R31-R25</f>
        <v>-1150151.8999999999</v>
      </c>
      <c r="S32" s="498"/>
      <c r="T32" s="499"/>
      <c r="U32" s="500"/>
      <c r="V32" s="499"/>
      <c r="W32" s="494"/>
      <c r="X32" s="501"/>
      <c r="Y32" s="492"/>
      <c r="Z32" s="492"/>
      <c r="AA32" s="492"/>
      <c r="AB32" s="492"/>
      <c r="AC32" s="381"/>
      <c r="AD32" s="312"/>
    </row>
    <row r="33" spans="1:31" s="44" customFormat="1" ht="30.75" hidden="1" x14ac:dyDescent="0.45">
      <c r="A33" s="67"/>
      <c r="B33" s="67"/>
      <c r="C33" s="493"/>
      <c r="D33" s="493"/>
      <c r="E33" s="494"/>
      <c r="F33" s="494"/>
      <c r="G33" s="494"/>
      <c r="H33" s="494"/>
      <c r="I33" s="494"/>
      <c r="J33" s="494"/>
      <c r="K33" s="494"/>
      <c r="L33" s="494"/>
      <c r="M33" s="772">
        <v>2021</v>
      </c>
      <c r="N33" s="483"/>
      <c r="O33" s="483"/>
      <c r="P33" s="495">
        <f>4272775.3-994512.1-Q26</f>
        <v>2639715.9</v>
      </c>
      <c r="Q33" s="496">
        <v>638547.30000000005</v>
      </c>
      <c r="R33" s="497">
        <f>P33+Q33</f>
        <v>3278263.2</v>
      </c>
      <c r="S33" s="498"/>
      <c r="T33" s="499"/>
      <c r="U33" s="500"/>
      <c r="V33" s="499"/>
      <c r="W33" s="494"/>
      <c r="X33" s="501"/>
      <c r="Y33" s="492"/>
      <c r="Z33" s="492"/>
      <c r="AA33" s="492"/>
      <c r="AB33" s="492"/>
      <c r="AC33" s="381"/>
      <c r="AD33" s="312"/>
    </row>
    <row r="34" spans="1:31" s="44" customFormat="1" ht="30.75" hidden="1" x14ac:dyDescent="0.45">
      <c r="A34" s="67"/>
      <c r="B34" s="67"/>
      <c r="C34" s="493"/>
      <c r="D34" s="493"/>
      <c r="E34" s="494"/>
      <c r="F34" s="494"/>
      <c r="G34" s="494"/>
      <c r="H34" s="494"/>
      <c r="I34" s="494"/>
      <c r="J34" s="494"/>
      <c r="K34" s="494"/>
      <c r="L34" s="494"/>
      <c r="M34" s="773"/>
      <c r="N34" s="483"/>
      <c r="O34" s="483"/>
      <c r="P34" s="504">
        <f>P33/P25</f>
        <v>0.70880724139999995</v>
      </c>
      <c r="Q34" s="503" t="s">
        <v>139</v>
      </c>
      <c r="R34" s="497">
        <f>R33-R25</f>
        <v>-1084450.2</v>
      </c>
      <c r="S34" s="498"/>
      <c r="T34" s="499"/>
      <c r="U34" s="500"/>
      <c r="V34" s="499"/>
      <c r="W34" s="494"/>
      <c r="X34" s="501"/>
      <c r="Y34" s="492"/>
      <c r="Z34" s="492"/>
      <c r="AA34" s="492"/>
      <c r="AB34" s="492"/>
      <c r="AC34" s="381"/>
      <c r="AD34" s="312"/>
    </row>
    <row r="35" spans="1:31" ht="30.75" hidden="1" x14ac:dyDescent="0.45">
      <c r="C35" s="467"/>
      <c r="D35" s="467"/>
      <c r="E35" s="467"/>
      <c r="F35" s="467"/>
      <c r="G35" s="467"/>
      <c r="H35" s="467"/>
      <c r="I35" s="505"/>
      <c r="J35" s="505"/>
      <c r="K35" s="467">
        <v>2021</v>
      </c>
      <c r="L35" s="506">
        <f>1416095.2+427657</f>
        <v>1843752.2</v>
      </c>
      <c r="M35" s="505"/>
      <c r="N35" s="467"/>
      <c r="O35" s="467"/>
      <c r="P35" s="467"/>
      <c r="Q35" s="505"/>
      <c r="R35" s="507"/>
      <c r="S35" s="508"/>
      <c r="T35" s="509"/>
      <c r="U35" s="510"/>
      <c r="V35" s="509"/>
      <c r="W35" s="467"/>
      <c r="X35" s="501"/>
      <c r="Y35" s="480"/>
      <c r="Z35" s="480"/>
      <c r="AA35" s="480"/>
      <c r="AB35" s="480"/>
      <c r="AC35" s="380"/>
      <c r="AD35" s="299"/>
    </row>
    <row r="36" spans="1:31" ht="30.75" x14ac:dyDescent="0.45">
      <c r="C36" s="511"/>
      <c r="D36" s="511"/>
      <c r="E36" s="511"/>
      <c r="F36" s="511"/>
      <c r="G36" s="511"/>
      <c r="H36" s="511"/>
      <c r="I36" s="512"/>
      <c r="J36" s="512"/>
      <c r="K36" s="511"/>
      <c r="L36" s="511"/>
      <c r="M36" s="512"/>
      <c r="N36" s="511"/>
      <c r="O36" s="511"/>
      <c r="P36" s="511"/>
      <c r="Q36" s="512"/>
      <c r="R36" s="512"/>
      <c r="S36" s="508"/>
      <c r="T36" s="512"/>
      <c r="U36" s="512"/>
      <c r="V36" s="512"/>
      <c r="W36" s="511"/>
      <c r="X36" s="513"/>
      <c r="Y36" s="480"/>
      <c r="Z36" s="480"/>
      <c r="AA36" s="480"/>
      <c r="AB36" s="480"/>
      <c r="AC36" s="380"/>
      <c r="AD36" s="377"/>
    </row>
    <row r="37" spans="1:31" ht="18.75" hidden="1" x14ac:dyDescent="0.25">
      <c r="C37" s="357"/>
      <c r="D37" s="357"/>
      <c r="E37" s="357"/>
      <c r="F37" s="357"/>
      <c r="G37" s="357"/>
      <c r="H37" s="357"/>
      <c r="I37" s="350"/>
      <c r="J37" s="350"/>
      <c r="K37" s="357"/>
      <c r="L37" s="357"/>
      <c r="M37" s="350"/>
      <c r="N37" s="357"/>
      <c r="O37" s="357"/>
      <c r="P37" s="357"/>
      <c r="Q37" s="350"/>
      <c r="R37" s="350"/>
      <c r="S37" s="440"/>
      <c r="T37" s="350"/>
      <c r="U37" s="350"/>
      <c r="V37" s="350"/>
      <c r="W37" s="357"/>
      <c r="X37" s="358"/>
      <c r="Y37" s="380"/>
      <c r="Z37" s="380"/>
      <c r="AA37" s="380"/>
      <c r="AB37" s="380"/>
      <c r="AC37" s="380"/>
      <c r="AD37" s="358"/>
    </row>
    <row r="38" spans="1:31" ht="20.25" hidden="1" x14ac:dyDescent="0.3">
      <c r="C38" s="764" t="s">
        <v>423</v>
      </c>
      <c r="D38" s="764"/>
      <c r="E38" s="764"/>
      <c r="F38" s="764"/>
      <c r="G38" s="764"/>
      <c r="H38" s="764"/>
      <c r="I38" s="764"/>
      <c r="J38" s="764"/>
      <c r="K38" s="764"/>
      <c r="L38" s="764"/>
      <c r="M38" s="764"/>
      <c r="N38" s="764"/>
      <c r="O38" s="764"/>
      <c r="P38" s="764"/>
      <c r="Q38" s="764"/>
      <c r="R38" s="764"/>
      <c r="S38" s="764"/>
      <c r="T38" s="764"/>
      <c r="U38" s="764"/>
      <c r="V38" s="764"/>
      <c r="W38" s="764"/>
      <c r="X38" s="764"/>
      <c r="Y38" s="380"/>
      <c r="Z38" s="380"/>
      <c r="AA38" s="380"/>
      <c r="AB38" s="380"/>
      <c r="AC38" s="380"/>
      <c r="AD38" s="378"/>
    </row>
    <row r="39" spans="1:31" ht="18.75" hidden="1" x14ac:dyDescent="0.25">
      <c r="C39" s="357"/>
      <c r="D39" s="357"/>
      <c r="E39" s="357"/>
      <c r="F39" s="357"/>
      <c r="G39" s="357"/>
      <c r="H39" s="357"/>
      <c r="I39" s="350"/>
      <c r="J39" s="350"/>
      <c r="K39" s="357"/>
      <c r="L39" s="357"/>
      <c r="M39" s="350"/>
      <c r="N39" s="357"/>
      <c r="O39" s="357"/>
      <c r="P39" s="357"/>
      <c r="Q39" s="350"/>
      <c r="R39" s="350"/>
      <c r="S39" s="440"/>
      <c r="T39" s="350"/>
      <c r="U39" s="350"/>
      <c r="V39" s="350"/>
      <c r="W39" s="357"/>
      <c r="X39" s="358"/>
      <c r="Y39" s="380"/>
      <c r="Z39" s="380"/>
      <c r="AA39" s="380"/>
      <c r="AB39" s="380"/>
      <c r="AC39" s="380"/>
      <c r="AD39" s="358"/>
    </row>
    <row r="40" spans="1:31" ht="18.75" hidden="1" x14ac:dyDescent="0.3">
      <c r="C40" s="365"/>
      <c r="D40" s="395"/>
      <c r="E40" s="767" t="s">
        <v>62</v>
      </c>
      <c r="F40" s="767"/>
      <c r="G40" s="767"/>
      <c r="H40" s="767"/>
      <c r="I40" s="767"/>
      <c r="J40" s="767"/>
      <c r="K40" s="767"/>
      <c r="L40" s="767"/>
      <c r="M40" s="767"/>
      <c r="N40" s="767"/>
      <c r="O40" s="767"/>
      <c r="P40" s="767"/>
      <c r="Q40" s="767"/>
      <c r="R40" s="767"/>
      <c r="S40" s="767"/>
      <c r="T40" s="767"/>
      <c r="U40" s="767"/>
      <c r="V40" s="767"/>
      <c r="W40" s="767"/>
      <c r="X40" s="767"/>
      <c r="Y40" s="382"/>
      <c r="Z40" s="382"/>
      <c r="AA40" s="382"/>
      <c r="AB40" s="382"/>
      <c r="AC40" s="383"/>
      <c r="AD40" s="376"/>
    </row>
    <row r="41" spans="1:31" ht="57" hidden="1" x14ac:dyDescent="0.25">
      <c r="A41" s="765" t="s">
        <v>41</v>
      </c>
      <c r="B41" s="532"/>
      <c r="C41" s="765" t="s">
        <v>42</v>
      </c>
      <c r="D41" s="532"/>
      <c r="E41" s="314" t="s">
        <v>58</v>
      </c>
      <c r="F41" s="397"/>
      <c r="G41" s="397"/>
      <c r="H41" s="397"/>
      <c r="I41" s="315" t="s">
        <v>129</v>
      </c>
      <c r="J41" s="316" t="s">
        <v>130</v>
      </c>
      <c r="K41" s="314" t="s">
        <v>133</v>
      </c>
      <c r="L41" s="314" t="s">
        <v>132</v>
      </c>
      <c r="M41" s="316" t="s">
        <v>131</v>
      </c>
      <c r="N41" s="314" t="s">
        <v>134</v>
      </c>
      <c r="O41" s="314" t="s">
        <v>135</v>
      </c>
      <c r="P41" s="314"/>
      <c r="Q41" s="316" t="s">
        <v>136</v>
      </c>
      <c r="R41" s="133" t="s">
        <v>137</v>
      </c>
      <c r="S41" s="441"/>
      <c r="T41" s="355"/>
      <c r="U41" s="362" t="s">
        <v>421</v>
      </c>
      <c r="V41" s="355"/>
      <c r="W41" s="45" t="s">
        <v>140</v>
      </c>
      <c r="X41" s="369" t="s">
        <v>171</v>
      </c>
      <c r="Y41" s="382" t="s">
        <v>425</v>
      </c>
      <c r="Z41" s="382"/>
      <c r="AA41" s="382"/>
      <c r="AB41" s="382"/>
      <c r="AC41" s="383" t="s">
        <v>426</v>
      </c>
      <c r="AD41" s="364"/>
    </row>
    <row r="42" spans="1:31" ht="18.75" hidden="1" x14ac:dyDescent="0.3">
      <c r="A42" s="766"/>
      <c r="B42" s="533"/>
      <c r="C42" s="766"/>
      <c r="D42" s="533"/>
      <c r="E42" s="304"/>
      <c r="F42" s="398"/>
      <c r="G42" s="398"/>
      <c r="H42" s="398"/>
      <c r="I42" s="302" t="s">
        <v>141</v>
      </c>
      <c r="J42" s="293" t="s">
        <v>141</v>
      </c>
      <c r="K42" s="292" t="s">
        <v>141</v>
      </c>
      <c r="L42" s="292" t="s">
        <v>141</v>
      </c>
      <c r="M42" s="293" t="s">
        <v>141</v>
      </c>
      <c r="N42" s="292" t="s">
        <v>141</v>
      </c>
      <c r="O42" s="292" t="s">
        <v>141</v>
      </c>
      <c r="P42" s="292"/>
      <c r="Q42" s="293" t="s">
        <v>141</v>
      </c>
      <c r="R42" s="294" t="s">
        <v>141</v>
      </c>
      <c r="S42" s="438"/>
      <c r="T42" s="303"/>
      <c r="U42" s="356"/>
      <c r="V42" s="303"/>
      <c r="W42" s="292" t="s">
        <v>141</v>
      </c>
      <c r="X42" s="371" t="s">
        <v>141</v>
      </c>
      <c r="Y42" s="384" t="s">
        <v>141</v>
      </c>
      <c r="Z42" s="384"/>
      <c r="AA42" s="384"/>
      <c r="AB42" s="384"/>
      <c r="AC42" s="384" t="s">
        <v>141</v>
      </c>
      <c r="AD42" s="292"/>
    </row>
    <row r="43" spans="1:31" ht="18.75" hidden="1" x14ac:dyDescent="0.25">
      <c r="A43" s="766"/>
      <c r="B43" s="533"/>
      <c r="C43" s="766"/>
      <c r="D43" s="533"/>
      <c r="E43" s="304"/>
      <c r="F43" s="307"/>
      <c r="G43" s="307"/>
      <c r="H43" s="307"/>
      <c r="I43" s="297"/>
      <c r="J43" s="297"/>
      <c r="K43" s="12"/>
      <c r="L43" s="12"/>
      <c r="M43" s="297"/>
      <c r="N43" s="12"/>
      <c r="O43" s="12"/>
      <c r="P43" s="12"/>
      <c r="Q43" s="297"/>
      <c r="R43" s="300"/>
      <c r="S43" s="440"/>
      <c r="T43" s="301"/>
      <c r="U43" s="350"/>
      <c r="V43" s="301"/>
      <c r="W43" s="12"/>
      <c r="X43" s="372"/>
      <c r="Y43" s="379"/>
      <c r="Z43" s="379"/>
      <c r="AA43" s="379"/>
      <c r="AB43" s="379"/>
      <c r="AC43" s="379"/>
      <c r="AD43" s="299"/>
    </row>
    <row r="44" spans="1:31" ht="18.75" hidden="1" x14ac:dyDescent="0.3">
      <c r="A44" s="6">
        <v>3</v>
      </c>
      <c r="B44" s="6"/>
      <c r="C44" s="7" t="s">
        <v>45</v>
      </c>
      <c r="D44" s="7"/>
      <c r="E44" s="318">
        <f>SUMIFS('2020'!$P:$P,'2020'!$B:$B,'Свод 2021 '!$A44,'2020'!$G:$G,4)</f>
        <v>160</v>
      </c>
      <c r="F44" s="318"/>
      <c r="G44" s="318"/>
      <c r="H44" s="318"/>
      <c r="I44" s="308">
        <f>ROUND((SUMIFS('2020'!$BL:$BL,'2020'!$B:$B,'Свод 2021 '!$A44,'2020'!$G:$G,4))/1000,1)</f>
        <v>12131</v>
      </c>
      <c r="J44" s="308">
        <f>L44-K44</f>
        <v>1834.7</v>
      </c>
      <c r="K44" s="309">
        <f>ROUND((SUMIFS('2020'!$AQ:$AQ,'2020'!$B:$B,'Свод 2021 '!$A44,'2020'!$G:$G,4)+SUMIFS('2020'!$BH:$BH,'2020'!$B:$B,'Свод 2021 '!$A44,'2020'!$G:$G,4))/1000,1)</f>
        <v>6505.9</v>
      </c>
      <c r="L44" s="309">
        <f>ROUND((SUMIFS('2020'!$BM:$BM,'2020'!$B:$B,'Свод 2021 '!$A44,'2020'!$G:$G,4)+SUMIFS('2020'!$CD:$CD,'2020'!$B:$B,'Свод 2021 '!$A44,'2020'!$G:$G,4))/1000,1)</f>
        <v>8340.6</v>
      </c>
      <c r="M44" s="308">
        <f>O44-N44</f>
        <v>375.2</v>
      </c>
      <c r="N44" s="309">
        <f>ROUND(SUMIFS('2020'!$BB:$BB,'2020'!$B:$B,'Свод 2021 '!$A44,'2020'!$G:$G,4)/1000,1)</f>
        <v>339.2</v>
      </c>
      <c r="O44" s="309">
        <f>ROUND(SUMIFS('2020'!$BX:$BX,'2020'!$B:$B,'Свод 2021 '!$A44,'2020'!$G:$G,4)/1000,1)</f>
        <v>714.4</v>
      </c>
      <c r="P44" s="309"/>
      <c r="Q44" s="317">
        <v>0</v>
      </c>
      <c r="R44" s="310">
        <f>I44+J44+M44+Q44</f>
        <v>14340.9</v>
      </c>
      <c r="S44" s="439"/>
      <c r="T44" s="311"/>
      <c r="U44" s="366">
        <f>ROUND(L44*W$63,1)</f>
        <v>6034.5</v>
      </c>
      <c r="V44" s="311"/>
      <c r="W44" s="309">
        <f t="shared" ref="W44:W57" si="15">ROUND((I44+J44+M44)*W$63,1)+Q44</f>
        <v>10375.700000000001</v>
      </c>
      <c r="X44" s="370">
        <f t="shared" ref="X44:X60" si="16">W44-R44</f>
        <v>-3965.2</v>
      </c>
      <c r="Y44" s="379"/>
      <c r="Z44" s="379"/>
      <c r="AA44" s="379"/>
      <c r="AB44" s="379"/>
      <c r="AC44" s="379"/>
      <c r="AD44" s="312"/>
      <c r="AE44" s="111">
        <f t="shared" ref="AE44:AE57" si="17">(W44-Q44)/(R44-Q44)</f>
        <v>0.72350000000000003</v>
      </c>
    </row>
    <row r="45" spans="1:31" ht="18.75" hidden="1" x14ac:dyDescent="0.3">
      <c r="A45" s="6">
        <v>5</v>
      </c>
      <c r="B45" s="6"/>
      <c r="C45" s="7" t="s">
        <v>47</v>
      </c>
      <c r="D45" s="7"/>
      <c r="E45" s="332">
        <f>SUMIFS('2020'!$P:$P,'2020'!$B:$B,'Свод 2021 '!$A45,'2020'!$G:$G,4)</f>
        <v>418</v>
      </c>
      <c r="F45" s="332"/>
      <c r="G45" s="332"/>
      <c r="H45" s="332"/>
      <c r="I45" s="319">
        <f>ROUND((SUMIFS('2020'!$BL:$BL,'2020'!$B:$B,'Свод 2021 '!$A45,'2020'!$G:$G,4))/1000,1)</f>
        <v>31627.8</v>
      </c>
      <c r="J45" s="319">
        <f t="shared" ref="J45:J57" si="18">L45-K45</f>
        <v>6824.7</v>
      </c>
      <c r="K45" s="320">
        <f>ROUND((SUMIFS('2020'!$AQ:$AQ,'2020'!$B:$B,'Свод 2021 '!$A45,'2020'!$G:$G,4)+SUMIFS('2020'!$BH:$BH,'2020'!$B:$B,'Свод 2021 '!$A45,'2020'!$G:$G,4))/1000,1)</f>
        <v>17277.599999999999</v>
      </c>
      <c r="L45" s="320">
        <f>ROUND((SUMIFS('2020'!$BM:$BM,'2020'!$B:$B,'Свод 2021 '!$A45,'2020'!$G:$G,4)+SUMIFS('2020'!$CD:$CD,'2020'!$B:$B,'Свод 2021 '!$A45,'2020'!$G:$G,4))/1000,1)</f>
        <v>24102.3</v>
      </c>
      <c r="M45" s="319">
        <f t="shared" ref="M45:M57" si="19">O45-N45</f>
        <v>876.4</v>
      </c>
      <c r="N45" s="320">
        <f>ROUND(SUMIFS('2020'!$BB:$BB,'2020'!$B:$B,'Свод 2021 '!$A45,'2020'!$G:$G,4)/1000,1)</f>
        <v>886.2</v>
      </c>
      <c r="O45" s="320">
        <f>ROUND(SUMIFS('2020'!$BX:$BX,'2020'!$B:$B,'Свод 2021 '!$A45,'2020'!$G:$G,4)/1000,1)</f>
        <v>1762.6</v>
      </c>
      <c r="P45" s="320"/>
      <c r="Q45" s="321">
        <v>0</v>
      </c>
      <c r="R45" s="322">
        <f t="shared" ref="R45:R57" si="20">I45+J45+M45+Q45</f>
        <v>39328.9</v>
      </c>
      <c r="S45" s="442"/>
      <c r="T45" s="323"/>
      <c r="U45" s="366">
        <f t="shared" ref="U45:U57" si="21">ROUND(L45*W$63,1)</f>
        <v>17438.2</v>
      </c>
      <c r="V45" s="323"/>
      <c r="W45" s="320">
        <f t="shared" si="15"/>
        <v>28454.799999999999</v>
      </c>
      <c r="X45" s="373">
        <f t="shared" si="16"/>
        <v>-10874.1</v>
      </c>
      <c r="Y45" s="379"/>
      <c r="Z45" s="379"/>
      <c r="AA45" s="379"/>
      <c r="AB45" s="379"/>
      <c r="AC45" s="379"/>
      <c r="AD45" s="324"/>
      <c r="AE45" s="111">
        <f t="shared" si="17"/>
        <v>0.72350999999999999</v>
      </c>
    </row>
    <row r="46" spans="1:31" ht="18.75" hidden="1" x14ac:dyDescent="0.3">
      <c r="A46" s="6">
        <v>8</v>
      </c>
      <c r="B46" s="6"/>
      <c r="C46" s="7" t="s">
        <v>50</v>
      </c>
      <c r="D46" s="7"/>
      <c r="E46" s="332">
        <f>SUMIFS('2020'!$P:$P,'2020'!$B:$B,'Свод 2021 '!$A46,'2020'!$G:$G,4)</f>
        <v>0</v>
      </c>
      <c r="F46" s="332"/>
      <c r="G46" s="332"/>
      <c r="H46" s="332"/>
      <c r="I46" s="319">
        <f>ROUND((SUMIFS('2020'!$BL:$BL,'2020'!$B:$B,'Свод 2021 '!$A46,'2020'!$G:$G,4))/1000,1)</f>
        <v>0</v>
      </c>
      <c r="J46" s="319">
        <f t="shared" si="18"/>
        <v>0</v>
      </c>
      <c r="K46" s="320">
        <f>ROUND((SUMIFS('2020'!$AQ:$AQ,'2020'!$B:$B,'Свод 2021 '!$A46,'2020'!$G:$G,4)+SUMIFS('2020'!$BH:$BH,'2020'!$B:$B,'Свод 2021 '!$A46,'2020'!$G:$G,4))/1000,1)</f>
        <v>0</v>
      </c>
      <c r="L46" s="320">
        <f>ROUND((SUMIFS('2020'!$BM:$BM,'2020'!$B:$B,'Свод 2021 '!$A46,'2020'!$G:$G,4)+SUMIFS('2020'!$CD:$CD,'2020'!$B:$B,'Свод 2021 '!$A46,'2020'!$G:$G,4))/1000,1)</f>
        <v>0</v>
      </c>
      <c r="M46" s="319">
        <f t="shared" si="19"/>
        <v>0</v>
      </c>
      <c r="N46" s="320">
        <f>ROUND(SUMIFS('2020'!$BB:$BB,'2020'!$B:$B,'Свод 2021 '!$A46,'2020'!$G:$G,4)/1000,1)</f>
        <v>0</v>
      </c>
      <c r="O46" s="320">
        <f>ROUND(SUMIFS('2020'!$BX:$BX,'2020'!$B:$B,'Свод 2021 '!$A46,'2020'!$G:$G,4)/1000,1)</f>
        <v>0</v>
      </c>
      <c r="P46" s="320"/>
      <c r="Q46" s="321">
        <v>0</v>
      </c>
      <c r="R46" s="322">
        <f t="shared" si="20"/>
        <v>0</v>
      </c>
      <c r="S46" s="442"/>
      <c r="T46" s="323"/>
      <c r="U46" s="366">
        <f t="shared" si="21"/>
        <v>0</v>
      </c>
      <c r="V46" s="323"/>
      <c r="W46" s="320">
        <f t="shared" si="15"/>
        <v>0</v>
      </c>
      <c r="X46" s="373">
        <f t="shared" si="16"/>
        <v>0</v>
      </c>
      <c r="Y46" s="379"/>
      <c r="Z46" s="379"/>
      <c r="AA46" s="379"/>
      <c r="AB46" s="379"/>
      <c r="AC46" s="379"/>
      <c r="AD46" s="324"/>
      <c r="AE46" s="111" t="e">
        <f t="shared" si="17"/>
        <v>#DIV/0!</v>
      </c>
    </row>
    <row r="47" spans="1:31" ht="18.75" hidden="1" x14ac:dyDescent="0.3">
      <c r="A47" s="6">
        <v>12</v>
      </c>
      <c r="B47" s="6"/>
      <c r="C47" s="7" t="s">
        <v>54</v>
      </c>
      <c r="D47" s="7"/>
      <c r="E47" s="332">
        <f>SUMIFS('2020'!$P:$P,'2020'!$B:$B,'Свод 2021 '!$A47,'2020'!$G:$G,4)</f>
        <v>822</v>
      </c>
      <c r="F47" s="332"/>
      <c r="G47" s="332"/>
      <c r="H47" s="332"/>
      <c r="I47" s="319">
        <f>ROUND((SUMIFS('2020'!$BL:$BL,'2020'!$B:$B,'Свод 2021 '!$A47,'2020'!$G:$G,4))/1000,1)</f>
        <v>55364.6</v>
      </c>
      <c r="J47" s="319">
        <f t="shared" si="18"/>
        <v>13064.6</v>
      </c>
      <c r="K47" s="320">
        <f>ROUND((SUMIFS('2020'!$AQ:$AQ,'2020'!$B:$B,'Свод 2021 '!$A47,'2020'!$G:$G,4)+SUMIFS('2020'!$BH:$BH,'2020'!$B:$B,'Свод 2021 '!$A47,'2020'!$G:$G,4))/1000,1)</f>
        <v>30033.599999999999</v>
      </c>
      <c r="L47" s="320">
        <f>ROUND((SUMIFS('2020'!$BM:$BM,'2020'!$B:$B,'Свод 2021 '!$A47,'2020'!$G:$G,4)+SUMIFS('2020'!$CD:$CD,'2020'!$B:$B,'Свод 2021 '!$A47,'2020'!$G:$G,4))/1000,1)</f>
        <v>43098.2</v>
      </c>
      <c r="M47" s="319">
        <f t="shared" si="19"/>
        <v>1998.8</v>
      </c>
      <c r="N47" s="320">
        <f>ROUND(SUMIFS('2020'!$BB:$BB,'2020'!$B:$B,'Свод 2021 '!$A47,'2020'!$G:$G,4)/1000,1)</f>
        <v>1551.8</v>
      </c>
      <c r="O47" s="320">
        <f>ROUND(SUMIFS('2020'!$BX:$BX,'2020'!$B:$B,'Свод 2021 '!$A47,'2020'!$G:$G,4)/1000,1)</f>
        <v>3550.6</v>
      </c>
      <c r="P47" s="320"/>
      <c r="Q47" s="321">
        <v>0</v>
      </c>
      <c r="R47" s="322">
        <f t="shared" si="20"/>
        <v>70428</v>
      </c>
      <c r="S47" s="442"/>
      <c r="T47" s="323"/>
      <c r="U47" s="366">
        <f t="shared" si="21"/>
        <v>31181.9</v>
      </c>
      <c r="V47" s="323"/>
      <c r="W47" s="320">
        <f t="shared" si="15"/>
        <v>50955.199999999997</v>
      </c>
      <c r="X47" s="373">
        <f t="shared" si="16"/>
        <v>-19472.8</v>
      </c>
      <c r="Y47" s="379"/>
      <c r="Z47" s="379"/>
      <c r="AA47" s="379"/>
      <c r="AB47" s="379"/>
      <c r="AC47" s="379"/>
      <c r="AD47" s="324"/>
      <c r="AE47" s="111">
        <f t="shared" si="17"/>
        <v>0.72350999999999999</v>
      </c>
    </row>
    <row r="48" spans="1:31" ht="18.75" hidden="1" x14ac:dyDescent="0.3">
      <c r="A48" s="40">
        <v>21</v>
      </c>
      <c r="B48" s="559"/>
      <c r="C48" s="58" t="s">
        <v>158</v>
      </c>
      <c r="D48" s="396"/>
      <c r="E48" s="332">
        <f>SUMIFS('2020'!$P:$P,'2020'!$B:$B,'Свод 2021 '!$A48,'2020'!$G:$G,4)</f>
        <v>434</v>
      </c>
      <c r="F48" s="332"/>
      <c r="G48" s="332"/>
      <c r="H48" s="332"/>
      <c r="I48" s="319">
        <f>ROUND((SUMIFS('2020'!$BL:$BL,'2020'!$B:$B,'Свод 2021 '!$A48,'2020'!$G:$G,4))/1000,1)</f>
        <v>32886.6</v>
      </c>
      <c r="J48" s="319">
        <f t="shared" si="18"/>
        <v>2697.5</v>
      </c>
      <c r="K48" s="320">
        <f>ROUND((SUMIFS('2020'!$AQ:$AQ,'2020'!$B:$B,'Свод 2021 '!$A48,'2020'!$G:$G,4)+SUMIFS('2020'!$BH:$BH,'2020'!$B:$B,'Свод 2021 '!$A48,'2020'!$G:$G,4))/1000,1)</f>
        <v>17630.2</v>
      </c>
      <c r="L48" s="320">
        <f>ROUND((SUMIFS('2020'!$BM:$BM,'2020'!$B:$B,'Свод 2021 '!$A48,'2020'!$G:$G,4)+SUMIFS('2020'!$CD:$CD,'2020'!$B:$B,'Свод 2021 '!$A48,'2020'!$G:$G,4))/1000,1)</f>
        <v>20327.7</v>
      </c>
      <c r="M48" s="319">
        <f t="shared" si="19"/>
        <v>1363.5</v>
      </c>
      <c r="N48" s="320">
        <f>ROUND(SUMIFS('2020'!$BB:$BB,'2020'!$B:$B,'Свод 2021 '!$A48,'2020'!$G:$G,4)/1000,1)</f>
        <v>920.1</v>
      </c>
      <c r="O48" s="320">
        <f>ROUND(SUMIFS('2020'!$BX:$BX,'2020'!$B:$B,'Свод 2021 '!$A48,'2020'!$G:$G,4)/1000,1)</f>
        <v>2283.6</v>
      </c>
      <c r="P48" s="349"/>
      <c r="Q48" s="325">
        <v>1700</v>
      </c>
      <c r="R48" s="322">
        <f t="shared" si="20"/>
        <v>38647.599999999999</v>
      </c>
      <c r="S48" s="442"/>
      <c r="T48" s="323"/>
      <c r="U48" s="366">
        <f t="shared" si="21"/>
        <v>14707.2</v>
      </c>
      <c r="V48" s="323"/>
      <c r="W48" s="320">
        <f t="shared" si="15"/>
        <v>28431.9</v>
      </c>
      <c r="X48" s="373">
        <f t="shared" si="16"/>
        <v>-10215.700000000001</v>
      </c>
      <c r="Y48" s="379"/>
      <c r="Z48" s="379"/>
      <c r="AA48" s="379"/>
      <c r="AB48" s="379"/>
      <c r="AC48" s="379"/>
      <c r="AD48" s="324"/>
      <c r="AE48" s="111">
        <f t="shared" si="17"/>
        <v>0.72350999999999999</v>
      </c>
    </row>
    <row r="49" spans="1:31" ht="18.75" hidden="1" x14ac:dyDescent="0.3">
      <c r="A49" s="40">
        <v>22</v>
      </c>
      <c r="B49" s="559"/>
      <c r="C49" s="59" t="s">
        <v>167</v>
      </c>
      <c r="D49" s="396"/>
      <c r="E49" s="332">
        <f>SUMIFS('2020'!$P:$P,'2020'!$B:$B,'Свод 2021 '!$A49,'2020'!$G:$G,4)</f>
        <v>499</v>
      </c>
      <c r="F49" s="332"/>
      <c r="G49" s="332"/>
      <c r="H49" s="332"/>
      <c r="I49" s="319">
        <f>ROUND((SUMIFS('2020'!$BL:$BL,'2020'!$B:$B,'Свод 2021 '!$A49,'2020'!$G:$G,4))/1000,1)</f>
        <v>33830.300000000003</v>
      </c>
      <c r="J49" s="319">
        <f t="shared" si="18"/>
        <v>14369.3</v>
      </c>
      <c r="K49" s="320">
        <f>ROUND((SUMIFS('2020'!$AQ:$AQ,'2020'!$B:$B,'Свод 2021 '!$A49,'2020'!$G:$G,4)+SUMIFS('2020'!$BH:$BH,'2020'!$B:$B,'Свод 2021 '!$A49,'2020'!$G:$G,4))/1000,1)</f>
        <v>18051.900000000001</v>
      </c>
      <c r="L49" s="320">
        <f>ROUND((SUMIFS('2020'!$BM:$BM,'2020'!$B:$B,'Свод 2021 '!$A49,'2020'!$G:$G,4)+SUMIFS('2020'!$CD:$CD,'2020'!$B:$B,'Свод 2021 '!$A49,'2020'!$G:$G,4))/1000,1)</f>
        <v>32421.200000000001</v>
      </c>
      <c r="M49" s="319">
        <f t="shared" si="19"/>
        <v>1481.9</v>
      </c>
      <c r="N49" s="320">
        <f>ROUND(SUMIFS('2020'!$BB:$BB,'2020'!$B:$B,'Свод 2021 '!$A49,'2020'!$G:$G,4)/1000,1)</f>
        <v>952.9</v>
      </c>
      <c r="O49" s="320">
        <f>ROUND(SUMIFS('2020'!$BX:$BX,'2020'!$B:$B,'Свод 2021 '!$A49,'2020'!$G:$G,4)/1000,1)</f>
        <v>2434.8000000000002</v>
      </c>
      <c r="P49" s="349"/>
      <c r="Q49" s="325">
        <v>22700</v>
      </c>
      <c r="R49" s="322">
        <f t="shared" si="20"/>
        <v>72381.5</v>
      </c>
      <c r="S49" s="442"/>
      <c r="T49" s="323"/>
      <c r="U49" s="366">
        <f t="shared" si="21"/>
        <v>23457</v>
      </c>
      <c r="V49" s="323"/>
      <c r="W49" s="320">
        <f t="shared" si="15"/>
        <v>58644.9</v>
      </c>
      <c r="X49" s="373">
        <f t="shared" si="16"/>
        <v>-13736.6</v>
      </c>
      <c r="Y49" s="379"/>
      <c r="Z49" s="379"/>
      <c r="AA49" s="379"/>
      <c r="AB49" s="379"/>
      <c r="AC49" s="379"/>
      <c r="AD49" s="324"/>
      <c r="AE49" s="111">
        <f t="shared" si="17"/>
        <v>0.72350999999999999</v>
      </c>
    </row>
    <row r="50" spans="1:31" ht="18.75" hidden="1" x14ac:dyDescent="0.3">
      <c r="A50" s="40">
        <v>23</v>
      </c>
      <c r="B50" s="559"/>
      <c r="C50" s="58" t="s">
        <v>160</v>
      </c>
      <c r="D50" s="396"/>
      <c r="E50" s="332">
        <f>SUMIFS('2020'!$P:$P,'2020'!$B:$B,'Свод 2021 '!$A50,'2020'!$G:$G,4)</f>
        <v>112</v>
      </c>
      <c r="F50" s="332"/>
      <c r="G50" s="332"/>
      <c r="H50" s="332"/>
      <c r="I50" s="319">
        <f>ROUND((SUMIFS('2020'!$BL:$BL,'2020'!$B:$B,'Свод 2021 '!$A50,'2020'!$G:$G,4))/1000,1)</f>
        <v>8430.2000000000007</v>
      </c>
      <c r="J50" s="319">
        <f t="shared" si="18"/>
        <v>1970.1</v>
      </c>
      <c r="K50" s="320">
        <f>ROUND((SUMIFS('2020'!$AQ:$AQ,'2020'!$B:$B,'Свод 2021 '!$A50,'2020'!$G:$G,4)+SUMIFS('2020'!$BH:$BH,'2020'!$B:$B,'Свод 2021 '!$A50,'2020'!$G:$G,4))/1000,1)</f>
        <v>4497.8999999999996</v>
      </c>
      <c r="L50" s="320">
        <f>ROUND((SUMIFS('2020'!$BM:$BM,'2020'!$B:$B,'Свод 2021 '!$A50,'2020'!$G:$G,4)+SUMIFS('2020'!$CD:$CD,'2020'!$B:$B,'Свод 2021 '!$A50,'2020'!$G:$G,4))/1000,1)</f>
        <v>6468</v>
      </c>
      <c r="M50" s="319">
        <f t="shared" si="19"/>
        <v>312</v>
      </c>
      <c r="N50" s="320">
        <f>ROUND(SUMIFS('2020'!$BB:$BB,'2020'!$B:$B,'Свод 2021 '!$A50,'2020'!$G:$G,4)/1000,1)</f>
        <v>237.4</v>
      </c>
      <c r="O50" s="320">
        <f>ROUND(SUMIFS('2020'!$BX:$BX,'2020'!$B:$B,'Свод 2021 '!$A50,'2020'!$G:$G,4)/1000,1)</f>
        <v>549.4</v>
      </c>
      <c r="P50" s="349"/>
      <c r="Q50" s="325">
        <v>3343</v>
      </c>
      <c r="R50" s="322">
        <f t="shared" si="20"/>
        <v>14055.3</v>
      </c>
      <c r="S50" s="442"/>
      <c r="T50" s="323"/>
      <c r="U50" s="366">
        <f t="shared" si="21"/>
        <v>4679.6000000000004</v>
      </c>
      <c r="V50" s="323"/>
      <c r="W50" s="320">
        <f t="shared" si="15"/>
        <v>11093.4</v>
      </c>
      <c r="X50" s="373">
        <f t="shared" si="16"/>
        <v>-2961.9</v>
      </c>
      <c r="Y50" s="379"/>
      <c r="Z50" s="379"/>
      <c r="AA50" s="379"/>
      <c r="AB50" s="379"/>
      <c r="AC50" s="379"/>
      <c r="AD50" s="324"/>
      <c r="AE50" s="111">
        <f t="shared" si="17"/>
        <v>0.72350000000000003</v>
      </c>
    </row>
    <row r="51" spans="1:31" ht="37.5" hidden="1" customHeight="1" x14ac:dyDescent="0.3">
      <c r="A51" s="40">
        <v>24</v>
      </c>
      <c r="B51" s="559"/>
      <c r="C51" s="58" t="s">
        <v>164</v>
      </c>
      <c r="D51" s="396"/>
      <c r="E51" s="332">
        <f>SUMIFS('2020'!$P:$P,'2020'!$B:$B,'Свод 2021 '!$A51,'2020'!$G:$G,4)</f>
        <v>139</v>
      </c>
      <c r="F51" s="332"/>
      <c r="G51" s="332"/>
      <c r="H51" s="332"/>
      <c r="I51" s="319">
        <f>ROUND((SUMIFS('2020'!$BL:$BL,'2020'!$B:$B,'Свод 2021 '!$A51,'2020'!$G:$G,4))/1000,1)</f>
        <v>10550.3</v>
      </c>
      <c r="J51" s="319">
        <f t="shared" si="18"/>
        <v>6653.5</v>
      </c>
      <c r="K51" s="320">
        <f>ROUND((SUMIFS('2020'!$AQ:$AQ,'2020'!$B:$B,'Свод 2021 '!$A51,'2020'!$G:$G,4)+SUMIFS('2020'!$BH:$BH,'2020'!$B:$B,'Свод 2021 '!$A51,'2020'!$G:$G,4))/1000,1)</f>
        <v>5662.6</v>
      </c>
      <c r="L51" s="320">
        <f>ROUND((SUMIFS('2020'!$BM:$BM,'2020'!$B:$B,'Свод 2021 '!$A51,'2020'!$G:$G,4)+SUMIFS('2020'!$CD:$CD,'2020'!$B:$B,'Свод 2021 '!$A51,'2020'!$G:$G,4))/1000,1)</f>
        <v>12316.1</v>
      </c>
      <c r="M51" s="319">
        <f t="shared" si="19"/>
        <v>569.29999999999995</v>
      </c>
      <c r="N51" s="320">
        <f>ROUND(SUMIFS('2020'!$BB:$BB,'2020'!$B:$B,'Свод 2021 '!$A51,'2020'!$G:$G,4)/1000,1)</f>
        <v>294.7</v>
      </c>
      <c r="O51" s="320">
        <f>ROUND(SUMIFS('2020'!$BX:$BX,'2020'!$B:$B,'Свод 2021 '!$A51,'2020'!$G:$G,4)/1000,1)</f>
        <v>864</v>
      </c>
      <c r="P51" s="349"/>
      <c r="Q51" s="325">
        <v>1429.3</v>
      </c>
      <c r="R51" s="322">
        <f t="shared" si="20"/>
        <v>19202.400000000001</v>
      </c>
      <c r="S51" s="442"/>
      <c r="T51" s="323"/>
      <c r="U51" s="366">
        <f t="shared" si="21"/>
        <v>8910.7999999999993</v>
      </c>
      <c r="V51" s="323"/>
      <c r="W51" s="320">
        <f t="shared" si="15"/>
        <v>14288.3</v>
      </c>
      <c r="X51" s="373">
        <f t="shared" si="16"/>
        <v>-4914.1000000000004</v>
      </c>
      <c r="Y51" s="379"/>
      <c r="Z51" s="379"/>
      <c r="AA51" s="379"/>
      <c r="AB51" s="379"/>
      <c r="AC51" s="379"/>
      <c r="AD51" s="324"/>
      <c r="AE51" s="111">
        <f t="shared" si="17"/>
        <v>0.72350999999999999</v>
      </c>
    </row>
    <row r="52" spans="1:31" ht="18.75" hidden="1" x14ac:dyDescent="0.3">
      <c r="A52" s="40">
        <v>25</v>
      </c>
      <c r="B52" s="559"/>
      <c r="C52" s="58" t="s">
        <v>166</v>
      </c>
      <c r="D52" s="396"/>
      <c r="E52" s="332">
        <f>SUMIFS('2020'!$P:$P,'2020'!$B:$B,'Свод 2021 '!$A52,'2020'!$G:$G,4)</f>
        <v>310</v>
      </c>
      <c r="F52" s="332"/>
      <c r="G52" s="332"/>
      <c r="H52" s="332"/>
      <c r="I52" s="319">
        <f>ROUND((SUMIFS('2020'!$BL:$BL,'2020'!$B:$B,'Свод 2021 '!$A52,'2020'!$G:$G,4))/1000,1)</f>
        <v>20503.2</v>
      </c>
      <c r="J52" s="319">
        <f t="shared" si="18"/>
        <v>4672.8999999999996</v>
      </c>
      <c r="K52" s="320">
        <f>ROUND((SUMIFS('2020'!$AQ:$AQ,'2020'!$B:$B,'Свод 2021 '!$A52,'2020'!$G:$G,4)+SUMIFS('2020'!$BH:$BH,'2020'!$B:$B,'Свод 2021 '!$A52,'2020'!$G:$G,4))/1000,1)</f>
        <v>10943.7</v>
      </c>
      <c r="L52" s="320">
        <f>ROUND((SUMIFS('2020'!$BM:$BM,'2020'!$B:$B,'Свод 2021 '!$A52,'2020'!$G:$G,4)+SUMIFS('2020'!$CD:$CD,'2020'!$B:$B,'Свод 2021 '!$A52,'2020'!$G:$G,4))/1000,1)</f>
        <v>15616.6</v>
      </c>
      <c r="M52" s="319">
        <f t="shared" si="19"/>
        <v>962.4</v>
      </c>
      <c r="N52" s="320">
        <f>ROUND(SUMIFS('2020'!$BB:$BB,'2020'!$B:$B,'Свод 2021 '!$A52,'2020'!$G:$G,4)/1000,1)</f>
        <v>577.70000000000005</v>
      </c>
      <c r="O52" s="320">
        <f>ROUND(SUMIFS('2020'!$BX:$BX,'2020'!$B:$B,'Свод 2021 '!$A52,'2020'!$G:$G,4)/1000,1)</f>
        <v>1540.1</v>
      </c>
      <c r="P52" s="349"/>
      <c r="Q52" s="325">
        <v>15645.2</v>
      </c>
      <c r="R52" s="322">
        <f t="shared" si="20"/>
        <v>41783.699999999997</v>
      </c>
      <c r="S52" s="442"/>
      <c r="T52" s="323"/>
      <c r="U52" s="366">
        <f t="shared" si="21"/>
        <v>11298.7</v>
      </c>
      <c r="V52" s="323"/>
      <c r="W52" s="320">
        <f t="shared" si="15"/>
        <v>34556.6</v>
      </c>
      <c r="X52" s="373">
        <f t="shared" si="16"/>
        <v>-7227.1</v>
      </c>
      <c r="Y52" s="379"/>
      <c r="Z52" s="379"/>
      <c r="AA52" s="379"/>
      <c r="AB52" s="379"/>
      <c r="AC52" s="379"/>
      <c r="AD52" s="324"/>
      <c r="AE52" s="111">
        <f t="shared" si="17"/>
        <v>0.72350999999999999</v>
      </c>
    </row>
    <row r="53" spans="1:31" ht="18.75" hidden="1" x14ac:dyDescent="0.3">
      <c r="A53" s="40">
        <v>26</v>
      </c>
      <c r="B53" s="559"/>
      <c r="C53" s="58" t="s">
        <v>161</v>
      </c>
      <c r="D53" s="396"/>
      <c r="E53" s="332">
        <f>SUMIFS('2020'!$P:$P,'2020'!$B:$B,'Свод 2021 '!$A53,'2020'!$G:$G,4)</f>
        <v>70</v>
      </c>
      <c r="F53" s="332"/>
      <c r="G53" s="332"/>
      <c r="H53" s="332"/>
      <c r="I53" s="319">
        <f>ROUND((SUMIFS('2020'!$BL:$BL,'2020'!$B:$B,'Свод 2021 '!$A53,'2020'!$G:$G,4))/1000,1)</f>
        <v>5356.7</v>
      </c>
      <c r="J53" s="319">
        <f t="shared" si="18"/>
        <v>581.20000000000005</v>
      </c>
      <c r="K53" s="320">
        <f>ROUND((SUMIFS('2020'!$AQ:$AQ,'2020'!$B:$B,'Свод 2021 '!$A53,'2020'!$G:$G,4)+SUMIFS('2020'!$BH:$BH,'2020'!$B:$B,'Свод 2021 '!$A53,'2020'!$G:$G,4))/1000,1)</f>
        <v>2891.5</v>
      </c>
      <c r="L53" s="320">
        <f>ROUND((SUMIFS('2020'!$BM:$BM,'2020'!$B:$B,'Свод 2021 '!$A53,'2020'!$G:$G,4)+SUMIFS('2020'!$CD:$CD,'2020'!$B:$B,'Свод 2021 '!$A53,'2020'!$G:$G,4))/1000,1)</f>
        <v>3472.7</v>
      </c>
      <c r="M53" s="319">
        <f t="shared" si="19"/>
        <v>210.1</v>
      </c>
      <c r="N53" s="320">
        <f>ROUND(SUMIFS('2020'!$BB:$BB,'2020'!$B:$B,'Свод 2021 '!$A53,'2020'!$G:$G,4)/1000,1)</f>
        <v>148.4</v>
      </c>
      <c r="O53" s="320">
        <f>ROUND(SUMIFS('2020'!$BX:$BX,'2020'!$B:$B,'Свод 2021 '!$A53,'2020'!$G:$G,4)/1000,1)</f>
        <v>358.5</v>
      </c>
      <c r="P53" s="349"/>
      <c r="Q53" s="325">
        <v>3.4</v>
      </c>
      <c r="R53" s="322">
        <f t="shared" si="20"/>
        <v>6151.4</v>
      </c>
      <c r="S53" s="442"/>
      <c r="T53" s="323"/>
      <c r="U53" s="366">
        <f t="shared" si="21"/>
        <v>2512.5</v>
      </c>
      <c r="V53" s="323"/>
      <c r="W53" s="320">
        <f t="shared" si="15"/>
        <v>4451.5</v>
      </c>
      <c r="X53" s="373">
        <f t="shared" si="16"/>
        <v>-1699.9</v>
      </c>
      <c r="Y53" s="379"/>
      <c r="Z53" s="379"/>
      <c r="AA53" s="379"/>
      <c r="AB53" s="379"/>
      <c r="AC53" s="379"/>
      <c r="AD53" s="324"/>
      <c r="AE53" s="111">
        <f t="shared" si="17"/>
        <v>0.72350000000000003</v>
      </c>
    </row>
    <row r="54" spans="1:31" ht="18.75" hidden="1" x14ac:dyDescent="0.3">
      <c r="A54" s="40">
        <v>27</v>
      </c>
      <c r="B54" s="559"/>
      <c r="C54" s="58" t="s">
        <v>162</v>
      </c>
      <c r="D54" s="396"/>
      <c r="E54" s="332">
        <f>SUMIFS('2020'!$P:$P,'2020'!$B:$B,'Свод 2021 '!$A54,'2020'!$G:$G,4)</f>
        <v>132</v>
      </c>
      <c r="F54" s="332"/>
      <c r="G54" s="332"/>
      <c r="H54" s="332"/>
      <c r="I54" s="319">
        <f>ROUND((SUMIFS('2020'!$BL:$BL,'2020'!$B:$B,'Свод 2021 '!$A54,'2020'!$G:$G,4))/1000,1)</f>
        <v>9935.6</v>
      </c>
      <c r="J54" s="319">
        <f t="shared" si="18"/>
        <v>2041</v>
      </c>
      <c r="K54" s="320">
        <f>ROUND((SUMIFS('2020'!$AQ:$AQ,'2020'!$B:$B,'Свод 2021 '!$A54,'2020'!$G:$G,4)+SUMIFS('2020'!$BH:$BH,'2020'!$B:$B,'Свод 2021 '!$A54,'2020'!$G:$G,4))/1000,1)</f>
        <v>5301.1</v>
      </c>
      <c r="L54" s="320">
        <f>ROUND((SUMIFS('2020'!$BM:$BM,'2020'!$B:$B,'Свод 2021 '!$A54,'2020'!$G:$G,4)+SUMIFS('2020'!$CD:$CD,'2020'!$B:$B,'Свод 2021 '!$A54,'2020'!$G:$G,4))/1000,1)</f>
        <v>7342.1</v>
      </c>
      <c r="M54" s="319">
        <f t="shared" si="19"/>
        <v>510.2</v>
      </c>
      <c r="N54" s="320">
        <f>ROUND(SUMIFS('2020'!$BB:$BB,'2020'!$B:$B,'Свод 2021 '!$A54,'2020'!$G:$G,4)/1000,1)</f>
        <v>279.8</v>
      </c>
      <c r="O54" s="320">
        <f>ROUND(SUMIFS('2020'!$BX:$BX,'2020'!$B:$B,'Свод 2021 '!$A54,'2020'!$G:$G,4)/1000,1)</f>
        <v>790</v>
      </c>
      <c r="P54" s="349"/>
      <c r="Q54" s="325">
        <v>256.89999999999998</v>
      </c>
      <c r="R54" s="322">
        <f t="shared" si="20"/>
        <v>12743.7</v>
      </c>
      <c r="S54" s="442"/>
      <c r="T54" s="323"/>
      <c r="U54" s="366">
        <f t="shared" si="21"/>
        <v>5312.1</v>
      </c>
      <c r="V54" s="323"/>
      <c r="W54" s="320">
        <f t="shared" si="15"/>
        <v>9291.2000000000007</v>
      </c>
      <c r="X54" s="373">
        <f t="shared" si="16"/>
        <v>-3452.5</v>
      </c>
      <c r="Y54" s="379"/>
      <c r="Z54" s="379"/>
      <c r="AA54" s="379"/>
      <c r="AB54" s="379"/>
      <c r="AC54" s="379"/>
      <c r="AD54" s="324"/>
      <c r="AE54" s="111">
        <f t="shared" si="17"/>
        <v>0.72350999999999999</v>
      </c>
    </row>
    <row r="55" spans="1:31" ht="18.75" hidden="1" x14ac:dyDescent="0.3">
      <c r="A55" s="40">
        <v>28</v>
      </c>
      <c r="B55" s="559"/>
      <c r="C55" s="58" t="s">
        <v>165</v>
      </c>
      <c r="D55" s="396"/>
      <c r="E55" s="332">
        <f>SUMIFS('2020'!$P:$P,'2020'!$B:$B,'Свод 2021 '!$A55,'2020'!$G:$G,4)</f>
        <v>127</v>
      </c>
      <c r="F55" s="332"/>
      <c r="G55" s="332"/>
      <c r="H55" s="332"/>
      <c r="I55" s="319">
        <f>ROUND((SUMIFS('2020'!$BL:$BL,'2020'!$B:$B,'Свод 2021 '!$A55,'2020'!$G:$G,4))/1000,1)</f>
        <v>9559.2999999999993</v>
      </c>
      <c r="J55" s="319">
        <f t="shared" si="18"/>
        <v>3830.4</v>
      </c>
      <c r="K55" s="320">
        <f>ROUND((SUMIFS('2020'!$AQ:$AQ,'2020'!$B:$B,'Свод 2021 '!$A55,'2020'!$G:$G,4)+SUMIFS('2020'!$BH:$BH,'2020'!$B:$B,'Свод 2021 '!$A55,'2020'!$G:$G,4))/1000,1)</f>
        <v>5100.3</v>
      </c>
      <c r="L55" s="320">
        <f>ROUND((SUMIFS('2020'!$BM:$BM,'2020'!$B:$B,'Свод 2021 '!$A55,'2020'!$G:$G,4)+SUMIFS('2020'!$CD:$CD,'2020'!$B:$B,'Свод 2021 '!$A55,'2020'!$G:$G,4))/1000,1)</f>
        <v>8930.7000000000007</v>
      </c>
      <c r="M55" s="319">
        <f t="shared" si="19"/>
        <v>1024.8</v>
      </c>
      <c r="N55" s="320">
        <f>ROUND(SUMIFS('2020'!$BB:$BB,'2020'!$B:$B,'Свод 2021 '!$A55,'2020'!$G:$G,4)/1000,1)</f>
        <v>269.2</v>
      </c>
      <c r="O55" s="320">
        <f>ROUND(SUMIFS('2020'!$BX:$BX,'2020'!$B:$B,'Свод 2021 '!$A55,'2020'!$G:$G,4)/1000,1)</f>
        <v>1294</v>
      </c>
      <c r="P55" s="349"/>
      <c r="Q55" s="325">
        <v>5000</v>
      </c>
      <c r="R55" s="322">
        <f t="shared" si="20"/>
        <v>19414.5</v>
      </c>
      <c r="S55" s="442"/>
      <c r="T55" s="323"/>
      <c r="U55" s="366">
        <f t="shared" si="21"/>
        <v>6461.4</v>
      </c>
      <c r="V55" s="323"/>
      <c r="W55" s="320">
        <f t="shared" si="15"/>
        <v>15429</v>
      </c>
      <c r="X55" s="373">
        <f t="shared" si="16"/>
        <v>-3985.5</v>
      </c>
      <c r="Y55" s="379"/>
      <c r="Z55" s="379"/>
      <c r="AA55" s="379"/>
      <c r="AB55" s="379"/>
      <c r="AC55" s="379"/>
      <c r="AD55" s="324"/>
      <c r="AE55" s="111">
        <f t="shared" si="17"/>
        <v>0.72350999999999999</v>
      </c>
    </row>
    <row r="56" spans="1:31" ht="18.75" hidden="1" x14ac:dyDescent="0.3">
      <c r="A56" s="40">
        <v>29</v>
      </c>
      <c r="B56" s="559"/>
      <c r="C56" s="59" t="s">
        <v>159</v>
      </c>
      <c r="D56" s="396"/>
      <c r="E56" s="331">
        <f>SUMIFS('2020'!$P:$P,'2020'!$B:$B,'Свод 2021 '!$A56,'2020'!$G:$G,4)</f>
        <v>119</v>
      </c>
      <c r="F56" s="331"/>
      <c r="G56" s="331"/>
      <c r="H56" s="331"/>
      <c r="I56" s="319">
        <f>ROUND((SUMIFS('2020'!$BL:$BL,'2020'!$B:$B,'Свод 2021 '!$A56,'2020'!$G:$G,4))/1000,1)</f>
        <v>8957.1</v>
      </c>
      <c r="J56" s="326">
        <f t="shared" si="18"/>
        <v>1084.9000000000001</v>
      </c>
      <c r="K56" s="320">
        <f>ROUND((SUMIFS('2020'!$AQ:$AQ,'2020'!$B:$B,'Свод 2021 '!$A56,'2020'!$G:$G,4)+SUMIFS('2020'!$BH:$BH,'2020'!$B:$B,'Свод 2021 '!$A56,'2020'!$G:$G,4))/1000,1)</f>
        <v>4779</v>
      </c>
      <c r="L56" s="320">
        <f>ROUND((SUMIFS('2020'!$BM:$BM,'2020'!$B:$B,'Свод 2021 '!$A56,'2020'!$G:$G,4)+SUMIFS('2020'!$CD:$CD,'2020'!$B:$B,'Свод 2021 '!$A56,'2020'!$G:$G,4))/1000,1)</f>
        <v>5863.9</v>
      </c>
      <c r="M56" s="326">
        <f t="shared" si="19"/>
        <v>516.4</v>
      </c>
      <c r="N56" s="320">
        <f>ROUND(SUMIFS('2020'!$BB:$BB,'2020'!$B:$B,'Свод 2021 '!$A56,'2020'!$G:$G,4)/1000,1)</f>
        <v>252.3</v>
      </c>
      <c r="O56" s="320">
        <f>ROUND(SUMIFS('2020'!$BX:$BX,'2020'!$B:$B,'Свод 2021 '!$A56,'2020'!$G:$G,4)/1000,1)</f>
        <v>768.7</v>
      </c>
      <c r="P56" s="327"/>
      <c r="Q56" s="328">
        <v>0</v>
      </c>
      <c r="R56" s="329">
        <f t="shared" si="20"/>
        <v>10558.4</v>
      </c>
      <c r="S56" s="443"/>
      <c r="T56" s="330"/>
      <c r="U56" s="366">
        <f t="shared" si="21"/>
        <v>4242.6000000000004</v>
      </c>
      <c r="V56" s="330"/>
      <c r="W56" s="320">
        <f t="shared" si="15"/>
        <v>7639.1</v>
      </c>
      <c r="X56" s="373">
        <f t="shared" si="16"/>
        <v>-2919.3</v>
      </c>
      <c r="Y56" s="379"/>
      <c r="Z56" s="379"/>
      <c r="AA56" s="379"/>
      <c r="AB56" s="379"/>
      <c r="AC56" s="379"/>
      <c r="AD56" s="324"/>
      <c r="AE56" s="111">
        <f t="shared" si="17"/>
        <v>0.72350999999999999</v>
      </c>
    </row>
    <row r="57" spans="1:31" ht="30.75" hidden="1" x14ac:dyDescent="0.3">
      <c r="A57" s="57">
        <v>30</v>
      </c>
      <c r="B57" s="57"/>
      <c r="C57" s="64" t="s">
        <v>163</v>
      </c>
      <c r="D57" s="64"/>
      <c r="E57" s="332">
        <f>SUMIFS('2020'!$P:$P,'2020'!$B:$B,'Свод 2021 '!$A57,'2020'!$G:$G,4)</f>
        <v>187</v>
      </c>
      <c r="F57" s="332"/>
      <c r="G57" s="332"/>
      <c r="H57" s="332"/>
      <c r="I57" s="319">
        <f>ROUND((SUMIFS('2020'!$BL:$BL,'2020'!$B:$B,'Свод 2021 '!$A57,'2020'!$G:$G,4))/1000,1)</f>
        <v>14075.5</v>
      </c>
      <c r="J57" s="319">
        <f t="shared" si="18"/>
        <v>8824.2000000000007</v>
      </c>
      <c r="K57" s="320">
        <f>ROUND((SUMIFS('2020'!$AQ:$AQ,'2020'!$B:$B,'Свод 2021 '!$A57,'2020'!$G:$G,4)+SUMIFS('2020'!$BH:$BH,'2020'!$B:$B,'Свод 2021 '!$A57,'2020'!$G:$G,4))/1000,1)</f>
        <v>7509.9</v>
      </c>
      <c r="L57" s="320">
        <f>ROUND((SUMIFS('2020'!$BM:$BM,'2020'!$B:$B,'Свод 2021 '!$A57,'2020'!$G:$G,4)+SUMIFS('2020'!$CD:$CD,'2020'!$B:$B,'Свод 2021 '!$A57,'2020'!$G:$G,4))/1000,1)</f>
        <v>16334.1</v>
      </c>
      <c r="M57" s="319">
        <f t="shared" si="19"/>
        <v>766</v>
      </c>
      <c r="N57" s="320">
        <f>ROUND(SUMIFS('2020'!$BB:$BB,'2020'!$B:$B,'Свод 2021 '!$A57,'2020'!$G:$G,4)/1000,1)</f>
        <v>396.4</v>
      </c>
      <c r="O57" s="320">
        <f>ROUND(SUMIFS('2020'!$BX:$BX,'2020'!$B:$B,'Свод 2021 '!$A57,'2020'!$G:$G,4)/1000,1)</f>
        <v>1162.4000000000001</v>
      </c>
      <c r="P57" s="349"/>
      <c r="Q57" s="325">
        <v>9244.4</v>
      </c>
      <c r="R57" s="322">
        <f t="shared" si="20"/>
        <v>32910.1</v>
      </c>
      <c r="S57" s="442"/>
      <c r="T57" s="323"/>
      <c r="U57" s="366">
        <f t="shared" si="21"/>
        <v>11817.8</v>
      </c>
      <c r="V57" s="323"/>
      <c r="W57" s="320">
        <f t="shared" si="15"/>
        <v>26366.7</v>
      </c>
      <c r="X57" s="373">
        <f t="shared" si="16"/>
        <v>-6543.4</v>
      </c>
      <c r="Y57" s="385"/>
      <c r="Z57" s="385"/>
      <c r="AA57" s="385"/>
      <c r="AB57" s="385"/>
      <c r="AC57" s="385"/>
      <c r="AD57" s="324"/>
      <c r="AE57" s="111">
        <f t="shared" si="17"/>
        <v>0.72350999999999999</v>
      </c>
    </row>
    <row r="58" spans="1:31" s="44" customFormat="1" ht="18.75" hidden="1" x14ac:dyDescent="0.25">
      <c r="C58" s="305" t="s">
        <v>168</v>
      </c>
      <c r="D58" s="305"/>
      <c r="E58" s="331">
        <f>SUM(E44:E57)</f>
        <v>3529</v>
      </c>
      <c r="F58" s="331"/>
      <c r="G58" s="331"/>
      <c r="H58" s="331"/>
      <c r="I58" s="326">
        <f t="shared" ref="I58:W58" si="22">SUM(I44:I57)</f>
        <v>253208.2</v>
      </c>
      <c r="J58" s="326">
        <f t="shared" si="22"/>
        <v>68449</v>
      </c>
      <c r="K58" s="326">
        <f t="shared" si="22"/>
        <v>136185.20000000001</v>
      </c>
      <c r="L58" s="326">
        <f t="shared" si="22"/>
        <v>204634.2</v>
      </c>
      <c r="M58" s="326">
        <f t="shared" si="22"/>
        <v>10967</v>
      </c>
      <c r="N58" s="326">
        <f t="shared" si="22"/>
        <v>7106.1</v>
      </c>
      <c r="O58" s="326">
        <f t="shared" si="22"/>
        <v>18073.099999999999</v>
      </c>
      <c r="P58" s="326"/>
      <c r="Q58" s="326">
        <f>SUM(Q44:Q57)</f>
        <v>59322.2</v>
      </c>
      <c r="R58" s="329">
        <f>SUM(R44:R57)</f>
        <v>391946.4</v>
      </c>
      <c r="S58" s="443"/>
      <c r="T58" s="330"/>
      <c r="U58" s="326">
        <f t="shared" ref="U58" si="23">SUM(U44:U57)</f>
        <v>148054.29999999999</v>
      </c>
      <c r="V58" s="330"/>
      <c r="W58" s="326">
        <f t="shared" si="22"/>
        <v>299978.3</v>
      </c>
      <c r="X58" s="373">
        <f t="shared" si="16"/>
        <v>-91968.1</v>
      </c>
      <c r="Y58" s="385"/>
      <c r="Z58" s="385"/>
      <c r="AA58" s="385"/>
      <c r="AB58" s="385"/>
      <c r="AC58" s="385"/>
      <c r="AD58" s="324"/>
    </row>
    <row r="59" spans="1:31" s="44" customFormat="1" ht="18.75" hidden="1" x14ac:dyDescent="0.25">
      <c r="A59" s="41"/>
      <c r="B59" s="41"/>
      <c r="C59" s="306"/>
      <c r="D59" s="306"/>
      <c r="E59" s="332">
        <f>SUM(E48:E57)</f>
        <v>2129</v>
      </c>
      <c r="F59" s="332"/>
      <c r="G59" s="332"/>
      <c r="H59" s="332"/>
      <c r="I59" s="319">
        <f t="shared" ref="I59:W59" si="24">SUM(I48:I57)</f>
        <v>154084.79999999999</v>
      </c>
      <c r="J59" s="319">
        <f t="shared" si="24"/>
        <v>46725</v>
      </c>
      <c r="K59" s="319">
        <f t="shared" si="24"/>
        <v>82368.100000000006</v>
      </c>
      <c r="L59" s="319">
        <f t="shared" si="24"/>
        <v>129093.1</v>
      </c>
      <c r="M59" s="319">
        <f t="shared" si="24"/>
        <v>7716.6</v>
      </c>
      <c r="N59" s="319">
        <f t="shared" si="24"/>
        <v>4328.8999999999996</v>
      </c>
      <c r="O59" s="319">
        <f t="shared" si="24"/>
        <v>12045.5</v>
      </c>
      <c r="P59" s="319"/>
      <c r="Q59" s="319">
        <f t="shared" si="24"/>
        <v>59322.2</v>
      </c>
      <c r="R59" s="322">
        <f t="shared" si="24"/>
        <v>267848.59999999998</v>
      </c>
      <c r="S59" s="442"/>
      <c r="T59" s="323"/>
      <c r="U59" s="319">
        <f t="shared" ref="U59" si="25">SUM(U48:U57)</f>
        <v>93399.7</v>
      </c>
      <c r="V59" s="323"/>
      <c r="W59" s="319">
        <f t="shared" si="24"/>
        <v>210192.6</v>
      </c>
      <c r="X59" s="374">
        <f t="shared" si="16"/>
        <v>-57656</v>
      </c>
      <c r="Y59" s="385"/>
      <c r="Z59" s="385"/>
      <c r="AA59" s="385"/>
      <c r="AB59" s="385"/>
      <c r="AC59" s="385"/>
      <c r="AD59" s="320"/>
    </row>
    <row r="60" spans="1:31" s="44" customFormat="1" ht="18.75" hidden="1" x14ac:dyDescent="0.25">
      <c r="A60" s="41"/>
      <c r="B60" s="41"/>
      <c r="C60" s="306" t="s">
        <v>169</v>
      </c>
      <c r="D60" s="306"/>
      <c r="E60" s="332">
        <f>SUM(E44:E47)</f>
        <v>1400</v>
      </c>
      <c r="F60" s="332"/>
      <c r="G60" s="332"/>
      <c r="H60" s="332"/>
      <c r="I60" s="319">
        <f t="shared" ref="I60:R60" si="26">SUM(I44:I47)</f>
        <v>99123.4</v>
      </c>
      <c r="J60" s="319">
        <f t="shared" si="26"/>
        <v>21724</v>
      </c>
      <c r="K60" s="319">
        <f t="shared" si="26"/>
        <v>53817.1</v>
      </c>
      <c r="L60" s="319">
        <f t="shared" si="26"/>
        <v>75541.100000000006</v>
      </c>
      <c r="M60" s="319">
        <f t="shared" si="26"/>
        <v>3250.4</v>
      </c>
      <c r="N60" s="319">
        <f t="shared" si="26"/>
        <v>2777.2</v>
      </c>
      <c r="O60" s="319">
        <f t="shared" si="26"/>
        <v>6027.6</v>
      </c>
      <c r="P60" s="319"/>
      <c r="Q60" s="319">
        <f>SUM(Q44:Q47)</f>
        <v>0</v>
      </c>
      <c r="R60" s="322">
        <f t="shared" si="26"/>
        <v>124097.8</v>
      </c>
      <c r="S60" s="442"/>
      <c r="T60" s="323"/>
      <c r="U60" s="319">
        <f t="shared" ref="U60" si="27">SUM(U44:U47)</f>
        <v>54654.6</v>
      </c>
      <c r="V60" s="323"/>
      <c r="W60" s="319">
        <f>SUM(W44:W47)</f>
        <v>89785.7</v>
      </c>
      <c r="X60" s="374">
        <f t="shared" si="16"/>
        <v>-34312.1</v>
      </c>
      <c r="Y60" s="385"/>
      <c r="Z60" s="385"/>
      <c r="AA60" s="385"/>
      <c r="AB60" s="385"/>
      <c r="AC60" s="385"/>
      <c r="AD60" s="320"/>
    </row>
    <row r="61" spans="1:31" s="44" customFormat="1" ht="18.75" hidden="1" x14ac:dyDescent="0.25">
      <c r="C61" s="307"/>
      <c r="D61" s="307"/>
      <c r="E61" s="333"/>
      <c r="F61" s="333"/>
      <c r="G61" s="333"/>
      <c r="H61" s="333"/>
      <c r="I61" s="334"/>
      <c r="J61" s="334"/>
      <c r="K61" s="334"/>
      <c r="L61" s="334"/>
      <c r="M61" s="334"/>
      <c r="N61" s="334"/>
      <c r="O61" s="334"/>
      <c r="P61" s="334"/>
      <c r="Q61" s="335"/>
      <c r="R61" s="336"/>
      <c r="S61" s="444"/>
      <c r="T61" s="337"/>
      <c r="U61" s="351"/>
      <c r="V61" s="337"/>
      <c r="W61" s="334"/>
      <c r="X61" s="375"/>
      <c r="Y61" s="379"/>
      <c r="Z61" s="379"/>
      <c r="AA61" s="379"/>
      <c r="AB61" s="379"/>
      <c r="AC61" s="379"/>
      <c r="AD61" s="324"/>
    </row>
    <row r="62" spans="1:31" ht="18.75" hidden="1" x14ac:dyDescent="0.25">
      <c r="C62" s="296" t="s">
        <v>138</v>
      </c>
      <c r="D62" s="296"/>
      <c r="E62" s="338"/>
      <c r="F62" s="338"/>
      <c r="G62" s="338"/>
      <c r="H62" s="338"/>
      <c r="I62" s="339"/>
      <c r="J62" s="339"/>
      <c r="K62" s="338"/>
      <c r="L62" s="367">
        <f>157149.1</f>
        <v>157149.1</v>
      </c>
      <c r="M62" s="339"/>
      <c r="N62" s="338"/>
      <c r="O62" s="338"/>
      <c r="P62" s="338">
        <v>2019</v>
      </c>
      <c r="Q62" s="340" t="s">
        <v>138</v>
      </c>
      <c r="R62" s="341">
        <v>299978.3</v>
      </c>
      <c r="S62" s="445"/>
      <c r="T62" s="342"/>
      <c r="U62" s="352">
        <f>L62</f>
        <v>157149.1</v>
      </c>
      <c r="V62" s="342"/>
      <c r="W62" s="324"/>
      <c r="X62" s="373"/>
      <c r="Y62" s="379"/>
      <c r="Z62" s="379"/>
      <c r="AA62" s="379"/>
      <c r="AB62" s="379"/>
      <c r="AC62" s="379"/>
      <c r="AD62" s="324"/>
    </row>
    <row r="63" spans="1:31" ht="18.75" hidden="1" x14ac:dyDescent="0.25">
      <c r="C63" s="12"/>
      <c r="D63" s="12"/>
      <c r="E63" s="338"/>
      <c r="F63" s="338"/>
      <c r="G63" s="338"/>
      <c r="H63" s="338"/>
      <c r="I63" s="339"/>
      <c r="J63" s="339"/>
      <c r="K63" s="338"/>
      <c r="L63" s="338"/>
      <c r="M63" s="339"/>
      <c r="N63" s="338"/>
      <c r="O63" s="338"/>
      <c r="P63" s="338"/>
      <c r="Q63" s="343" t="s">
        <v>139</v>
      </c>
      <c r="R63" s="344">
        <f>R62-R58</f>
        <v>-91968.1</v>
      </c>
      <c r="S63" s="446"/>
      <c r="T63" s="345"/>
      <c r="U63" s="353">
        <f>U62-U58</f>
        <v>9094.7999999999993</v>
      </c>
      <c r="V63" s="345"/>
      <c r="W63" s="346">
        <f>(R62-Q58)/(R58-Q58)</f>
        <v>0.72350748983000002</v>
      </c>
      <c r="X63" s="373"/>
      <c r="Y63" s="386"/>
      <c r="Z63" s="386"/>
      <c r="AA63" s="386"/>
      <c r="AB63" s="386"/>
      <c r="AC63" s="386"/>
      <c r="AD63" s="324"/>
    </row>
    <row r="64" spans="1:31" ht="18.75" hidden="1" x14ac:dyDescent="0.25">
      <c r="C64" s="12"/>
      <c r="D64" s="12"/>
      <c r="E64" s="338"/>
      <c r="F64" s="338"/>
      <c r="G64" s="338"/>
      <c r="H64" s="338"/>
      <c r="I64" s="339"/>
      <c r="J64" s="339"/>
      <c r="K64" s="338"/>
      <c r="L64" s="338"/>
      <c r="M64" s="339"/>
      <c r="N64" s="338"/>
      <c r="O64" s="338"/>
      <c r="P64" s="338">
        <v>2020</v>
      </c>
      <c r="Q64" s="340" t="s">
        <v>138</v>
      </c>
      <c r="R64" s="341">
        <v>307273.3</v>
      </c>
      <c r="S64" s="447"/>
      <c r="T64" s="347"/>
      <c r="U64" s="354"/>
      <c r="V64" s="347"/>
      <c r="W64" s="338"/>
      <c r="X64" s="338"/>
      <c r="Y64" s="387"/>
      <c r="Z64" s="387"/>
      <c r="AA64" s="387"/>
      <c r="AB64" s="387"/>
      <c r="AC64" s="387"/>
      <c r="AD64" s="338"/>
    </row>
    <row r="65" spans="3:30" ht="18.75" hidden="1" x14ac:dyDescent="0.25">
      <c r="C65" s="12"/>
      <c r="D65" s="12"/>
      <c r="E65" s="338"/>
      <c r="F65" s="338"/>
      <c r="G65" s="338"/>
      <c r="H65" s="338"/>
      <c r="I65" s="339"/>
      <c r="J65" s="339"/>
      <c r="K65" s="338"/>
      <c r="L65" s="338"/>
      <c r="M65" s="339"/>
      <c r="N65" s="338"/>
      <c r="O65" s="338"/>
      <c r="P65" s="338"/>
      <c r="Q65" s="343" t="s">
        <v>139</v>
      </c>
      <c r="R65" s="344">
        <f>R64-R58</f>
        <v>-84673.1</v>
      </c>
      <c r="S65" s="447"/>
      <c r="T65" s="347"/>
      <c r="U65" s="354"/>
      <c r="V65" s="347"/>
      <c r="W65" s="338"/>
      <c r="X65" s="338"/>
      <c r="Y65" s="387"/>
      <c r="Z65" s="387"/>
      <c r="AA65" s="387"/>
      <c r="AB65" s="387"/>
      <c r="AC65" s="387"/>
      <c r="AD65" s="338"/>
    </row>
    <row r="66" spans="3:30" ht="18.75" hidden="1" x14ac:dyDescent="0.25">
      <c r="C66" s="12"/>
      <c r="D66" s="12"/>
      <c r="E66" s="338"/>
      <c r="F66" s="338"/>
      <c r="G66" s="338"/>
      <c r="H66" s="338"/>
      <c r="I66" s="339"/>
      <c r="J66" s="339"/>
      <c r="K66" s="338"/>
      <c r="L66" s="338"/>
      <c r="M66" s="339"/>
      <c r="N66" s="338"/>
      <c r="O66" s="338"/>
      <c r="P66" s="338">
        <v>2021</v>
      </c>
      <c r="Q66" s="340" t="s">
        <v>138</v>
      </c>
      <c r="R66" s="341">
        <v>313596.40000000002</v>
      </c>
      <c r="S66" s="447"/>
      <c r="T66" s="347"/>
      <c r="U66" s="354"/>
      <c r="V66" s="347"/>
      <c r="W66" s="338"/>
      <c r="X66" s="338"/>
      <c r="Y66" s="387"/>
      <c r="Z66" s="387"/>
      <c r="AA66" s="387"/>
      <c r="AB66" s="387"/>
      <c r="AC66" s="387"/>
      <c r="AD66" s="338"/>
    </row>
    <row r="67" spans="3:30" ht="18.75" hidden="1" x14ac:dyDescent="0.25">
      <c r="C67" s="12"/>
      <c r="D67" s="12"/>
      <c r="E67" s="338"/>
      <c r="F67" s="338"/>
      <c r="G67" s="338"/>
      <c r="H67" s="338"/>
      <c r="I67" s="339"/>
      <c r="J67" s="339"/>
      <c r="K67" s="338"/>
      <c r="L67" s="338"/>
      <c r="M67" s="339"/>
      <c r="N67" s="338"/>
      <c r="O67" s="338"/>
      <c r="P67" s="338"/>
      <c r="Q67" s="343" t="s">
        <v>139</v>
      </c>
      <c r="R67" s="344">
        <f>R66-R58</f>
        <v>-78350</v>
      </c>
      <c r="S67" s="447"/>
      <c r="T67" s="347"/>
      <c r="U67" s="354"/>
      <c r="V67" s="347"/>
      <c r="W67" s="338"/>
      <c r="X67" s="338"/>
      <c r="Y67" s="387"/>
      <c r="Z67" s="387"/>
      <c r="AA67" s="387"/>
      <c r="AB67" s="387"/>
      <c r="AC67" s="387"/>
      <c r="AD67" s="338"/>
    </row>
    <row r="68" spans="3:30" ht="18.75" hidden="1" x14ac:dyDescent="0.25">
      <c r="C68" s="12"/>
      <c r="D68" s="12"/>
      <c r="E68" s="338"/>
      <c r="F68" s="338"/>
      <c r="G68" s="338"/>
      <c r="H68" s="338"/>
      <c r="I68" s="339"/>
      <c r="J68" s="339"/>
      <c r="K68" s="338"/>
      <c r="L68" s="338"/>
      <c r="M68" s="339"/>
      <c r="N68" s="338"/>
      <c r="O68" s="338"/>
      <c r="P68" s="338"/>
      <c r="Q68" s="348">
        <f>Q59-59322.8</f>
        <v>-0.6</v>
      </c>
      <c r="R68" s="361"/>
      <c r="S68" s="447"/>
      <c r="T68" s="354"/>
      <c r="U68" s="354"/>
      <c r="V68" s="354"/>
      <c r="W68" s="338"/>
      <c r="X68" s="338"/>
      <c r="Y68" s="387"/>
      <c r="Z68" s="387"/>
      <c r="AA68" s="387"/>
      <c r="AB68" s="387"/>
      <c r="AC68" s="387"/>
      <c r="AD68" s="338"/>
    </row>
    <row r="69" spans="3:30" hidden="1" x14ac:dyDescent="0.25">
      <c r="R69" s="361"/>
      <c r="T69" s="361"/>
      <c r="U69" s="361"/>
      <c r="V69" s="361"/>
      <c r="Y69" s="388"/>
      <c r="Z69" s="388"/>
      <c r="AA69" s="388"/>
      <c r="AB69" s="388"/>
      <c r="AC69" s="388"/>
    </row>
    <row r="70" spans="3:30" x14ac:dyDescent="0.25">
      <c r="R70" s="361"/>
      <c r="T70" s="361"/>
      <c r="U70" s="361"/>
      <c r="V70" s="361"/>
      <c r="Y70" s="388"/>
      <c r="Z70" s="388"/>
      <c r="AA70" s="388"/>
      <c r="AB70" s="388"/>
      <c r="AC70" s="388"/>
    </row>
    <row r="71" spans="3:30" x14ac:dyDescent="0.25">
      <c r="R71" s="361"/>
      <c r="T71" s="361"/>
      <c r="U71" s="361"/>
      <c r="V71" s="361"/>
    </row>
    <row r="72" spans="3:30" x14ac:dyDescent="0.25">
      <c r="R72" s="361"/>
      <c r="T72" s="361"/>
      <c r="U72" s="361"/>
      <c r="V72" s="361"/>
    </row>
    <row r="73" spans="3:30" x14ac:dyDescent="0.25">
      <c r="R73" s="361"/>
      <c r="T73" s="361"/>
      <c r="U73" s="361"/>
      <c r="V73" s="361"/>
    </row>
    <row r="74" spans="3:30" x14ac:dyDescent="0.25">
      <c r="R74" s="361"/>
      <c r="T74" s="361"/>
      <c r="U74" s="361"/>
      <c r="V74" s="361"/>
    </row>
    <row r="75" spans="3:30" x14ac:dyDescent="0.25">
      <c r="R75" s="361"/>
      <c r="T75" s="361"/>
      <c r="U75" s="361"/>
      <c r="V75" s="361"/>
    </row>
    <row r="76" spans="3:30" x14ac:dyDescent="0.25">
      <c r="R76" s="361"/>
      <c r="T76" s="361"/>
      <c r="U76" s="361"/>
      <c r="V76" s="361"/>
    </row>
    <row r="77" spans="3:30" x14ac:dyDescent="0.25">
      <c r="R77" s="361"/>
      <c r="T77" s="361"/>
      <c r="U77" s="361"/>
      <c r="V77" s="361"/>
    </row>
    <row r="78" spans="3:30" x14ac:dyDescent="0.25">
      <c r="R78" s="361"/>
      <c r="T78" s="361"/>
      <c r="U78" s="361"/>
      <c r="V78" s="361"/>
    </row>
    <row r="79" spans="3:30" x14ac:dyDescent="0.25">
      <c r="R79" s="361"/>
      <c r="T79" s="361"/>
      <c r="U79" s="361"/>
      <c r="V79" s="361"/>
    </row>
    <row r="80" spans="3:30" ht="18.75" x14ac:dyDescent="0.25">
      <c r="R80" s="361"/>
      <c r="T80" s="361"/>
      <c r="U80" s="361"/>
      <c r="V80" s="354"/>
    </row>
    <row r="81" spans="18:22" x14ac:dyDescent="0.25">
      <c r="R81" s="361"/>
      <c r="T81" s="361"/>
      <c r="U81" s="361"/>
      <c r="V81" s="361"/>
    </row>
    <row r="82" spans="18:22" x14ac:dyDescent="0.25">
      <c r="R82" s="361"/>
      <c r="T82" s="361"/>
      <c r="U82" s="361"/>
      <c r="V82" s="361"/>
    </row>
    <row r="83" spans="18:22" x14ac:dyDescent="0.25">
      <c r="R83" s="361"/>
      <c r="T83" s="361"/>
      <c r="U83" s="361"/>
      <c r="V83" s="361"/>
    </row>
    <row r="84" spans="18:22" x14ac:dyDescent="0.25">
      <c r="R84" s="361"/>
      <c r="T84" s="361"/>
      <c r="U84" s="361"/>
      <c r="V84" s="361"/>
    </row>
    <row r="85" spans="18:22" x14ac:dyDescent="0.25">
      <c r="R85" s="361"/>
      <c r="T85" s="361"/>
      <c r="U85" s="361"/>
      <c r="V85" s="361"/>
    </row>
    <row r="86" spans="18:22" x14ac:dyDescent="0.25">
      <c r="R86" s="361"/>
      <c r="T86" s="361"/>
      <c r="U86" s="361"/>
      <c r="V86" s="361"/>
    </row>
    <row r="87" spans="18:22" x14ac:dyDescent="0.25">
      <c r="R87" s="361"/>
      <c r="T87" s="361"/>
      <c r="U87" s="361"/>
      <c r="V87" s="361"/>
    </row>
    <row r="88" spans="18:22" x14ac:dyDescent="0.25">
      <c r="R88" s="361"/>
      <c r="T88" s="361"/>
      <c r="U88" s="361"/>
      <c r="V88" s="361"/>
    </row>
    <row r="89" spans="18:22" x14ac:dyDescent="0.25">
      <c r="R89" s="361"/>
      <c r="T89" s="361"/>
      <c r="U89" s="361"/>
      <c r="V89" s="361"/>
    </row>
    <row r="90" spans="18:22" x14ac:dyDescent="0.25">
      <c r="R90" s="361"/>
      <c r="T90" s="361"/>
      <c r="U90" s="361"/>
      <c r="V90" s="361"/>
    </row>
  </sheetData>
  <mergeCells count="12">
    <mergeCell ref="M31:M32"/>
    <mergeCell ref="M33:M34"/>
    <mergeCell ref="C38:X38"/>
    <mergeCell ref="E40:X40"/>
    <mergeCell ref="A41:A43"/>
    <mergeCell ref="C41:C43"/>
    <mergeCell ref="M26:M27"/>
    <mergeCell ref="C2:X2"/>
    <mergeCell ref="A4:A8"/>
    <mergeCell ref="E4:V4"/>
    <mergeCell ref="G5:H5"/>
    <mergeCell ref="I5:V5"/>
  </mergeCells>
  <pageMargins left="0.70866141732283472" right="0" top="0.15748031496062992" bottom="0.15748031496062992" header="0.31496062992125984" footer="0.31496062992125984"/>
  <pageSetup paperSize="8" scale="19" orientation="landscape" r:id="rId1"/>
  <rowBreaks count="1" manualBreakCount="1">
    <brk id="36" max="16383" man="1"/>
  </rowBreaks>
  <colBreaks count="2" manualBreakCount="2">
    <brk id="22" max="27" man="1"/>
    <brk id="28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0"/>
  <sheetViews>
    <sheetView view="pageBreakPreview" topLeftCell="B1" zoomScale="25" zoomScaleNormal="70" zoomScaleSheetLayoutView="25" workbookViewId="0">
      <pane xSplit="2" ySplit="8" topLeftCell="E21" activePane="bottomRight" state="frozen"/>
      <selection activeCell="B1" sqref="B1"/>
      <selection pane="topRight" activeCell="C1" sqref="C1"/>
      <selection pane="bottomLeft" activeCell="B5" sqref="B5"/>
      <selection pane="bottomRight" activeCell="L25" sqref="L25"/>
    </sheetView>
  </sheetViews>
  <sheetFormatPr defaultRowHeight="15" x14ac:dyDescent="0.25"/>
  <cols>
    <col min="1" max="2" width="8.140625" customWidth="1"/>
    <col min="3" max="3" width="106.7109375" customWidth="1"/>
    <col min="4" max="4" width="34" hidden="1" customWidth="1"/>
    <col min="5" max="5" width="41.140625" customWidth="1"/>
    <col min="6" max="6" width="31.85546875" hidden="1" customWidth="1"/>
    <col min="7" max="7" width="48.85546875" hidden="1" customWidth="1"/>
    <col min="8" max="8" width="51.140625" hidden="1" customWidth="1"/>
    <col min="9" max="9" width="64.42578125" style="44" customWidth="1"/>
    <col min="10" max="10" width="64.140625" style="44" customWidth="1"/>
    <col min="11" max="11" width="70.140625" customWidth="1"/>
    <col min="12" max="12" width="71.28515625" customWidth="1"/>
    <col min="13" max="13" width="55.5703125" style="44" customWidth="1"/>
    <col min="14" max="14" width="53.5703125" customWidth="1"/>
    <col min="15" max="15" width="58.140625" customWidth="1"/>
    <col min="16" max="16" width="69.85546875" customWidth="1"/>
    <col min="17" max="17" width="58" style="44" customWidth="1"/>
    <col min="18" max="18" width="66.7109375" style="147" customWidth="1"/>
    <col min="19" max="19" width="66.85546875" style="437" customWidth="1"/>
    <col min="20" max="20" width="65.85546875" style="184" customWidth="1"/>
    <col min="21" max="21" width="64.140625" style="279" customWidth="1"/>
    <col min="22" max="22" width="60.5703125" style="184" customWidth="1"/>
    <col min="23" max="23" width="53.7109375" hidden="1" customWidth="1"/>
    <col min="24" max="24" width="39" hidden="1" customWidth="1"/>
    <col min="25" max="28" width="32.140625" hidden="1" customWidth="1"/>
    <col min="29" max="30" width="21.7109375" hidden="1" customWidth="1"/>
    <col min="31" max="31" width="20.5703125" customWidth="1"/>
    <col min="32" max="32" width="31.7109375" customWidth="1"/>
  </cols>
  <sheetData>
    <row r="1" spans="1:31" ht="32.25" customHeight="1" x14ac:dyDescent="0.25">
      <c r="C1" s="359"/>
      <c r="D1" s="359"/>
      <c r="E1" s="359"/>
      <c r="F1" s="359"/>
      <c r="G1" s="359"/>
      <c r="H1" s="359"/>
      <c r="I1" s="360"/>
      <c r="J1" s="360"/>
      <c r="K1" s="359"/>
      <c r="L1" s="359"/>
      <c r="M1" s="360"/>
      <c r="N1" s="359"/>
      <c r="O1" s="359"/>
      <c r="P1" s="359"/>
      <c r="Q1" s="360"/>
      <c r="R1" s="361"/>
      <c r="S1" s="361"/>
      <c r="T1" s="361"/>
      <c r="U1" s="361"/>
      <c r="V1" s="361"/>
      <c r="W1" s="359"/>
      <c r="X1" s="359"/>
      <c r="Y1" s="359"/>
      <c r="Z1" s="359"/>
      <c r="AA1" s="359"/>
      <c r="AB1" s="359"/>
      <c r="AC1" s="359"/>
      <c r="AD1" s="359"/>
    </row>
    <row r="2" spans="1:31" ht="53.25" customHeight="1" x14ac:dyDescent="0.3">
      <c r="C2" s="763" t="s">
        <v>458</v>
      </c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  <c r="Y2" s="531"/>
      <c r="Z2" s="531"/>
      <c r="AA2" s="531"/>
      <c r="AB2" s="531"/>
      <c r="AC2" s="531"/>
      <c r="AD2" s="531"/>
    </row>
    <row r="3" spans="1:31" ht="45" customHeight="1" x14ac:dyDescent="0.25">
      <c r="C3" s="359"/>
      <c r="D3" s="359"/>
      <c r="E3" s="359"/>
      <c r="F3" s="359"/>
      <c r="G3" s="359"/>
      <c r="H3" s="359"/>
      <c r="I3" s="360"/>
      <c r="J3" s="360"/>
      <c r="K3" s="359"/>
      <c r="L3" s="359"/>
      <c r="M3" s="360"/>
      <c r="N3" s="359"/>
      <c r="O3" s="359"/>
      <c r="P3" s="359"/>
      <c r="Q3" s="360"/>
      <c r="R3" s="361"/>
      <c r="S3" s="361"/>
      <c r="T3" s="361"/>
      <c r="U3" s="361"/>
      <c r="V3" s="361"/>
      <c r="W3" s="359"/>
      <c r="X3" s="359"/>
      <c r="Y3" s="359"/>
      <c r="Z3" s="359"/>
      <c r="AA3" s="359"/>
      <c r="AB3" s="359"/>
      <c r="AC3" s="359"/>
      <c r="AD3" s="359"/>
    </row>
    <row r="4" spans="1:31" ht="45" x14ac:dyDescent="0.6">
      <c r="A4" s="765" t="s">
        <v>41</v>
      </c>
      <c r="B4" s="532"/>
      <c r="C4" s="532"/>
      <c r="D4" s="407"/>
      <c r="E4" s="769" t="s">
        <v>61</v>
      </c>
      <c r="F4" s="770"/>
      <c r="G4" s="770"/>
      <c r="H4" s="770"/>
      <c r="I4" s="770"/>
      <c r="J4" s="770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291"/>
      <c r="X4" s="298"/>
      <c r="Y4" s="448"/>
      <c r="Z4" s="448"/>
      <c r="AA4" s="389"/>
      <c r="AB4" s="409"/>
      <c r="AC4" s="389"/>
      <c r="AD4" s="298"/>
    </row>
    <row r="5" spans="1:31" s="406" customFormat="1" ht="45" x14ac:dyDescent="0.6">
      <c r="A5" s="766"/>
      <c r="B5" s="533"/>
      <c r="C5" s="402"/>
      <c r="D5" s="408"/>
      <c r="E5" s="535"/>
      <c r="F5" s="536"/>
      <c r="G5" s="774" t="s">
        <v>237</v>
      </c>
      <c r="H5" s="775"/>
      <c r="I5" s="776" t="s">
        <v>457</v>
      </c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403"/>
      <c r="X5" s="404"/>
      <c r="Y5" s="449"/>
      <c r="Z5" s="449"/>
      <c r="AA5" s="405"/>
      <c r="AB5" s="410"/>
      <c r="AC5" s="405"/>
      <c r="AD5" s="404"/>
    </row>
    <row r="6" spans="1:31" s="154" customFormat="1" ht="326.25" customHeight="1" x14ac:dyDescent="0.25">
      <c r="A6" s="766"/>
      <c r="B6" s="533"/>
      <c r="C6" s="537" t="s">
        <v>42</v>
      </c>
      <c r="D6" s="539" t="s">
        <v>432</v>
      </c>
      <c r="E6" s="539" t="s">
        <v>490</v>
      </c>
      <c r="F6" s="540" t="s">
        <v>433</v>
      </c>
      <c r="G6" s="541" t="s">
        <v>425</v>
      </c>
      <c r="H6" s="542" t="s">
        <v>427</v>
      </c>
      <c r="I6" s="538" t="s">
        <v>491</v>
      </c>
      <c r="J6" s="538" t="s">
        <v>130</v>
      </c>
      <c r="K6" s="543" t="s">
        <v>133</v>
      </c>
      <c r="L6" s="543" t="s">
        <v>132</v>
      </c>
      <c r="M6" s="538" t="s">
        <v>131</v>
      </c>
      <c r="N6" s="543" t="s">
        <v>134</v>
      </c>
      <c r="O6" s="543" t="s">
        <v>135</v>
      </c>
      <c r="P6" s="538" t="s">
        <v>228</v>
      </c>
      <c r="Q6" s="538" t="s">
        <v>136</v>
      </c>
      <c r="R6" s="544" t="s">
        <v>229</v>
      </c>
      <c r="S6" s="538" t="s">
        <v>230</v>
      </c>
      <c r="T6" s="544" t="s">
        <v>492</v>
      </c>
      <c r="U6" s="544" t="s">
        <v>421</v>
      </c>
      <c r="V6" s="545" t="s">
        <v>171</v>
      </c>
      <c r="W6" s="526" t="s">
        <v>140</v>
      </c>
      <c r="X6" s="527" t="s">
        <v>171</v>
      </c>
      <c r="Y6" s="451" t="s">
        <v>425</v>
      </c>
      <c r="Z6" s="451" t="s">
        <v>452</v>
      </c>
      <c r="AA6" s="452" t="s">
        <v>427</v>
      </c>
      <c r="AB6" s="450" t="s">
        <v>428</v>
      </c>
      <c r="AC6" s="393" t="s">
        <v>429</v>
      </c>
      <c r="AD6" s="363"/>
    </row>
    <row r="7" spans="1:31" ht="35.25" x14ac:dyDescent="0.5">
      <c r="A7" s="766"/>
      <c r="B7" s="533"/>
      <c r="C7" s="546"/>
      <c r="D7" s="547" t="s">
        <v>232</v>
      </c>
      <c r="E7" s="548" t="s">
        <v>232</v>
      </c>
      <c r="F7" s="548" t="s">
        <v>232</v>
      </c>
      <c r="G7" s="549" t="s">
        <v>141</v>
      </c>
      <c r="H7" s="550" t="s">
        <v>141</v>
      </c>
      <c r="I7" s="551" t="s">
        <v>141</v>
      </c>
      <c r="J7" s="551" t="s">
        <v>141</v>
      </c>
      <c r="K7" s="547" t="s">
        <v>141</v>
      </c>
      <c r="L7" s="547" t="s">
        <v>141</v>
      </c>
      <c r="M7" s="551" t="s">
        <v>141</v>
      </c>
      <c r="N7" s="547" t="s">
        <v>141</v>
      </c>
      <c r="O7" s="547" t="s">
        <v>141</v>
      </c>
      <c r="P7" s="551" t="s">
        <v>141</v>
      </c>
      <c r="Q7" s="551" t="s">
        <v>141</v>
      </c>
      <c r="R7" s="551" t="s">
        <v>141</v>
      </c>
      <c r="S7" s="551" t="s">
        <v>141</v>
      </c>
      <c r="T7" s="551" t="s">
        <v>141</v>
      </c>
      <c r="U7" s="551"/>
      <c r="V7" s="551" t="s">
        <v>141</v>
      </c>
      <c r="W7" s="528" t="s">
        <v>141</v>
      </c>
      <c r="X7" s="529" t="s">
        <v>141</v>
      </c>
      <c r="Y7" s="453" t="s">
        <v>141</v>
      </c>
      <c r="Z7" s="453" t="s">
        <v>141</v>
      </c>
      <c r="AA7" s="454" t="s">
        <v>141</v>
      </c>
      <c r="AB7" s="455" t="s">
        <v>141</v>
      </c>
      <c r="AC7" s="394" t="s">
        <v>141</v>
      </c>
      <c r="AD7" s="293"/>
    </row>
    <row r="8" spans="1:31" ht="35.25" x14ac:dyDescent="0.5">
      <c r="A8" s="768"/>
      <c r="B8" s="534"/>
      <c r="C8" s="552"/>
      <c r="D8" s="553">
        <v>1</v>
      </c>
      <c r="E8" s="548" t="s">
        <v>434</v>
      </c>
      <c r="F8" s="548" t="s">
        <v>435</v>
      </c>
      <c r="G8" s="554">
        <v>13</v>
      </c>
      <c r="H8" s="554">
        <v>14</v>
      </c>
      <c r="I8" s="551">
        <v>2</v>
      </c>
      <c r="J8" s="551">
        <v>3</v>
      </c>
      <c r="K8" s="547"/>
      <c r="L8" s="547"/>
      <c r="M8" s="551">
        <v>4</v>
      </c>
      <c r="N8" s="547"/>
      <c r="O8" s="547"/>
      <c r="P8" s="551" t="s">
        <v>233</v>
      </c>
      <c r="Q8" s="551">
        <v>6</v>
      </c>
      <c r="R8" s="551" t="s">
        <v>234</v>
      </c>
      <c r="S8" s="551">
        <v>8</v>
      </c>
      <c r="T8" s="555" t="s">
        <v>235</v>
      </c>
      <c r="U8" s="555"/>
      <c r="V8" s="555" t="s">
        <v>236</v>
      </c>
      <c r="W8" s="528">
        <v>11</v>
      </c>
      <c r="X8" s="530">
        <v>12</v>
      </c>
      <c r="Y8" s="456">
        <v>13</v>
      </c>
      <c r="Z8" s="456"/>
      <c r="AA8" s="457">
        <v>14</v>
      </c>
      <c r="AB8" s="458">
        <v>15</v>
      </c>
      <c r="AC8" s="390" t="s">
        <v>430</v>
      </c>
      <c r="AD8" s="295"/>
    </row>
    <row r="9" spans="1:31" ht="163.5" customHeight="1" x14ac:dyDescent="0.25">
      <c r="A9" s="6">
        <v>1</v>
      </c>
      <c r="B9" s="6"/>
      <c r="C9" s="557" t="s">
        <v>43</v>
      </c>
      <c r="D9" s="560">
        <v>624</v>
      </c>
      <c r="E9" s="561">
        <f>SUMIF('2020'!$B:$B,'Свод 2022'!$A9,('2020'!$P:$P))-SUMIFS('2020'!$P:$P,'2020'!$B:$B,'Свод 2022'!$A9,'2020'!$G:$G,4)</f>
        <v>658</v>
      </c>
      <c r="F9" s="562">
        <f>E9-D9</f>
        <v>34</v>
      </c>
      <c r="G9" s="563">
        <v>49845.8</v>
      </c>
      <c r="H9" s="563">
        <v>50767.4</v>
      </c>
      <c r="I9" s="564">
        <f>ROUND((SUMIF('2020'!$B:$B,'Свод 2022'!$A9,('2020'!$BL:$BL))-SUMIFS('2020'!$BL:$BL,'2020'!$B:$B,'Свод 2022'!$A9,'2020'!$G:$G,4))/1000,1)</f>
        <v>65388.4</v>
      </c>
      <c r="J9" s="564">
        <f>L9-K9</f>
        <v>6286.5</v>
      </c>
      <c r="K9" s="565">
        <f>ROUND((SUMIF('2020'!$B:$B,'Свод 2022'!$A9,('2020'!$AQ:$AQ))-SUMIFS('2020'!$AQ:$AQ,'2020'!$B:$B,'Свод 2022'!$A9,'2020'!$G:$G,4)+SUMIF('2020'!$B:$B,'Свод 2022'!$A9,('2020'!$BH:$BH))-SUMIFS('2020'!$BH:$BH,'2020'!$B:$B,'Свод 2022'!$A9,'2020'!$G:$G,4))/1000,1)</f>
        <v>41357.9</v>
      </c>
      <c r="L9" s="565">
        <f>ROUND((SUMIF('2020'!$B:$B,'Свод 2022'!$A9,('2020'!$BM:$BM))-SUMIFS('2020'!$BM:$BM,'2020'!$B:$B,'Свод 2022'!$A9,'2020'!$G:$G,4)+SUMIF('2020'!$B:$B,'Свод 2022'!$A9,('2020'!$CD:$CD))-SUMIFS('2020'!$CD:$CD,'2020'!$B:$B,'Свод 2022'!$A9,'2020'!$G:$G,4))/1000,1)</f>
        <v>47644.4</v>
      </c>
      <c r="M9" s="564">
        <f>O9-N9</f>
        <v>2341.4</v>
      </c>
      <c r="N9" s="565">
        <f>ROUND((SUMIF('2020'!$B:$B,'Свод 2022'!$A9,('2020'!$BB:$BB))-SUMIFS('2020'!$BB:$BB,'2020'!$B:$B,'Свод 2022'!$A9,'2020'!$G:$G,4))/1000,1)</f>
        <v>1355.7</v>
      </c>
      <c r="O9" s="565">
        <f>ROUND((SUMIF('2020'!$B:$B,'Свод 2022'!$A9,('2020'!$BX:$BX))-SUMIFS('2020'!$BX:$BX,'2020'!$B:$B,'Свод 2022'!$A9,'2020'!$G:$G,4))/1000,1)</f>
        <v>3697.1</v>
      </c>
      <c r="P9" s="564">
        <f>I9+J9+M9</f>
        <v>74016.3</v>
      </c>
      <c r="Q9" s="564">
        <v>921.6</v>
      </c>
      <c r="R9" s="564">
        <f t="shared" ref="R9:R24" si="0">I9+J9+M9+Q9</f>
        <v>74937.899999999994</v>
      </c>
      <c r="S9" s="564">
        <f>ROUND(P9*P$27,1)</f>
        <v>78626.100000000006</v>
      </c>
      <c r="T9" s="566">
        <f t="shared" ref="T9:T24" si="1">Q9+S9</f>
        <v>79547.7</v>
      </c>
      <c r="U9" s="566">
        <f>L9*P$27</f>
        <v>50611.75</v>
      </c>
      <c r="V9" s="566">
        <f>T9-R9</f>
        <v>4609.8</v>
      </c>
      <c r="W9" s="522">
        <f>ROUND((I9+J9+M9)*W$27,1)+Q9</f>
        <v>79547.7</v>
      </c>
      <c r="X9" s="523">
        <f>W9-R9</f>
        <v>4609.8</v>
      </c>
      <c r="Y9" s="460">
        <v>49845.8</v>
      </c>
      <c r="Z9" s="460"/>
      <c r="AA9" s="461">
        <v>50767.4</v>
      </c>
      <c r="AB9" s="459">
        <f>S9-Y9</f>
        <v>28780.3</v>
      </c>
      <c r="AC9" s="391">
        <f>T9-AA9</f>
        <v>28780.3</v>
      </c>
      <c r="AD9" s="313"/>
      <c r="AE9" s="265">
        <f>(W9-Q9)/(R9-Q9)</f>
        <v>1.062281</v>
      </c>
    </row>
    <row r="10" spans="1:31" ht="159" customHeight="1" x14ac:dyDescent="0.25">
      <c r="A10" s="6">
        <v>2</v>
      </c>
      <c r="B10" s="6"/>
      <c r="C10" s="557" t="s">
        <v>44</v>
      </c>
      <c r="D10" s="560">
        <v>1192</v>
      </c>
      <c r="E10" s="561">
        <f>SUMIF('2020'!$B:$B,'Свод 2022'!$A10,('2020'!$P:$P))-SUMIFS('2020'!$P:$P,'2020'!$B:$B,'Свод 2022'!$A10,'2020'!$G:$G,4)</f>
        <v>1150</v>
      </c>
      <c r="F10" s="567">
        <f t="shared" ref="F10:F25" si="2">E10-D10</f>
        <v>-42</v>
      </c>
      <c r="G10" s="563">
        <v>100634.2</v>
      </c>
      <c r="H10" s="563">
        <v>122328.5</v>
      </c>
      <c r="I10" s="564">
        <f>ROUND((SUMIF('2020'!$B:$B,'Свод 2022'!$A10,('2020'!$BL:$BL))-SUMIFS('2020'!$BL:$BL,'2020'!$B:$B,'Свод 2022'!$A10,'2020'!$G:$G,4))/1000,1)</f>
        <v>113404.2</v>
      </c>
      <c r="J10" s="564">
        <f t="shared" ref="J10:J22" si="3">L10-K10</f>
        <v>17148.2</v>
      </c>
      <c r="K10" s="565">
        <f>ROUND((SUMIF('2020'!$B:$B,'Свод 2022'!$A10,('2020'!$AQ:$AQ))-SUMIFS('2020'!$AQ:$AQ,'2020'!$B:$B,'Свод 2022'!$A10,'2020'!$G:$G,4)+SUMIF('2020'!$B:$B,'Свод 2022'!$A10,('2020'!$BH:$BH))-SUMIFS('2020'!$BH:$BH,'2020'!$B:$B,'Свод 2022'!$A10,'2020'!$G:$G,4))/1000,1)</f>
        <v>70279.3</v>
      </c>
      <c r="L10" s="565">
        <f>ROUND((SUMIF('2020'!$B:$B,'Свод 2022'!$A10,('2020'!$BM:$BM))-SUMIFS('2020'!$BM:$BM,'2020'!$B:$B,'Свод 2022'!$A10,'2020'!$G:$G,4)+SUMIF('2020'!$B:$B,'Свод 2022'!$A10,('2020'!$CD:$CD))-SUMIFS('2020'!$CD:$CD,'2020'!$B:$B,'Свод 2022'!$A10,'2020'!$G:$G,4))/1000,1)</f>
        <v>87427.5</v>
      </c>
      <c r="M10" s="564">
        <f t="shared" ref="M10:M22" si="4">O10-N10</f>
        <v>2753.7</v>
      </c>
      <c r="N10" s="565">
        <f>ROUND((SUMIF('2020'!$B:$B,'Свод 2022'!$A10,('2020'!$BB:$BB))-SUMIFS('2020'!$BB:$BB,'2020'!$B:$B,'Свод 2022'!$A10,'2020'!$G:$G,4))/1000,1)</f>
        <v>2306.3000000000002</v>
      </c>
      <c r="O10" s="565">
        <f>ROUND((SUMIF('2020'!$B:$B,'Свод 2022'!$A10,('2020'!$BX:$BX))-SUMIFS('2020'!$BX:$BX,'2020'!$B:$B,'Свод 2022'!$A10,'2020'!$G:$G,4))/1000,1)</f>
        <v>5060</v>
      </c>
      <c r="P10" s="564">
        <f t="shared" ref="P10:P25" si="5">I10+J10+M10</f>
        <v>133306.1</v>
      </c>
      <c r="Q10" s="564">
        <v>21694.3</v>
      </c>
      <c r="R10" s="564">
        <f t="shared" si="0"/>
        <v>155000.4</v>
      </c>
      <c r="S10" s="564">
        <f t="shared" ref="S10:S24" si="6">ROUND(P10*P$27,1)</f>
        <v>141608.6</v>
      </c>
      <c r="T10" s="566">
        <f t="shared" si="1"/>
        <v>163302.9</v>
      </c>
      <c r="U10" s="566">
        <f t="shared" ref="U10:U23" si="7">L10*P$27</f>
        <v>92872.58</v>
      </c>
      <c r="V10" s="566">
        <f t="shared" ref="V10:V24" si="8">T10-R10</f>
        <v>8302.5</v>
      </c>
      <c r="W10" s="522">
        <f t="shared" ref="W10:W24" si="9">ROUND((I10+J10+M10)*W$27,1)+Q10</f>
        <v>163302.9</v>
      </c>
      <c r="X10" s="523">
        <f t="shared" ref="X10:X24" si="10">W10-R10</f>
        <v>8302.5</v>
      </c>
      <c r="Y10" s="460">
        <v>100634.2</v>
      </c>
      <c r="Z10" s="460"/>
      <c r="AA10" s="461">
        <v>122328.5</v>
      </c>
      <c r="AB10" s="459">
        <f t="shared" ref="AB10:AB25" si="11">S10-Y10</f>
        <v>40974.400000000001</v>
      </c>
      <c r="AC10" s="391">
        <f t="shared" ref="AC10:AC25" si="12">T10-AA10</f>
        <v>40974.400000000001</v>
      </c>
      <c r="AD10" s="313"/>
      <c r="AE10" s="265">
        <f t="shared" ref="AE10:AE25" si="13">(W10-Q10)/(R10-Q10)</f>
        <v>1.062281</v>
      </c>
    </row>
    <row r="11" spans="1:31" ht="166.5" customHeight="1" x14ac:dyDescent="0.25">
      <c r="A11" s="6">
        <v>3</v>
      </c>
      <c r="B11" s="6"/>
      <c r="C11" s="557" t="s">
        <v>45</v>
      </c>
      <c r="D11" s="560">
        <v>808</v>
      </c>
      <c r="E11" s="561">
        <f>SUMIF('2020'!$B:$B,'Свод 2022'!$A11,('2020'!$P:$P))-SUMIFS('2020'!$P:$P,'2020'!$B:$B,'Свод 2022'!$A11,'2020'!$G:$G,4)</f>
        <v>838</v>
      </c>
      <c r="F11" s="567">
        <f t="shared" si="2"/>
        <v>30</v>
      </c>
      <c r="G11" s="563">
        <v>55066.8</v>
      </c>
      <c r="H11" s="563">
        <v>62996.7</v>
      </c>
      <c r="I11" s="564">
        <f>ROUND((SUMIF('2020'!$B:$B,'Свод 2022'!$A11,('2020'!$BL:$BL))-SUMIFS('2020'!$BL:$BL,'2020'!$B:$B,'Свод 2022'!$A11,'2020'!$G:$G,4))/1000,1)</f>
        <v>66641.3</v>
      </c>
      <c r="J11" s="564">
        <f t="shared" si="3"/>
        <v>11611.1</v>
      </c>
      <c r="K11" s="565">
        <f>ROUND((SUMIF('2020'!$B:$B,'Свод 2022'!$A11,('2020'!$AQ:$AQ))-SUMIFS('2020'!$AQ:$AQ,'2020'!$B:$B,'Свод 2022'!$A11,'2020'!$G:$G,4)+SUMIF('2020'!$B:$B,'Свод 2022'!$A11,('2020'!$BH:$BH))-SUMIFS('2020'!$BH:$BH,'2020'!$B:$B,'Свод 2022'!$A11,'2020'!$G:$G,4))/1000,1)</f>
        <v>41173.9</v>
      </c>
      <c r="L11" s="565">
        <f>ROUND((SUMIF('2020'!$B:$B,'Свод 2022'!$A11,('2020'!$BM:$BM))-SUMIFS('2020'!$BM:$BM,'2020'!$B:$B,'Свод 2022'!$A11,'2020'!$G:$G,4)+SUMIF('2020'!$B:$B,'Свод 2022'!$A11,('2020'!$CD:$CD))-SUMIFS('2020'!$CD:$CD,'2020'!$B:$B,'Свод 2022'!$A11,'2020'!$G:$G,4))/1000,1)</f>
        <v>52785</v>
      </c>
      <c r="M11" s="564">
        <f t="shared" si="4"/>
        <v>1577.3</v>
      </c>
      <c r="N11" s="565">
        <f>ROUND((SUMIF('2020'!$B:$B,'Свод 2022'!$A11,('2020'!$BB:$BB))-SUMIFS('2020'!$BB:$BB,'2020'!$B:$B,'Свод 2022'!$A11,'2020'!$G:$G,4))/1000,1)</f>
        <v>1360.9</v>
      </c>
      <c r="O11" s="565">
        <f>ROUND((SUMIF('2020'!$B:$B,'Свод 2022'!$A11,('2020'!$BX:$BX))-SUMIFS('2020'!$BX:$BX,'2020'!$B:$B,'Свод 2022'!$A11,'2020'!$G:$G,4))/1000,1)</f>
        <v>2938.2</v>
      </c>
      <c r="P11" s="564">
        <f t="shared" si="5"/>
        <v>79829.7</v>
      </c>
      <c r="Q11" s="564">
        <v>7929.9</v>
      </c>
      <c r="R11" s="564">
        <f t="shared" si="0"/>
        <v>87759.6</v>
      </c>
      <c r="S11" s="564">
        <f t="shared" si="6"/>
        <v>84801.600000000006</v>
      </c>
      <c r="T11" s="566">
        <f t="shared" si="1"/>
        <v>92731.5</v>
      </c>
      <c r="U11" s="566">
        <f t="shared" si="7"/>
        <v>56072.51</v>
      </c>
      <c r="V11" s="566">
        <f t="shared" si="8"/>
        <v>4971.8999999999996</v>
      </c>
      <c r="W11" s="522">
        <f t="shared" si="9"/>
        <v>92731.5</v>
      </c>
      <c r="X11" s="523">
        <f t="shared" si="10"/>
        <v>4971.8999999999996</v>
      </c>
      <c r="Y11" s="460">
        <v>55066.8</v>
      </c>
      <c r="Z11" s="460"/>
      <c r="AA11" s="461">
        <v>62996.7</v>
      </c>
      <c r="AB11" s="459">
        <f t="shared" si="11"/>
        <v>29734.799999999999</v>
      </c>
      <c r="AC11" s="391">
        <f t="shared" si="12"/>
        <v>29734.799999999999</v>
      </c>
      <c r="AD11" s="313"/>
      <c r="AE11" s="265">
        <f t="shared" si="13"/>
        <v>1.062281</v>
      </c>
    </row>
    <row r="12" spans="1:31" ht="161.25" customHeight="1" x14ac:dyDescent="0.25">
      <c r="A12" s="6">
        <v>4</v>
      </c>
      <c r="B12" s="6"/>
      <c r="C12" s="557" t="s">
        <v>46</v>
      </c>
      <c r="D12" s="560">
        <v>689</v>
      </c>
      <c r="E12" s="561">
        <f>SUMIF('2020'!$B:$B,'Свод 2022'!$A12,('2020'!$P:$P))-SUMIFS('2020'!$P:$P,'2020'!$B:$B,'Свод 2022'!$A12,'2020'!$G:$G,4)</f>
        <v>714</v>
      </c>
      <c r="F12" s="567">
        <f t="shared" si="2"/>
        <v>25</v>
      </c>
      <c r="G12" s="563">
        <v>71433</v>
      </c>
      <c r="H12" s="563">
        <v>75613.600000000006</v>
      </c>
      <c r="I12" s="564">
        <f>ROUND((SUMIF('2020'!$B:$B,'Свод 2022'!$A12,('2020'!$BL:$BL))-SUMIFS('2020'!$BL:$BL,'2020'!$B:$B,'Свод 2022'!$A12,'2020'!$G:$G,4))/1000,1)</f>
        <v>66725.2</v>
      </c>
      <c r="J12" s="564">
        <f t="shared" si="3"/>
        <v>42603.5</v>
      </c>
      <c r="K12" s="565">
        <f>ROUND((SUMIF('2020'!$B:$B,'Свод 2022'!$A12,('2020'!$AQ:$AQ))-SUMIFS('2020'!$AQ:$AQ,'2020'!$B:$B,'Свод 2022'!$A12,'2020'!$G:$G,4)+SUMIF('2020'!$B:$B,'Свод 2022'!$A12,('2020'!$BH:$BH))-SUMIFS('2020'!$BH:$BH,'2020'!$B:$B,'Свод 2022'!$A12,'2020'!$G:$G,4))/1000,1)</f>
        <v>41483.5</v>
      </c>
      <c r="L12" s="565">
        <f>ROUND((SUMIF('2020'!$B:$B,'Свод 2022'!$A12,('2020'!$BM:$BM))-SUMIFS('2020'!$BM:$BM,'2020'!$B:$B,'Свод 2022'!$A12,'2020'!$G:$G,4)+SUMIF('2020'!$B:$B,'Свод 2022'!$A12,('2020'!$CD:$CD))-SUMIFS('2020'!$CD:$CD,'2020'!$B:$B,'Свод 2022'!$A12,'2020'!$G:$G,4))/1000,1)</f>
        <v>84087</v>
      </c>
      <c r="M12" s="564">
        <f t="shared" si="4"/>
        <v>3133</v>
      </c>
      <c r="N12" s="565">
        <f>ROUND((SUMIF('2020'!$B:$B,'Свод 2022'!$A12,('2020'!$BB:$BB))-SUMIFS('2020'!$BB:$BB,'2020'!$B:$B,'Свод 2022'!$A12,'2020'!$G:$G,4))/1000,1)</f>
        <v>1346.9</v>
      </c>
      <c r="O12" s="565">
        <f>ROUND((SUMIF('2020'!$B:$B,'Свод 2022'!$A12,('2020'!$BX:$BX))-SUMIFS('2020'!$BX:$BX,'2020'!$B:$B,'Свод 2022'!$A12,'2020'!$G:$G,4))/1000,1)</f>
        <v>4479.8999999999996</v>
      </c>
      <c r="P12" s="564">
        <f t="shared" si="5"/>
        <v>112461.7</v>
      </c>
      <c r="Q12" s="564">
        <v>4180.6000000000004</v>
      </c>
      <c r="R12" s="564">
        <f t="shared" si="0"/>
        <v>116642.3</v>
      </c>
      <c r="S12" s="564">
        <f t="shared" si="6"/>
        <v>119465.9</v>
      </c>
      <c r="T12" s="566">
        <f t="shared" si="1"/>
        <v>123646.5</v>
      </c>
      <c r="U12" s="566">
        <f t="shared" si="7"/>
        <v>89324.03</v>
      </c>
      <c r="V12" s="566">
        <f t="shared" si="8"/>
        <v>7004.2</v>
      </c>
      <c r="W12" s="522">
        <f t="shared" si="9"/>
        <v>123646.5</v>
      </c>
      <c r="X12" s="523">
        <f t="shared" si="10"/>
        <v>7004.2</v>
      </c>
      <c r="Y12" s="460">
        <v>71433</v>
      </c>
      <c r="Z12" s="460"/>
      <c r="AA12" s="461">
        <v>75613.600000000006</v>
      </c>
      <c r="AB12" s="462">
        <f t="shared" si="11"/>
        <v>48032.9</v>
      </c>
      <c r="AC12" s="391">
        <f t="shared" si="12"/>
        <v>48032.9</v>
      </c>
      <c r="AD12" s="313"/>
      <c r="AE12" s="265">
        <f t="shared" si="13"/>
        <v>1.062281</v>
      </c>
    </row>
    <row r="13" spans="1:31" ht="186.75" customHeight="1" x14ac:dyDescent="0.25">
      <c r="A13" s="6">
        <v>5</v>
      </c>
      <c r="B13" s="6"/>
      <c r="C13" s="557" t="s">
        <v>47</v>
      </c>
      <c r="D13" s="560">
        <v>2591</v>
      </c>
      <c r="E13" s="561">
        <f>SUMIF('2020'!$B:$B,'Свод 2022'!$A13,('2020'!$P:$P))-SUMIFS('2020'!$P:$P,'2020'!$B:$B,'Свод 2022'!$A13,'2020'!$G:$G,4)</f>
        <v>2681</v>
      </c>
      <c r="F13" s="567">
        <f t="shared" si="2"/>
        <v>90</v>
      </c>
      <c r="G13" s="563">
        <v>202030.2</v>
      </c>
      <c r="H13" s="563">
        <v>226249.5</v>
      </c>
      <c r="I13" s="564">
        <f>ROUND((SUMIF('2020'!$B:$B,'Свод 2022'!$A13,('2020'!$BL:$BL))-SUMIFS('2020'!$BL:$BL,'2020'!$B:$B,'Свод 2022'!$A13,'2020'!$G:$G,4))/1000,1)</f>
        <v>236954</v>
      </c>
      <c r="J13" s="564">
        <f t="shared" si="3"/>
        <v>58991.3</v>
      </c>
      <c r="K13" s="565">
        <f>ROUND((SUMIF('2020'!$B:$B,'Свод 2022'!$A13,('2020'!$AQ:$AQ))-SUMIFS('2020'!$AQ:$AQ,'2020'!$B:$B,'Свод 2022'!$A13,'2020'!$G:$G,4)+SUMIF('2020'!$B:$B,'Свод 2022'!$A13,('2020'!$BH:$BH))-SUMIFS('2020'!$BH:$BH,'2020'!$B:$B,'Свод 2022'!$A13,'2020'!$G:$G,4))/1000,1)</f>
        <v>149345</v>
      </c>
      <c r="L13" s="565">
        <f>ROUND((SUMIF('2020'!$B:$B,'Свод 2022'!$A13,('2020'!$BM:$BM))-SUMIFS('2020'!$BM:$BM,'2020'!$B:$B,'Свод 2022'!$A13,'2020'!$G:$G,4)+SUMIF('2020'!$B:$B,'Свод 2022'!$A13,('2020'!$CD:$CD))-SUMIFS('2020'!$CD:$CD,'2020'!$B:$B,'Свод 2022'!$A13,'2020'!$G:$G,4))/1000,1)</f>
        <v>208336.3</v>
      </c>
      <c r="M13" s="564">
        <f t="shared" si="4"/>
        <v>4809.2</v>
      </c>
      <c r="N13" s="565">
        <f>ROUND((SUMIF('2020'!$B:$B,'Свод 2022'!$A13,('2020'!$BB:$BB))-SUMIFS('2020'!$BB:$BB,'2020'!$B:$B,'Свод 2022'!$A13,'2020'!$G:$G,4))/1000,1)</f>
        <v>4912.3999999999996</v>
      </c>
      <c r="O13" s="565">
        <f>ROUND((SUMIF('2020'!$B:$B,'Свод 2022'!$A13,('2020'!$BX:$BX))-SUMIFS('2020'!$BX:$BX,'2020'!$B:$B,'Свод 2022'!$A13,'2020'!$G:$G,4))/1000,1)</f>
        <v>9721.6</v>
      </c>
      <c r="P13" s="564">
        <f t="shared" si="5"/>
        <v>300754.5</v>
      </c>
      <c r="Q13" s="564">
        <v>24219.3</v>
      </c>
      <c r="R13" s="564">
        <f t="shared" si="0"/>
        <v>324973.8</v>
      </c>
      <c r="S13" s="564">
        <f>ROUND(P13*P$27,1)</f>
        <v>319485.8</v>
      </c>
      <c r="T13" s="566">
        <f t="shared" si="1"/>
        <v>343705.1</v>
      </c>
      <c r="U13" s="566">
        <f t="shared" si="7"/>
        <v>221311.72</v>
      </c>
      <c r="V13" s="566">
        <f t="shared" si="8"/>
        <v>18731.3</v>
      </c>
      <c r="W13" s="522">
        <f t="shared" si="9"/>
        <v>343705.1</v>
      </c>
      <c r="X13" s="523">
        <f t="shared" si="10"/>
        <v>18731.3</v>
      </c>
      <c r="Y13" s="460">
        <v>202030.2</v>
      </c>
      <c r="Z13" s="460"/>
      <c r="AA13" s="461">
        <v>226249.5</v>
      </c>
      <c r="AB13" s="459">
        <f t="shared" si="11"/>
        <v>117455.6</v>
      </c>
      <c r="AC13" s="391">
        <f t="shared" si="12"/>
        <v>117455.6</v>
      </c>
      <c r="AD13" s="313"/>
      <c r="AE13" s="265">
        <f t="shared" si="13"/>
        <v>1.062281</v>
      </c>
    </row>
    <row r="14" spans="1:31" ht="244.5" customHeight="1" x14ac:dyDescent="0.25">
      <c r="A14" s="6">
        <v>6</v>
      </c>
      <c r="B14" s="6"/>
      <c r="C14" s="557" t="s">
        <v>48</v>
      </c>
      <c r="D14" s="560">
        <v>3802</v>
      </c>
      <c r="E14" s="561">
        <f>SUMIF('2020'!$B:$B,'Свод 2022'!$A14,('2020'!$P:$P))-SUMIFS('2020'!$P:$P,'2020'!$B:$B,'Свод 2022'!$A14,'2020'!$G:$G,4)</f>
        <v>3657</v>
      </c>
      <c r="F14" s="562">
        <f t="shared" si="2"/>
        <v>-145</v>
      </c>
      <c r="G14" s="563">
        <v>468920.2</v>
      </c>
      <c r="H14" s="563">
        <v>526099.9</v>
      </c>
      <c r="I14" s="564">
        <f>ROUND((SUMIF('2020'!$B:$B,'Свод 2022'!$A14,('2020'!$BL:$BL))-SUMIFS('2020'!$BL:$BL,'2020'!$B:$B,'Свод 2022'!$A14,'2020'!$G:$G,4))/1000,1)</f>
        <v>368189.2</v>
      </c>
      <c r="J14" s="564">
        <f t="shared" si="3"/>
        <v>329018.5</v>
      </c>
      <c r="K14" s="565">
        <f>ROUND((SUMIF('2020'!$B:$B,'Свод 2022'!$A14,('2020'!$AQ:$AQ))-SUMIFS('2020'!$AQ:$AQ,'2020'!$B:$B,'Свод 2022'!$A14,'2020'!$G:$G,4)+SUMIF('2020'!$B:$B,'Свод 2022'!$A14,('2020'!$BH:$BH))-SUMIFS('2020'!$BH:$BH,'2020'!$B:$B,'Свод 2022'!$A14,'2020'!$G:$G,4))/1000,1)</f>
        <v>228168.2</v>
      </c>
      <c r="L14" s="565">
        <f>ROUND((SUMIF('2020'!$B:$B,'Свод 2022'!$A14,('2020'!$BM:$BM))-SUMIFS('2020'!$BM:$BM,'2020'!$B:$B,'Свод 2022'!$A14,'2020'!$G:$G,4)+SUMIF('2020'!$B:$B,'Свод 2022'!$A14,('2020'!$CD:$CD))-SUMIFS('2020'!$CD:$CD,'2020'!$B:$B,'Свод 2022'!$A14,'2020'!$G:$G,4))/1000,1)</f>
        <v>557186.69999999995</v>
      </c>
      <c r="M14" s="564">
        <f t="shared" si="4"/>
        <v>12000</v>
      </c>
      <c r="N14" s="565">
        <f>ROUND((SUMIF('2020'!$B:$B,'Свод 2022'!$A14,('2020'!$BB:$BB))-SUMIFS('2020'!$BB:$BB,'2020'!$B:$B,'Свод 2022'!$A14,'2020'!$G:$G,4))/1000,1)</f>
        <v>7500</v>
      </c>
      <c r="O14" s="565">
        <f>ROUND((SUMIF('2020'!$B:$B,'Свод 2022'!$A14,('2020'!$BX:$BX))-SUMIFS('2020'!$BX:$BX,'2020'!$B:$B,'Свод 2022'!$A14,'2020'!$G:$G,4))/1000,1)</f>
        <v>19500</v>
      </c>
      <c r="P14" s="564">
        <f t="shared" si="5"/>
        <v>709207.7</v>
      </c>
      <c r="Q14" s="564">
        <v>57179.7</v>
      </c>
      <c r="R14" s="564">
        <f t="shared" si="0"/>
        <v>766387.4</v>
      </c>
      <c r="S14" s="564">
        <f t="shared" si="6"/>
        <v>753377.9</v>
      </c>
      <c r="T14" s="566">
        <f t="shared" si="1"/>
        <v>810557.6</v>
      </c>
      <c r="U14" s="566">
        <f t="shared" si="7"/>
        <v>591888.91</v>
      </c>
      <c r="V14" s="566">
        <f t="shared" si="8"/>
        <v>44170.2</v>
      </c>
      <c r="W14" s="522">
        <f t="shared" si="9"/>
        <v>810557.6</v>
      </c>
      <c r="X14" s="523">
        <f t="shared" si="10"/>
        <v>44170.2</v>
      </c>
      <c r="Y14" s="460">
        <v>468920.2</v>
      </c>
      <c r="Z14" s="460"/>
      <c r="AA14" s="461">
        <v>526099.9</v>
      </c>
      <c r="AB14" s="462">
        <f t="shared" si="11"/>
        <v>284457.7</v>
      </c>
      <c r="AC14" s="391">
        <f t="shared" si="12"/>
        <v>284457.7</v>
      </c>
      <c r="AD14" s="313"/>
      <c r="AE14" s="265">
        <f t="shared" si="13"/>
        <v>1.062281</v>
      </c>
    </row>
    <row r="15" spans="1:31" ht="158.25" customHeight="1" x14ac:dyDescent="0.25">
      <c r="A15" s="6">
        <v>7</v>
      </c>
      <c r="B15" s="6"/>
      <c r="C15" s="557" t="s">
        <v>49</v>
      </c>
      <c r="D15" s="560">
        <v>1327</v>
      </c>
      <c r="E15" s="561">
        <f>SUMIF('2020'!$B:$B,'Свод 2022'!$A15,('2020'!$P:$P))-SUMIFS('2020'!$P:$P,'2020'!$B:$B,'Свод 2022'!$A15,'2020'!$G:$G,4)</f>
        <v>1285</v>
      </c>
      <c r="F15" s="567">
        <f t="shared" si="2"/>
        <v>-42</v>
      </c>
      <c r="G15" s="563">
        <v>138599.79999999999</v>
      </c>
      <c r="H15" s="563">
        <v>145609.29999999999</v>
      </c>
      <c r="I15" s="564">
        <f>ROUND((SUMIF('2020'!$B:$B,'Свод 2022'!$A15,('2020'!$BL:$BL))-SUMIFS('2020'!$BL:$BL,'2020'!$B:$B,'Свод 2022'!$A15,'2020'!$G:$G,4))/1000,1)</f>
        <v>116824</v>
      </c>
      <c r="J15" s="564">
        <f t="shared" si="3"/>
        <v>84672.9</v>
      </c>
      <c r="K15" s="565">
        <f>ROUND((SUMIF('2020'!$B:$B,'Свод 2022'!$A15,('2020'!$AQ:$AQ))-SUMIFS('2020'!$AQ:$AQ,'2020'!$B:$B,'Свод 2022'!$A15,'2020'!$G:$G,4)+SUMIF('2020'!$B:$B,'Свод 2022'!$A15,('2020'!$BH:$BH))-SUMIFS('2020'!$BH:$BH,'2020'!$B:$B,'Свод 2022'!$A15,'2020'!$G:$G,4))/1000,1)</f>
        <v>72693</v>
      </c>
      <c r="L15" s="565">
        <f>ROUND((SUMIF('2020'!$B:$B,'Свод 2022'!$A15,('2020'!$BM:$BM))-SUMIFS('2020'!$BM:$BM,'2020'!$B:$B,'Свод 2022'!$A15,'2020'!$G:$G,4)+SUMIF('2020'!$B:$B,'Свод 2022'!$A15,('2020'!$CD:$CD))-SUMIFS('2020'!$CD:$CD,'2020'!$B:$B,'Свод 2022'!$A15,'2020'!$G:$G,4))/1000,1)</f>
        <v>157365.9</v>
      </c>
      <c r="M15" s="564">
        <f t="shared" si="4"/>
        <v>4779.6000000000004</v>
      </c>
      <c r="N15" s="565">
        <f>ROUND((SUMIF('2020'!$B:$B,'Свод 2022'!$A15,('2020'!$BB:$BB))-SUMIFS('2020'!$BB:$BB,'2020'!$B:$B,'Свод 2022'!$A15,'2020'!$G:$G,4))/1000,1)</f>
        <v>2382.6</v>
      </c>
      <c r="O15" s="565">
        <f>ROUND((SUMIF('2020'!$B:$B,'Свод 2022'!$A15,('2020'!$BX:$BX))-SUMIFS('2020'!$BX:$BX,'2020'!$B:$B,'Свод 2022'!$A15,'2020'!$G:$G,4))/1000,1)</f>
        <v>7162.2</v>
      </c>
      <c r="P15" s="564">
        <f t="shared" si="5"/>
        <v>206276.5</v>
      </c>
      <c r="Q15" s="564">
        <v>7009.5</v>
      </c>
      <c r="R15" s="564">
        <f t="shared" si="0"/>
        <v>213286</v>
      </c>
      <c r="S15" s="564">
        <f t="shared" si="6"/>
        <v>219123.6</v>
      </c>
      <c r="T15" s="566">
        <f t="shared" si="1"/>
        <v>226133.1</v>
      </c>
      <c r="U15" s="566">
        <f t="shared" si="7"/>
        <v>167166.82</v>
      </c>
      <c r="V15" s="566">
        <f t="shared" si="8"/>
        <v>12847.1</v>
      </c>
      <c r="W15" s="517">
        <f t="shared" si="9"/>
        <v>226133.1</v>
      </c>
      <c r="X15" s="518">
        <f t="shared" si="10"/>
        <v>12847.1</v>
      </c>
      <c r="Y15" s="460">
        <v>138599.79999999999</v>
      </c>
      <c r="Z15" s="460"/>
      <c r="AA15" s="461">
        <v>145609.29999999999</v>
      </c>
      <c r="AB15" s="462">
        <f t="shared" si="11"/>
        <v>80523.8</v>
      </c>
      <c r="AC15" s="391">
        <f t="shared" si="12"/>
        <v>80523.8</v>
      </c>
      <c r="AD15" s="313"/>
      <c r="AE15" s="265">
        <f t="shared" si="13"/>
        <v>1.062281</v>
      </c>
    </row>
    <row r="16" spans="1:31" ht="219.75" customHeight="1" x14ac:dyDescent="0.25">
      <c r="A16" s="6">
        <v>8</v>
      </c>
      <c r="B16" s="6"/>
      <c r="C16" s="557" t="s">
        <v>50</v>
      </c>
      <c r="D16" s="560">
        <v>2254</v>
      </c>
      <c r="E16" s="561">
        <f>SUMIF('2020'!$B:$B,'Свод 2022'!$A16,('2020'!$P:$P))-SUMIFS('2020'!$P:$P,'2020'!$B:$B,'Свод 2022'!$A16,'2020'!$G:$G,4)</f>
        <v>2590</v>
      </c>
      <c r="F16" s="562">
        <f t="shared" si="2"/>
        <v>336</v>
      </c>
      <c r="G16" s="563">
        <v>244041.5</v>
      </c>
      <c r="H16" s="563">
        <v>460044.79999999999</v>
      </c>
      <c r="I16" s="564">
        <f>ROUND((SUMIF('2020'!$B:$B,'Свод 2022'!$A16,('2020'!$BL:$BL))-SUMIFS('2020'!$BL:$BL,'2020'!$B:$B,'Свод 2022'!$A16,'2020'!$G:$G,4))/1000,1)</f>
        <v>305331.59999999998</v>
      </c>
      <c r="J16" s="564">
        <f t="shared" si="3"/>
        <v>96255.6</v>
      </c>
      <c r="K16" s="565">
        <f>ROUND((SUMIF('2020'!$B:$B,'Свод 2022'!$A16,('2020'!$AQ:$AQ))-SUMIFS('2020'!$AQ:$AQ,'2020'!$B:$B,'Свод 2022'!$A16,'2020'!$G:$G,4)+SUMIF('2020'!$B:$B,'Свод 2022'!$A16,('2020'!$BH:$BH))-SUMIFS('2020'!$BH:$BH,'2020'!$B:$B,'Свод 2022'!$A16,'2020'!$G:$G,4))/1000,1)</f>
        <v>190983.4</v>
      </c>
      <c r="L16" s="565">
        <f>ROUND((SUMIF('2020'!$B:$B,'Свод 2022'!$A16,('2020'!$BM:$BM))-SUMIFS('2020'!$BM:$BM,'2020'!$B:$B,'Свод 2022'!$A16,'2020'!$G:$G,4)+SUMIF('2020'!$B:$B,'Свод 2022'!$A16,('2020'!$CD:$CD))-SUMIFS('2020'!$CD:$CD,'2020'!$B:$B,'Свод 2022'!$A16,'2020'!$G:$G,4))/1000,1)</f>
        <v>287239</v>
      </c>
      <c r="M16" s="564">
        <f t="shared" si="4"/>
        <v>9223.1</v>
      </c>
      <c r="N16" s="565">
        <f>ROUND((SUMIF('2020'!$B:$B,'Свод 2022'!$A16,('2020'!$BB:$BB))-SUMIFS('2020'!$BB:$BB,'2020'!$B:$B,'Свод 2022'!$A16,'2020'!$G:$G,4))/1000,1)</f>
        <v>6269.9</v>
      </c>
      <c r="O16" s="565">
        <f>ROUND((SUMIF('2020'!$B:$B,'Свод 2022'!$A16,('2020'!$BX:$BX))-SUMIFS('2020'!$BX:$BX,'2020'!$B:$B,'Свод 2022'!$A16,'2020'!$G:$G,4))/1000,1)</f>
        <v>15493</v>
      </c>
      <c r="P16" s="564">
        <f t="shared" si="5"/>
        <v>410810.3</v>
      </c>
      <c r="Q16" s="564">
        <v>216003.3</v>
      </c>
      <c r="R16" s="564">
        <f t="shared" si="0"/>
        <v>626813.6</v>
      </c>
      <c r="S16" s="564">
        <f t="shared" si="6"/>
        <v>436396</v>
      </c>
      <c r="T16" s="566">
        <f t="shared" si="1"/>
        <v>652399.30000000005</v>
      </c>
      <c r="U16" s="566">
        <f t="shared" si="7"/>
        <v>305128.56</v>
      </c>
      <c r="V16" s="566">
        <f t="shared" si="8"/>
        <v>25585.7</v>
      </c>
      <c r="W16" s="517">
        <f t="shared" si="9"/>
        <v>652399.30000000005</v>
      </c>
      <c r="X16" s="518">
        <f t="shared" si="10"/>
        <v>25585.7</v>
      </c>
      <c r="Y16" s="460">
        <v>244041.5</v>
      </c>
      <c r="Z16" s="460"/>
      <c r="AA16" s="461">
        <v>460044.79999999999</v>
      </c>
      <c r="AB16" s="462">
        <f t="shared" si="11"/>
        <v>192354.5</v>
      </c>
      <c r="AC16" s="391">
        <f t="shared" si="12"/>
        <v>192354.5</v>
      </c>
      <c r="AD16" s="313"/>
      <c r="AE16" s="265">
        <f t="shared" si="13"/>
        <v>1.062281</v>
      </c>
    </row>
    <row r="17" spans="1:31" ht="258.75" customHeight="1" x14ac:dyDescent="0.25">
      <c r="A17" s="6">
        <v>9</v>
      </c>
      <c r="B17" s="6"/>
      <c r="C17" s="557" t="s">
        <v>51</v>
      </c>
      <c r="D17" s="560">
        <v>3002</v>
      </c>
      <c r="E17" s="561">
        <f>SUMIF('2020'!$B:$B,'Свод 2022'!$A17,('2020'!$P:$P))-SUMIFS('2020'!$P:$P,'2020'!$B:$B,'Свод 2022'!$A17,'2020'!$G:$G,4)</f>
        <v>3383</v>
      </c>
      <c r="F17" s="562">
        <f t="shared" si="2"/>
        <v>381</v>
      </c>
      <c r="G17" s="563">
        <v>481257.1</v>
      </c>
      <c r="H17" s="563">
        <v>576859.19999999995</v>
      </c>
      <c r="I17" s="564">
        <f>ROUND((SUMIF('2020'!$B:$B,'Свод 2022'!$A17,('2020'!$BL:$BL))-SUMIFS('2020'!$BL:$BL,'2020'!$B:$B,'Свод 2022'!$A17,'2020'!$G:$G,4))/1000,1)</f>
        <v>320793.2</v>
      </c>
      <c r="J17" s="564">
        <f t="shared" si="3"/>
        <v>456926.7</v>
      </c>
      <c r="K17" s="565">
        <f>ROUND((SUMIF('2020'!$B:$B,'Свод 2022'!$A17,('2020'!$AQ:$AQ))-SUMIFS('2020'!$AQ:$AQ,'2020'!$B:$B,'Свод 2022'!$A17,'2020'!$G:$G,4)+SUMIF('2020'!$B:$B,'Свод 2022'!$A17,('2020'!$BH:$BH))-SUMIFS('2020'!$BH:$BH,'2020'!$B:$B,'Свод 2022'!$A17,'2020'!$G:$G,4))/1000,1)</f>
        <v>202359</v>
      </c>
      <c r="L17" s="565">
        <f>ROUND((SUMIF('2020'!$B:$B,'Свод 2022'!$A17,('2020'!$BM:$BM))-SUMIFS('2020'!$BM:$BM,'2020'!$B:$B,'Свод 2022'!$A17,'2020'!$G:$G,4)+SUMIF('2020'!$B:$B,'Свод 2022'!$A17,('2020'!$CD:$CD))-SUMIFS('2020'!$CD:$CD,'2020'!$B:$B,'Свод 2022'!$A17,'2020'!$G:$G,4))/1000,1)</f>
        <v>659285.69999999995</v>
      </c>
      <c r="M17" s="564">
        <f t="shared" si="4"/>
        <v>12552.2</v>
      </c>
      <c r="N17" s="565">
        <f>ROUND((SUMIF('2020'!$B:$B,'Свод 2022'!$A17,('2020'!$BB:$BB))-SUMIFS('2020'!$BB:$BB,'2020'!$B:$B,'Свод 2022'!$A17,'2020'!$G:$G,4))/1000,1)</f>
        <v>6634.3</v>
      </c>
      <c r="O17" s="565">
        <f>ROUND((SUMIF('2020'!$B:$B,'Свод 2022'!$A17,('2020'!$BX:$BX))-SUMIFS('2020'!$BX:$BX,'2020'!$B:$B,'Свод 2022'!$A17,'2020'!$G:$G,4))/1000,1)</f>
        <v>19186.5</v>
      </c>
      <c r="P17" s="564">
        <f t="shared" si="5"/>
        <v>790272.1</v>
      </c>
      <c r="Q17" s="564">
        <v>95602.2</v>
      </c>
      <c r="R17" s="564">
        <f t="shared" si="0"/>
        <v>885874.3</v>
      </c>
      <c r="S17" s="564">
        <f t="shared" si="6"/>
        <v>839491.1</v>
      </c>
      <c r="T17" s="566">
        <f t="shared" si="1"/>
        <v>935093.3</v>
      </c>
      <c r="U17" s="566">
        <f t="shared" si="7"/>
        <v>700346.75</v>
      </c>
      <c r="V17" s="566">
        <f t="shared" si="8"/>
        <v>49219</v>
      </c>
      <c r="W17" s="517">
        <f t="shared" si="9"/>
        <v>935093.3</v>
      </c>
      <c r="X17" s="518">
        <f t="shared" si="10"/>
        <v>49219</v>
      </c>
      <c r="Y17" s="460">
        <v>481257.1</v>
      </c>
      <c r="Z17" s="460"/>
      <c r="AA17" s="461">
        <v>576859.19999999995</v>
      </c>
      <c r="AB17" s="462">
        <f t="shared" si="11"/>
        <v>358234</v>
      </c>
      <c r="AC17" s="391">
        <f t="shared" si="12"/>
        <v>358234.1</v>
      </c>
      <c r="AD17" s="313"/>
      <c r="AE17" s="265">
        <f t="shared" si="13"/>
        <v>1.062281</v>
      </c>
    </row>
    <row r="18" spans="1:31" ht="151.5" customHeight="1" x14ac:dyDescent="0.25">
      <c r="A18" s="6">
        <v>10</v>
      </c>
      <c r="B18" s="6"/>
      <c r="C18" s="557" t="s">
        <v>52</v>
      </c>
      <c r="D18" s="560">
        <v>1940</v>
      </c>
      <c r="E18" s="561">
        <f>SUMIF('2020'!$B:$B,'Свод 2022'!$A18,('2020'!$P:$P))-SUMIFS('2020'!$P:$P,'2020'!$B:$B,'Свод 2022'!$A18,'2020'!$G:$G,4)</f>
        <v>1975</v>
      </c>
      <c r="F18" s="562">
        <f t="shared" si="2"/>
        <v>35</v>
      </c>
      <c r="G18" s="563">
        <v>167235.1</v>
      </c>
      <c r="H18" s="563">
        <v>174881.8</v>
      </c>
      <c r="I18" s="564">
        <f>ROUND((SUMIF('2020'!$B:$B,'Свод 2022'!$A18,('2020'!$BL:$BL))-SUMIFS('2020'!$BL:$BL,'2020'!$B:$B,'Свод 2022'!$A18,'2020'!$G:$G,4))/1000,1)</f>
        <v>197262.2</v>
      </c>
      <c r="J18" s="564">
        <f t="shared" si="3"/>
        <v>44947.5</v>
      </c>
      <c r="K18" s="565">
        <f>ROUND((SUMIF('2020'!$B:$B,'Свод 2022'!$A18,('2020'!$AQ:$AQ))-SUMIFS('2020'!$AQ:$AQ,'2020'!$B:$B,'Свод 2022'!$A18,'2020'!$G:$G,4)+SUMIF('2020'!$B:$B,'Свод 2022'!$A18,('2020'!$BH:$BH))-SUMIFS('2020'!$BH:$BH,'2020'!$B:$B,'Свод 2022'!$A18,'2020'!$G:$G,4))/1000,1)</f>
        <v>124164.6</v>
      </c>
      <c r="L18" s="565">
        <f>ROUND((SUMIF('2020'!$B:$B,'Свод 2022'!$A18,('2020'!$BM:$BM))-SUMIFS('2020'!$BM:$BM,'2020'!$B:$B,'Свод 2022'!$A18,'2020'!$G:$G,4)+SUMIF('2020'!$B:$B,'Свод 2022'!$A18,('2020'!$CD:$CD))-SUMIFS('2020'!$CD:$CD,'2020'!$B:$B,'Свод 2022'!$A18,'2020'!$G:$G,4))/1000,1)</f>
        <v>169112.1</v>
      </c>
      <c r="M18" s="564">
        <f t="shared" si="4"/>
        <v>7879.7</v>
      </c>
      <c r="N18" s="565">
        <f>ROUND((SUMIF('2020'!$B:$B,'Свод 2022'!$A18,('2020'!$BB:$BB))-SUMIFS('2020'!$BB:$BB,'2020'!$B:$B,'Свод 2022'!$A18,'2020'!$G:$G,4))/1000,1)</f>
        <v>4032.6</v>
      </c>
      <c r="O18" s="565">
        <f>ROUND((SUMIF('2020'!$B:$B,'Свод 2022'!$A18,('2020'!$BX:$BX))-SUMIFS('2020'!$BX:$BX,'2020'!$B:$B,'Свод 2022'!$A18,'2020'!$G:$G,4))/1000,1)</f>
        <v>11912.3</v>
      </c>
      <c r="P18" s="564">
        <f t="shared" si="5"/>
        <v>250089.4</v>
      </c>
      <c r="Q18" s="564">
        <v>7646.7</v>
      </c>
      <c r="R18" s="564">
        <f t="shared" si="0"/>
        <v>257736.1</v>
      </c>
      <c r="S18" s="564">
        <f t="shared" si="6"/>
        <v>265665.2</v>
      </c>
      <c r="T18" s="566">
        <f t="shared" si="1"/>
        <v>273311.90000000002</v>
      </c>
      <c r="U18" s="566">
        <f t="shared" si="7"/>
        <v>179644.59</v>
      </c>
      <c r="V18" s="566">
        <f t="shared" si="8"/>
        <v>15575.8</v>
      </c>
      <c r="W18" s="517">
        <f t="shared" si="9"/>
        <v>273311.90000000002</v>
      </c>
      <c r="X18" s="518">
        <f t="shared" si="10"/>
        <v>15575.8</v>
      </c>
      <c r="Y18" s="460">
        <v>167235.1</v>
      </c>
      <c r="Z18" s="460"/>
      <c r="AA18" s="461">
        <v>174881.8</v>
      </c>
      <c r="AB18" s="459">
        <f t="shared" si="11"/>
        <v>98430.1</v>
      </c>
      <c r="AC18" s="391">
        <f t="shared" si="12"/>
        <v>98430.1</v>
      </c>
      <c r="AD18" s="313"/>
      <c r="AE18" s="265">
        <f t="shared" si="13"/>
        <v>1.062281</v>
      </c>
    </row>
    <row r="19" spans="1:31" ht="183.75" customHeight="1" x14ac:dyDescent="0.25">
      <c r="A19" s="6">
        <v>11</v>
      </c>
      <c r="B19" s="6"/>
      <c r="C19" s="557" t="s">
        <v>53</v>
      </c>
      <c r="D19" s="560">
        <v>1500</v>
      </c>
      <c r="E19" s="561">
        <f>SUMIF('2020'!$B:$B,'Свод 2022'!$A19,('2020'!$P:$P))-SUMIFS('2020'!$P:$P,'2020'!$B:$B,'Свод 2022'!$A19,'2020'!$G:$G,4)</f>
        <v>1534</v>
      </c>
      <c r="F19" s="562">
        <f t="shared" si="2"/>
        <v>34</v>
      </c>
      <c r="G19" s="563">
        <v>164752.6</v>
      </c>
      <c r="H19" s="563">
        <v>257629.4</v>
      </c>
      <c r="I19" s="564">
        <f>ROUND((SUMIF('2020'!$B:$B,'Свод 2022'!$A19,('2020'!$BL:$BL))-SUMIFS('2020'!$BL:$BL,'2020'!$B:$B,'Свод 2022'!$A19,'2020'!$G:$G,4))/1000,1)</f>
        <v>142662.6</v>
      </c>
      <c r="J19" s="564">
        <f t="shared" si="3"/>
        <v>22014.1</v>
      </c>
      <c r="K19" s="565">
        <f>ROUND((SUMIF('2020'!$B:$B,'Свод 2022'!$A19,('2020'!$AQ:$AQ))-SUMIFS('2020'!$AQ:$AQ,'2020'!$B:$B,'Свод 2022'!$A19,'2020'!$G:$G,4)+SUMIF('2020'!$B:$B,'Свод 2022'!$A19,('2020'!$BH:$BH))-SUMIFS('2020'!$BH:$BH,'2020'!$B:$B,'Свод 2022'!$A19,'2020'!$G:$G,4))/1000,1)</f>
        <v>89126.2</v>
      </c>
      <c r="L19" s="565">
        <f>ROUND((SUMIF('2020'!$B:$B,'Свод 2022'!$A19,('2020'!$BM:$BM))-SUMIFS('2020'!$BM:$BM,'2020'!$B:$B,'Свод 2022'!$A19,'2020'!$G:$G,4)+SUMIF('2020'!$B:$B,'Свод 2022'!$A19,('2020'!$CD:$CD))-SUMIFS('2020'!$CD:$CD,'2020'!$B:$B,'Свод 2022'!$A19,'2020'!$G:$G,4))/1000,1)</f>
        <v>111140.3</v>
      </c>
      <c r="M19" s="564">
        <f t="shared" si="4"/>
        <v>6443.5</v>
      </c>
      <c r="N19" s="565">
        <f>ROUND((SUMIF('2020'!$B:$B,'Свод 2022'!$A19,('2020'!$BB:$BB))-SUMIFS('2020'!$BB:$BB,'2020'!$B:$B,'Свод 2022'!$A19,'2020'!$G:$G,4))/1000,1)</f>
        <v>2930.2</v>
      </c>
      <c r="O19" s="565">
        <f>ROUND((SUMIF('2020'!$B:$B,'Свод 2022'!$A19,('2020'!$BX:$BX))-SUMIFS('2020'!$BX:$BX,'2020'!$B:$B,'Свод 2022'!$A19,'2020'!$G:$G,4))/1000,1)</f>
        <v>9373.7000000000007</v>
      </c>
      <c r="P19" s="564">
        <f t="shared" si="5"/>
        <v>171120.2</v>
      </c>
      <c r="Q19" s="564">
        <v>92876.800000000003</v>
      </c>
      <c r="R19" s="564">
        <f t="shared" si="0"/>
        <v>263997</v>
      </c>
      <c r="S19" s="564">
        <f t="shared" si="6"/>
        <v>181777.8</v>
      </c>
      <c r="T19" s="566">
        <f t="shared" si="1"/>
        <v>274654.59999999998</v>
      </c>
      <c r="U19" s="566">
        <f t="shared" si="7"/>
        <v>118062.24</v>
      </c>
      <c r="V19" s="566">
        <f t="shared" si="8"/>
        <v>10657.6</v>
      </c>
      <c r="W19" s="517">
        <f t="shared" si="9"/>
        <v>274654.59999999998</v>
      </c>
      <c r="X19" s="518">
        <f t="shared" si="10"/>
        <v>10657.6</v>
      </c>
      <c r="Y19" s="460">
        <v>164752.6</v>
      </c>
      <c r="Z19" s="460"/>
      <c r="AA19" s="461">
        <v>257629.4</v>
      </c>
      <c r="AB19" s="459">
        <f t="shared" si="11"/>
        <v>17025.2</v>
      </c>
      <c r="AC19" s="391">
        <f t="shared" si="12"/>
        <v>17025.2</v>
      </c>
      <c r="AD19" s="313"/>
      <c r="AE19" s="265">
        <f t="shared" si="13"/>
        <v>1.062281</v>
      </c>
    </row>
    <row r="20" spans="1:31" ht="180.75" customHeight="1" x14ac:dyDescent="0.25">
      <c r="A20" s="6">
        <v>12</v>
      </c>
      <c r="B20" s="6"/>
      <c r="C20" s="557" t="s">
        <v>54</v>
      </c>
      <c r="D20" s="560">
        <v>1951</v>
      </c>
      <c r="E20" s="561">
        <f>SUMIF('2020'!$B:$B,'Свод 2022'!$A20,('2020'!$P:$P))-SUMIFS('2020'!$P:$P,'2020'!$B:$B,'Свод 2022'!$A20,'2020'!$G:$G,4)</f>
        <v>1921</v>
      </c>
      <c r="F20" s="567">
        <f t="shared" si="2"/>
        <v>-30</v>
      </c>
      <c r="G20" s="563">
        <v>175589.9</v>
      </c>
      <c r="H20" s="563">
        <v>186066</v>
      </c>
      <c r="I20" s="564">
        <f>ROUND((SUMIF('2020'!$B:$B,'Свод 2022'!$A20,('2020'!$BL:$BL))-SUMIFS('2020'!$BL:$BL,'2020'!$B:$B,'Свод 2022'!$A20,'2020'!$G:$G,4))/1000,1)</f>
        <v>197814.3</v>
      </c>
      <c r="J20" s="564">
        <f t="shared" si="3"/>
        <v>53544.3</v>
      </c>
      <c r="K20" s="565">
        <f>ROUND((SUMIF('2020'!$B:$B,'Свод 2022'!$A20,('2020'!$AQ:$AQ))-SUMIFS('2020'!$AQ:$AQ,'2020'!$B:$B,'Свод 2022'!$A20,'2020'!$G:$G,4)+SUMIF('2020'!$B:$B,'Свод 2022'!$A20,('2020'!$BH:$BH))-SUMIFS('2020'!$BH:$BH,'2020'!$B:$B,'Свод 2022'!$A20,'2020'!$G:$G,4))/1000,1)</f>
        <v>123117.2</v>
      </c>
      <c r="L20" s="565">
        <f>ROUND((SUMIF('2020'!$B:$B,'Свод 2022'!$A20,('2020'!$BM:$BM))-SUMIFS('2020'!$BM:$BM,'2020'!$B:$B,'Свод 2022'!$A20,'2020'!$G:$G,4)+SUMIF('2020'!$B:$B,'Свод 2022'!$A20,('2020'!$CD:$CD))-SUMIFS('2020'!$CD:$CD,'2020'!$B:$B,'Свод 2022'!$A20,'2020'!$G:$G,4))/1000,1)</f>
        <v>176661.5</v>
      </c>
      <c r="M20" s="564">
        <f t="shared" si="4"/>
        <v>6029.5</v>
      </c>
      <c r="N20" s="565">
        <f>ROUND((SUMIF('2020'!$B:$B,'Свод 2022'!$A20,('2020'!$BB:$BB))-SUMIFS('2020'!$BB:$BB,'2020'!$B:$B,'Свод 2022'!$A20,'2020'!$G:$G,4))/1000,1)</f>
        <v>3995.4</v>
      </c>
      <c r="O20" s="565">
        <f>ROUND((SUMIF('2020'!$B:$B,'Свод 2022'!$A20,('2020'!$BX:$BX))-SUMIFS('2020'!$BX:$BX,'2020'!$B:$B,'Свод 2022'!$A20,'2020'!$G:$G,4))/1000,1)</f>
        <v>10024.9</v>
      </c>
      <c r="P20" s="564">
        <f t="shared" si="5"/>
        <v>257388.1</v>
      </c>
      <c r="Q20" s="564">
        <v>10476.1</v>
      </c>
      <c r="R20" s="564">
        <f t="shared" si="0"/>
        <v>267864.2</v>
      </c>
      <c r="S20" s="564">
        <f t="shared" si="6"/>
        <v>273418.5</v>
      </c>
      <c r="T20" s="566">
        <f t="shared" si="1"/>
        <v>283894.59999999998</v>
      </c>
      <c r="U20" s="566">
        <f t="shared" si="7"/>
        <v>187664.17</v>
      </c>
      <c r="V20" s="566">
        <f t="shared" si="8"/>
        <v>16030.4</v>
      </c>
      <c r="W20" s="517">
        <f t="shared" si="9"/>
        <v>283894.59999999998</v>
      </c>
      <c r="X20" s="518">
        <f t="shared" si="10"/>
        <v>16030.4</v>
      </c>
      <c r="Y20" s="460">
        <v>175589.9</v>
      </c>
      <c r="Z20" s="460"/>
      <c r="AA20" s="461">
        <v>186066</v>
      </c>
      <c r="AB20" s="462">
        <f t="shared" si="11"/>
        <v>97828.6</v>
      </c>
      <c r="AC20" s="391">
        <f t="shared" si="12"/>
        <v>97828.6</v>
      </c>
      <c r="AD20" s="313"/>
      <c r="AE20" s="265">
        <f t="shared" si="13"/>
        <v>1.062281</v>
      </c>
    </row>
    <row r="21" spans="1:31" ht="162" customHeight="1" x14ac:dyDescent="0.25">
      <c r="A21" s="6">
        <v>13</v>
      </c>
      <c r="B21" s="6"/>
      <c r="C21" s="557" t="s">
        <v>55</v>
      </c>
      <c r="D21" s="560">
        <v>754</v>
      </c>
      <c r="E21" s="561">
        <f>SUMIF('2020'!$B:$B,'Свод 2022'!$A21,('2020'!$P:$P))-SUMIFS('2020'!$P:$P,'2020'!$B:$B,'Свод 2022'!$A21,'2020'!$G:$G,4)</f>
        <v>848</v>
      </c>
      <c r="F21" s="562">
        <f t="shared" si="2"/>
        <v>94</v>
      </c>
      <c r="G21" s="563">
        <v>59181.8</v>
      </c>
      <c r="H21" s="563">
        <v>147961.4</v>
      </c>
      <c r="I21" s="564">
        <f>ROUND((SUMIF('2020'!$B:$B,'Свод 2022'!$A21,('2020'!$BL:$BL))-SUMIFS('2020'!$BL:$BL,'2020'!$B:$B,'Свод 2022'!$A21,'2020'!$G:$G,4))/1000,1)</f>
        <v>76108.399999999994</v>
      </c>
      <c r="J21" s="564">
        <f t="shared" si="3"/>
        <v>22031.599999999999</v>
      </c>
      <c r="K21" s="565">
        <f>ROUND((SUMIF('2020'!$B:$B,'Свод 2022'!$A21,('2020'!$AQ:$AQ))-SUMIFS('2020'!$AQ:$AQ,'2020'!$B:$B,'Свод 2022'!$A21,'2020'!$G:$G,4)+SUMIF('2020'!$B:$B,'Свод 2022'!$A21,('2020'!$BH:$BH))-SUMIFS('2020'!$BH:$BH,'2020'!$B:$B,'Свод 2022'!$A21,'2020'!$G:$G,4))/1000,1)</f>
        <v>47379.8</v>
      </c>
      <c r="L21" s="565">
        <f>ROUND((SUMIF('2020'!$B:$B,'Свод 2022'!$A21,('2020'!$BM:$BM))-SUMIFS('2020'!$BM:$BM,'2020'!$B:$B,'Свод 2022'!$A21,'2020'!$G:$G,4)+SUMIF('2020'!$B:$B,'Свод 2022'!$A21,('2020'!$CD:$CD))-SUMIFS('2020'!$CD:$CD,'2020'!$B:$B,'Свод 2022'!$A21,'2020'!$G:$G,4))/1000,1)</f>
        <v>69411.399999999994</v>
      </c>
      <c r="M21" s="564">
        <f t="shared" si="4"/>
        <v>2638.4</v>
      </c>
      <c r="N21" s="565">
        <f>ROUND((SUMIF('2020'!$B:$B,'Свод 2022'!$A21,('2020'!$BB:$BB))-SUMIFS('2020'!$BB:$BB,'2020'!$B:$B,'Свод 2022'!$A21,'2020'!$G:$G,4))/1000,1)</f>
        <v>1557.5</v>
      </c>
      <c r="O21" s="565">
        <f>ROUND((SUMIF('2020'!$B:$B,'Свод 2022'!$A21,('2020'!$BX:$BX))-SUMIFS('2020'!$BX:$BX,'2020'!$B:$B,'Свод 2022'!$A21,'2020'!$G:$G,4))/1000,1)</f>
        <v>4195.8999999999996</v>
      </c>
      <c r="P21" s="564">
        <f t="shared" si="5"/>
        <v>100778.4</v>
      </c>
      <c r="Q21" s="564">
        <v>88779.6</v>
      </c>
      <c r="R21" s="564">
        <f t="shared" si="0"/>
        <v>189558</v>
      </c>
      <c r="S21" s="564">
        <f t="shared" si="6"/>
        <v>107055</v>
      </c>
      <c r="T21" s="566">
        <f t="shared" si="1"/>
        <v>195834.6</v>
      </c>
      <c r="U21" s="566">
        <f t="shared" si="7"/>
        <v>73734.42</v>
      </c>
      <c r="V21" s="566">
        <f t="shared" si="8"/>
        <v>6276.6</v>
      </c>
      <c r="W21" s="517">
        <f t="shared" si="9"/>
        <v>195834.6</v>
      </c>
      <c r="X21" s="518">
        <f t="shared" si="10"/>
        <v>6276.6</v>
      </c>
      <c r="Y21" s="460">
        <v>59181.8</v>
      </c>
      <c r="Z21" s="460"/>
      <c r="AA21" s="461">
        <v>147961.4</v>
      </c>
      <c r="AB21" s="462">
        <f t="shared" si="11"/>
        <v>47873.2</v>
      </c>
      <c r="AC21" s="391">
        <f t="shared" si="12"/>
        <v>47873.2</v>
      </c>
      <c r="AD21" s="313"/>
      <c r="AE21" s="265">
        <f t="shared" si="13"/>
        <v>1.062281</v>
      </c>
    </row>
    <row r="22" spans="1:31" ht="150.75" customHeight="1" x14ac:dyDescent="0.25">
      <c r="A22" s="6">
        <v>14</v>
      </c>
      <c r="B22" s="6"/>
      <c r="C22" s="557" t="s">
        <v>56</v>
      </c>
      <c r="D22" s="560">
        <v>481</v>
      </c>
      <c r="E22" s="561">
        <f>SUMIF('2020'!$B:$B,'Свод 2022'!$A22,('2020'!$P:$P))-SUMIFS('2020'!$P:$P,'2020'!$B:$B,'Свод 2022'!$A22,'2020'!$G:$G,4)</f>
        <v>565</v>
      </c>
      <c r="F22" s="562">
        <f t="shared" si="2"/>
        <v>84</v>
      </c>
      <c r="G22" s="563">
        <v>66782.5</v>
      </c>
      <c r="H22" s="563">
        <v>70810.2</v>
      </c>
      <c r="I22" s="564">
        <f>ROUND((SUMIF('2020'!$B:$B,'Свод 2022'!$A22,('2020'!$BL:$BL))-SUMIFS('2020'!$BL:$BL,'2020'!$B:$B,'Свод 2022'!$A22,'2020'!$G:$G,4))/1000,1)</f>
        <v>48406.1</v>
      </c>
      <c r="J22" s="564">
        <f t="shared" si="3"/>
        <v>58656.9</v>
      </c>
      <c r="K22" s="565">
        <f>ROUND((SUMIF('2020'!$B:$B,'Свод 2022'!$A22,('2020'!$AQ:$AQ))-SUMIFS('2020'!$AQ:$AQ,'2020'!$B:$B,'Свод 2022'!$A22,'2020'!$G:$G,4)+SUMIF('2020'!$B:$B,'Свод 2022'!$A22,('2020'!$BH:$BH))-SUMIFS('2020'!$BH:$BH,'2020'!$B:$B,'Свод 2022'!$A22,'2020'!$G:$G,4))/1000,1)</f>
        <v>30266.7</v>
      </c>
      <c r="L22" s="565">
        <f>ROUND((SUMIF('2020'!$B:$B,'Свод 2022'!$A22,('2020'!$BM:$BM))-SUMIFS('2020'!$BM:$BM,'2020'!$B:$B,'Свод 2022'!$A22,'2020'!$G:$G,4)+SUMIF('2020'!$B:$B,'Свод 2022'!$A22,('2020'!$CD:$CD))-SUMIFS('2020'!$CD:$CD,'2020'!$B:$B,'Свод 2022'!$A22,'2020'!$G:$G,4))/1000,1)</f>
        <v>88923.6</v>
      </c>
      <c r="M22" s="564">
        <f t="shared" si="4"/>
        <v>11481.8</v>
      </c>
      <c r="N22" s="565">
        <f>ROUND((SUMIF('2020'!$B:$B,'Свод 2022'!$A22,('2020'!$BB:$BB))-SUMIFS('2020'!$BB:$BB,'2020'!$B:$B,'Свод 2022'!$A22,'2020'!$G:$G,4))/1000,1)</f>
        <v>992</v>
      </c>
      <c r="O22" s="565">
        <f>ROUND((SUMIF('2020'!$B:$B,'Свод 2022'!$A22,('2020'!$BX:$BX))-SUMIFS('2020'!$BX:$BX,'2020'!$B:$B,'Свод 2022'!$A22,'2020'!$G:$G,4))/1000,1)</f>
        <v>12473.8</v>
      </c>
      <c r="P22" s="564">
        <f t="shared" si="5"/>
        <v>118544.8</v>
      </c>
      <c r="Q22" s="564">
        <v>4027.7</v>
      </c>
      <c r="R22" s="564">
        <f t="shared" si="0"/>
        <v>122572.5</v>
      </c>
      <c r="S22" s="564">
        <f t="shared" si="6"/>
        <v>125927.9</v>
      </c>
      <c r="T22" s="566">
        <f t="shared" si="1"/>
        <v>129955.6</v>
      </c>
      <c r="U22" s="566">
        <f>L22*P$27</f>
        <v>94461.86</v>
      </c>
      <c r="V22" s="566">
        <f t="shared" si="8"/>
        <v>7383.1</v>
      </c>
      <c r="W22" s="517">
        <f t="shared" si="9"/>
        <v>129955.6</v>
      </c>
      <c r="X22" s="518">
        <f t="shared" si="10"/>
        <v>7383.1</v>
      </c>
      <c r="Y22" s="460">
        <v>66782.5</v>
      </c>
      <c r="Z22" s="460"/>
      <c r="AA22" s="461">
        <v>70810.2</v>
      </c>
      <c r="AB22" s="462">
        <f t="shared" si="11"/>
        <v>59145.4</v>
      </c>
      <c r="AC22" s="391">
        <f t="shared" si="12"/>
        <v>59145.4</v>
      </c>
      <c r="AD22" s="313"/>
      <c r="AE22" s="265">
        <f t="shared" si="13"/>
        <v>1.062281</v>
      </c>
    </row>
    <row r="23" spans="1:31" ht="69.75" customHeight="1" x14ac:dyDescent="0.25">
      <c r="A23" s="56">
        <v>100</v>
      </c>
      <c r="B23" s="56"/>
      <c r="C23" s="558" t="s">
        <v>28</v>
      </c>
      <c r="D23" s="560">
        <v>9</v>
      </c>
      <c r="E23" s="561">
        <f>SUMIF('2020'!$B:$B,'Свод 2022'!$A23,('2020'!$P:$P))-SUMIFS('2020'!$P:$P,'2020'!$B:$B,'Свод 2022'!$A23,'2020'!$G:$G,4)</f>
        <v>19</v>
      </c>
      <c r="F23" s="562">
        <f t="shared" si="2"/>
        <v>10</v>
      </c>
      <c r="G23" s="563">
        <v>2177.6999999999998</v>
      </c>
      <c r="H23" s="563">
        <v>2177.6999999999998</v>
      </c>
      <c r="I23" s="564">
        <f>ROUND((SUMIF('2020'!$B:$B,'Свод 2022'!$A23,('2020'!$BL:$BL))-SUMIFS('2020'!$BL:$BL,'2020'!$B:$B,'Свод 2022'!$A23,'2020'!$G:$G,4))/1000,1)</f>
        <v>2567.8000000000002</v>
      </c>
      <c r="J23" s="564">
        <f>L23-K23</f>
        <v>4144.8</v>
      </c>
      <c r="K23" s="565">
        <f>ROUND((SUMIF('2020'!$B:$B,'Свод 2022'!$A23,('2020'!$AQ:$AQ))-SUMIFS('2020'!$AQ:$AQ,'2020'!$B:$B,'Свод 2022'!$A23,'2020'!$G:$G,4)+SUMIF('2020'!$B:$B,'Свод 2022'!$A23,('2020'!$BH:$BH))-SUMIFS('2020'!$BH:$BH,'2020'!$B:$B,'Свод 2022'!$A23,'2020'!$G:$G,4))/1000,1)</f>
        <v>1745.9</v>
      </c>
      <c r="L23" s="565">
        <f>ROUND((SUMIF('2020'!$B:$B,'Свод 2022'!$A23,('2020'!$BM:$BM))-SUMIFS('2020'!$BM:$BM,'2020'!$B:$B,'Свод 2022'!$A23,'2020'!$G:$G,4)+SUMIF('2020'!$B:$B,'Свод 2022'!$A23,('2020'!$CD:$CD))-SUMIFS('2020'!$CD:$CD,'2020'!$B:$B,'Свод 2022'!$A23,'2020'!$G:$G,4))/1000,1)</f>
        <v>5890.7</v>
      </c>
      <c r="M23" s="564">
        <f>O23-N23</f>
        <v>95.4</v>
      </c>
      <c r="N23" s="565">
        <f>ROUND((SUMIF('2020'!$B:$B,'Свод 2022'!$A23,('2020'!$BB:$BB))-SUMIFS('2020'!$BB:$BB,'2020'!$B:$B,'Свод 2022'!$A23,'2020'!$G:$G,4))/1000,1)</f>
        <v>50.5</v>
      </c>
      <c r="O23" s="565">
        <f>ROUND((SUMIF('2020'!$B:$B,'Свод 2022'!$A23,('2020'!$BX:$BX))-SUMIFS('2020'!$BX:$BX,'2020'!$B:$B,'Свод 2022'!$A23,'2020'!$G:$G,4))/1000,1)</f>
        <v>145.9</v>
      </c>
      <c r="P23" s="564">
        <f t="shared" si="5"/>
        <v>6808</v>
      </c>
      <c r="Q23" s="564">
        <v>0</v>
      </c>
      <c r="R23" s="564">
        <f t="shared" si="0"/>
        <v>6808</v>
      </c>
      <c r="S23" s="564">
        <f t="shared" si="6"/>
        <v>7232</v>
      </c>
      <c r="T23" s="566">
        <f t="shared" si="1"/>
        <v>7232</v>
      </c>
      <c r="U23" s="566">
        <f t="shared" si="7"/>
        <v>6257.58</v>
      </c>
      <c r="V23" s="566">
        <f t="shared" si="8"/>
        <v>424</v>
      </c>
      <c r="W23" s="517">
        <f t="shared" si="9"/>
        <v>7232</v>
      </c>
      <c r="X23" s="518">
        <f t="shared" si="10"/>
        <v>424</v>
      </c>
      <c r="Y23" s="460">
        <v>2177.6999999999998</v>
      </c>
      <c r="Z23" s="460"/>
      <c r="AA23" s="461">
        <v>2177.6999999999998</v>
      </c>
      <c r="AB23" s="462">
        <f t="shared" si="11"/>
        <v>5054.3</v>
      </c>
      <c r="AC23" s="391">
        <f t="shared" si="12"/>
        <v>5054.3</v>
      </c>
      <c r="AD23" s="313"/>
      <c r="AE23" s="265">
        <f t="shared" si="13"/>
        <v>1.0622799999999999</v>
      </c>
    </row>
    <row r="24" spans="1:31" ht="69.75" customHeight="1" x14ac:dyDescent="0.25">
      <c r="A24" s="56">
        <v>0</v>
      </c>
      <c r="B24" s="56"/>
      <c r="C24" s="558" t="s">
        <v>24</v>
      </c>
      <c r="D24" s="560">
        <v>7</v>
      </c>
      <c r="E24" s="561">
        <f>SUMIF('2020'!$B:$B,'Свод 2022'!$A24,('2020'!$P:$P))-SUMIFS('2020'!$P:$P,'2020'!$B:$B,'Свод 2022'!$A24,'2020'!$G:$G,4)</f>
        <v>9</v>
      </c>
      <c r="F24" s="562">
        <f t="shared" si="2"/>
        <v>2</v>
      </c>
      <c r="G24" s="563">
        <v>1299.8</v>
      </c>
      <c r="H24" s="563">
        <v>1299.8</v>
      </c>
      <c r="I24" s="564">
        <f>ROUND((SUMIF('2020'!$B:$B,'Свод 2022'!$A24,('2020'!$BL:$BL))-SUMIFS('2020'!$BL:$BL,'2020'!$B:$B,'Свод 2022'!$A24,'2020'!$G:$G,4))/1000,1)</f>
        <v>1263.4000000000001</v>
      </c>
      <c r="J24" s="564">
        <f>L24-K24</f>
        <v>1200</v>
      </c>
      <c r="K24" s="565">
        <f>ROUND((SUMIF('2020'!$B:$B,'Свод 2022'!$A24,('2020'!$AQ:$AQ))-SUMIFS('2020'!$AQ:$AQ,'2020'!$B:$B,'Свод 2022'!$A24,'2020'!$G:$G,4)+SUMIF('2020'!$B:$B,'Свод 2022'!$A24,('2020'!$BH:$BH))-SUMIFS('2020'!$BH:$BH,'2020'!$B:$B,'Свод 2022'!$A24,'2020'!$G:$G,4))/1000,1)</f>
        <v>827</v>
      </c>
      <c r="L24" s="565">
        <f>ROUND((SUMIF('2020'!$B:$B,'Свод 2022'!$A24,('2020'!$BM:$BM))-SUMIFS('2020'!$BM:$BM,'2020'!$B:$B,'Свод 2022'!$A24,'2020'!$G:$G,4)+SUMIF('2020'!$B:$B,'Свод 2022'!$A24,('2020'!$CD:$CD))-SUMIFS('2020'!$CD:$CD,'2020'!$B:$B,'Свод 2022'!$A24,'2020'!$G:$G,4))/1000,1)</f>
        <v>2027</v>
      </c>
      <c r="M24" s="564">
        <f>O24-N24</f>
        <v>38.9</v>
      </c>
      <c r="N24" s="565">
        <f>ROUND((SUMIF('2020'!$B:$B,'Свод 2022'!$A24,('2020'!$BB:$BB))-SUMIFS('2020'!$BB:$BB,'2020'!$B:$B,'Свод 2022'!$A24,'2020'!$G:$G,4))/1000,1)</f>
        <v>24.3</v>
      </c>
      <c r="O24" s="565">
        <f>ROUND((SUMIF('2020'!$B:$B,'Свод 2022'!$A24,('2020'!$BX:$BX))-SUMIFS('2020'!$BX:$BX,'2020'!$B:$B,'Свод 2022'!$A24,'2020'!$G:$G,4))/1000,1)</f>
        <v>63.2</v>
      </c>
      <c r="P24" s="564">
        <f t="shared" si="5"/>
        <v>2502.3000000000002</v>
      </c>
      <c r="Q24" s="564">
        <v>0</v>
      </c>
      <c r="R24" s="564">
        <f t="shared" si="0"/>
        <v>2502.3000000000002</v>
      </c>
      <c r="S24" s="564">
        <f t="shared" si="6"/>
        <v>2658.1</v>
      </c>
      <c r="T24" s="566">
        <f t="shared" si="1"/>
        <v>2658.1</v>
      </c>
      <c r="U24" s="566">
        <f>L24*P$27</f>
        <v>2153.2399999999998</v>
      </c>
      <c r="V24" s="566">
        <f t="shared" si="8"/>
        <v>155.80000000000001</v>
      </c>
      <c r="W24" s="517">
        <f t="shared" si="9"/>
        <v>2658.1</v>
      </c>
      <c r="X24" s="518">
        <f t="shared" si="10"/>
        <v>155.80000000000001</v>
      </c>
      <c r="Y24" s="460">
        <v>1299.8</v>
      </c>
      <c r="Z24" s="460"/>
      <c r="AA24" s="461">
        <v>1299.8</v>
      </c>
      <c r="AB24" s="462">
        <f t="shared" si="11"/>
        <v>1358.3</v>
      </c>
      <c r="AC24" s="391">
        <f t="shared" si="12"/>
        <v>1358.3</v>
      </c>
      <c r="AD24" s="313"/>
      <c r="AE24" s="265">
        <f t="shared" si="13"/>
        <v>1.062263</v>
      </c>
    </row>
    <row r="25" spans="1:31" ht="80.25" customHeight="1" x14ac:dyDescent="0.25">
      <c r="A25" s="8"/>
      <c r="B25" s="8"/>
      <c r="C25" s="558" t="s">
        <v>57</v>
      </c>
      <c r="D25" s="568">
        <f>SUM(D9:D24)</f>
        <v>22931</v>
      </c>
      <c r="E25" s="561">
        <f>SUM(E9:E24)</f>
        <v>23827</v>
      </c>
      <c r="F25" s="562">
        <f t="shared" si="2"/>
        <v>896</v>
      </c>
      <c r="G25" s="569">
        <f>SUM(G9:G24)</f>
        <v>2448848</v>
      </c>
      <c r="H25" s="569">
        <f>SUM(H9:H24)</f>
        <v>3087395.2</v>
      </c>
      <c r="I25" s="564">
        <f t="shared" ref="I25:X25" si="14">SUM(I9:I24)</f>
        <v>2326335.9</v>
      </c>
      <c r="J25" s="564">
        <f t="shared" si="14"/>
        <v>1310053.5</v>
      </c>
      <c r="K25" s="565">
        <f t="shared" si="14"/>
        <v>1454470.6</v>
      </c>
      <c r="L25" s="565">
        <f t="shared" si="14"/>
        <v>2764524.1</v>
      </c>
      <c r="M25" s="564">
        <f t="shared" si="14"/>
        <v>87776.7</v>
      </c>
      <c r="N25" s="565">
        <f t="shared" si="14"/>
        <v>47651.5</v>
      </c>
      <c r="O25" s="565">
        <f t="shared" si="14"/>
        <v>135428.20000000001</v>
      </c>
      <c r="P25" s="564">
        <f t="shared" si="5"/>
        <v>3724166.1</v>
      </c>
      <c r="Q25" s="564">
        <f t="shared" si="14"/>
        <v>638547.30000000005</v>
      </c>
      <c r="R25" s="566">
        <f t="shared" si="14"/>
        <v>4362713.4000000004</v>
      </c>
      <c r="S25" s="566">
        <f t="shared" si="14"/>
        <v>3956111.1</v>
      </c>
      <c r="T25" s="566">
        <f t="shared" si="14"/>
        <v>4594658.4000000004</v>
      </c>
      <c r="U25" s="566">
        <f>SUM(U9:U24)</f>
        <v>2936701.73</v>
      </c>
      <c r="V25" s="566">
        <f t="shared" si="14"/>
        <v>231945</v>
      </c>
      <c r="W25" s="517">
        <f t="shared" si="14"/>
        <v>4594658.4000000004</v>
      </c>
      <c r="X25" s="518">
        <f t="shared" si="14"/>
        <v>231945</v>
      </c>
      <c r="Y25" s="463">
        <f>SUM(Y9:Y24)</f>
        <v>2448848</v>
      </c>
      <c r="Z25" s="463"/>
      <c r="AA25" s="464">
        <f>SUM(AA9:AA24)</f>
        <v>3087395.2</v>
      </c>
      <c r="AB25" s="465">
        <f t="shared" si="11"/>
        <v>1507263.1</v>
      </c>
      <c r="AC25" s="392">
        <f t="shared" si="12"/>
        <v>1507263.2</v>
      </c>
      <c r="AD25" s="313"/>
      <c r="AE25" s="265">
        <f t="shared" si="13"/>
        <v>1.062281</v>
      </c>
    </row>
    <row r="26" spans="1:31" ht="121.5" x14ac:dyDescent="0.8">
      <c r="C26" s="556" t="s">
        <v>138</v>
      </c>
      <c r="D26" s="570"/>
      <c r="E26" s="571"/>
      <c r="F26" s="571"/>
      <c r="G26" s="571"/>
      <c r="H26" s="571"/>
      <c r="I26" s="572"/>
      <c r="J26" s="572"/>
      <c r="K26" s="573"/>
      <c r="L26" s="574"/>
      <c r="M26" s="771">
        <v>2022</v>
      </c>
      <c r="N26" s="575"/>
      <c r="O26" s="576" t="s">
        <v>138</v>
      </c>
      <c r="P26" s="577">
        <v>3956111.3</v>
      </c>
      <c r="Q26" s="578">
        <v>638547.30000000005</v>
      </c>
      <c r="R26" s="579">
        <f>P26+Q26</f>
        <v>4594658.5999999996</v>
      </c>
      <c r="S26" s="579">
        <f>P26</f>
        <v>3956111.3</v>
      </c>
      <c r="T26" s="579">
        <f>R26</f>
        <v>4594658.5999999996</v>
      </c>
      <c r="U26" s="579">
        <f>L26</f>
        <v>0</v>
      </c>
      <c r="V26" s="566"/>
      <c r="W26" s="519"/>
      <c r="X26" s="518"/>
      <c r="Y26" s="460"/>
      <c r="Z26" s="460"/>
      <c r="AA26" s="466"/>
      <c r="AB26" s="466"/>
      <c r="AC26" s="379"/>
      <c r="AD26" s="313"/>
    </row>
    <row r="27" spans="1:31" ht="182.25" x14ac:dyDescent="0.85">
      <c r="C27" s="467"/>
      <c r="D27" s="580"/>
      <c r="E27" s="571"/>
      <c r="F27" s="571"/>
      <c r="G27" s="571"/>
      <c r="H27" s="571"/>
      <c r="I27" s="572"/>
      <c r="J27" s="572"/>
      <c r="K27" s="573"/>
      <c r="L27" s="574"/>
      <c r="M27" s="771"/>
      <c r="N27" s="575"/>
      <c r="O27" s="575"/>
      <c r="P27" s="581">
        <f>P26/P25</f>
        <v>1.0622811104000001</v>
      </c>
      <c r="Q27" s="582" t="s">
        <v>139</v>
      </c>
      <c r="R27" s="577">
        <f>R26-R25</f>
        <v>231945.2</v>
      </c>
      <c r="S27" s="577"/>
      <c r="T27" s="583"/>
      <c r="U27" s="584"/>
      <c r="V27" s="583"/>
      <c r="W27" s="520">
        <f>(R26-Q25)/(R25-Q25)</f>
        <v>1.0622811103900001</v>
      </c>
      <c r="X27" s="521"/>
      <c r="Y27" s="466"/>
      <c r="Z27" s="466"/>
      <c r="AA27" s="466"/>
      <c r="AB27" s="466"/>
      <c r="AC27" s="379"/>
      <c r="AD27" s="313"/>
    </row>
    <row r="28" spans="1:31" ht="30.75" hidden="1" x14ac:dyDescent="0.45">
      <c r="A28" s="11">
        <v>100</v>
      </c>
      <c r="B28" s="11"/>
      <c r="C28" s="468" t="s">
        <v>28</v>
      </c>
      <c r="D28" s="468"/>
      <c r="E28" s="469">
        <f>SUMIF('2020'!$B:$B,'Свод 2022'!$A28,('2020'!$P:$P))-SUMIFS('2020'!$P:$P,'2020'!$B:$B,'Свод 2022'!$A28,'2020'!$G:$G,4)</f>
        <v>19</v>
      </c>
      <c r="F28" s="469"/>
      <c r="G28" s="469"/>
      <c r="H28" s="469"/>
      <c r="I28" s="470">
        <f>SUMIF('2020'!$B:$B,'Свод 2022'!$A28,('2020'!$BL:$BL))-SUMIFS('2020'!$BL:$BL,'2020'!$B:$B,'Свод 2022'!$A28,'2020'!$G:$G,4)</f>
        <v>2567820</v>
      </c>
      <c r="J28" s="470"/>
      <c r="K28" s="471"/>
      <c r="L28" s="472"/>
      <c r="M28" s="473"/>
      <c r="N28" s="471"/>
      <c r="O28" s="471"/>
      <c r="P28" s="471"/>
      <c r="Q28" s="474"/>
      <c r="R28" s="475"/>
      <c r="S28" s="476"/>
      <c r="T28" s="477"/>
      <c r="U28" s="478"/>
      <c r="V28" s="477"/>
      <c r="W28" s="471"/>
      <c r="X28" s="479">
        <f>W28-R28</f>
        <v>0</v>
      </c>
      <c r="Y28" s="480"/>
      <c r="Z28" s="480"/>
      <c r="AA28" s="480"/>
      <c r="AB28" s="480"/>
      <c r="AC28" s="380"/>
      <c r="AD28" s="312"/>
    </row>
    <row r="29" spans="1:31" ht="30.75" hidden="1" x14ac:dyDescent="0.45">
      <c r="A29" s="11">
        <v>0</v>
      </c>
      <c r="B29" s="11"/>
      <c r="C29" s="468" t="s">
        <v>24</v>
      </c>
      <c r="D29" s="468"/>
      <c r="E29" s="469">
        <f>SUMIF('2020'!$B:$B,'Свод 2022'!$A29,('2020'!$P:$P))-SUMIFS('2020'!$P:$P,'2020'!$B:$B,'Свод 2022'!$A29,'2020'!$G:$G,4)</f>
        <v>9</v>
      </c>
      <c r="F29" s="469"/>
      <c r="G29" s="469"/>
      <c r="H29" s="469"/>
      <c r="I29" s="470">
        <f>SUMIF('2020'!$B:$B,'Свод 2022'!$A29,('2020'!$BL:$BL))-SUMIFS('2020'!$BL:$BL,'2020'!$B:$B,'Свод 2022'!$A29,'2020'!$G:$G,4)</f>
        <v>1263420</v>
      </c>
      <c r="J29" s="470"/>
      <c r="K29" s="471"/>
      <c r="L29" s="472"/>
      <c r="M29" s="473"/>
      <c r="N29" s="471"/>
      <c r="O29" s="471"/>
      <c r="P29" s="471"/>
      <c r="Q29" s="474"/>
      <c r="R29" s="475"/>
      <c r="S29" s="476"/>
      <c r="T29" s="477"/>
      <c r="U29" s="478"/>
      <c r="V29" s="477"/>
      <c r="W29" s="471"/>
      <c r="X29" s="481">
        <f>W29-R29</f>
        <v>0</v>
      </c>
      <c r="Y29" s="480"/>
      <c r="Z29" s="480"/>
      <c r="AA29" s="480"/>
      <c r="AB29" s="480"/>
      <c r="AC29" s="380"/>
      <c r="AD29" s="312"/>
    </row>
    <row r="30" spans="1:31" s="44" customFormat="1" ht="30.75" hidden="1" x14ac:dyDescent="0.45">
      <c r="A30" s="41"/>
      <c r="B30" s="41"/>
      <c r="C30" s="482" t="s">
        <v>57</v>
      </c>
      <c r="D30" s="482"/>
      <c r="E30" s="483">
        <f>E29+E28</f>
        <v>28</v>
      </c>
      <c r="F30" s="483"/>
      <c r="G30" s="483"/>
      <c r="H30" s="483"/>
      <c r="I30" s="483">
        <f>I29+I28</f>
        <v>3831240</v>
      </c>
      <c r="J30" s="483"/>
      <c r="K30" s="483"/>
      <c r="L30" s="484"/>
      <c r="M30" s="485"/>
      <c r="N30" s="483"/>
      <c r="O30" s="483"/>
      <c r="P30" s="483"/>
      <c r="Q30" s="486"/>
      <c r="R30" s="487"/>
      <c r="S30" s="488"/>
      <c r="T30" s="489"/>
      <c r="U30" s="490"/>
      <c r="V30" s="489"/>
      <c r="W30" s="483"/>
      <c r="X30" s="491">
        <f>W30-R30</f>
        <v>0</v>
      </c>
      <c r="Y30" s="492"/>
      <c r="Z30" s="492"/>
      <c r="AA30" s="492"/>
      <c r="AB30" s="492"/>
      <c r="AC30" s="381"/>
      <c r="AD30" s="312"/>
    </row>
    <row r="31" spans="1:31" s="44" customFormat="1" ht="30.75" hidden="1" x14ac:dyDescent="0.45">
      <c r="A31" s="67"/>
      <c r="B31" s="67"/>
      <c r="C31" s="493"/>
      <c r="D31" s="493"/>
      <c r="E31" s="494"/>
      <c r="F31" s="494"/>
      <c r="G31" s="494"/>
      <c r="H31" s="494"/>
      <c r="I31" s="494"/>
      <c r="J31" s="494"/>
      <c r="K31" s="494"/>
      <c r="L31" s="494"/>
      <c r="M31" s="772">
        <v>2020</v>
      </c>
      <c r="N31" s="483"/>
      <c r="O31" s="483"/>
      <c r="P31" s="495">
        <f>4167213.3-Q26-954651.8</f>
        <v>2574014.2000000002</v>
      </c>
      <c r="Q31" s="496">
        <v>638547.30000000005</v>
      </c>
      <c r="R31" s="497">
        <f>P31+Q31</f>
        <v>3212561.5</v>
      </c>
      <c r="S31" s="498"/>
      <c r="T31" s="499"/>
      <c r="U31" s="500"/>
      <c r="V31" s="499"/>
      <c r="W31" s="494"/>
      <c r="X31" s="501"/>
      <c r="Y31" s="492"/>
      <c r="Z31" s="492"/>
      <c r="AA31" s="492"/>
      <c r="AB31" s="492"/>
      <c r="AC31" s="381"/>
      <c r="AD31" s="312"/>
    </row>
    <row r="32" spans="1:31" s="44" customFormat="1" ht="30.75" hidden="1" x14ac:dyDescent="0.45">
      <c r="A32" s="67"/>
      <c r="B32" s="67"/>
      <c r="C32" s="493"/>
      <c r="D32" s="493"/>
      <c r="E32" s="494"/>
      <c r="F32" s="494"/>
      <c r="G32" s="494"/>
      <c r="H32" s="494"/>
      <c r="I32" s="494"/>
      <c r="J32" s="494"/>
      <c r="K32" s="494"/>
      <c r="L32" s="494"/>
      <c r="M32" s="773"/>
      <c r="N32" s="483"/>
      <c r="O32" s="483"/>
      <c r="P32" s="502">
        <f>P31/P25</f>
        <v>0.69116525200000001</v>
      </c>
      <c r="Q32" s="503" t="s">
        <v>139</v>
      </c>
      <c r="R32" s="497">
        <f>R31-R25</f>
        <v>-1150151.8999999999</v>
      </c>
      <c r="S32" s="498"/>
      <c r="T32" s="499"/>
      <c r="U32" s="500"/>
      <c r="V32" s="499"/>
      <c r="W32" s="494"/>
      <c r="X32" s="501"/>
      <c r="Y32" s="492"/>
      <c r="Z32" s="492"/>
      <c r="AA32" s="492"/>
      <c r="AB32" s="492"/>
      <c r="AC32" s="381"/>
      <c r="AD32" s="312"/>
    </row>
    <row r="33" spans="1:31" s="44" customFormat="1" ht="30.75" hidden="1" x14ac:dyDescent="0.45">
      <c r="A33" s="67"/>
      <c r="B33" s="67"/>
      <c r="C33" s="493"/>
      <c r="D33" s="493"/>
      <c r="E33" s="494"/>
      <c r="F33" s="494"/>
      <c r="G33" s="494"/>
      <c r="H33" s="494"/>
      <c r="I33" s="494"/>
      <c r="J33" s="494"/>
      <c r="K33" s="494"/>
      <c r="L33" s="494"/>
      <c r="M33" s="772">
        <v>2021</v>
      </c>
      <c r="N33" s="483"/>
      <c r="O33" s="483"/>
      <c r="P33" s="495">
        <f>4272775.3-994512.1-Q26</f>
        <v>2639715.9</v>
      </c>
      <c r="Q33" s="496">
        <v>638547.30000000005</v>
      </c>
      <c r="R33" s="497">
        <f>P33+Q33</f>
        <v>3278263.2</v>
      </c>
      <c r="S33" s="498"/>
      <c r="T33" s="499"/>
      <c r="U33" s="500"/>
      <c r="V33" s="499"/>
      <c r="W33" s="494"/>
      <c r="X33" s="501"/>
      <c r="Y33" s="492"/>
      <c r="Z33" s="492"/>
      <c r="AA33" s="492"/>
      <c r="AB33" s="492"/>
      <c r="AC33" s="381"/>
      <c r="AD33" s="312"/>
    </row>
    <row r="34" spans="1:31" s="44" customFormat="1" ht="30.75" hidden="1" x14ac:dyDescent="0.45">
      <c r="A34" s="67"/>
      <c r="B34" s="67"/>
      <c r="C34" s="493"/>
      <c r="D34" s="493"/>
      <c r="E34" s="494"/>
      <c r="F34" s="494"/>
      <c r="G34" s="494"/>
      <c r="H34" s="494"/>
      <c r="I34" s="494"/>
      <c r="J34" s="494"/>
      <c r="K34" s="494"/>
      <c r="L34" s="494"/>
      <c r="M34" s="773"/>
      <c r="N34" s="483"/>
      <c r="O34" s="483"/>
      <c r="P34" s="504">
        <f>P33/P25</f>
        <v>0.70880724139999995</v>
      </c>
      <c r="Q34" s="503" t="s">
        <v>139</v>
      </c>
      <c r="R34" s="497">
        <f>R33-R25</f>
        <v>-1084450.2</v>
      </c>
      <c r="S34" s="498"/>
      <c r="T34" s="499"/>
      <c r="U34" s="500"/>
      <c r="V34" s="499"/>
      <c r="W34" s="494"/>
      <c r="X34" s="501"/>
      <c r="Y34" s="492"/>
      <c r="Z34" s="492"/>
      <c r="AA34" s="492"/>
      <c r="AB34" s="492"/>
      <c r="AC34" s="381"/>
      <c r="AD34" s="312"/>
    </row>
    <row r="35" spans="1:31" ht="30.75" hidden="1" x14ac:dyDescent="0.45">
      <c r="C35" s="467"/>
      <c r="D35" s="467"/>
      <c r="E35" s="467"/>
      <c r="F35" s="467"/>
      <c r="G35" s="467"/>
      <c r="H35" s="467"/>
      <c r="I35" s="505"/>
      <c r="J35" s="505"/>
      <c r="K35" s="467">
        <v>2021</v>
      </c>
      <c r="L35" s="506">
        <f>1416095.2+427657</f>
        <v>1843752.2</v>
      </c>
      <c r="M35" s="505"/>
      <c r="N35" s="467"/>
      <c r="O35" s="467"/>
      <c r="P35" s="467"/>
      <c r="Q35" s="505"/>
      <c r="R35" s="507"/>
      <c r="S35" s="508"/>
      <c r="T35" s="509"/>
      <c r="U35" s="510"/>
      <c r="V35" s="509"/>
      <c r="W35" s="467"/>
      <c r="X35" s="501"/>
      <c r="Y35" s="480"/>
      <c r="Z35" s="480"/>
      <c r="AA35" s="480"/>
      <c r="AB35" s="480"/>
      <c r="AC35" s="380"/>
      <c r="AD35" s="299"/>
    </row>
    <row r="36" spans="1:31" ht="30.75" x14ac:dyDescent="0.45">
      <c r="C36" s="511"/>
      <c r="D36" s="511"/>
      <c r="E36" s="511"/>
      <c r="F36" s="511"/>
      <c r="G36" s="511"/>
      <c r="H36" s="511"/>
      <c r="I36" s="512"/>
      <c r="J36" s="512"/>
      <c r="K36" s="511"/>
      <c r="L36" s="511"/>
      <c r="M36" s="512"/>
      <c r="N36" s="511"/>
      <c r="O36" s="511"/>
      <c r="P36" s="511"/>
      <c r="Q36" s="512"/>
      <c r="R36" s="512"/>
      <c r="S36" s="508"/>
      <c r="T36" s="512"/>
      <c r="U36" s="512"/>
      <c r="V36" s="512"/>
      <c r="W36" s="511"/>
      <c r="X36" s="513"/>
      <c r="Y36" s="480"/>
      <c r="Z36" s="480"/>
      <c r="AA36" s="480"/>
      <c r="AB36" s="480"/>
      <c r="AC36" s="380"/>
      <c r="AD36" s="377"/>
    </row>
    <row r="37" spans="1:31" ht="18.75" hidden="1" x14ac:dyDescent="0.25">
      <c r="C37" s="357"/>
      <c r="D37" s="357"/>
      <c r="E37" s="357"/>
      <c r="F37" s="357"/>
      <c r="G37" s="357"/>
      <c r="H37" s="357"/>
      <c r="I37" s="350"/>
      <c r="J37" s="350"/>
      <c r="K37" s="357"/>
      <c r="L37" s="357"/>
      <c r="M37" s="350"/>
      <c r="N37" s="357"/>
      <c r="O37" s="357"/>
      <c r="P37" s="357"/>
      <c r="Q37" s="350"/>
      <c r="R37" s="350"/>
      <c r="S37" s="440"/>
      <c r="T37" s="350"/>
      <c r="U37" s="350"/>
      <c r="V37" s="350"/>
      <c r="W37" s="357"/>
      <c r="X37" s="358"/>
      <c r="Y37" s="380"/>
      <c r="Z37" s="380"/>
      <c r="AA37" s="380"/>
      <c r="AB37" s="380"/>
      <c r="AC37" s="380"/>
      <c r="AD37" s="358"/>
    </row>
    <row r="38" spans="1:31" ht="20.25" hidden="1" x14ac:dyDescent="0.3">
      <c r="C38" s="764" t="s">
        <v>423</v>
      </c>
      <c r="D38" s="764"/>
      <c r="E38" s="764"/>
      <c r="F38" s="764"/>
      <c r="G38" s="764"/>
      <c r="H38" s="764"/>
      <c r="I38" s="764"/>
      <c r="J38" s="764"/>
      <c r="K38" s="764"/>
      <c r="L38" s="764"/>
      <c r="M38" s="764"/>
      <c r="N38" s="764"/>
      <c r="O38" s="764"/>
      <c r="P38" s="764"/>
      <c r="Q38" s="764"/>
      <c r="R38" s="764"/>
      <c r="S38" s="764"/>
      <c r="T38" s="764"/>
      <c r="U38" s="764"/>
      <c r="V38" s="764"/>
      <c r="W38" s="764"/>
      <c r="X38" s="764"/>
      <c r="Y38" s="380"/>
      <c r="Z38" s="380"/>
      <c r="AA38" s="380"/>
      <c r="AB38" s="380"/>
      <c r="AC38" s="380"/>
      <c r="AD38" s="378"/>
    </row>
    <row r="39" spans="1:31" ht="18.75" hidden="1" x14ac:dyDescent="0.25">
      <c r="C39" s="357"/>
      <c r="D39" s="357"/>
      <c r="E39" s="357"/>
      <c r="F39" s="357"/>
      <c r="G39" s="357"/>
      <c r="H39" s="357"/>
      <c r="I39" s="350"/>
      <c r="J39" s="350"/>
      <c r="K39" s="357"/>
      <c r="L39" s="357"/>
      <c r="M39" s="350"/>
      <c r="N39" s="357"/>
      <c r="O39" s="357"/>
      <c r="P39" s="357"/>
      <c r="Q39" s="350"/>
      <c r="R39" s="350"/>
      <c r="S39" s="440"/>
      <c r="T39" s="350"/>
      <c r="U39" s="350"/>
      <c r="V39" s="350"/>
      <c r="W39" s="357"/>
      <c r="X39" s="358"/>
      <c r="Y39" s="380"/>
      <c r="Z39" s="380"/>
      <c r="AA39" s="380"/>
      <c r="AB39" s="380"/>
      <c r="AC39" s="380"/>
      <c r="AD39" s="358"/>
    </row>
    <row r="40" spans="1:31" ht="18.75" hidden="1" x14ac:dyDescent="0.3">
      <c r="C40" s="365"/>
      <c r="D40" s="395"/>
      <c r="E40" s="767" t="s">
        <v>62</v>
      </c>
      <c r="F40" s="767"/>
      <c r="G40" s="767"/>
      <c r="H40" s="767"/>
      <c r="I40" s="767"/>
      <c r="J40" s="767"/>
      <c r="K40" s="767"/>
      <c r="L40" s="767"/>
      <c r="M40" s="767"/>
      <c r="N40" s="767"/>
      <c r="O40" s="767"/>
      <c r="P40" s="767"/>
      <c r="Q40" s="767"/>
      <c r="R40" s="767"/>
      <c r="S40" s="767"/>
      <c r="T40" s="767"/>
      <c r="U40" s="767"/>
      <c r="V40" s="767"/>
      <c r="W40" s="767"/>
      <c r="X40" s="767"/>
      <c r="Y40" s="382"/>
      <c r="Z40" s="382"/>
      <c r="AA40" s="382"/>
      <c r="AB40" s="382"/>
      <c r="AC40" s="383"/>
      <c r="AD40" s="376"/>
    </row>
    <row r="41" spans="1:31" ht="57" hidden="1" x14ac:dyDescent="0.25">
      <c r="A41" s="765" t="s">
        <v>41</v>
      </c>
      <c r="B41" s="532"/>
      <c r="C41" s="765" t="s">
        <v>42</v>
      </c>
      <c r="D41" s="532"/>
      <c r="E41" s="314" t="s">
        <v>58</v>
      </c>
      <c r="F41" s="397"/>
      <c r="G41" s="397"/>
      <c r="H41" s="397"/>
      <c r="I41" s="315" t="s">
        <v>129</v>
      </c>
      <c r="J41" s="316" t="s">
        <v>130</v>
      </c>
      <c r="K41" s="314" t="s">
        <v>133</v>
      </c>
      <c r="L41" s="314" t="s">
        <v>132</v>
      </c>
      <c r="M41" s="316" t="s">
        <v>131</v>
      </c>
      <c r="N41" s="314" t="s">
        <v>134</v>
      </c>
      <c r="O41" s="314" t="s">
        <v>135</v>
      </c>
      <c r="P41" s="314"/>
      <c r="Q41" s="316" t="s">
        <v>136</v>
      </c>
      <c r="R41" s="133" t="s">
        <v>137</v>
      </c>
      <c r="S41" s="441"/>
      <c r="T41" s="355"/>
      <c r="U41" s="362" t="s">
        <v>421</v>
      </c>
      <c r="V41" s="355"/>
      <c r="W41" s="45" t="s">
        <v>140</v>
      </c>
      <c r="X41" s="369" t="s">
        <v>171</v>
      </c>
      <c r="Y41" s="382" t="s">
        <v>425</v>
      </c>
      <c r="Z41" s="382"/>
      <c r="AA41" s="382"/>
      <c r="AB41" s="382"/>
      <c r="AC41" s="383" t="s">
        <v>426</v>
      </c>
      <c r="AD41" s="364"/>
    </row>
    <row r="42" spans="1:31" ht="18.75" hidden="1" x14ac:dyDescent="0.3">
      <c r="A42" s="766"/>
      <c r="B42" s="533"/>
      <c r="C42" s="766"/>
      <c r="D42" s="533"/>
      <c r="E42" s="304"/>
      <c r="F42" s="398"/>
      <c r="G42" s="398"/>
      <c r="H42" s="398"/>
      <c r="I42" s="302" t="s">
        <v>141</v>
      </c>
      <c r="J42" s="293" t="s">
        <v>141</v>
      </c>
      <c r="K42" s="292" t="s">
        <v>141</v>
      </c>
      <c r="L42" s="292" t="s">
        <v>141</v>
      </c>
      <c r="M42" s="293" t="s">
        <v>141</v>
      </c>
      <c r="N42" s="292" t="s">
        <v>141</v>
      </c>
      <c r="O42" s="292" t="s">
        <v>141</v>
      </c>
      <c r="P42" s="292"/>
      <c r="Q42" s="293" t="s">
        <v>141</v>
      </c>
      <c r="R42" s="294" t="s">
        <v>141</v>
      </c>
      <c r="S42" s="438"/>
      <c r="T42" s="303"/>
      <c r="U42" s="356"/>
      <c r="V42" s="303"/>
      <c r="W42" s="292" t="s">
        <v>141</v>
      </c>
      <c r="X42" s="371" t="s">
        <v>141</v>
      </c>
      <c r="Y42" s="384" t="s">
        <v>141</v>
      </c>
      <c r="Z42" s="384"/>
      <c r="AA42" s="384"/>
      <c r="AB42" s="384"/>
      <c r="AC42" s="384" t="s">
        <v>141</v>
      </c>
      <c r="AD42" s="292"/>
    </row>
    <row r="43" spans="1:31" ht="18.75" hidden="1" x14ac:dyDescent="0.25">
      <c r="A43" s="766"/>
      <c r="B43" s="533"/>
      <c r="C43" s="766"/>
      <c r="D43" s="533"/>
      <c r="E43" s="304"/>
      <c r="F43" s="307"/>
      <c r="G43" s="307"/>
      <c r="H43" s="307"/>
      <c r="I43" s="297"/>
      <c r="J43" s="297"/>
      <c r="K43" s="12"/>
      <c r="L43" s="12"/>
      <c r="M43" s="297"/>
      <c r="N43" s="12"/>
      <c r="O43" s="12"/>
      <c r="P43" s="12"/>
      <c r="Q43" s="297"/>
      <c r="R43" s="300"/>
      <c r="S43" s="440"/>
      <c r="T43" s="301"/>
      <c r="U43" s="350"/>
      <c r="V43" s="301"/>
      <c r="W43" s="12"/>
      <c r="X43" s="372"/>
      <c r="Y43" s="379"/>
      <c r="Z43" s="379"/>
      <c r="AA43" s="379"/>
      <c r="AB43" s="379"/>
      <c r="AC43" s="379"/>
      <c r="AD43" s="299"/>
    </row>
    <row r="44" spans="1:31" ht="18.75" hidden="1" x14ac:dyDescent="0.3">
      <c r="A44" s="6">
        <v>3</v>
      </c>
      <c r="B44" s="6"/>
      <c r="C44" s="7" t="s">
        <v>45</v>
      </c>
      <c r="D44" s="7"/>
      <c r="E44" s="318">
        <f>SUMIFS('2020'!$P:$P,'2020'!$B:$B,'Свод 2022'!$A44,'2020'!$G:$G,4)</f>
        <v>160</v>
      </c>
      <c r="F44" s="318"/>
      <c r="G44" s="318"/>
      <c r="H44" s="318"/>
      <c r="I44" s="308">
        <f>ROUND((SUMIFS('2020'!$BL:$BL,'2020'!$B:$B,'Свод 2022'!$A44,'2020'!$G:$G,4))/1000,1)</f>
        <v>12131</v>
      </c>
      <c r="J44" s="308">
        <f>L44-K44</f>
        <v>1834.7</v>
      </c>
      <c r="K44" s="309">
        <f>ROUND((SUMIFS('2020'!$AQ:$AQ,'2020'!$B:$B,'Свод 2022'!$A44,'2020'!$G:$G,4)+SUMIFS('2020'!$BH:$BH,'2020'!$B:$B,'Свод 2022'!$A44,'2020'!$G:$G,4))/1000,1)</f>
        <v>6505.9</v>
      </c>
      <c r="L44" s="309">
        <f>ROUND((SUMIFS('2020'!$BM:$BM,'2020'!$B:$B,'Свод 2022'!$A44,'2020'!$G:$G,4)+SUMIFS('2020'!$CD:$CD,'2020'!$B:$B,'Свод 2022'!$A44,'2020'!$G:$G,4))/1000,1)</f>
        <v>8340.6</v>
      </c>
      <c r="M44" s="308">
        <f>O44-N44</f>
        <v>375.2</v>
      </c>
      <c r="N44" s="309">
        <f>ROUND(SUMIFS('2020'!$BB:$BB,'2020'!$B:$B,'Свод 2022'!$A44,'2020'!$G:$G,4)/1000,1)</f>
        <v>339.2</v>
      </c>
      <c r="O44" s="309">
        <f>ROUND(SUMIFS('2020'!$BX:$BX,'2020'!$B:$B,'Свод 2022'!$A44,'2020'!$G:$G,4)/1000,1)</f>
        <v>714.4</v>
      </c>
      <c r="P44" s="309"/>
      <c r="Q44" s="317">
        <v>0</v>
      </c>
      <c r="R44" s="310">
        <f>I44+J44+M44+Q44</f>
        <v>14340.9</v>
      </c>
      <c r="S44" s="439"/>
      <c r="T44" s="311"/>
      <c r="U44" s="366">
        <f>ROUND(L44*W$63,1)</f>
        <v>6034.5</v>
      </c>
      <c r="V44" s="311"/>
      <c r="W44" s="309">
        <f t="shared" ref="W44:W57" si="15">ROUND((I44+J44+M44)*W$63,1)+Q44</f>
        <v>10375.700000000001</v>
      </c>
      <c r="X44" s="370">
        <f t="shared" ref="X44:X60" si="16">W44-R44</f>
        <v>-3965.2</v>
      </c>
      <c r="Y44" s="379"/>
      <c r="Z44" s="379"/>
      <c r="AA44" s="379"/>
      <c r="AB44" s="379"/>
      <c r="AC44" s="379"/>
      <c r="AD44" s="312"/>
      <c r="AE44" s="111">
        <f t="shared" ref="AE44:AE57" si="17">(W44-Q44)/(R44-Q44)</f>
        <v>0.72350000000000003</v>
      </c>
    </row>
    <row r="45" spans="1:31" ht="18.75" hidden="1" x14ac:dyDescent="0.3">
      <c r="A45" s="6">
        <v>5</v>
      </c>
      <c r="B45" s="6"/>
      <c r="C45" s="7" t="s">
        <v>47</v>
      </c>
      <c r="D45" s="7"/>
      <c r="E45" s="332">
        <f>SUMIFS('2020'!$P:$P,'2020'!$B:$B,'Свод 2022'!$A45,'2020'!$G:$G,4)</f>
        <v>418</v>
      </c>
      <c r="F45" s="332"/>
      <c r="G45" s="332"/>
      <c r="H45" s="332"/>
      <c r="I45" s="319">
        <f>ROUND((SUMIFS('2020'!$BL:$BL,'2020'!$B:$B,'Свод 2022'!$A45,'2020'!$G:$G,4))/1000,1)</f>
        <v>31627.8</v>
      </c>
      <c r="J45" s="319">
        <f t="shared" ref="J45:J57" si="18">L45-K45</f>
        <v>6824.7</v>
      </c>
      <c r="K45" s="320">
        <f>ROUND((SUMIFS('2020'!$AQ:$AQ,'2020'!$B:$B,'Свод 2022'!$A45,'2020'!$G:$G,4)+SUMIFS('2020'!$BH:$BH,'2020'!$B:$B,'Свод 2022'!$A45,'2020'!$G:$G,4))/1000,1)</f>
        <v>17277.599999999999</v>
      </c>
      <c r="L45" s="320">
        <f>ROUND((SUMIFS('2020'!$BM:$BM,'2020'!$B:$B,'Свод 2022'!$A45,'2020'!$G:$G,4)+SUMIFS('2020'!$CD:$CD,'2020'!$B:$B,'Свод 2022'!$A45,'2020'!$G:$G,4))/1000,1)</f>
        <v>24102.3</v>
      </c>
      <c r="M45" s="319">
        <f t="shared" ref="M45:M57" si="19">O45-N45</f>
        <v>876.4</v>
      </c>
      <c r="N45" s="320">
        <f>ROUND(SUMIFS('2020'!$BB:$BB,'2020'!$B:$B,'Свод 2022'!$A45,'2020'!$G:$G,4)/1000,1)</f>
        <v>886.2</v>
      </c>
      <c r="O45" s="320">
        <f>ROUND(SUMIFS('2020'!$BX:$BX,'2020'!$B:$B,'Свод 2022'!$A45,'2020'!$G:$G,4)/1000,1)</f>
        <v>1762.6</v>
      </c>
      <c r="P45" s="320"/>
      <c r="Q45" s="321">
        <v>0</v>
      </c>
      <c r="R45" s="322">
        <f t="shared" ref="R45:R57" si="20">I45+J45+M45+Q45</f>
        <v>39328.9</v>
      </c>
      <c r="S45" s="442"/>
      <c r="T45" s="323"/>
      <c r="U45" s="366">
        <f t="shared" ref="U45:U57" si="21">ROUND(L45*W$63,1)</f>
        <v>17438.2</v>
      </c>
      <c r="V45" s="323"/>
      <c r="W45" s="320">
        <f t="shared" si="15"/>
        <v>28454.799999999999</v>
      </c>
      <c r="X45" s="373">
        <f t="shared" si="16"/>
        <v>-10874.1</v>
      </c>
      <c r="Y45" s="379"/>
      <c r="Z45" s="379"/>
      <c r="AA45" s="379"/>
      <c r="AB45" s="379"/>
      <c r="AC45" s="379"/>
      <c r="AD45" s="324"/>
      <c r="AE45" s="111">
        <f t="shared" si="17"/>
        <v>0.72350999999999999</v>
      </c>
    </row>
    <row r="46" spans="1:31" ht="18.75" hidden="1" x14ac:dyDescent="0.3">
      <c r="A46" s="6">
        <v>8</v>
      </c>
      <c r="B46" s="6"/>
      <c r="C46" s="7" t="s">
        <v>50</v>
      </c>
      <c r="D46" s="7"/>
      <c r="E46" s="332">
        <f>SUMIFS('2020'!$P:$P,'2020'!$B:$B,'Свод 2022'!$A46,'2020'!$G:$G,4)</f>
        <v>0</v>
      </c>
      <c r="F46" s="332"/>
      <c r="G46" s="332"/>
      <c r="H46" s="332"/>
      <c r="I46" s="319">
        <f>ROUND((SUMIFS('2020'!$BL:$BL,'2020'!$B:$B,'Свод 2022'!$A46,'2020'!$G:$G,4))/1000,1)</f>
        <v>0</v>
      </c>
      <c r="J46" s="319">
        <f t="shared" si="18"/>
        <v>0</v>
      </c>
      <c r="K46" s="320">
        <f>ROUND((SUMIFS('2020'!$AQ:$AQ,'2020'!$B:$B,'Свод 2022'!$A46,'2020'!$G:$G,4)+SUMIFS('2020'!$BH:$BH,'2020'!$B:$B,'Свод 2022'!$A46,'2020'!$G:$G,4))/1000,1)</f>
        <v>0</v>
      </c>
      <c r="L46" s="320">
        <f>ROUND((SUMIFS('2020'!$BM:$BM,'2020'!$B:$B,'Свод 2022'!$A46,'2020'!$G:$G,4)+SUMIFS('2020'!$CD:$CD,'2020'!$B:$B,'Свод 2022'!$A46,'2020'!$G:$G,4))/1000,1)</f>
        <v>0</v>
      </c>
      <c r="M46" s="319">
        <f t="shared" si="19"/>
        <v>0</v>
      </c>
      <c r="N46" s="320">
        <f>ROUND(SUMIFS('2020'!$BB:$BB,'2020'!$B:$B,'Свод 2022'!$A46,'2020'!$G:$G,4)/1000,1)</f>
        <v>0</v>
      </c>
      <c r="O46" s="320">
        <f>ROUND(SUMIFS('2020'!$BX:$BX,'2020'!$B:$B,'Свод 2022'!$A46,'2020'!$G:$G,4)/1000,1)</f>
        <v>0</v>
      </c>
      <c r="P46" s="320"/>
      <c r="Q46" s="321">
        <v>0</v>
      </c>
      <c r="R46" s="322">
        <f t="shared" si="20"/>
        <v>0</v>
      </c>
      <c r="S46" s="442"/>
      <c r="T46" s="323"/>
      <c r="U46" s="366">
        <f t="shared" si="21"/>
        <v>0</v>
      </c>
      <c r="V46" s="323"/>
      <c r="W46" s="320">
        <f t="shared" si="15"/>
        <v>0</v>
      </c>
      <c r="X46" s="373">
        <f t="shared" si="16"/>
        <v>0</v>
      </c>
      <c r="Y46" s="379"/>
      <c r="Z46" s="379"/>
      <c r="AA46" s="379"/>
      <c r="AB46" s="379"/>
      <c r="AC46" s="379"/>
      <c r="AD46" s="324"/>
      <c r="AE46" s="111" t="e">
        <f t="shared" si="17"/>
        <v>#DIV/0!</v>
      </c>
    </row>
    <row r="47" spans="1:31" ht="18.75" hidden="1" x14ac:dyDescent="0.3">
      <c r="A47" s="6">
        <v>12</v>
      </c>
      <c r="B47" s="6"/>
      <c r="C47" s="7" t="s">
        <v>54</v>
      </c>
      <c r="D47" s="7"/>
      <c r="E47" s="332">
        <f>SUMIFS('2020'!$P:$P,'2020'!$B:$B,'Свод 2022'!$A47,'2020'!$G:$G,4)</f>
        <v>822</v>
      </c>
      <c r="F47" s="332"/>
      <c r="G47" s="332"/>
      <c r="H47" s="332"/>
      <c r="I47" s="319">
        <f>ROUND((SUMIFS('2020'!$BL:$BL,'2020'!$B:$B,'Свод 2022'!$A47,'2020'!$G:$G,4))/1000,1)</f>
        <v>55364.6</v>
      </c>
      <c r="J47" s="319">
        <f t="shared" si="18"/>
        <v>13064.6</v>
      </c>
      <c r="K47" s="320">
        <f>ROUND((SUMIFS('2020'!$AQ:$AQ,'2020'!$B:$B,'Свод 2022'!$A47,'2020'!$G:$G,4)+SUMIFS('2020'!$BH:$BH,'2020'!$B:$B,'Свод 2022'!$A47,'2020'!$G:$G,4))/1000,1)</f>
        <v>30033.599999999999</v>
      </c>
      <c r="L47" s="320">
        <f>ROUND((SUMIFS('2020'!$BM:$BM,'2020'!$B:$B,'Свод 2022'!$A47,'2020'!$G:$G,4)+SUMIFS('2020'!$CD:$CD,'2020'!$B:$B,'Свод 2022'!$A47,'2020'!$G:$G,4))/1000,1)</f>
        <v>43098.2</v>
      </c>
      <c r="M47" s="319">
        <f t="shared" si="19"/>
        <v>1998.8</v>
      </c>
      <c r="N47" s="320">
        <f>ROUND(SUMIFS('2020'!$BB:$BB,'2020'!$B:$B,'Свод 2022'!$A47,'2020'!$G:$G,4)/1000,1)</f>
        <v>1551.8</v>
      </c>
      <c r="O47" s="320">
        <f>ROUND(SUMIFS('2020'!$BX:$BX,'2020'!$B:$B,'Свод 2022'!$A47,'2020'!$G:$G,4)/1000,1)</f>
        <v>3550.6</v>
      </c>
      <c r="P47" s="320"/>
      <c r="Q47" s="321">
        <v>0</v>
      </c>
      <c r="R47" s="322">
        <f t="shared" si="20"/>
        <v>70428</v>
      </c>
      <c r="S47" s="442"/>
      <c r="T47" s="323"/>
      <c r="U47" s="366">
        <f t="shared" si="21"/>
        <v>31181.9</v>
      </c>
      <c r="V47" s="323"/>
      <c r="W47" s="320">
        <f t="shared" si="15"/>
        <v>50955.199999999997</v>
      </c>
      <c r="X47" s="373">
        <f t="shared" si="16"/>
        <v>-19472.8</v>
      </c>
      <c r="Y47" s="379"/>
      <c r="Z47" s="379"/>
      <c r="AA47" s="379"/>
      <c r="AB47" s="379"/>
      <c r="AC47" s="379"/>
      <c r="AD47" s="324"/>
      <c r="AE47" s="111">
        <f t="shared" si="17"/>
        <v>0.72350999999999999</v>
      </c>
    </row>
    <row r="48" spans="1:31" ht="18.75" hidden="1" x14ac:dyDescent="0.3">
      <c r="A48" s="40">
        <v>21</v>
      </c>
      <c r="B48" s="559"/>
      <c r="C48" s="58" t="s">
        <v>158</v>
      </c>
      <c r="D48" s="396"/>
      <c r="E48" s="332">
        <f>SUMIFS('2020'!$P:$P,'2020'!$B:$B,'Свод 2022'!$A48,'2020'!$G:$G,4)</f>
        <v>434</v>
      </c>
      <c r="F48" s="332"/>
      <c r="G48" s="332"/>
      <c r="H48" s="332"/>
      <c r="I48" s="319">
        <f>ROUND((SUMIFS('2020'!$BL:$BL,'2020'!$B:$B,'Свод 2022'!$A48,'2020'!$G:$G,4))/1000,1)</f>
        <v>32886.6</v>
      </c>
      <c r="J48" s="319">
        <f t="shared" si="18"/>
        <v>2697.5</v>
      </c>
      <c r="K48" s="320">
        <f>ROUND((SUMIFS('2020'!$AQ:$AQ,'2020'!$B:$B,'Свод 2022'!$A48,'2020'!$G:$G,4)+SUMIFS('2020'!$BH:$BH,'2020'!$B:$B,'Свод 2022'!$A48,'2020'!$G:$G,4))/1000,1)</f>
        <v>17630.2</v>
      </c>
      <c r="L48" s="320">
        <f>ROUND((SUMIFS('2020'!$BM:$BM,'2020'!$B:$B,'Свод 2022'!$A48,'2020'!$G:$G,4)+SUMIFS('2020'!$CD:$CD,'2020'!$B:$B,'Свод 2022'!$A48,'2020'!$G:$G,4))/1000,1)</f>
        <v>20327.7</v>
      </c>
      <c r="M48" s="319">
        <f t="shared" si="19"/>
        <v>1363.5</v>
      </c>
      <c r="N48" s="320">
        <f>ROUND(SUMIFS('2020'!$BB:$BB,'2020'!$B:$B,'Свод 2022'!$A48,'2020'!$G:$G,4)/1000,1)</f>
        <v>920.1</v>
      </c>
      <c r="O48" s="320">
        <f>ROUND(SUMIFS('2020'!$BX:$BX,'2020'!$B:$B,'Свод 2022'!$A48,'2020'!$G:$G,4)/1000,1)</f>
        <v>2283.6</v>
      </c>
      <c r="P48" s="349"/>
      <c r="Q48" s="325">
        <v>1700</v>
      </c>
      <c r="R48" s="322">
        <f t="shared" si="20"/>
        <v>38647.599999999999</v>
      </c>
      <c r="S48" s="442"/>
      <c r="T48" s="323"/>
      <c r="U48" s="366">
        <f t="shared" si="21"/>
        <v>14707.2</v>
      </c>
      <c r="V48" s="323"/>
      <c r="W48" s="320">
        <f t="shared" si="15"/>
        <v>28431.9</v>
      </c>
      <c r="X48" s="373">
        <f t="shared" si="16"/>
        <v>-10215.700000000001</v>
      </c>
      <c r="Y48" s="379"/>
      <c r="Z48" s="379"/>
      <c r="AA48" s="379"/>
      <c r="AB48" s="379"/>
      <c r="AC48" s="379"/>
      <c r="AD48" s="324"/>
      <c r="AE48" s="111">
        <f t="shared" si="17"/>
        <v>0.72350999999999999</v>
      </c>
    </row>
    <row r="49" spans="1:31" ht="18.75" hidden="1" x14ac:dyDescent="0.3">
      <c r="A49" s="40">
        <v>22</v>
      </c>
      <c r="B49" s="559"/>
      <c r="C49" s="59" t="s">
        <v>167</v>
      </c>
      <c r="D49" s="396"/>
      <c r="E49" s="332">
        <f>SUMIFS('2020'!$P:$P,'2020'!$B:$B,'Свод 2022'!$A49,'2020'!$G:$G,4)</f>
        <v>499</v>
      </c>
      <c r="F49" s="332"/>
      <c r="G49" s="332"/>
      <c r="H49" s="332"/>
      <c r="I49" s="319">
        <f>ROUND((SUMIFS('2020'!$BL:$BL,'2020'!$B:$B,'Свод 2022'!$A49,'2020'!$G:$G,4))/1000,1)</f>
        <v>33830.300000000003</v>
      </c>
      <c r="J49" s="319">
        <f t="shared" si="18"/>
        <v>14369.3</v>
      </c>
      <c r="K49" s="320">
        <f>ROUND((SUMIFS('2020'!$AQ:$AQ,'2020'!$B:$B,'Свод 2022'!$A49,'2020'!$G:$G,4)+SUMIFS('2020'!$BH:$BH,'2020'!$B:$B,'Свод 2022'!$A49,'2020'!$G:$G,4))/1000,1)</f>
        <v>18051.900000000001</v>
      </c>
      <c r="L49" s="320">
        <f>ROUND((SUMIFS('2020'!$BM:$BM,'2020'!$B:$B,'Свод 2022'!$A49,'2020'!$G:$G,4)+SUMIFS('2020'!$CD:$CD,'2020'!$B:$B,'Свод 2022'!$A49,'2020'!$G:$G,4))/1000,1)</f>
        <v>32421.200000000001</v>
      </c>
      <c r="M49" s="319">
        <f t="shared" si="19"/>
        <v>1481.9</v>
      </c>
      <c r="N49" s="320">
        <f>ROUND(SUMIFS('2020'!$BB:$BB,'2020'!$B:$B,'Свод 2022'!$A49,'2020'!$G:$G,4)/1000,1)</f>
        <v>952.9</v>
      </c>
      <c r="O49" s="320">
        <f>ROUND(SUMIFS('2020'!$BX:$BX,'2020'!$B:$B,'Свод 2022'!$A49,'2020'!$G:$G,4)/1000,1)</f>
        <v>2434.8000000000002</v>
      </c>
      <c r="P49" s="349"/>
      <c r="Q49" s="325">
        <v>22700</v>
      </c>
      <c r="R49" s="322">
        <f t="shared" si="20"/>
        <v>72381.5</v>
      </c>
      <c r="S49" s="442"/>
      <c r="T49" s="323"/>
      <c r="U49" s="366">
        <f t="shared" si="21"/>
        <v>23457</v>
      </c>
      <c r="V49" s="323"/>
      <c r="W49" s="320">
        <f t="shared" si="15"/>
        <v>58644.9</v>
      </c>
      <c r="X49" s="373">
        <f t="shared" si="16"/>
        <v>-13736.6</v>
      </c>
      <c r="Y49" s="379"/>
      <c r="Z49" s="379"/>
      <c r="AA49" s="379"/>
      <c r="AB49" s="379"/>
      <c r="AC49" s="379"/>
      <c r="AD49" s="324"/>
      <c r="AE49" s="111">
        <f t="shared" si="17"/>
        <v>0.72350999999999999</v>
      </c>
    </row>
    <row r="50" spans="1:31" ht="18.75" hidden="1" x14ac:dyDescent="0.3">
      <c r="A50" s="40">
        <v>23</v>
      </c>
      <c r="B50" s="559"/>
      <c r="C50" s="58" t="s">
        <v>160</v>
      </c>
      <c r="D50" s="396"/>
      <c r="E50" s="332">
        <f>SUMIFS('2020'!$P:$P,'2020'!$B:$B,'Свод 2022'!$A50,'2020'!$G:$G,4)</f>
        <v>112</v>
      </c>
      <c r="F50" s="332"/>
      <c r="G50" s="332"/>
      <c r="H50" s="332"/>
      <c r="I50" s="319">
        <f>ROUND((SUMIFS('2020'!$BL:$BL,'2020'!$B:$B,'Свод 2022'!$A50,'2020'!$G:$G,4))/1000,1)</f>
        <v>8430.2000000000007</v>
      </c>
      <c r="J50" s="319">
        <f t="shared" si="18"/>
        <v>1970.1</v>
      </c>
      <c r="K50" s="320">
        <f>ROUND((SUMIFS('2020'!$AQ:$AQ,'2020'!$B:$B,'Свод 2022'!$A50,'2020'!$G:$G,4)+SUMIFS('2020'!$BH:$BH,'2020'!$B:$B,'Свод 2022'!$A50,'2020'!$G:$G,4))/1000,1)</f>
        <v>4497.8999999999996</v>
      </c>
      <c r="L50" s="320">
        <f>ROUND((SUMIFS('2020'!$BM:$BM,'2020'!$B:$B,'Свод 2022'!$A50,'2020'!$G:$G,4)+SUMIFS('2020'!$CD:$CD,'2020'!$B:$B,'Свод 2022'!$A50,'2020'!$G:$G,4))/1000,1)</f>
        <v>6468</v>
      </c>
      <c r="M50" s="319">
        <f t="shared" si="19"/>
        <v>312</v>
      </c>
      <c r="N50" s="320">
        <f>ROUND(SUMIFS('2020'!$BB:$BB,'2020'!$B:$B,'Свод 2022'!$A50,'2020'!$G:$G,4)/1000,1)</f>
        <v>237.4</v>
      </c>
      <c r="O50" s="320">
        <f>ROUND(SUMIFS('2020'!$BX:$BX,'2020'!$B:$B,'Свод 2022'!$A50,'2020'!$G:$G,4)/1000,1)</f>
        <v>549.4</v>
      </c>
      <c r="P50" s="349"/>
      <c r="Q50" s="325">
        <v>3343</v>
      </c>
      <c r="R50" s="322">
        <f t="shared" si="20"/>
        <v>14055.3</v>
      </c>
      <c r="S50" s="442"/>
      <c r="T50" s="323"/>
      <c r="U50" s="366">
        <f t="shared" si="21"/>
        <v>4679.6000000000004</v>
      </c>
      <c r="V50" s="323"/>
      <c r="W50" s="320">
        <f t="shared" si="15"/>
        <v>11093.4</v>
      </c>
      <c r="X50" s="373">
        <f t="shared" si="16"/>
        <v>-2961.9</v>
      </c>
      <c r="Y50" s="379"/>
      <c r="Z50" s="379"/>
      <c r="AA50" s="379"/>
      <c r="AB50" s="379"/>
      <c r="AC50" s="379"/>
      <c r="AD50" s="324"/>
      <c r="AE50" s="111">
        <f t="shared" si="17"/>
        <v>0.72350000000000003</v>
      </c>
    </row>
    <row r="51" spans="1:31" ht="37.5" hidden="1" customHeight="1" x14ac:dyDescent="0.3">
      <c r="A51" s="40">
        <v>24</v>
      </c>
      <c r="B51" s="559"/>
      <c r="C51" s="58" t="s">
        <v>164</v>
      </c>
      <c r="D51" s="396"/>
      <c r="E51" s="332">
        <f>SUMIFS('2020'!$P:$P,'2020'!$B:$B,'Свод 2022'!$A51,'2020'!$G:$G,4)</f>
        <v>139</v>
      </c>
      <c r="F51" s="332"/>
      <c r="G51" s="332"/>
      <c r="H51" s="332"/>
      <c r="I51" s="319">
        <f>ROUND((SUMIFS('2020'!$BL:$BL,'2020'!$B:$B,'Свод 2022'!$A51,'2020'!$G:$G,4))/1000,1)</f>
        <v>10550.3</v>
      </c>
      <c r="J51" s="319">
        <f t="shared" si="18"/>
        <v>6653.5</v>
      </c>
      <c r="K51" s="320">
        <f>ROUND((SUMIFS('2020'!$AQ:$AQ,'2020'!$B:$B,'Свод 2022'!$A51,'2020'!$G:$G,4)+SUMIFS('2020'!$BH:$BH,'2020'!$B:$B,'Свод 2022'!$A51,'2020'!$G:$G,4))/1000,1)</f>
        <v>5662.6</v>
      </c>
      <c r="L51" s="320">
        <f>ROUND((SUMIFS('2020'!$BM:$BM,'2020'!$B:$B,'Свод 2022'!$A51,'2020'!$G:$G,4)+SUMIFS('2020'!$CD:$CD,'2020'!$B:$B,'Свод 2022'!$A51,'2020'!$G:$G,4))/1000,1)</f>
        <v>12316.1</v>
      </c>
      <c r="M51" s="319">
        <f t="shared" si="19"/>
        <v>569.29999999999995</v>
      </c>
      <c r="N51" s="320">
        <f>ROUND(SUMIFS('2020'!$BB:$BB,'2020'!$B:$B,'Свод 2022'!$A51,'2020'!$G:$G,4)/1000,1)</f>
        <v>294.7</v>
      </c>
      <c r="O51" s="320">
        <f>ROUND(SUMIFS('2020'!$BX:$BX,'2020'!$B:$B,'Свод 2022'!$A51,'2020'!$G:$G,4)/1000,1)</f>
        <v>864</v>
      </c>
      <c r="P51" s="349"/>
      <c r="Q51" s="325">
        <v>1429.3</v>
      </c>
      <c r="R51" s="322">
        <f t="shared" si="20"/>
        <v>19202.400000000001</v>
      </c>
      <c r="S51" s="442"/>
      <c r="T51" s="323"/>
      <c r="U51" s="366">
        <f t="shared" si="21"/>
        <v>8910.7999999999993</v>
      </c>
      <c r="V51" s="323"/>
      <c r="W51" s="320">
        <f t="shared" si="15"/>
        <v>14288.3</v>
      </c>
      <c r="X51" s="373">
        <f t="shared" si="16"/>
        <v>-4914.1000000000004</v>
      </c>
      <c r="Y51" s="379"/>
      <c r="Z51" s="379"/>
      <c r="AA51" s="379"/>
      <c r="AB51" s="379"/>
      <c r="AC51" s="379"/>
      <c r="AD51" s="324"/>
      <c r="AE51" s="111">
        <f t="shared" si="17"/>
        <v>0.72350999999999999</v>
      </c>
    </row>
    <row r="52" spans="1:31" ht="18.75" hidden="1" x14ac:dyDescent="0.3">
      <c r="A52" s="40">
        <v>25</v>
      </c>
      <c r="B52" s="559"/>
      <c r="C52" s="58" t="s">
        <v>166</v>
      </c>
      <c r="D52" s="396"/>
      <c r="E52" s="332">
        <f>SUMIFS('2020'!$P:$P,'2020'!$B:$B,'Свод 2022'!$A52,'2020'!$G:$G,4)</f>
        <v>310</v>
      </c>
      <c r="F52" s="332"/>
      <c r="G52" s="332"/>
      <c r="H52" s="332"/>
      <c r="I52" s="319">
        <f>ROUND((SUMIFS('2020'!$BL:$BL,'2020'!$B:$B,'Свод 2022'!$A52,'2020'!$G:$G,4))/1000,1)</f>
        <v>20503.2</v>
      </c>
      <c r="J52" s="319">
        <f t="shared" si="18"/>
        <v>4672.8999999999996</v>
      </c>
      <c r="K52" s="320">
        <f>ROUND((SUMIFS('2020'!$AQ:$AQ,'2020'!$B:$B,'Свод 2022'!$A52,'2020'!$G:$G,4)+SUMIFS('2020'!$BH:$BH,'2020'!$B:$B,'Свод 2022'!$A52,'2020'!$G:$G,4))/1000,1)</f>
        <v>10943.7</v>
      </c>
      <c r="L52" s="320">
        <f>ROUND((SUMIFS('2020'!$BM:$BM,'2020'!$B:$B,'Свод 2022'!$A52,'2020'!$G:$G,4)+SUMIFS('2020'!$CD:$CD,'2020'!$B:$B,'Свод 2022'!$A52,'2020'!$G:$G,4))/1000,1)</f>
        <v>15616.6</v>
      </c>
      <c r="M52" s="319">
        <f t="shared" si="19"/>
        <v>962.4</v>
      </c>
      <c r="N52" s="320">
        <f>ROUND(SUMIFS('2020'!$BB:$BB,'2020'!$B:$B,'Свод 2022'!$A52,'2020'!$G:$G,4)/1000,1)</f>
        <v>577.70000000000005</v>
      </c>
      <c r="O52" s="320">
        <f>ROUND(SUMIFS('2020'!$BX:$BX,'2020'!$B:$B,'Свод 2022'!$A52,'2020'!$G:$G,4)/1000,1)</f>
        <v>1540.1</v>
      </c>
      <c r="P52" s="349"/>
      <c r="Q52" s="325">
        <v>15645.2</v>
      </c>
      <c r="R52" s="322">
        <f t="shared" si="20"/>
        <v>41783.699999999997</v>
      </c>
      <c r="S52" s="442"/>
      <c r="T52" s="323"/>
      <c r="U52" s="366">
        <f t="shared" si="21"/>
        <v>11298.7</v>
      </c>
      <c r="V52" s="323"/>
      <c r="W52" s="320">
        <f t="shared" si="15"/>
        <v>34556.6</v>
      </c>
      <c r="X52" s="373">
        <f t="shared" si="16"/>
        <v>-7227.1</v>
      </c>
      <c r="Y52" s="379"/>
      <c r="Z52" s="379"/>
      <c r="AA52" s="379"/>
      <c r="AB52" s="379"/>
      <c r="AC52" s="379"/>
      <c r="AD52" s="324"/>
      <c r="AE52" s="111">
        <f t="shared" si="17"/>
        <v>0.72350999999999999</v>
      </c>
    </row>
    <row r="53" spans="1:31" ht="18.75" hidden="1" x14ac:dyDescent="0.3">
      <c r="A53" s="40">
        <v>26</v>
      </c>
      <c r="B53" s="559"/>
      <c r="C53" s="58" t="s">
        <v>161</v>
      </c>
      <c r="D53" s="396"/>
      <c r="E53" s="332">
        <f>SUMIFS('2020'!$P:$P,'2020'!$B:$B,'Свод 2022'!$A53,'2020'!$G:$G,4)</f>
        <v>70</v>
      </c>
      <c r="F53" s="332"/>
      <c r="G53" s="332"/>
      <c r="H53" s="332"/>
      <c r="I53" s="319">
        <f>ROUND((SUMIFS('2020'!$BL:$BL,'2020'!$B:$B,'Свод 2022'!$A53,'2020'!$G:$G,4))/1000,1)</f>
        <v>5356.7</v>
      </c>
      <c r="J53" s="319">
        <f t="shared" si="18"/>
        <v>581.20000000000005</v>
      </c>
      <c r="K53" s="320">
        <f>ROUND((SUMIFS('2020'!$AQ:$AQ,'2020'!$B:$B,'Свод 2022'!$A53,'2020'!$G:$G,4)+SUMIFS('2020'!$BH:$BH,'2020'!$B:$B,'Свод 2022'!$A53,'2020'!$G:$G,4))/1000,1)</f>
        <v>2891.5</v>
      </c>
      <c r="L53" s="320">
        <f>ROUND((SUMIFS('2020'!$BM:$BM,'2020'!$B:$B,'Свод 2022'!$A53,'2020'!$G:$G,4)+SUMIFS('2020'!$CD:$CD,'2020'!$B:$B,'Свод 2022'!$A53,'2020'!$G:$G,4))/1000,1)</f>
        <v>3472.7</v>
      </c>
      <c r="M53" s="319">
        <f t="shared" si="19"/>
        <v>210.1</v>
      </c>
      <c r="N53" s="320">
        <f>ROUND(SUMIFS('2020'!$BB:$BB,'2020'!$B:$B,'Свод 2022'!$A53,'2020'!$G:$G,4)/1000,1)</f>
        <v>148.4</v>
      </c>
      <c r="O53" s="320">
        <f>ROUND(SUMIFS('2020'!$BX:$BX,'2020'!$B:$B,'Свод 2022'!$A53,'2020'!$G:$G,4)/1000,1)</f>
        <v>358.5</v>
      </c>
      <c r="P53" s="349"/>
      <c r="Q53" s="325">
        <v>3.4</v>
      </c>
      <c r="R53" s="322">
        <f t="shared" si="20"/>
        <v>6151.4</v>
      </c>
      <c r="S53" s="442"/>
      <c r="T53" s="323"/>
      <c r="U53" s="366">
        <f t="shared" si="21"/>
        <v>2512.5</v>
      </c>
      <c r="V53" s="323"/>
      <c r="W53" s="320">
        <f t="shared" si="15"/>
        <v>4451.5</v>
      </c>
      <c r="X53" s="373">
        <f t="shared" si="16"/>
        <v>-1699.9</v>
      </c>
      <c r="Y53" s="379"/>
      <c r="Z53" s="379"/>
      <c r="AA53" s="379"/>
      <c r="AB53" s="379"/>
      <c r="AC53" s="379"/>
      <c r="AD53" s="324"/>
      <c r="AE53" s="111">
        <f t="shared" si="17"/>
        <v>0.72350000000000003</v>
      </c>
    </row>
    <row r="54" spans="1:31" ht="18.75" hidden="1" x14ac:dyDescent="0.3">
      <c r="A54" s="40">
        <v>27</v>
      </c>
      <c r="B54" s="559"/>
      <c r="C54" s="58" t="s">
        <v>162</v>
      </c>
      <c r="D54" s="396"/>
      <c r="E54" s="332">
        <f>SUMIFS('2020'!$P:$P,'2020'!$B:$B,'Свод 2022'!$A54,'2020'!$G:$G,4)</f>
        <v>132</v>
      </c>
      <c r="F54" s="332"/>
      <c r="G54" s="332"/>
      <c r="H54" s="332"/>
      <c r="I54" s="319">
        <f>ROUND((SUMIFS('2020'!$BL:$BL,'2020'!$B:$B,'Свод 2022'!$A54,'2020'!$G:$G,4))/1000,1)</f>
        <v>9935.6</v>
      </c>
      <c r="J54" s="319">
        <f t="shared" si="18"/>
        <v>2041</v>
      </c>
      <c r="K54" s="320">
        <f>ROUND((SUMIFS('2020'!$AQ:$AQ,'2020'!$B:$B,'Свод 2022'!$A54,'2020'!$G:$G,4)+SUMIFS('2020'!$BH:$BH,'2020'!$B:$B,'Свод 2022'!$A54,'2020'!$G:$G,4))/1000,1)</f>
        <v>5301.1</v>
      </c>
      <c r="L54" s="320">
        <f>ROUND((SUMIFS('2020'!$BM:$BM,'2020'!$B:$B,'Свод 2022'!$A54,'2020'!$G:$G,4)+SUMIFS('2020'!$CD:$CD,'2020'!$B:$B,'Свод 2022'!$A54,'2020'!$G:$G,4))/1000,1)</f>
        <v>7342.1</v>
      </c>
      <c r="M54" s="319">
        <f t="shared" si="19"/>
        <v>510.2</v>
      </c>
      <c r="N54" s="320">
        <f>ROUND(SUMIFS('2020'!$BB:$BB,'2020'!$B:$B,'Свод 2022'!$A54,'2020'!$G:$G,4)/1000,1)</f>
        <v>279.8</v>
      </c>
      <c r="O54" s="320">
        <f>ROUND(SUMIFS('2020'!$BX:$BX,'2020'!$B:$B,'Свод 2022'!$A54,'2020'!$G:$G,4)/1000,1)</f>
        <v>790</v>
      </c>
      <c r="P54" s="349"/>
      <c r="Q54" s="325">
        <v>256.89999999999998</v>
      </c>
      <c r="R54" s="322">
        <f t="shared" si="20"/>
        <v>12743.7</v>
      </c>
      <c r="S54" s="442"/>
      <c r="T54" s="323"/>
      <c r="U54" s="366">
        <f t="shared" si="21"/>
        <v>5312.1</v>
      </c>
      <c r="V54" s="323"/>
      <c r="W54" s="320">
        <f t="shared" si="15"/>
        <v>9291.2000000000007</v>
      </c>
      <c r="X54" s="373">
        <f t="shared" si="16"/>
        <v>-3452.5</v>
      </c>
      <c r="Y54" s="379"/>
      <c r="Z54" s="379"/>
      <c r="AA54" s="379"/>
      <c r="AB54" s="379"/>
      <c r="AC54" s="379"/>
      <c r="AD54" s="324"/>
      <c r="AE54" s="111">
        <f t="shared" si="17"/>
        <v>0.72350999999999999</v>
      </c>
    </row>
    <row r="55" spans="1:31" ht="18.75" hidden="1" x14ac:dyDescent="0.3">
      <c r="A55" s="40">
        <v>28</v>
      </c>
      <c r="B55" s="559"/>
      <c r="C55" s="58" t="s">
        <v>165</v>
      </c>
      <c r="D55" s="396"/>
      <c r="E55" s="332">
        <f>SUMIFS('2020'!$P:$P,'2020'!$B:$B,'Свод 2022'!$A55,'2020'!$G:$G,4)</f>
        <v>127</v>
      </c>
      <c r="F55" s="332"/>
      <c r="G55" s="332"/>
      <c r="H55" s="332"/>
      <c r="I55" s="319">
        <f>ROUND((SUMIFS('2020'!$BL:$BL,'2020'!$B:$B,'Свод 2022'!$A55,'2020'!$G:$G,4))/1000,1)</f>
        <v>9559.2999999999993</v>
      </c>
      <c r="J55" s="319">
        <f t="shared" si="18"/>
        <v>3830.4</v>
      </c>
      <c r="K55" s="320">
        <f>ROUND((SUMIFS('2020'!$AQ:$AQ,'2020'!$B:$B,'Свод 2022'!$A55,'2020'!$G:$G,4)+SUMIFS('2020'!$BH:$BH,'2020'!$B:$B,'Свод 2022'!$A55,'2020'!$G:$G,4))/1000,1)</f>
        <v>5100.3</v>
      </c>
      <c r="L55" s="320">
        <f>ROUND((SUMIFS('2020'!$BM:$BM,'2020'!$B:$B,'Свод 2022'!$A55,'2020'!$G:$G,4)+SUMIFS('2020'!$CD:$CD,'2020'!$B:$B,'Свод 2022'!$A55,'2020'!$G:$G,4))/1000,1)</f>
        <v>8930.7000000000007</v>
      </c>
      <c r="M55" s="319">
        <f t="shared" si="19"/>
        <v>1024.8</v>
      </c>
      <c r="N55" s="320">
        <f>ROUND(SUMIFS('2020'!$BB:$BB,'2020'!$B:$B,'Свод 2022'!$A55,'2020'!$G:$G,4)/1000,1)</f>
        <v>269.2</v>
      </c>
      <c r="O55" s="320">
        <f>ROUND(SUMIFS('2020'!$BX:$BX,'2020'!$B:$B,'Свод 2022'!$A55,'2020'!$G:$G,4)/1000,1)</f>
        <v>1294</v>
      </c>
      <c r="P55" s="349"/>
      <c r="Q55" s="325">
        <v>5000</v>
      </c>
      <c r="R55" s="322">
        <f t="shared" si="20"/>
        <v>19414.5</v>
      </c>
      <c r="S55" s="442"/>
      <c r="T55" s="323"/>
      <c r="U55" s="366">
        <f t="shared" si="21"/>
        <v>6461.4</v>
      </c>
      <c r="V55" s="323"/>
      <c r="W55" s="320">
        <f t="shared" si="15"/>
        <v>15429</v>
      </c>
      <c r="X55" s="373">
        <f t="shared" si="16"/>
        <v>-3985.5</v>
      </c>
      <c r="Y55" s="379"/>
      <c r="Z55" s="379"/>
      <c r="AA55" s="379"/>
      <c r="AB55" s="379"/>
      <c r="AC55" s="379"/>
      <c r="AD55" s="324"/>
      <c r="AE55" s="111">
        <f t="shared" si="17"/>
        <v>0.72350999999999999</v>
      </c>
    </row>
    <row r="56" spans="1:31" ht="18.75" hidden="1" x14ac:dyDescent="0.3">
      <c r="A56" s="40">
        <v>29</v>
      </c>
      <c r="B56" s="559"/>
      <c r="C56" s="59" t="s">
        <v>159</v>
      </c>
      <c r="D56" s="396"/>
      <c r="E56" s="331">
        <f>SUMIFS('2020'!$P:$P,'2020'!$B:$B,'Свод 2022'!$A56,'2020'!$G:$G,4)</f>
        <v>119</v>
      </c>
      <c r="F56" s="331"/>
      <c r="G56" s="331"/>
      <c r="H56" s="331"/>
      <c r="I56" s="319">
        <f>ROUND((SUMIFS('2020'!$BL:$BL,'2020'!$B:$B,'Свод 2022'!$A56,'2020'!$G:$G,4))/1000,1)</f>
        <v>8957.1</v>
      </c>
      <c r="J56" s="326">
        <f t="shared" si="18"/>
        <v>1084.9000000000001</v>
      </c>
      <c r="K56" s="320">
        <f>ROUND((SUMIFS('2020'!$AQ:$AQ,'2020'!$B:$B,'Свод 2022'!$A56,'2020'!$G:$G,4)+SUMIFS('2020'!$BH:$BH,'2020'!$B:$B,'Свод 2022'!$A56,'2020'!$G:$G,4))/1000,1)</f>
        <v>4779</v>
      </c>
      <c r="L56" s="320">
        <f>ROUND((SUMIFS('2020'!$BM:$BM,'2020'!$B:$B,'Свод 2022'!$A56,'2020'!$G:$G,4)+SUMIFS('2020'!$CD:$CD,'2020'!$B:$B,'Свод 2022'!$A56,'2020'!$G:$G,4))/1000,1)</f>
        <v>5863.9</v>
      </c>
      <c r="M56" s="326">
        <f t="shared" si="19"/>
        <v>516.4</v>
      </c>
      <c r="N56" s="320">
        <f>ROUND(SUMIFS('2020'!$BB:$BB,'2020'!$B:$B,'Свод 2022'!$A56,'2020'!$G:$G,4)/1000,1)</f>
        <v>252.3</v>
      </c>
      <c r="O56" s="320">
        <f>ROUND(SUMIFS('2020'!$BX:$BX,'2020'!$B:$B,'Свод 2022'!$A56,'2020'!$G:$G,4)/1000,1)</f>
        <v>768.7</v>
      </c>
      <c r="P56" s="327"/>
      <c r="Q56" s="328">
        <v>0</v>
      </c>
      <c r="R56" s="329">
        <f t="shared" si="20"/>
        <v>10558.4</v>
      </c>
      <c r="S56" s="443"/>
      <c r="T56" s="330"/>
      <c r="U56" s="366">
        <f t="shared" si="21"/>
        <v>4242.6000000000004</v>
      </c>
      <c r="V56" s="330"/>
      <c r="W56" s="320">
        <f t="shared" si="15"/>
        <v>7639.1</v>
      </c>
      <c r="X56" s="373">
        <f t="shared" si="16"/>
        <v>-2919.3</v>
      </c>
      <c r="Y56" s="379"/>
      <c r="Z56" s="379"/>
      <c r="AA56" s="379"/>
      <c r="AB56" s="379"/>
      <c r="AC56" s="379"/>
      <c r="AD56" s="324"/>
      <c r="AE56" s="111">
        <f t="shared" si="17"/>
        <v>0.72350999999999999</v>
      </c>
    </row>
    <row r="57" spans="1:31" ht="30.75" hidden="1" x14ac:dyDescent="0.3">
      <c r="A57" s="57">
        <v>30</v>
      </c>
      <c r="B57" s="57"/>
      <c r="C57" s="64" t="s">
        <v>163</v>
      </c>
      <c r="D57" s="64"/>
      <c r="E57" s="332">
        <f>SUMIFS('2020'!$P:$P,'2020'!$B:$B,'Свод 2022'!$A57,'2020'!$G:$G,4)</f>
        <v>187</v>
      </c>
      <c r="F57" s="332"/>
      <c r="G57" s="332"/>
      <c r="H57" s="332"/>
      <c r="I57" s="319">
        <f>ROUND((SUMIFS('2020'!$BL:$BL,'2020'!$B:$B,'Свод 2022'!$A57,'2020'!$G:$G,4))/1000,1)</f>
        <v>14075.5</v>
      </c>
      <c r="J57" s="319">
        <f t="shared" si="18"/>
        <v>8824.2000000000007</v>
      </c>
      <c r="K57" s="320">
        <f>ROUND((SUMIFS('2020'!$AQ:$AQ,'2020'!$B:$B,'Свод 2022'!$A57,'2020'!$G:$G,4)+SUMIFS('2020'!$BH:$BH,'2020'!$B:$B,'Свод 2022'!$A57,'2020'!$G:$G,4))/1000,1)</f>
        <v>7509.9</v>
      </c>
      <c r="L57" s="320">
        <f>ROUND((SUMIFS('2020'!$BM:$BM,'2020'!$B:$B,'Свод 2022'!$A57,'2020'!$G:$G,4)+SUMIFS('2020'!$CD:$CD,'2020'!$B:$B,'Свод 2022'!$A57,'2020'!$G:$G,4))/1000,1)</f>
        <v>16334.1</v>
      </c>
      <c r="M57" s="319">
        <f t="shared" si="19"/>
        <v>766</v>
      </c>
      <c r="N57" s="320">
        <f>ROUND(SUMIFS('2020'!$BB:$BB,'2020'!$B:$B,'Свод 2022'!$A57,'2020'!$G:$G,4)/1000,1)</f>
        <v>396.4</v>
      </c>
      <c r="O57" s="320">
        <f>ROUND(SUMIFS('2020'!$BX:$BX,'2020'!$B:$B,'Свод 2022'!$A57,'2020'!$G:$G,4)/1000,1)</f>
        <v>1162.4000000000001</v>
      </c>
      <c r="P57" s="349"/>
      <c r="Q57" s="325">
        <v>9244.4</v>
      </c>
      <c r="R57" s="322">
        <f t="shared" si="20"/>
        <v>32910.1</v>
      </c>
      <c r="S57" s="442"/>
      <c r="T57" s="323"/>
      <c r="U57" s="366">
        <f t="shared" si="21"/>
        <v>11817.8</v>
      </c>
      <c r="V57" s="323"/>
      <c r="W57" s="320">
        <f t="shared" si="15"/>
        <v>26366.7</v>
      </c>
      <c r="X57" s="373">
        <f t="shared" si="16"/>
        <v>-6543.4</v>
      </c>
      <c r="Y57" s="385"/>
      <c r="Z57" s="385"/>
      <c r="AA57" s="385"/>
      <c r="AB57" s="385"/>
      <c r="AC57" s="385"/>
      <c r="AD57" s="324"/>
      <c r="AE57" s="111">
        <f t="shared" si="17"/>
        <v>0.72350999999999999</v>
      </c>
    </row>
    <row r="58" spans="1:31" s="44" customFormat="1" ht="18.75" hidden="1" x14ac:dyDescent="0.25">
      <c r="C58" s="305" t="s">
        <v>168</v>
      </c>
      <c r="D58" s="305"/>
      <c r="E58" s="331">
        <f>SUM(E44:E57)</f>
        <v>3529</v>
      </c>
      <c r="F58" s="331"/>
      <c r="G58" s="331"/>
      <c r="H58" s="331"/>
      <c r="I58" s="326">
        <f t="shared" ref="I58:W58" si="22">SUM(I44:I57)</f>
        <v>253208.2</v>
      </c>
      <c r="J58" s="326">
        <f t="shared" si="22"/>
        <v>68449</v>
      </c>
      <c r="K58" s="326">
        <f t="shared" si="22"/>
        <v>136185.20000000001</v>
      </c>
      <c r="L58" s="326">
        <f t="shared" si="22"/>
        <v>204634.2</v>
      </c>
      <c r="M58" s="326">
        <f t="shared" si="22"/>
        <v>10967</v>
      </c>
      <c r="N58" s="326">
        <f t="shared" si="22"/>
        <v>7106.1</v>
      </c>
      <c r="O58" s="326">
        <f t="shared" si="22"/>
        <v>18073.099999999999</v>
      </c>
      <c r="P58" s="326"/>
      <c r="Q58" s="326">
        <f>SUM(Q44:Q57)</f>
        <v>59322.2</v>
      </c>
      <c r="R58" s="329">
        <f>SUM(R44:R57)</f>
        <v>391946.4</v>
      </c>
      <c r="S58" s="443"/>
      <c r="T58" s="330"/>
      <c r="U58" s="326">
        <f t="shared" ref="U58" si="23">SUM(U44:U57)</f>
        <v>148054.29999999999</v>
      </c>
      <c r="V58" s="330"/>
      <c r="W58" s="326">
        <f t="shared" si="22"/>
        <v>299978.3</v>
      </c>
      <c r="X58" s="373">
        <f t="shared" si="16"/>
        <v>-91968.1</v>
      </c>
      <c r="Y58" s="385"/>
      <c r="Z58" s="385"/>
      <c r="AA58" s="385"/>
      <c r="AB58" s="385"/>
      <c r="AC58" s="385"/>
      <c r="AD58" s="324"/>
    </row>
    <row r="59" spans="1:31" s="44" customFormat="1" ht="18.75" hidden="1" x14ac:dyDescent="0.25">
      <c r="A59" s="41"/>
      <c r="B59" s="41"/>
      <c r="C59" s="306"/>
      <c r="D59" s="306"/>
      <c r="E59" s="332">
        <f>SUM(E48:E57)</f>
        <v>2129</v>
      </c>
      <c r="F59" s="332"/>
      <c r="G59" s="332"/>
      <c r="H59" s="332"/>
      <c r="I59" s="319">
        <f t="shared" ref="I59:W59" si="24">SUM(I48:I57)</f>
        <v>154084.79999999999</v>
      </c>
      <c r="J59" s="319">
        <f t="shared" si="24"/>
        <v>46725</v>
      </c>
      <c r="K59" s="319">
        <f t="shared" si="24"/>
        <v>82368.100000000006</v>
      </c>
      <c r="L59" s="319">
        <f t="shared" si="24"/>
        <v>129093.1</v>
      </c>
      <c r="M59" s="319">
        <f t="shared" si="24"/>
        <v>7716.6</v>
      </c>
      <c r="N59" s="319">
        <f t="shared" si="24"/>
        <v>4328.8999999999996</v>
      </c>
      <c r="O59" s="319">
        <f t="shared" si="24"/>
        <v>12045.5</v>
      </c>
      <c r="P59" s="319"/>
      <c r="Q59" s="319">
        <f t="shared" si="24"/>
        <v>59322.2</v>
      </c>
      <c r="R59" s="322">
        <f t="shared" si="24"/>
        <v>267848.59999999998</v>
      </c>
      <c r="S59" s="442"/>
      <c r="T59" s="323"/>
      <c r="U59" s="319">
        <f t="shared" ref="U59" si="25">SUM(U48:U57)</f>
        <v>93399.7</v>
      </c>
      <c r="V59" s="323"/>
      <c r="W59" s="319">
        <f t="shared" si="24"/>
        <v>210192.6</v>
      </c>
      <c r="X59" s="374">
        <f t="shared" si="16"/>
        <v>-57656</v>
      </c>
      <c r="Y59" s="385"/>
      <c r="Z59" s="385"/>
      <c r="AA59" s="385"/>
      <c r="AB59" s="385"/>
      <c r="AC59" s="385"/>
      <c r="AD59" s="320"/>
    </row>
    <row r="60" spans="1:31" s="44" customFormat="1" ht="18.75" hidden="1" x14ac:dyDescent="0.25">
      <c r="A60" s="41"/>
      <c r="B60" s="41"/>
      <c r="C60" s="306" t="s">
        <v>169</v>
      </c>
      <c r="D60" s="306"/>
      <c r="E60" s="332">
        <f>SUM(E44:E47)</f>
        <v>1400</v>
      </c>
      <c r="F60" s="332"/>
      <c r="G60" s="332"/>
      <c r="H60" s="332"/>
      <c r="I60" s="319">
        <f t="shared" ref="I60:R60" si="26">SUM(I44:I47)</f>
        <v>99123.4</v>
      </c>
      <c r="J60" s="319">
        <f t="shared" si="26"/>
        <v>21724</v>
      </c>
      <c r="K60" s="319">
        <f t="shared" si="26"/>
        <v>53817.1</v>
      </c>
      <c r="L60" s="319">
        <f t="shared" si="26"/>
        <v>75541.100000000006</v>
      </c>
      <c r="M60" s="319">
        <f t="shared" si="26"/>
        <v>3250.4</v>
      </c>
      <c r="N60" s="319">
        <f t="shared" si="26"/>
        <v>2777.2</v>
      </c>
      <c r="O60" s="319">
        <f t="shared" si="26"/>
        <v>6027.6</v>
      </c>
      <c r="P60" s="319"/>
      <c r="Q60" s="319">
        <f>SUM(Q44:Q47)</f>
        <v>0</v>
      </c>
      <c r="R60" s="322">
        <f t="shared" si="26"/>
        <v>124097.8</v>
      </c>
      <c r="S60" s="442"/>
      <c r="T60" s="323"/>
      <c r="U60" s="319">
        <f t="shared" ref="U60" si="27">SUM(U44:U47)</f>
        <v>54654.6</v>
      </c>
      <c r="V60" s="323"/>
      <c r="W60" s="319">
        <f>SUM(W44:W47)</f>
        <v>89785.7</v>
      </c>
      <c r="X60" s="374">
        <f t="shared" si="16"/>
        <v>-34312.1</v>
      </c>
      <c r="Y60" s="385"/>
      <c r="Z60" s="385"/>
      <c r="AA60" s="385"/>
      <c r="AB60" s="385"/>
      <c r="AC60" s="385"/>
      <c r="AD60" s="320"/>
    </row>
    <row r="61" spans="1:31" s="44" customFormat="1" ht="18.75" hidden="1" x14ac:dyDescent="0.25">
      <c r="C61" s="307"/>
      <c r="D61" s="307"/>
      <c r="E61" s="333"/>
      <c r="F61" s="333"/>
      <c r="G61" s="333"/>
      <c r="H61" s="333"/>
      <c r="I61" s="334"/>
      <c r="J61" s="334"/>
      <c r="K61" s="334"/>
      <c r="L61" s="334"/>
      <c r="M61" s="334"/>
      <c r="N61" s="334"/>
      <c r="O61" s="334"/>
      <c r="P61" s="334"/>
      <c r="Q61" s="335"/>
      <c r="R61" s="336"/>
      <c r="S61" s="444"/>
      <c r="T61" s="337"/>
      <c r="U61" s="351"/>
      <c r="V61" s="337"/>
      <c r="W61" s="334"/>
      <c r="X61" s="375"/>
      <c r="Y61" s="379"/>
      <c r="Z61" s="379"/>
      <c r="AA61" s="379"/>
      <c r="AB61" s="379"/>
      <c r="AC61" s="379"/>
      <c r="AD61" s="324"/>
    </row>
    <row r="62" spans="1:31" ht="18.75" hidden="1" x14ac:dyDescent="0.25">
      <c r="C62" s="296" t="s">
        <v>138</v>
      </c>
      <c r="D62" s="296"/>
      <c r="E62" s="338"/>
      <c r="F62" s="338"/>
      <c r="G62" s="338"/>
      <c r="H62" s="338"/>
      <c r="I62" s="339"/>
      <c r="J62" s="339"/>
      <c r="K62" s="338"/>
      <c r="L62" s="367">
        <f>157149.1</f>
        <v>157149.1</v>
      </c>
      <c r="M62" s="339"/>
      <c r="N62" s="338"/>
      <c r="O62" s="338"/>
      <c r="P62" s="338">
        <v>2019</v>
      </c>
      <c r="Q62" s="340" t="s">
        <v>138</v>
      </c>
      <c r="R62" s="341">
        <v>299978.3</v>
      </c>
      <c r="S62" s="445"/>
      <c r="T62" s="342"/>
      <c r="U62" s="352">
        <f>L62</f>
        <v>157149.1</v>
      </c>
      <c r="V62" s="342"/>
      <c r="W62" s="324"/>
      <c r="X62" s="373"/>
      <c r="Y62" s="379"/>
      <c r="Z62" s="379"/>
      <c r="AA62" s="379"/>
      <c r="AB62" s="379"/>
      <c r="AC62" s="379"/>
      <c r="AD62" s="324"/>
    </row>
    <row r="63" spans="1:31" ht="18.75" hidden="1" x14ac:dyDescent="0.25">
      <c r="C63" s="12"/>
      <c r="D63" s="12"/>
      <c r="E63" s="338"/>
      <c r="F63" s="338"/>
      <c r="G63" s="338"/>
      <c r="H63" s="338"/>
      <c r="I63" s="339"/>
      <c r="J63" s="339"/>
      <c r="K63" s="338"/>
      <c r="L63" s="338"/>
      <c r="M63" s="339"/>
      <c r="N63" s="338"/>
      <c r="O63" s="338"/>
      <c r="P63" s="338"/>
      <c r="Q63" s="343" t="s">
        <v>139</v>
      </c>
      <c r="R63" s="344">
        <f>R62-R58</f>
        <v>-91968.1</v>
      </c>
      <c r="S63" s="446"/>
      <c r="T63" s="345"/>
      <c r="U63" s="353">
        <f>U62-U58</f>
        <v>9094.7999999999993</v>
      </c>
      <c r="V63" s="345"/>
      <c r="W63" s="346">
        <f>(R62-Q58)/(R58-Q58)</f>
        <v>0.72350748983000002</v>
      </c>
      <c r="X63" s="373"/>
      <c r="Y63" s="386"/>
      <c r="Z63" s="386"/>
      <c r="AA63" s="386"/>
      <c r="AB63" s="386"/>
      <c r="AC63" s="386"/>
      <c r="AD63" s="324"/>
    </row>
    <row r="64" spans="1:31" ht="18.75" hidden="1" x14ac:dyDescent="0.25">
      <c r="C64" s="12"/>
      <c r="D64" s="12"/>
      <c r="E64" s="338"/>
      <c r="F64" s="338"/>
      <c r="G64" s="338"/>
      <c r="H64" s="338"/>
      <c r="I64" s="339"/>
      <c r="J64" s="339"/>
      <c r="K64" s="338"/>
      <c r="L64" s="338"/>
      <c r="M64" s="339"/>
      <c r="N64" s="338"/>
      <c r="O64" s="338"/>
      <c r="P64" s="338">
        <v>2020</v>
      </c>
      <c r="Q64" s="340" t="s">
        <v>138</v>
      </c>
      <c r="R64" s="341">
        <v>307273.3</v>
      </c>
      <c r="S64" s="447"/>
      <c r="T64" s="347"/>
      <c r="U64" s="354"/>
      <c r="V64" s="347"/>
      <c r="W64" s="338"/>
      <c r="X64" s="338"/>
      <c r="Y64" s="387"/>
      <c r="Z64" s="387"/>
      <c r="AA64" s="387"/>
      <c r="AB64" s="387"/>
      <c r="AC64" s="387"/>
      <c r="AD64" s="338"/>
    </row>
    <row r="65" spans="3:30" ht="18.75" hidden="1" x14ac:dyDescent="0.25">
      <c r="C65" s="12"/>
      <c r="D65" s="12"/>
      <c r="E65" s="338"/>
      <c r="F65" s="338"/>
      <c r="G65" s="338"/>
      <c r="H65" s="338"/>
      <c r="I65" s="339"/>
      <c r="J65" s="339"/>
      <c r="K65" s="338"/>
      <c r="L65" s="338"/>
      <c r="M65" s="339"/>
      <c r="N65" s="338"/>
      <c r="O65" s="338"/>
      <c r="P65" s="338"/>
      <c r="Q65" s="343" t="s">
        <v>139</v>
      </c>
      <c r="R65" s="344">
        <f>R64-R58</f>
        <v>-84673.1</v>
      </c>
      <c r="S65" s="447"/>
      <c r="T65" s="347"/>
      <c r="U65" s="354"/>
      <c r="V65" s="347"/>
      <c r="W65" s="338"/>
      <c r="X65" s="338"/>
      <c r="Y65" s="387"/>
      <c r="Z65" s="387"/>
      <c r="AA65" s="387"/>
      <c r="AB65" s="387"/>
      <c r="AC65" s="387"/>
      <c r="AD65" s="338"/>
    </row>
    <row r="66" spans="3:30" ht="18.75" hidden="1" x14ac:dyDescent="0.25">
      <c r="C66" s="12"/>
      <c r="D66" s="12"/>
      <c r="E66" s="338"/>
      <c r="F66" s="338"/>
      <c r="G66" s="338"/>
      <c r="H66" s="338"/>
      <c r="I66" s="339"/>
      <c r="J66" s="339"/>
      <c r="K66" s="338"/>
      <c r="L66" s="338"/>
      <c r="M66" s="339"/>
      <c r="N66" s="338"/>
      <c r="O66" s="338"/>
      <c r="P66" s="338">
        <v>2021</v>
      </c>
      <c r="Q66" s="340" t="s">
        <v>138</v>
      </c>
      <c r="R66" s="341">
        <v>313596.40000000002</v>
      </c>
      <c r="S66" s="447"/>
      <c r="T66" s="347"/>
      <c r="U66" s="354"/>
      <c r="V66" s="347"/>
      <c r="W66" s="338"/>
      <c r="X66" s="338"/>
      <c r="Y66" s="387"/>
      <c r="Z66" s="387"/>
      <c r="AA66" s="387"/>
      <c r="AB66" s="387"/>
      <c r="AC66" s="387"/>
      <c r="AD66" s="338"/>
    </row>
    <row r="67" spans="3:30" ht="18.75" hidden="1" x14ac:dyDescent="0.25">
      <c r="C67" s="12"/>
      <c r="D67" s="12"/>
      <c r="E67" s="338"/>
      <c r="F67" s="338"/>
      <c r="G67" s="338"/>
      <c r="H67" s="338"/>
      <c r="I67" s="339"/>
      <c r="J67" s="339"/>
      <c r="K67" s="338"/>
      <c r="L67" s="338"/>
      <c r="M67" s="339"/>
      <c r="N67" s="338"/>
      <c r="O67" s="338"/>
      <c r="P67" s="338"/>
      <c r="Q67" s="343" t="s">
        <v>139</v>
      </c>
      <c r="R67" s="344">
        <f>R66-R58</f>
        <v>-78350</v>
      </c>
      <c r="S67" s="447"/>
      <c r="T67" s="347"/>
      <c r="U67" s="354"/>
      <c r="V67" s="347"/>
      <c r="W67" s="338"/>
      <c r="X67" s="338"/>
      <c r="Y67" s="387"/>
      <c r="Z67" s="387"/>
      <c r="AA67" s="387"/>
      <c r="AB67" s="387"/>
      <c r="AC67" s="387"/>
      <c r="AD67" s="338"/>
    </row>
    <row r="68" spans="3:30" ht="18.75" hidden="1" x14ac:dyDescent="0.25">
      <c r="C68" s="12"/>
      <c r="D68" s="12"/>
      <c r="E68" s="338"/>
      <c r="F68" s="338"/>
      <c r="G68" s="338"/>
      <c r="H68" s="338"/>
      <c r="I68" s="339"/>
      <c r="J68" s="339"/>
      <c r="K68" s="338"/>
      <c r="L68" s="338"/>
      <c r="M68" s="339"/>
      <c r="N68" s="338"/>
      <c r="O68" s="338"/>
      <c r="P68" s="338"/>
      <c r="Q68" s="348">
        <f>Q59-59322.8</f>
        <v>-0.6</v>
      </c>
      <c r="R68" s="361"/>
      <c r="S68" s="447"/>
      <c r="T68" s="354"/>
      <c r="U68" s="354"/>
      <c r="V68" s="354"/>
      <c r="W68" s="338"/>
      <c r="X68" s="338"/>
      <c r="Y68" s="387"/>
      <c r="Z68" s="387"/>
      <c r="AA68" s="387"/>
      <c r="AB68" s="387"/>
      <c r="AC68" s="387"/>
      <c r="AD68" s="338"/>
    </row>
    <row r="69" spans="3:30" hidden="1" x14ac:dyDescent="0.25">
      <c r="R69" s="361"/>
      <c r="T69" s="361"/>
      <c r="U69" s="361"/>
      <c r="V69" s="361"/>
      <c r="Y69" s="388"/>
      <c r="Z69" s="388"/>
      <c r="AA69" s="388"/>
      <c r="AB69" s="388"/>
      <c r="AC69" s="388"/>
    </row>
    <row r="70" spans="3:30" x14ac:dyDescent="0.25">
      <c r="R70" s="361"/>
      <c r="T70" s="361"/>
      <c r="U70" s="361"/>
      <c r="V70" s="361"/>
      <c r="Y70" s="388"/>
      <c r="Z70" s="388"/>
      <c r="AA70" s="388"/>
      <c r="AB70" s="388"/>
      <c r="AC70" s="388"/>
    </row>
    <row r="71" spans="3:30" x14ac:dyDescent="0.25">
      <c r="R71" s="361"/>
      <c r="T71" s="361"/>
      <c r="U71" s="361"/>
      <c r="V71" s="361"/>
    </row>
    <row r="72" spans="3:30" x14ac:dyDescent="0.25">
      <c r="R72" s="361"/>
      <c r="T72" s="361"/>
      <c r="U72" s="361"/>
      <c r="V72" s="361"/>
    </row>
    <row r="73" spans="3:30" x14ac:dyDescent="0.25">
      <c r="R73" s="361"/>
      <c r="T73" s="361"/>
      <c r="U73" s="361"/>
      <c r="V73" s="361"/>
    </row>
    <row r="74" spans="3:30" x14ac:dyDescent="0.25">
      <c r="R74" s="361"/>
      <c r="T74" s="361"/>
      <c r="U74" s="361"/>
      <c r="V74" s="361"/>
    </row>
    <row r="75" spans="3:30" x14ac:dyDescent="0.25">
      <c r="R75" s="361"/>
      <c r="T75" s="361"/>
      <c r="U75" s="361"/>
      <c r="V75" s="361"/>
    </row>
    <row r="76" spans="3:30" x14ac:dyDescent="0.25">
      <c r="R76" s="361"/>
      <c r="T76" s="361"/>
      <c r="U76" s="361"/>
      <c r="V76" s="361"/>
    </row>
    <row r="77" spans="3:30" x14ac:dyDescent="0.25">
      <c r="R77" s="361"/>
      <c r="T77" s="361"/>
      <c r="U77" s="361"/>
      <c r="V77" s="361"/>
    </row>
    <row r="78" spans="3:30" x14ac:dyDescent="0.25">
      <c r="R78" s="361"/>
      <c r="T78" s="361"/>
      <c r="U78" s="361"/>
      <c r="V78" s="361"/>
    </row>
    <row r="79" spans="3:30" x14ac:dyDescent="0.25">
      <c r="R79" s="361"/>
      <c r="T79" s="361"/>
      <c r="U79" s="361"/>
      <c r="V79" s="361"/>
    </row>
    <row r="80" spans="3:30" ht="18.75" x14ac:dyDescent="0.25">
      <c r="R80" s="361"/>
      <c r="T80" s="361"/>
      <c r="U80" s="361"/>
      <c r="V80" s="354"/>
    </row>
    <row r="81" spans="18:22" x14ac:dyDescent="0.25">
      <c r="R81" s="361"/>
      <c r="T81" s="361"/>
      <c r="U81" s="361"/>
      <c r="V81" s="361"/>
    </row>
    <row r="82" spans="18:22" x14ac:dyDescent="0.25">
      <c r="R82" s="361"/>
      <c r="T82" s="361"/>
      <c r="U82" s="361"/>
      <c r="V82" s="361"/>
    </row>
    <row r="83" spans="18:22" x14ac:dyDescent="0.25">
      <c r="R83" s="361"/>
      <c r="T83" s="361"/>
      <c r="U83" s="361"/>
      <c r="V83" s="361"/>
    </row>
    <row r="84" spans="18:22" x14ac:dyDescent="0.25">
      <c r="R84" s="361"/>
      <c r="T84" s="361"/>
      <c r="U84" s="361"/>
      <c r="V84" s="361"/>
    </row>
    <row r="85" spans="18:22" x14ac:dyDescent="0.25">
      <c r="R85" s="361"/>
      <c r="T85" s="361"/>
      <c r="U85" s="361"/>
      <c r="V85" s="361"/>
    </row>
    <row r="86" spans="18:22" x14ac:dyDescent="0.25">
      <c r="R86" s="361"/>
      <c r="T86" s="361"/>
      <c r="U86" s="361"/>
      <c r="V86" s="361"/>
    </row>
    <row r="87" spans="18:22" x14ac:dyDescent="0.25">
      <c r="R87" s="361"/>
      <c r="T87" s="361"/>
      <c r="U87" s="361"/>
      <c r="V87" s="361"/>
    </row>
    <row r="88" spans="18:22" x14ac:dyDescent="0.25">
      <c r="R88" s="361"/>
      <c r="T88" s="361"/>
      <c r="U88" s="361"/>
      <c r="V88" s="361"/>
    </row>
    <row r="89" spans="18:22" x14ac:dyDescent="0.25">
      <c r="R89" s="361"/>
      <c r="T89" s="361"/>
      <c r="U89" s="361"/>
      <c r="V89" s="361"/>
    </row>
    <row r="90" spans="18:22" x14ac:dyDescent="0.25">
      <c r="R90" s="361"/>
      <c r="T90" s="361"/>
      <c r="U90" s="361"/>
      <c r="V90" s="361"/>
    </row>
  </sheetData>
  <mergeCells count="12">
    <mergeCell ref="M31:M32"/>
    <mergeCell ref="M33:M34"/>
    <mergeCell ref="C38:X38"/>
    <mergeCell ref="E40:X40"/>
    <mergeCell ref="A41:A43"/>
    <mergeCell ref="C41:C43"/>
    <mergeCell ref="M26:M27"/>
    <mergeCell ref="C2:X2"/>
    <mergeCell ref="A4:A8"/>
    <mergeCell ref="E4:V4"/>
    <mergeCell ref="G5:H5"/>
    <mergeCell ref="I5:V5"/>
  </mergeCells>
  <pageMargins left="0.70866141732283472" right="0" top="0.15748031496062992" bottom="0.15748031496062992" header="0.31496062992125984" footer="0.31496062992125984"/>
  <pageSetup paperSize="8" scale="19" orientation="landscape" r:id="rId1"/>
  <rowBreaks count="1" manualBreakCount="1">
    <brk id="36" max="16383" man="1"/>
  </rowBreaks>
  <colBreaks count="2" manualBreakCount="2">
    <brk id="22" max="26" man="1"/>
    <brk id="28" max="2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V55"/>
  <sheetViews>
    <sheetView zoomScale="55" zoomScaleNormal="55" workbookViewId="0">
      <selection activeCell="CU20" sqref="CU20"/>
    </sheetView>
  </sheetViews>
  <sheetFormatPr defaultRowHeight="15" x14ac:dyDescent="0.25"/>
  <cols>
    <col min="1" max="1" width="8.140625" customWidth="1"/>
    <col min="2" max="2" width="35" customWidth="1"/>
    <col min="3" max="8" width="14" customWidth="1"/>
    <col min="9" max="9" width="14" hidden="1" customWidth="1"/>
    <col min="10" max="11" width="17.7109375" style="44" hidden="1" customWidth="1"/>
    <col min="12" max="12" width="14.28515625" hidden="1" customWidth="1"/>
    <col min="13" max="13" width="15.28515625" hidden="1" customWidth="1"/>
    <col min="14" max="14" width="17.7109375" style="44" hidden="1" customWidth="1"/>
    <col min="15" max="15" width="17.7109375" hidden="1" customWidth="1"/>
    <col min="16" max="16" width="15" hidden="1" customWidth="1"/>
    <col min="17" max="17" width="16.140625" hidden="1" customWidth="1"/>
    <col min="18" max="18" width="17.7109375" style="44" hidden="1" customWidth="1"/>
    <col min="19" max="19" width="17.7109375" style="147" hidden="1" customWidth="1"/>
    <col min="20" max="21" width="17.7109375" hidden="1" customWidth="1"/>
    <col min="22" max="22" width="17.7109375" style="171" hidden="1" customWidth="1"/>
    <col min="23" max="23" width="17.7109375" style="184" hidden="1" customWidth="1"/>
    <col min="24" max="24" width="14.85546875" style="184" hidden="1" customWidth="1"/>
    <col min="25" max="25" width="19.28515625" hidden="1" customWidth="1"/>
    <col min="26" max="26" width="17.7109375" hidden="1" customWidth="1"/>
    <col min="27" max="27" width="12" hidden="1" customWidth="1"/>
    <col min="28" max="38" width="16.42578125" style="39" hidden="1" customWidth="1"/>
    <col min="39" max="39" width="13.85546875" hidden="1" customWidth="1"/>
    <col min="40" max="40" width="19.5703125" hidden="1" customWidth="1"/>
    <col min="41" max="41" width="19" hidden="1" customWidth="1"/>
    <col min="42" max="42" width="21.7109375" hidden="1" customWidth="1"/>
    <col min="43" max="43" width="20.5703125" hidden="1" customWidth="1"/>
    <col min="44" max="44" width="22.28515625" hidden="1" customWidth="1"/>
    <col min="45" max="45" width="16.28515625" hidden="1" customWidth="1"/>
    <col min="46" max="46" width="32.42578125" hidden="1" customWidth="1"/>
    <col min="47" max="47" width="21.85546875" hidden="1" customWidth="1"/>
    <col min="48" max="48" width="25.85546875" hidden="1" customWidth="1"/>
    <col min="49" max="49" width="28.140625" hidden="1" customWidth="1"/>
    <col min="50" max="50" width="20.5703125" hidden="1" customWidth="1"/>
    <col min="51" max="53" width="20.42578125" customWidth="1"/>
    <col min="54" max="54" width="25" hidden="1" customWidth="1"/>
    <col min="55" max="55" width="18.85546875" hidden="1" customWidth="1"/>
    <col min="56" max="56" width="22.7109375" customWidth="1"/>
    <col min="57" max="98" width="0" hidden="1" customWidth="1"/>
    <col min="99" max="101" width="20.42578125" customWidth="1"/>
    <col min="102" max="145" width="0" hidden="1" customWidth="1"/>
    <col min="146" max="146" width="19.7109375" hidden="1" customWidth="1"/>
    <col min="147" max="147" width="22.5703125" customWidth="1"/>
    <col min="148" max="150" width="20.42578125" customWidth="1"/>
    <col min="151" max="151" width="19.28515625" hidden="1" customWidth="1"/>
    <col min="152" max="152" width="22.42578125" customWidth="1"/>
  </cols>
  <sheetData>
    <row r="1" spans="1:152" x14ac:dyDescent="0.25">
      <c r="A1" s="765" t="s">
        <v>41</v>
      </c>
      <c r="B1" s="212" t="s">
        <v>237</v>
      </c>
      <c r="C1" s="784" t="s">
        <v>238</v>
      </c>
      <c r="D1" s="785"/>
      <c r="E1" s="785"/>
      <c r="F1" s="785"/>
      <c r="G1" s="785"/>
      <c r="H1" s="785"/>
      <c r="I1" s="785"/>
      <c r="J1" s="785"/>
      <c r="K1" s="785"/>
      <c r="L1" s="785"/>
      <c r="M1" s="785"/>
      <c r="N1" s="785"/>
      <c r="O1" s="785"/>
      <c r="P1" s="785"/>
      <c r="Q1" s="785"/>
      <c r="R1" s="785"/>
      <c r="S1" s="785"/>
      <c r="T1" s="785"/>
      <c r="U1" s="785"/>
      <c r="V1" s="785"/>
      <c r="W1" s="785"/>
      <c r="X1" s="785"/>
      <c r="Y1" s="785"/>
      <c r="Z1" s="785"/>
      <c r="AA1" s="785"/>
      <c r="AB1" s="785"/>
      <c r="AC1" s="785"/>
      <c r="AD1" s="785"/>
      <c r="AE1" s="785"/>
      <c r="AF1" s="785"/>
      <c r="AG1" s="785"/>
      <c r="AH1" s="785"/>
      <c r="AI1" s="785"/>
      <c r="AJ1" s="785"/>
      <c r="AK1" s="785"/>
      <c r="AL1" s="785"/>
      <c r="AM1" s="785"/>
      <c r="AN1" s="785"/>
      <c r="AO1" s="785"/>
      <c r="AP1" s="785"/>
      <c r="AQ1" s="785"/>
      <c r="AR1" s="785"/>
      <c r="AS1" s="785"/>
      <c r="AT1" s="785"/>
      <c r="AU1" s="785"/>
      <c r="AV1" s="785"/>
      <c r="AW1" s="785"/>
      <c r="AX1" s="785"/>
      <c r="AY1" s="785"/>
      <c r="AZ1" s="785"/>
      <c r="BA1" s="785"/>
      <c r="BB1" s="785"/>
      <c r="BC1" s="785"/>
      <c r="BD1" s="785"/>
      <c r="BE1" s="779">
        <v>2019</v>
      </c>
      <c r="BF1" s="779"/>
      <c r="BG1" s="779"/>
      <c r="BH1" s="779"/>
      <c r="BI1" s="779"/>
      <c r="BJ1" s="779"/>
      <c r="BK1" s="779"/>
      <c r="BL1" s="779"/>
      <c r="BM1" s="779"/>
      <c r="BN1" s="779"/>
      <c r="BO1" s="779"/>
      <c r="BP1" s="779"/>
      <c r="BQ1" s="779"/>
      <c r="BR1" s="779"/>
      <c r="BS1" s="779"/>
      <c r="BT1" s="779"/>
      <c r="BU1" s="779"/>
      <c r="BV1" s="779"/>
      <c r="BW1" s="779"/>
      <c r="BX1" s="779"/>
      <c r="BY1" s="779"/>
      <c r="BZ1" s="779"/>
      <c r="CA1" s="779"/>
      <c r="CB1" s="779"/>
      <c r="CC1" s="779"/>
      <c r="CD1" s="779"/>
      <c r="CE1" s="779"/>
      <c r="CF1" s="779"/>
      <c r="CG1" s="779"/>
      <c r="CH1" s="779"/>
      <c r="CI1" s="779"/>
      <c r="CJ1" s="779"/>
      <c r="CK1" s="779"/>
      <c r="CL1" s="779"/>
      <c r="CM1" s="779"/>
      <c r="CN1" s="779"/>
      <c r="CO1" s="779"/>
      <c r="CP1" s="779"/>
      <c r="CQ1" s="779"/>
      <c r="CR1" s="779"/>
      <c r="CS1" s="779"/>
      <c r="CT1" s="779"/>
      <c r="CU1" s="779"/>
      <c r="CV1" s="779"/>
      <c r="CW1" s="779"/>
      <c r="CX1" s="779"/>
      <c r="CY1" s="779"/>
      <c r="CZ1" s="779"/>
      <c r="DA1" s="779"/>
      <c r="DB1" s="779"/>
      <c r="DC1" s="779"/>
      <c r="DD1" s="779"/>
      <c r="DE1" s="779"/>
      <c r="DF1" s="779"/>
      <c r="DG1" s="779"/>
      <c r="DH1" s="779"/>
      <c r="DI1" s="779"/>
      <c r="DJ1" s="779"/>
      <c r="DK1" s="779"/>
      <c r="DL1" s="779"/>
      <c r="DM1" s="779"/>
      <c r="DN1" s="779"/>
      <c r="DO1" s="779"/>
      <c r="DP1" s="779"/>
      <c r="DQ1" s="779"/>
      <c r="DR1" s="779"/>
      <c r="DS1" s="779"/>
      <c r="DT1" s="779"/>
      <c r="DU1" s="779"/>
      <c r="DV1" s="779"/>
      <c r="DW1" s="779"/>
      <c r="DX1" s="779"/>
      <c r="DY1" s="779"/>
      <c r="DZ1" s="779"/>
      <c r="EA1" s="779"/>
      <c r="EB1" s="779"/>
      <c r="EC1" s="779"/>
      <c r="ED1" s="779"/>
      <c r="EE1" s="779"/>
      <c r="EF1" s="779"/>
      <c r="EG1" s="779"/>
      <c r="EH1" s="779"/>
      <c r="EI1" s="779"/>
      <c r="EJ1" s="779"/>
      <c r="EK1" s="779"/>
      <c r="EL1" s="779"/>
      <c r="EM1" s="779"/>
      <c r="EN1" s="779"/>
      <c r="EO1" s="779"/>
      <c r="EP1" s="779"/>
      <c r="EQ1" s="779"/>
      <c r="ER1" s="778">
        <v>2020</v>
      </c>
      <c r="ES1" s="778"/>
      <c r="ET1" s="778"/>
      <c r="EU1" s="778"/>
      <c r="EV1" s="778"/>
    </row>
    <row r="2" spans="1:152" s="154" customFormat="1" ht="35.25" customHeight="1" x14ac:dyDescent="0.25">
      <c r="A2" s="766"/>
      <c r="B2" s="208" t="s">
        <v>42</v>
      </c>
      <c r="C2" s="150" t="s">
        <v>58</v>
      </c>
      <c r="D2" s="782" t="s">
        <v>31</v>
      </c>
      <c r="E2" s="783"/>
      <c r="F2" s="782" t="s">
        <v>38</v>
      </c>
      <c r="G2" s="783"/>
      <c r="H2" s="782" t="s">
        <v>39</v>
      </c>
      <c r="I2" s="783"/>
      <c r="J2" s="149" t="s">
        <v>129</v>
      </c>
      <c r="K2" s="149" t="s">
        <v>130</v>
      </c>
      <c r="L2" s="150" t="s">
        <v>133</v>
      </c>
      <c r="M2" s="150" t="s">
        <v>132</v>
      </c>
      <c r="N2" s="149" t="s">
        <v>131</v>
      </c>
      <c r="O2" s="150" t="s">
        <v>134</v>
      </c>
      <c r="P2" s="150" t="s">
        <v>135</v>
      </c>
      <c r="Q2" s="161" t="s">
        <v>228</v>
      </c>
      <c r="R2" s="149" t="s">
        <v>136</v>
      </c>
      <c r="S2" s="160" t="s">
        <v>229</v>
      </c>
      <c r="T2" s="151" t="s">
        <v>225</v>
      </c>
      <c r="U2" s="151" t="s">
        <v>226</v>
      </c>
      <c r="V2" s="153" t="s">
        <v>230</v>
      </c>
      <c r="W2" s="202" t="s">
        <v>231</v>
      </c>
      <c r="X2" s="200" t="s">
        <v>171</v>
      </c>
      <c r="Y2" s="152" t="s">
        <v>140</v>
      </c>
      <c r="Z2" s="189" t="s">
        <v>60</v>
      </c>
      <c r="AA2" s="189" t="s">
        <v>58</v>
      </c>
      <c r="AB2" s="190" t="s">
        <v>59</v>
      </c>
      <c r="AC2" s="189" t="s">
        <v>130</v>
      </c>
      <c r="AD2" s="189" t="s">
        <v>133</v>
      </c>
      <c r="AE2" s="189" t="s">
        <v>132</v>
      </c>
      <c r="AF2" s="189" t="s">
        <v>131</v>
      </c>
      <c r="AG2" s="189" t="s">
        <v>134</v>
      </c>
      <c r="AH2" s="189" t="s">
        <v>135</v>
      </c>
      <c r="AI2" s="189" t="s">
        <v>136</v>
      </c>
      <c r="AJ2" s="152" t="s">
        <v>137</v>
      </c>
      <c r="AK2" s="152" t="s">
        <v>140</v>
      </c>
      <c r="AL2" s="190" t="s">
        <v>60</v>
      </c>
      <c r="AM2" s="191" t="s">
        <v>58</v>
      </c>
      <c r="AN2" s="191" t="s">
        <v>59</v>
      </c>
      <c r="AO2" s="192" t="s">
        <v>60</v>
      </c>
      <c r="AP2" s="193" t="s">
        <v>171</v>
      </c>
      <c r="AY2" s="219" t="s">
        <v>31</v>
      </c>
      <c r="AZ2" s="219" t="s">
        <v>38</v>
      </c>
      <c r="BA2" s="219" t="s">
        <v>39</v>
      </c>
      <c r="BD2" s="154" t="s">
        <v>138</v>
      </c>
      <c r="BE2" s="223"/>
      <c r="BF2" s="224" t="s">
        <v>129</v>
      </c>
      <c r="BG2" s="224" t="s">
        <v>130</v>
      </c>
      <c r="BH2" s="225" t="s">
        <v>133</v>
      </c>
      <c r="BI2" s="225" t="s">
        <v>132</v>
      </c>
      <c r="BJ2" s="224" t="s">
        <v>131</v>
      </c>
      <c r="BK2" s="225" t="s">
        <v>134</v>
      </c>
      <c r="BL2" s="225" t="s">
        <v>135</v>
      </c>
      <c r="BM2" s="224" t="s">
        <v>228</v>
      </c>
      <c r="BN2" s="224" t="s">
        <v>136</v>
      </c>
      <c r="BO2" s="226" t="s">
        <v>229</v>
      </c>
      <c r="BP2" s="227" t="s">
        <v>225</v>
      </c>
      <c r="BQ2" s="227" t="s">
        <v>226</v>
      </c>
      <c r="BR2" s="224" t="s">
        <v>230</v>
      </c>
      <c r="BS2" s="226" t="s">
        <v>231</v>
      </c>
      <c r="BT2" s="228" t="s">
        <v>171</v>
      </c>
      <c r="BU2" s="227" t="s">
        <v>140</v>
      </c>
      <c r="BV2" s="229" t="s">
        <v>60</v>
      </c>
      <c r="BW2" s="229" t="s">
        <v>58</v>
      </c>
      <c r="BX2" s="230" t="s">
        <v>59</v>
      </c>
      <c r="BY2" s="229" t="s">
        <v>130</v>
      </c>
      <c r="BZ2" s="229" t="s">
        <v>133</v>
      </c>
      <c r="CA2" s="229" t="s">
        <v>132</v>
      </c>
      <c r="CB2" s="229" t="s">
        <v>131</v>
      </c>
      <c r="CC2" s="229" t="s">
        <v>134</v>
      </c>
      <c r="CD2" s="229" t="s">
        <v>135</v>
      </c>
      <c r="CE2" s="229" t="s">
        <v>136</v>
      </c>
      <c r="CF2" s="227" t="s">
        <v>137</v>
      </c>
      <c r="CG2" s="227" t="s">
        <v>140</v>
      </c>
      <c r="CH2" s="230" t="s">
        <v>60</v>
      </c>
      <c r="CI2" s="231" t="s">
        <v>58</v>
      </c>
      <c r="CJ2" s="231" t="s">
        <v>59</v>
      </c>
      <c r="CK2" s="232" t="s">
        <v>60</v>
      </c>
      <c r="CL2" s="231" t="s">
        <v>171</v>
      </c>
      <c r="CM2" s="233"/>
      <c r="CN2" s="233"/>
      <c r="CO2" s="233"/>
      <c r="CP2" s="233"/>
      <c r="CQ2" s="233"/>
      <c r="CR2" s="233"/>
      <c r="CS2" s="233"/>
      <c r="CT2" s="233"/>
      <c r="CU2" s="234" t="s">
        <v>31</v>
      </c>
      <c r="CV2" s="234" t="s">
        <v>38</v>
      </c>
      <c r="CW2" s="234" t="s">
        <v>39</v>
      </c>
      <c r="CX2" s="233"/>
      <c r="CY2" s="233"/>
      <c r="CZ2" s="223"/>
      <c r="DA2" s="224" t="s">
        <v>129</v>
      </c>
      <c r="DB2" s="224" t="s">
        <v>130</v>
      </c>
      <c r="DC2" s="225" t="s">
        <v>133</v>
      </c>
      <c r="DD2" s="225" t="s">
        <v>132</v>
      </c>
      <c r="DE2" s="224" t="s">
        <v>131</v>
      </c>
      <c r="DF2" s="225" t="s">
        <v>134</v>
      </c>
      <c r="DG2" s="225" t="s">
        <v>135</v>
      </c>
      <c r="DH2" s="224" t="s">
        <v>228</v>
      </c>
      <c r="DI2" s="224" t="s">
        <v>136</v>
      </c>
      <c r="DJ2" s="226" t="s">
        <v>229</v>
      </c>
      <c r="DK2" s="227" t="s">
        <v>225</v>
      </c>
      <c r="DL2" s="227" t="s">
        <v>226</v>
      </c>
      <c r="DM2" s="224" t="s">
        <v>230</v>
      </c>
      <c r="DN2" s="226" t="s">
        <v>231</v>
      </c>
      <c r="DO2" s="228" t="s">
        <v>171</v>
      </c>
      <c r="DP2" s="227" t="s">
        <v>140</v>
      </c>
      <c r="DQ2" s="229" t="s">
        <v>60</v>
      </c>
      <c r="DR2" s="229" t="s">
        <v>58</v>
      </c>
      <c r="DS2" s="230" t="s">
        <v>59</v>
      </c>
      <c r="DT2" s="229" t="s">
        <v>130</v>
      </c>
      <c r="DU2" s="229" t="s">
        <v>133</v>
      </c>
      <c r="DV2" s="229" t="s">
        <v>132</v>
      </c>
      <c r="DW2" s="229" t="s">
        <v>131</v>
      </c>
      <c r="DX2" s="229" t="s">
        <v>134</v>
      </c>
      <c r="DY2" s="229" t="s">
        <v>135</v>
      </c>
      <c r="DZ2" s="229" t="s">
        <v>136</v>
      </c>
      <c r="EA2" s="227" t="s">
        <v>137</v>
      </c>
      <c r="EB2" s="227" t="s">
        <v>140</v>
      </c>
      <c r="EC2" s="230" t="s">
        <v>60</v>
      </c>
      <c r="ED2" s="231" t="s">
        <v>58</v>
      </c>
      <c r="EE2" s="231" t="s">
        <v>59</v>
      </c>
      <c r="EF2" s="232" t="s">
        <v>60</v>
      </c>
      <c r="EG2" s="231" t="s">
        <v>171</v>
      </c>
      <c r="EH2" s="233"/>
      <c r="EI2" s="233"/>
      <c r="EJ2" s="233"/>
      <c r="EK2" s="233"/>
      <c r="EL2" s="233"/>
      <c r="EM2" s="233"/>
      <c r="EN2" s="233"/>
      <c r="EO2" s="233"/>
      <c r="EP2" s="233"/>
      <c r="EQ2" s="233" t="s">
        <v>138</v>
      </c>
      <c r="ER2" s="258" t="s">
        <v>31</v>
      </c>
      <c r="ES2" s="258" t="s">
        <v>38</v>
      </c>
      <c r="ET2" s="258" t="s">
        <v>39</v>
      </c>
      <c r="EU2" s="259"/>
      <c r="EV2" s="259" t="s">
        <v>138</v>
      </c>
    </row>
    <row r="3" spans="1:152" x14ac:dyDescent="0.25">
      <c r="A3" s="766"/>
      <c r="B3" s="209"/>
      <c r="C3" s="214" t="s">
        <v>232</v>
      </c>
      <c r="D3" s="214" t="s">
        <v>37</v>
      </c>
      <c r="E3" s="214" t="s">
        <v>36</v>
      </c>
      <c r="F3" s="214" t="s">
        <v>37</v>
      </c>
      <c r="G3" s="214" t="s">
        <v>36</v>
      </c>
      <c r="H3" s="214" t="s">
        <v>37</v>
      </c>
      <c r="I3" s="214" t="s">
        <v>36</v>
      </c>
      <c r="J3" s="10" t="s">
        <v>141</v>
      </c>
      <c r="K3" s="10" t="s">
        <v>141</v>
      </c>
      <c r="L3" s="214" t="s">
        <v>141</v>
      </c>
      <c r="M3" s="214" t="s">
        <v>141</v>
      </c>
      <c r="N3" s="10" t="s">
        <v>141</v>
      </c>
      <c r="O3" s="214" t="s">
        <v>141</v>
      </c>
      <c r="P3" s="214" t="s">
        <v>141</v>
      </c>
      <c r="Q3" s="162" t="s">
        <v>141</v>
      </c>
      <c r="R3" s="10" t="s">
        <v>141</v>
      </c>
      <c r="S3" s="143" t="s">
        <v>141</v>
      </c>
      <c r="T3" s="138"/>
      <c r="U3" s="138"/>
      <c r="V3" s="10" t="s">
        <v>141</v>
      </c>
      <c r="W3" s="203" t="s">
        <v>141</v>
      </c>
      <c r="X3" s="10" t="s">
        <v>141</v>
      </c>
      <c r="Y3" s="194" t="s">
        <v>141</v>
      </c>
      <c r="Z3" s="194" t="s">
        <v>141</v>
      </c>
      <c r="AA3" s="194" t="s">
        <v>141</v>
      </c>
      <c r="AB3" s="194" t="s">
        <v>141</v>
      </c>
      <c r="AC3" s="194" t="s">
        <v>141</v>
      </c>
      <c r="AD3" s="194" t="s">
        <v>141</v>
      </c>
      <c r="AE3" s="194" t="s">
        <v>141</v>
      </c>
      <c r="AF3" s="194" t="s">
        <v>141</v>
      </c>
      <c r="AG3" s="194" t="s">
        <v>141</v>
      </c>
      <c r="AH3" s="194" t="s">
        <v>141</v>
      </c>
      <c r="AI3" s="194" t="s">
        <v>141</v>
      </c>
      <c r="AJ3" s="194" t="s">
        <v>141</v>
      </c>
      <c r="AK3" s="194" t="s">
        <v>141</v>
      </c>
      <c r="AL3" s="194" t="s">
        <v>141</v>
      </c>
      <c r="AM3" s="194" t="s">
        <v>141</v>
      </c>
      <c r="AN3" s="194" t="s">
        <v>141</v>
      </c>
      <c r="AO3" s="194" t="s">
        <v>141</v>
      </c>
      <c r="AP3" s="194" t="s">
        <v>141</v>
      </c>
      <c r="AY3" s="11"/>
      <c r="AZ3" s="11"/>
      <c r="BA3" s="11"/>
      <c r="BE3" s="235" t="s">
        <v>36</v>
      </c>
      <c r="BF3" s="236" t="s">
        <v>141</v>
      </c>
      <c r="BG3" s="236" t="s">
        <v>141</v>
      </c>
      <c r="BH3" s="235" t="s">
        <v>141</v>
      </c>
      <c r="BI3" s="235" t="s">
        <v>141</v>
      </c>
      <c r="BJ3" s="236" t="s">
        <v>141</v>
      </c>
      <c r="BK3" s="235" t="s">
        <v>141</v>
      </c>
      <c r="BL3" s="235" t="s">
        <v>141</v>
      </c>
      <c r="BM3" s="236" t="s">
        <v>141</v>
      </c>
      <c r="BN3" s="236" t="s">
        <v>141</v>
      </c>
      <c r="BO3" s="237" t="s">
        <v>141</v>
      </c>
      <c r="BP3" s="235"/>
      <c r="BQ3" s="235"/>
      <c r="BR3" s="236" t="s">
        <v>141</v>
      </c>
      <c r="BS3" s="236" t="s">
        <v>141</v>
      </c>
      <c r="BT3" s="236" t="s">
        <v>141</v>
      </c>
      <c r="BU3" s="238" t="s">
        <v>141</v>
      </c>
      <c r="BV3" s="238" t="s">
        <v>141</v>
      </c>
      <c r="BW3" s="238" t="s">
        <v>141</v>
      </c>
      <c r="BX3" s="238" t="s">
        <v>141</v>
      </c>
      <c r="BY3" s="238" t="s">
        <v>141</v>
      </c>
      <c r="BZ3" s="238" t="s">
        <v>141</v>
      </c>
      <c r="CA3" s="238" t="s">
        <v>141</v>
      </c>
      <c r="CB3" s="238" t="s">
        <v>141</v>
      </c>
      <c r="CC3" s="238" t="s">
        <v>141</v>
      </c>
      <c r="CD3" s="238" t="s">
        <v>141</v>
      </c>
      <c r="CE3" s="238" t="s">
        <v>141</v>
      </c>
      <c r="CF3" s="238" t="s">
        <v>141</v>
      </c>
      <c r="CG3" s="238" t="s">
        <v>141</v>
      </c>
      <c r="CH3" s="238" t="s">
        <v>141</v>
      </c>
      <c r="CI3" s="238" t="s">
        <v>141</v>
      </c>
      <c r="CJ3" s="238" t="s">
        <v>141</v>
      </c>
      <c r="CK3" s="238" t="s">
        <v>141</v>
      </c>
      <c r="CL3" s="238" t="s">
        <v>141</v>
      </c>
      <c r="CM3" s="239"/>
      <c r="CN3" s="239"/>
      <c r="CO3" s="239"/>
      <c r="CP3" s="239"/>
      <c r="CQ3" s="239"/>
      <c r="CR3" s="239"/>
      <c r="CS3" s="239"/>
      <c r="CT3" s="239"/>
      <c r="CU3" s="240"/>
      <c r="CV3" s="240" t="e">
        <f>#REF!</f>
        <v>#REF!</v>
      </c>
      <c r="CW3" s="240"/>
      <c r="CX3" s="239"/>
      <c r="CY3" s="239"/>
      <c r="CZ3" s="235" t="s">
        <v>36</v>
      </c>
      <c r="DA3" s="236" t="s">
        <v>141</v>
      </c>
      <c r="DB3" s="236" t="s">
        <v>141</v>
      </c>
      <c r="DC3" s="235" t="s">
        <v>141</v>
      </c>
      <c r="DD3" s="235" t="s">
        <v>141</v>
      </c>
      <c r="DE3" s="236" t="s">
        <v>141</v>
      </c>
      <c r="DF3" s="235" t="s">
        <v>141</v>
      </c>
      <c r="DG3" s="235" t="s">
        <v>141</v>
      </c>
      <c r="DH3" s="236" t="s">
        <v>141</v>
      </c>
      <c r="DI3" s="236" t="s">
        <v>141</v>
      </c>
      <c r="DJ3" s="237" t="s">
        <v>141</v>
      </c>
      <c r="DK3" s="235"/>
      <c r="DL3" s="235"/>
      <c r="DM3" s="236" t="s">
        <v>141</v>
      </c>
      <c r="DN3" s="236" t="s">
        <v>141</v>
      </c>
      <c r="DO3" s="236" t="s">
        <v>141</v>
      </c>
      <c r="DP3" s="238" t="s">
        <v>141</v>
      </c>
      <c r="DQ3" s="238" t="s">
        <v>141</v>
      </c>
      <c r="DR3" s="238" t="s">
        <v>141</v>
      </c>
      <c r="DS3" s="238" t="s">
        <v>141</v>
      </c>
      <c r="DT3" s="238" t="s">
        <v>141</v>
      </c>
      <c r="DU3" s="238" t="s">
        <v>141</v>
      </c>
      <c r="DV3" s="238" t="s">
        <v>141</v>
      </c>
      <c r="DW3" s="238" t="s">
        <v>141</v>
      </c>
      <c r="DX3" s="238" t="s">
        <v>141</v>
      </c>
      <c r="DY3" s="238" t="s">
        <v>141</v>
      </c>
      <c r="DZ3" s="238" t="s">
        <v>141</v>
      </c>
      <c r="EA3" s="238" t="s">
        <v>141</v>
      </c>
      <c r="EB3" s="238" t="s">
        <v>141</v>
      </c>
      <c r="EC3" s="238" t="s">
        <v>141</v>
      </c>
      <c r="ED3" s="238" t="s">
        <v>141</v>
      </c>
      <c r="EE3" s="238" t="s">
        <v>141</v>
      </c>
      <c r="EF3" s="238" t="s">
        <v>141</v>
      </c>
      <c r="EG3" s="238" t="s">
        <v>141</v>
      </c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60"/>
      <c r="ES3" s="260" t="e">
        <f>#REF!</f>
        <v>#REF!</v>
      </c>
      <c r="ET3" s="260"/>
      <c r="EU3" s="261"/>
      <c r="EV3" s="261"/>
    </row>
    <row r="4" spans="1:152" x14ac:dyDescent="0.25">
      <c r="A4" s="768"/>
      <c r="B4" s="210"/>
      <c r="C4" s="214">
        <v>1</v>
      </c>
      <c r="D4" s="214"/>
      <c r="E4" s="214"/>
      <c r="F4" s="214"/>
      <c r="G4" s="214"/>
      <c r="H4" s="214"/>
      <c r="I4" s="214"/>
      <c r="J4" s="10">
        <v>2</v>
      </c>
      <c r="K4" s="10">
        <v>3</v>
      </c>
      <c r="L4" s="214"/>
      <c r="M4" s="214"/>
      <c r="N4" s="10">
        <v>4</v>
      </c>
      <c r="O4" s="214"/>
      <c r="P4" s="214"/>
      <c r="Q4" s="162" t="s">
        <v>233</v>
      </c>
      <c r="R4" s="10">
        <v>6</v>
      </c>
      <c r="S4" s="143" t="s">
        <v>234</v>
      </c>
      <c r="T4" s="138"/>
      <c r="U4" s="138"/>
      <c r="V4" s="166">
        <v>8</v>
      </c>
      <c r="W4" s="204" t="s">
        <v>235</v>
      </c>
      <c r="X4" s="186" t="s">
        <v>236</v>
      </c>
      <c r="Y4" s="194"/>
      <c r="Z4" s="194"/>
      <c r="AA4" s="194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>
        <v>6</v>
      </c>
      <c r="AM4" s="196" t="s">
        <v>63</v>
      </c>
      <c r="AN4" s="196" t="s">
        <v>64</v>
      </c>
      <c r="AO4" s="197" t="s">
        <v>65</v>
      </c>
      <c r="AP4" s="79"/>
      <c r="AY4" s="11"/>
      <c r="AZ4" s="11"/>
      <c r="BA4" s="11"/>
      <c r="BE4" s="235"/>
      <c r="BF4" s="236">
        <v>2</v>
      </c>
      <c r="BG4" s="236">
        <v>3</v>
      </c>
      <c r="BH4" s="235"/>
      <c r="BI4" s="235"/>
      <c r="BJ4" s="236">
        <v>4</v>
      </c>
      <c r="BK4" s="235"/>
      <c r="BL4" s="235"/>
      <c r="BM4" s="236" t="s">
        <v>233</v>
      </c>
      <c r="BN4" s="236">
        <v>6</v>
      </c>
      <c r="BO4" s="237" t="s">
        <v>234</v>
      </c>
      <c r="BP4" s="235"/>
      <c r="BQ4" s="235"/>
      <c r="BR4" s="237">
        <v>8</v>
      </c>
      <c r="BS4" s="241" t="s">
        <v>235</v>
      </c>
      <c r="BT4" s="241" t="s">
        <v>236</v>
      </c>
      <c r="BU4" s="238"/>
      <c r="BV4" s="238"/>
      <c r="BW4" s="238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>
        <v>6</v>
      </c>
      <c r="CI4" s="243" t="s">
        <v>63</v>
      </c>
      <c r="CJ4" s="243" t="s">
        <v>64</v>
      </c>
      <c r="CK4" s="244" t="s">
        <v>65</v>
      </c>
      <c r="CL4" s="245"/>
      <c r="CM4" s="239"/>
      <c r="CN4" s="239"/>
      <c r="CO4" s="239"/>
      <c r="CP4" s="239"/>
      <c r="CQ4" s="239"/>
      <c r="CR4" s="239"/>
      <c r="CS4" s="239"/>
      <c r="CT4" s="239"/>
      <c r="CU4" s="240"/>
      <c r="CV4" s="240"/>
      <c r="CW4" s="240"/>
      <c r="CX4" s="239"/>
      <c r="CY4" s="239"/>
      <c r="CZ4" s="235"/>
      <c r="DA4" s="236">
        <v>2</v>
      </c>
      <c r="DB4" s="236">
        <v>3</v>
      </c>
      <c r="DC4" s="235"/>
      <c r="DD4" s="235"/>
      <c r="DE4" s="236">
        <v>4</v>
      </c>
      <c r="DF4" s="235"/>
      <c r="DG4" s="235"/>
      <c r="DH4" s="236" t="s">
        <v>233</v>
      </c>
      <c r="DI4" s="236">
        <v>6</v>
      </c>
      <c r="DJ4" s="237" t="s">
        <v>234</v>
      </c>
      <c r="DK4" s="235"/>
      <c r="DL4" s="235"/>
      <c r="DM4" s="237">
        <v>8</v>
      </c>
      <c r="DN4" s="241" t="s">
        <v>235</v>
      </c>
      <c r="DO4" s="241" t="s">
        <v>236</v>
      </c>
      <c r="DP4" s="238"/>
      <c r="DQ4" s="238"/>
      <c r="DR4" s="238"/>
      <c r="DS4" s="242"/>
      <c r="DT4" s="242"/>
      <c r="DU4" s="242"/>
      <c r="DV4" s="242"/>
      <c r="DW4" s="242"/>
      <c r="DX4" s="242"/>
      <c r="DY4" s="242"/>
      <c r="DZ4" s="242"/>
      <c r="EA4" s="242"/>
      <c r="EB4" s="242"/>
      <c r="EC4" s="242">
        <v>6</v>
      </c>
      <c r="ED4" s="243" t="s">
        <v>63</v>
      </c>
      <c r="EE4" s="243" t="s">
        <v>64</v>
      </c>
      <c r="EF4" s="244" t="s">
        <v>65</v>
      </c>
      <c r="EG4" s="245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60"/>
      <c r="ES4" s="260"/>
      <c r="ET4" s="260"/>
      <c r="EU4" s="261"/>
      <c r="EV4" s="261"/>
    </row>
    <row r="5" spans="1:152" ht="45" x14ac:dyDescent="0.25">
      <c r="A5" s="6">
        <v>1</v>
      </c>
      <c r="B5" s="7" t="s">
        <v>43</v>
      </c>
      <c r="C5" s="38">
        <f>SUMIF('2020'!$B:$B,'Для расчета ЗП'!$A5,('2020'!$P:$P))-SUMIFS('2020'!$P:$P,'2020'!$B:$B,'Для расчета ЗП'!$A5,'2020'!$G:$G,4)</f>
        <v>658</v>
      </c>
      <c r="D5" s="38">
        <f>SUMIFS('2020'!$P:$P,'2020'!$B:$B,'Для расчета ЗП'!$A5,'2020'!$G:$G,1,'2020'!$I:$I,0)</f>
        <v>426</v>
      </c>
      <c r="E5" s="38">
        <f>SUMIFS('2020'!$P:$P,'2020'!$B:$B,'Для расчета ЗП'!$A5,'2020'!$G:$G,1,'2020'!$I:$I,3)</f>
        <v>164</v>
      </c>
      <c r="F5" s="38">
        <f>SUMIFS('2020'!$P:$P,'2020'!$B:$B,'Для расчета ЗП'!$A5,'2020'!$G:$G,2,'2020'!$I:$I,0)</f>
        <v>58</v>
      </c>
      <c r="G5" s="38">
        <f>SUMIFS('2020'!$P:$P,'2020'!$B:$B,'Для расчета ЗП'!$A5,'2020'!$G:$G,2,'2020'!$I:$I,3)</f>
        <v>0</v>
      </c>
      <c r="H5" s="38">
        <f>SUMIFS('2020'!$P:$P,'2020'!$B:$B,'Для расчета ЗП'!$A5,'2020'!$G:$G,3,'2020'!$I:$I,0)</f>
        <v>10</v>
      </c>
      <c r="I5" s="38">
        <f>SUMIFS('2020'!$P:$P,'2020'!$B:$B,'Для расчета ЗП'!$A5,'2020'!$G:$G,3,'2020'!$I:$I,3)</f>
        <v>0</v>
      </c>
      <c r="J5" s="66">
        <f>ROUND((SUMIF('2020'!$B:$B,'Для расчета ЗП'!$A5,('2020'!$BL:$BL))-SUMIFS('2020'!$BL:$BL,'2020'!$B:$B,'Для расчета ЗП'!$A5,'2020'!$G:$G,4))/1000,1)</f>
        <v>65388.4</v>
      </c>
      <c r="K5" s="66">
        <f>M5-L5</f>
        <v>6286.5</v>
      </c>
      <c r="L5" s="37">
        <f>ROUND((SUMIF('2020'!$B:$B,'Для расчета ЗП'!$A5,('2020'!$AQ:$AQ))-SUMIFS('2020'!$AQ:$AQ,'2020'!$B:$B,'Для расчета ЗП'!$A5,'2020'!$G:$G,4)+SUMIF('2020'!$B:$B,'Для расчета ЗП'!$A5,('2020'!$BH:$BH))-SUMIFS('2020'!$BH:$BH,'2020'!$B:$B,'Для расчета ЗП'!$A5,'2020'!$G:$G,4))/1000,1)</f>
        <v>41357.9</v>
      </c>
      <c r="M5" s="37">
        <f>ROUND((SUMIF('2020'!$B:$B,'Для расчета ЗП'!$A5,('2020'!$BM:$BM))-SUMIFS('2020'!$BM:$BM,'2020'!$B:$B,'Для расчета ЗП'!$A5,'2020'!$G:$G,4)+SUMIF('2020'!$B:$B,'Для расчета ЗП'!$A5,('2020'!$CD:$CD))-SUMIFS('2020'!$CD:$CD,'2020'!$B:$B,'Для расчета ЗП'!$A5,'2020'!$G:$G,4))/1000,1)</f>
        <v>47644.4</v>
      </c>
      <c r="N5" s="66">
        <f>P5-O5</f>
        <v>2341.4</v>
      </c>
      <c r="O5" s="37">
        <f>ROUND((SUMIF('2020'!$B:$B,'Для расчета ЗП'!$A5,('2020'!$BB:$BB))-SUMIFS('2020'!$BB:$BB,'2020'!$B:$B,'Для расчета ЗП'!$A5,'2020'!$G:$G,4))/1000,1)</f>
        <v>1355.7</v>
      </c>
      <c r="P5" s="37">
        <f>ROUND((SUMIF('2020'!$B:$B,'Для расчета ЗП'!$A5,('2020'!$BX:$BX))-SUMIFS('2020'!$BX:$BX,'2020'!$B:$B,'Для расчета ЗП'!$A5,'2020'!$G:$G,4))/1000,1)</f>
        <v>3697.1</v>
      </c>
      <c r="Q5" s="163">
        <f>J5+K5+N5</f>
        <v>74016.3</v>
      </c>
      <c r="R5" s="66">
        <v>1526.9</v>
      </c>
      <c r="S5" s="144">
        <f t="shared" ref="S5:S20" si="0">J5+K5+N5+R5</f>
        <v>75543.199999999997</v>
      </c>
      <c r="T5" s="139">
        <v>83542.2</v>
      </c>
      <c r="U5" s="139">
        <f>T5-S5</f>
        <v>7999</v>
      </c>
      <c r="V5" s="167">
        <f>Q5*Q23</f>
        <v>48669.86</v>
      </c>
      <c r="W5" s="205">
        <f>R5+V5</f>
        <v>50196.76</v>
      </c>
      <c r="X5" s="187">
        <f>W5-S5</f>
        <v>-25346.44</v>
      </c>
      <c r="Y5" s="46">
        <f t="shared" ref="Y5:Y20" si="1">ROUND((J5+K5+N5)*Y$23,1)+R5</f>
        <v>50196.800000000003</v>
      </c>
      <c r="Z5" s="46">
        <f>SUMIF('2020'!$B:$B,'Для расчета ЗП'!$A5,('2020'!$CH:$CH))-SUMIFS('2020'!$CH:$CH,'2020'!$B:$B,'Для расчета ЗП'!$A5,'2020'!$G:$G,4)</f>
        <v>74016127.519999996</v>
      </c>
      <c r="AA5" s="79">
        <f>SUMIFS('2020'!$P:$P,'2020'!$B:$B,'Для расчета ЗП'!$A5,'2020'!$G:$G,4)</f>
        <v>0</v>
      </c>
      <c r="AB5" s="46">
        <f>SUMIFS('2020'!$BL:$BL,'2020'!$B:$B,'Для расчета ЗП'!$A5,'2020'!$G:$G,4)</f>
        <v>0</v>
      </c>
      <c r="AC5" s="46">
        <f>AE5-AD5</f>
        <v>0</v>
      </c>
      <c r="AD5" s="46">
        <f>SUMIFS('2020'!$AQ:$AQ,'2020'!$B:$B,'Для расчета ЗП'!$A5,'2020'!$G:$G,4)+SUMIFS('2020'!$BH:$BH,'2020'!$B:$B,'Для расчета ЗП'!$A5,'2020'!$G:$G,4)</f>
        <v>0</v>
      </c>
      <c r="AE5" s="46">
        <f>SUMIFS('2020'!$BM:$BM,'2020'!$B:$B,'Для расчета ЗП'!$A5,'2020'!$G:$G,4)+SUMIFS('2020'!$CD:$CD,'2020'!$B:$B,'Для расчета ЗП'!$A5,'2020'!$G:$G,4)</f>
        <v>0</v>
      </c>
      <c r="AF5" s="46">
        <f>AH5-AG5</f>
        <v>0</v>
      </c>
      <c r="AG5" s="46">
        <f>SUMIFS('2020'!$BB:$BB,'2020'!$B:$B,'Для расчета ЗП'!$A5,'2020'!$G:$G,4)</f>
        <v>0</v>
      </c>
      <c r="AH5" s="46">
        <f>SUMIFS('2020'!$BX:$BX,'2020'!$B:$B,'Для расчета ЗП'!$A5,'2020'!$G:$G,4)</f>
        <v>0</v>
      </c>
      <c r="AI5" s="46"/>
      <c r="AJ5" s="46">
        <f>AB5+AC5+AF5</f>
        <v>0</v>
      </c>
      <c r="AK5" s="46"/>
      <c r="AL5" s="46">
        <f>SUMIFS('2020'!$CH:$CH,'2020'!$B:$B,'Для расчета ЗП'!$A5,'2020'!$G:$G,4)</f>
        <v>0</v>
      </c>
      <c r="AM5" s="198">
        <f>SUMIF('2020'!$B:$B,'Для расчета ЗП'!$A5,('2020'!$P:$P))</f>
        <v>658</v>
      </c>
      <c r="AN5" s="46">
        <f>SUMIF('2020'!$B:$B,'Для расчета ЗП'!$A5,('2020'!$BL:$BL))</f>
        <v>65388361</v>
      </c>
      <c r="AO5" s="199">
        <f>SUMIF('2020'!$B:$B,'Для расчета ЗП'!$A5,('2020'!$CH:$CH))</f>
        <v>74016127.519999996</v>
      </c>
      <c r="AP5" s="48">
        <f t="shared" ref="AP5:AP20" si="2">Y5-S5</f>
        <v>-25346.400000000001</v>
      </c>
      <c r="AR5" s="105">
        <f>S5-R5</f>
        <v>74016.3</v>
      </c>
      <c r="AS5" s="105">
        <f t="shared" ref="AS5:AS21" si="3">Y5-R5</f>
        <v>48669.9</v>
      </c>
      <c r="AT5">
        <f>AS5/AS$21</f>
        <v>1.9874612052247598E-2</v>
      </c>
      <c r="AU5">
        <f>ROUND(AT$22*AT5,1)</f>
        <v>15584.3</v>
      </c>
      <c r="AV5" s="105">
        <f t="shared" ref="AV5:AV29" si="4">Y5-AU5</f>
        <v>34612.5</v>
      </c>
      <c r="AW5" s="105">
        <f t="shared" ref="AW5:AW21" si="5">AV5-S5</f>
        <v>-40930.699999999997</v>
      </c>
      <c r="AX5" s="111">
        <f t="shared" ref="AX5:AX20" si="6">(AV5-R5)/(S5-R5)</f>
        <v>0.44700000000000001</v>
      </c>
      <c r="AY5" s="37">
        <f>ROUND(SUMIFS('2020'!$BM:$BM,'2020'!$B:$B,'Для расчета ЗП'!$A5,'2020'!$G:$G,1),1)</f>
        <v>32530176.100000001</v>
      </c>
      <c r="AZ5" s="37">
        <f>ROUND(SUMIFS('2020'!$BM:$BM,'2020'!$B:$B,'Для расчета ЗП'!$A5,'2020'!$G:$G,2),1)</f>
        <v>4798541.4000000004</v>
      </c>
      <c r="BA5" s="37">
        <f>ROUND(SUMIFS('2020'!$BM:$BM,'2020'!$B:$B,'Для расчета ЗП'!$A5,'2020'!$G:$G,3),1)</f>
        <v>903744</v>
      </c>
      <c r="BB5" s="39">
        <f>AY5+AZ5+BA5</f>
        <v>38232461.5</v>
      </c>
      <c r="BC5" s="39">
        <f>ROUND((SUMIF('2020'!$B:$B,'Для расчета ЗП'!$A5,('2020'!$BM:$BM))-SUMIFS('2020'!$BM:$BM,'2020'!$B:$B,'Для расчета ЗП'!$A5,'2020'!$G:$G,4)),1)-BB5</f>
        <v>0</v>
      </c>
      <c r="BD5" s="39">
        <f>BB5*'Свод 2020'!AA$27</f>
        <v>40597326.359999999</v>
      </c>
      <c r="BE5" s="246">
        <f>SUMIFS('2020'!$P:$P,'2020'!$B:$B,'Для расчета ЗП'!$A5,'2020'!$G:$G,3,'2020'!$I:$I,3)</f>
        <v>0</v>
      </c>
      <c r="BF5" s="247">
        <f>ROUND((SUMIF('2020'!$B:$B,'Для расчета ЗП'!$A5,('2020'!$BL:$BL))-SUMIFS('2020'!$BL:$BL,'2020'!$B:$B,'Для расчета ЗП'!$A5,'2020'!$G:$G,4))/1000,1)</f>
        <v>65388.4</v>
      </c>
      <c r="BG5" s="247">
        <f>BI5-BH5</f>
        <v>6286.5</v>
      </c>
      <c r="BH5" s="248">
        <f>ROUND((SUMIF('2020'!$B:$B,'Для расчета ЗП'!$A5,('2020'!$AQ:$AQ))-SUMIFS('2020'!$AQ:$AQ,'2020'!$B:$B,'Для расчета ЗП'!$A5,'2020'!$G:$G,4)+SUMIF('2020'!$B:$B,'Для расчета ЗП'!$A5,('2020'!$BH:$BH))-SUMIFS('2020'!$BH:$BH,'2020'!$B:$B,'Для расчета ЗП'!$A5,'2020'!$G:$G,4))/1000,1)</f>
        <v>41357.9</v>
      </c>
      <c r="BI5" s="248">
        <f>ROUND((SUMIF('2020'!$B:$B,'Для расчета ЗП'!$A5,('2020'!$BM:$BM))-SUMIFS('2020'!$BM:$BM,'2020'!$B:$B,'Для расчета ЗП'!$A5,'2020'!$G:$G,4)+SUMIF('2020'!$B:$B,'Для расчета ЗП'!$A5,('2020'!$CD:$CD))-SUMIFS('2020'!$CD:$CD,'2020'!$B:$B,'Для расчета ЗП'!$A5,'2020'!$G:$G,4))/1000,1)</f>
        <v>47644.4</v>
      </c>
      <c r="BJ5" s="247">
        <f>BL5-BK5</f>
        <v>2341.4</v>
      </c>
      <c r="BK5" s="248">
        <f>ROUND((SUMIF('2020'!$B:$B,'Для расчета ЗП'!$A5,('2020'!$BB:$BB))-SUMIFS('2020'!$BB:$BB,'2020'!$B:$B,'Для расчета ЗП'!$A5,'2020'!$G:$G,4))/1000,1)</f>
        <v>1355.7</v>
      </c>
      <c r="BL5" s="248">
        <f>ROUND((SUMIF('2020'!$B:$B,'Для расчета ЗП'!$A5,('2020'!$BX:$BX))-SUMIFS('2020'!$BX:$BX,'2020'!$B:$B,'Для расчета ЗП'!$A5,'2020'!$G:$G,4))/1000,1)</f>
        <v>3697.1</v>
      </c>
      <c r="BM5" s="247">
        <f>BF5+BG5+BJ5</f>
        <v>74016.3</v>
      </c>
      <c r="BN5" s="247">
        <v>1526.9</v>
      </c>
      <c r="BO5" s="249">
        <f t="shared" ref="BO5:BO20" si="7">BF5+BG5+BJ5+BN5</f>
        <v>75543.199999999997</v>
      </c>
      <c r="BP5" s="248">
        <v>83542.2</v>
      </c>
      <c r="BQ5" s="248">
        <f>BP5-BO5</f>
        <v>7999</v>
      </c>
      <c r="BR5" s="249">
        <f>BM5*BM23</f>
        <v>0</v>
      </c>
      <c r="BS5" s="250">
        <f>BN5+BR5</f>
        <v>1526.9</v>
      </c>
      <c r="BT5" s="250">
        <f>BS5-BO5</f>
        <v>-74016.3</v>
      </c>
      <c r="BU5" s="251">
        <f t="shared" ref="BU5:BU20" si="8">ROUND((BF5+BG5+BJ5)*BU$23,1)+BN5</f>
        <v>1526.9</v>
      </c>
      <c r="BV5" s="251">
        <f>SUMIF('2020'!$B:$B,'Для расчета ЗП'!$A5,('2020'!$CH:$CH))-SUMIFS('2020'!$CH:$CH,'2020'!$B:$B,'Для расчета ЗП'!$A5,'2020'!$G:$G,4)</f>
        <v>74016127.519999996</v>
      </c>
      <c r="BW5" s="245">
        <f>SUMIFS('2020'!$P:$P,'2020'!$B:$B,'Для расчета ЗП'!$A5,'2020'!$G:$G,4)</f>
        <v>0</v>
      </c>
      <c r="BX5" s="251">
        <f>SUMIFS('2020'!$BL:$BL,'2020'!$B:$B,'Для расчета ЗП'!$A5,'2020'!$G:$G,4)</f>
        <v>0</v>
      </c>
      <c r="BY5" s="251">
        <f>CA5-BZ5</f>
        <v>0</v>
      </c>
      <c r="BZ5" s="251">
        <f>SUMIFS('2020'!$AQ:$AQ,'2020'!$B:$B,'Для расчета ЗП'!$A5,'2020'!$G:$G,4)+SUMIFS('2020'!$BH:$BH,'2020'!$B:$B,'Для расчета ЗП'!$A5,'2020'!$G:$G,4)</f>
        <v>0</v>
      </c>
      <c r="CA5" s="251">
        <f>SUMIFS('2020'!$BM:$BM,'2020'!$B:$B,'Для расчета ЗП'!$A5,'2020'!$G:$G,4)+SUMIFS('2020'!$CD:$CD,'2020'!$B:$B,'Для расчета ЗП'!$A5,'2020'!$G:$G,4)</f>
        <v>0</v>
      </c>
      <c r="CB5" s="251">
        <f>CD5-CC5</f>
        <v>0</v>
      </c>
      <c r="CC5" s="251">
        <f>SUMIFS('2020'!$BB:$BB,'2020'!$B:$B,'Для расчета ЗП'!$A5,'2020'!$G:$G,4)</f>
        <v>0</v>
      </c>
      <c r="CD5" s="251">
        <f>SUMIFS('2020'!$BX:$BX,'2020'!$B:$B,'Для расчета ЗП'!$A5,'2020'!$G:$G,4)</f>
        <v>0</v>
      </c>
      <c r="CE5" s="251"/>
      <c r="CF5" s="251">
        <f>BX5+BY5+CB5</f>
        <v>0</v>
      </c>
      <c r="CG5" s="251"/>
      <c r="CH5" s="251">
        <f>SUMIFS('2020'!$CH:$CH,'2020'!$B:$B,'Для расчета ЗП'!$A5,'2020'!$G:$G,4)</f>
        <v>0</v>
      </c>
      <c r="CI5" s="252">
        <f>SUMIF('2020'!$B:$B,'Для расчета ЗП'!$A5,('2020'!$P:$P))</f>
        <v>658</v>
      </c>
      <c r="CJ5" s="251">
        <f>SUMIF('2020'!$B:$B,'Для расчета ЗП'!$A5,('2020'!$BL:$BL))</f>
        <v>65388361</v>
      </c>
      <c r="CK5" s="253">
        <f>SUMIF('2020'!$B:$B,'Для расчета ЗП'!$A5,('2020'!$CH:$CH))</f>
        <v>74016127.519999996</v>
      </c>
      <c r="CL5" s="254">
        <f t="shared" ref="CL5:CL20" si="9">BU5-BO5</f>
        <v>-74016.3</v>
      </c>
      <c r="CM5" s="239"/>
      <c r="CN5" s="255">
        <f>BO5-BN5</f>
        <v>74016.3</v>
      </c>
      <c r="CO5" s="255">
        <f t="shared" ref="CO5:CO21" si="10">BU5-BN5</f>
        <v>0</v>
      </c>
      <c r="CP5" s="239" t="e">
        <f>CO5/CO$21</f>
        <v>#DIV/0!</v>
      </c>
      <c r="CQ5" s="239" t="e">
        <f>ROUND(CP$22*CP5,1)</f>
        <v>#DIV/0!</v>
      </c>
      <c r="CR5" s="255" t="e">
        <f t="shared" ref="CR5:CR21" si="11">BU5-CQ5</f>
        <v>#DIV/0!</v>
      </c>
      <c r="CS5" s="255" t="e">
        <f t="shared" ref="CS5:CS21" si="12">CR5-BO5</f>
        <v>#DIV/0!</v>
      </c>
      <c r="CT5" s="256" t="e">
        <f t="shared" ref="CT5:CT20" si="13">(CR5-BN5)/(BO5-BN5)</f>
        <v>#DIV/0!</v>
      </c>
      <c r="CU5" s="248" t="e">
        <f>ROUND(SUMIFS(#REF!,#REF!,'Для расчета ЗП'!$A5,#REF!,1),1)</f>
        <v>#REF!</v>
      </c>
      <c r="CV5" s="248" t="e">
        <f>ROUND(SUMIFS(#REF!,#REF!,'Для расчета ЗП'!$A5,#REF!,2),1)</f>
        <v>#REF!</v>
      </c>
      <c r="CW5" s="248" t="e">
        <f>ROUND(SUMIFS(#REF!,#REF!,'Для расчета ЗП'!$A5,#REF!,3),1)</f>
        <v>#REF!</v>
      </c>
      <c r="CX5" s="257" t="e">
        <f>CU5+CV5+CW5</f>
        <v>#REF!</v>
      </c>
      <c r="CY5" s="257" t="e">
        <f>ROUND((SUMIF('2020'!$B:$B,'Для расчета ЗП'!$A5,('2020'!$BM:$BM))-SUMIFS('2020'!$BM:$BM,'2020'!$B:$B,'Для расчета ЗП'!$A5,'2020'!$G:$G,4)),1)-CX5</f>
        <v>#REF!</v>
      </c>
      <c r="CZ5" s="246">
        <f>SUMIFS('2020'!$P:$P,'2020'!$B:$B,'Для расчета ЗП'!$A5,'2020'!$G:$G,3,'2020'!$I:$I,3)</f>
        <v>0</v>
      </c>
      <c r="DA5" s="247">
        <f>ROUND((SUMIF('2020'!$B:$B,'Для расчета ЗП'!$A5,('2020'!$BL:$BL))-SUMIFS('2020'!$BL:$BL,'2020'!$B:$B,'Для расчета ЗП'!$A5,'2020'!$G:$G,4))/1000,1)</f>
        <v>65388.4</v>
      </c>
      <c r="DB5" s="247">
        <f>DD5-DC5</f>
        <v>6286.5</v>
      </c>
      <c r="DC5" s="248">
        <f>ROUND((SUMIF('2020'!$B:$B,'Для расчета ЗП'!$A5,('2020'!$AQ:$AQ))-SUMIFS('2020'!$AQ:$AQ,'2020'!$B:$B,'Для расчета ЗП'!$A5,'2020'!$G:$G,4)+SUMIF('2020'!$B:$B,'Для расчета ЗП'!$A5,('2020'!$BH:$BH))-SUMIFS('2020'!$BH:$BH,'2020'!$B:$B,'Для расчета ЗП'!$A5,'2020'!$G:$G,4))/1000,1)</f>
        <v>41357.9</v>
      </c>
      <c r="DD5" s="248">
        <f>ROUND((SUMIF('2020'!$B:$B,'Для расчета ЗП'!$A5,('2020'!$BM:$BM))-SUMIFS('2020'!$BM:$BM,'2020'!$B:$B,'Для расчета ЗП'!$A5,'2020'!$G:$G,4)+SUMIF('2020'!$B:$B,'Для расчета ЗП'!$A5,('2020'!$CD:$CD))-SUMIFS('2020'!$CD:$CD,'2020'!$B:$B,'Для расчета ЗП'!$A5,'2020'!$G:$G,4))/1000,1)</f>
        <v>47644.4</v>
      </c>
      <c r="DE5" s="247">
        <f>DG5-DF5</f>
        <v>2341.4</v>
      </c>
      <c r="DF5" s="248">
        <f>ROUND((SUMIF('2020'!$B:$B,'Для расчета ЗП'!$A5,('2020'!$BB:$BB))-SUMIFS('2020'!$BB:$BB,'2020'!$B:$B,'Для расчета ЗП'!$A5,'2020'!$G:$G,4))/1000,1)</f>
        <v>1355.7</v>
      </c>
      <c r="DG5" s="248">
        <f>ROUND((SUMIF('2020'!$B:$B,'Для расчета ЗП'!$A5,('2020'!$BX:$BX))-SUMIFS('2020'!$BX:$BX,'2020'!$B:$B,'Для расчета ЗП'!$A5,'2020'!$G:$G,4))/1000,1)</f>
        <v>3697.1</v>
      </c>
      <c r="DH5" s="247">
        <f>DA5+DB5+DE5</f>
        <v>74016.3</v>
      </c>
      <c r="DI5" s="247">
        <v>1526.9</v>
      </c>
      <c r="DJ5" s="249">
        <f t="shared" ref="DJ5:DJ20" si="14">DA5+DB5+DE5+DI5</f>
        <v>75543.199999999997</v>
      </c>
      <c r="DK5" s="248">
        <v>83542.2</v>
      </c>
      <c r="DL5" s="248">
        <f>DK5-DJ5</f>
        <v>7999</v>
      </c>
      <c r="DM5" s="249">
        <f>DH5*DH23</f>
        <v>0</v>
      </c>
      <c r="DN5" s="250">
        <f>DI5+DM5</f>
        <v>1526.9</v>
      </c>
      <c r="DO5" s="250">
        <f>DN5-DJ5</f>
        <v>-74016.3</v>
      </c>
      <c r="DP5" s="251">
        <f t="shared" ref="DP5:DP20" si="15">ROUND((DA5+DB5+DE5)*DP$23,1)+DI5</f>
        <v>1526.9</v>
      </c>
      <c r="DQ5" s="251">
        <f>SUMIF('2020'!$B:$B,'Для расчета ЗП'!$A5,('2020'!$CH:$CH))-SUMIFS('2020'!$CH:$CH,'2020'!$B:$B,'Для расчета ЗП'!$A5,'2020'!$G:$G,4)</f>
        <v>74016127.519999996</v>
      </c>
      <c r="DR5" s="245">
        <f>SUMIFS('2020'!$P:$P,'2020'!$B:$B,'Для расчета ЗП'!$A5,'2020'!$G:$G,4)</f>
        <v>0</v>
      </c>
      <c r="DS5" s="251">
        <f>SUMIFS('2020'!$BL:$BL,'2020'!$B:$B,'Для расчета ЗП'!$A5,'2020'!$G:$G,4)</f>
        <v>0</v>
      </c>
      <c r="DT5" s="251">
        <f>DV5-DU5</f>
        <v>0</v>
      </c>
      <c r="DU5" s="251">
        <f>SUMIFS('2020'!$AQ:$AQ,'2020'!$B:$B,'Для расчета ЗП'!$A5,'2020'!$G:$G,4)+SUMIFS('2020'!$BH:$BH,'2020'!$B:$B,'Для расчета ЗП'!$A5,'2020'!$G:$G,4)</f>
        <v>0</v>
      </c>
      <c r="DV5" s="251">
        <f>SUMIFS('2020'!$BM:$BM,'2020'!$B:$B,'Для расчета ЗП'!$A5,'2020'!$G:$G,4)+SUMIFS('2020'!$CD:$CD,'2020'!$B:$B,'Для расчета ЗП'!$A5,'2020'!$G:$G,4)</f>
        <v>0</v>
      </c>
      <c r="DW5" s="251">
        <f>DY5-DX5</f>
        <v>0</v>
      </c>
      <c r="DX5" s="251">
        <f>SUMIFS('2020'!$BB:$BB,'2020'!$B:$B,'Для расчета ЗП'!$A5,'2020'!$G:$G,4)</f>
        <v>0</v>
      </c>
      <c r="DY5" s="251">
        <f>SUMIFS('2020'!$BX:$BX,'2020'!$B:$B,'Для расчета ЗП'!$A5,'2020'!$G:$G,4)</f>
        <v>0</v>
      </c>
      <c r="DZ5" s="251"/>
      <c r="EA5" s="251">
        <f>DS5+DT5+DW5</f>
        <v>0</v>
      </c>
      <c r="EB5" s="251"/>
      <c r="EC5" s="251">
        <f>SUMIFS('2020'!$CH:$CH,'2020'!$B:$B,'Для расчета ЗП'!$A5,'2020'!$G:$G,4)</f>
        <v>0</v>
      </c>
      <c r="ED5" s="252">
        <f>SUMIF('2020'!$B:$B,'Для расчета ЗП'!$A5,('2020'!$P:$P))</f>
        <v>658</v>
      </c>
      <c r="EE5" s="251">
        <f>SUMIF('2020'!$B:$B,'Для расчета ЗП'!$A5,('2020'!$BL:$BL))</f>
        <v>65388361</v>
      </c>
      <c r="EF5" s="253">
        <f>SUMIF('2020'!$B:$B,'Для расчета ЗП'!$A5,('2020'!$CH:$CH))</f>
        <v>74016127.519999996</v>
      </c>
      <c r="EG5" s="254">
        <f t="shared" ref="EG5:EG20" si="16">DP5-DJ5</f>
        <v>-74016.3</v>
      </c>
      <c r="EH5" s="239"/>
      <c r="EI5" s="255">
        <f>DJ5-DI5</f>
        <v>74016.3</v>
      </c>
      <c r="EJ5" s="255">
        <f t="shared" ref="EJ5:EJ21" si="17">DP5-DI5</f>
        <v>0</v>
      </c>
      <c r="EK5" s="239" t="e">
        <f>EJ5/EJ$21</f>
        <v>#DIV/0!</v>
      </c>
      <c r="EL5" s="239" t="e">
        <f>ROUND(EK$22*EK5,1)</f>
        <v>#DIV/0!</v>
      </c>
      <c r="EM5" s="255" t="e">
        <f t="shared" ref="EM5:EM21" si="18">DP5-EL5</f>
        <v>#DIV/0!</v>
      </c>
      <c r="EN5" s="255" t="e">
        <f t="shared" ref="EN5:EN21" si="19">EM5-DJ5</f>
        <v>#DIV/0!</v>
      </c>
      <c r="EO5" s="256" t="e">
        <f t="shared" ref="EO5:EO20" si="20">(EM5-DI5)/(DJ5-DI5)</f>
        <v>#DIV/0!</v>
      </c>
      <c r="EP5" s="255" t="e">
        <f>ROUND((SUMIF(#REF!,#REF!,(#REF!))-SUMIFS(#REF!,#REF!,#REF!,#REF!,4)),1)</f>
        <v>#REF!</v>
      </c>
      <c r="EQ5" s="255" t="e">
        <f>EP5*#REF!</f>
        <v>#REF!</v>
      </c>
      <c r="ER5" s="262" t="e">
        <f>ROUND(SUMIFS(#REF!,#REF!,'Для расчета ЗП'!$A5,#REF!,1),1)</f>
        <v>#REF!</v>
      </c>
      <c r="ES5" s="262" t="e">
        <f>ROUND(SUMIFS(#REF!,#REF!,'Для расчета ЗП'!$A5,#REF!,1),1)</f>
        <v>#REF!</v>
      </c>
      <c r="ET5" s="262" t="e">
        <f>ROUND(SUMIFS(#REF!,#REF!,'Для расчета ЗП'!$A5,#REF!,1),1)</f>
        <v>#REF!</v>
      </c>
      <c r="EU5" s="263" t="e">
        <f>ROUND((SUMIF(#REF!,#REF!,(#REF!))-SUMIFS(#REF!,#REF!,#REF!,#REF!,4)),1)</f>
        <v>#REF!</v>
      </c>
      <c r="EV5" s="263" t="e">
        <f>EU5*#REF!</f>
        <v>#REF!</v>
      </c>
    </row>
    <row r="6" spans="1:152" ht="45" x14ac:dyDescent="0.25">
      <c r="A6" s="6">
        <v>2</v>
      </c>
      <c r="B6" s="7" t="s">
        <v>44</v>
      </c>
      <c r="C6" s="38">
        <f>SUMIF('2020'!$B:$B,'Для расчета ЗП'!$A6,('2020'!$P:$P))-SUMIFS('2020'!$P:$P,'2020'!$B:$B,'Для расчета ЗП'!$A6,'2020'!$G:$G,4)</f>
        <v>1150</v>
      </c>
      <c r="D6" s="38">
        <f>SUMIFS('2020'!$P:$P,'2020'!$B:$B,'Для расчета ЗП'!$A6,'2020'!$G:$G,1,'2020'!$I:$I,0)</f>
        <v>734</v>
      </c>
      <c r="E6" s="38">
        <f>SUMIFS('2020'!$P:$P,'2020'!$B:$B,'Для расчета ЗП'!$A6,'2020'!$G:$G,1,'2020'!$I:$I,3)</f>
        <v>261</v>
      </c>
      <c r="F6" s="38">
        <f>SUMIFS('2020'!$P:$P,'2020'!$B:$B,'Для расчета ЗП'!$A6,'2020'!$G:$G,2,'2020'!$I:$I,0)</f>
        <v>87</v>
      </c>
      <c r="G6" s="38">
        <f>SUMIFS('2020'!$P:$P,'2020'!$B:$B,'Для расчета ЗП'!$A6,'2020'!$G:$G,2,'2020'!$I:$I,3)</f>
        <v>60</v>
      </c>
      <c r="H6" s="38">
        <f>SUMIFS('2020'!$P:$P,'2020'!$B:$B,'Для расчета ЗП'!$A6,'2020'!$G:$G,3,'2020'!$I:$I,0)</f>
        <v>8</v>
      </c>
      <c r="I6" s="38">
        <f>SUMIFS('2020'!$P:$P,'2020'!$B:$B,'Для расчета ЗП'!$A6,'2020'!$G:$G,3,'2020'!$I:$I,3)</f>
        <v>0</v>
      </c>
      <c r="J6" s="66">
        <f>ROUND((SUMIF('2020'!$B:$B,'Для расчета ЗП'!$A6,('2020'!$BL:$BL))-SUMIFS('2020'!$BL:$BL,'2020'!$B:$B,'Для расчета ЗП'!$A6,'2020'!$G:$G,4))/1000,1)</f>
        <v>113404.2</v>
      </c>
      <c r="K6" s="66">
        <f t="shared" ref="K6:K20" si="21">M6-L6</f>
        <v>17148.2</v>
      </c>
      <c r="L6" s="37">
        <f>ROUND((SUMIF('2020'!$B:$B,'Для расчета ЗП'!$A6,('2020'!$AQ:$AQ))-SUMIFS('2020'!$AQ:$AQ,'2020'!$B:$B,'Для расчета ЗП'!$A6,'2020'!$G:$G,4)+SUMIF('2020'!$B:$B,'Для расчета ЗП'!$A6,('2020'!$BH:$BH))-SUMIFS('2020'!$BH:$BH,'2020'!$B:$B,'Для расчета ЗП'!$A6,'2020'!$G:$G,4))/1000,1)</f>
        <v>70279.3</v>
      </c>
      <c r="M6" s="37">
        <f>ROUND((SUMIF('2020'!$B:$B,'Для расчета ЗП'!$A6,('2020'!$BM:$BM))-SUMIFS('2020'!$BM:$BM,'2020'!$B:$B,'Для расчета ЗП'!$A6,'2020'!$G:$G,4)+SUMIF('2020'!$B:$B,'Для расчета ЗП'!$A6,('2020'!$CD:$CD))-SUMIFS('2020'!$CD:$CD,'2020'!$B:$B,'Для расчета ЗП'!$A6,'2020'!$G:$G,4))/1000,1)</f>
        <v>87427.5</v>
      </c>
      <c r="N6" s="66">
        <f t="shared" ref="N6:N20" si="22">P6-O6</f>
        <v>2753.7</v>
      </c>
      <c r="O6" s="37">
        <f>ROUND((SUMIF('2020'!$B:$B,'Для расчета ЗП'!$A6,('2020'!$BB:$BB))-SUMIFS('2020'!$BB:$BB,'2020'!$B:$B,'Для расчета ЗП'!$A6,'2020'!$G:$G,4))/1000,1)</f>
        <v>2306.3000000000002</v>
      </c>
      <c r="P6" s="37">
        <f>ROUND((SUMIF('2020'!$B:$B,'Для расчета ЗП'!$A6,('2020'!$BX:$BX))-SUMIFS('2020'!$BX:$BX,'2020'!$B:$B,'Для расчета ЗП'!$A6,'2020'!$G:$G,4))/1000,1)</f>
        <v>5060</v>
      </c>
      <c r="Q6" s="163">
        <f t="shared" ref="Q6:Q21" si="23">J6+K6+N6</f>
        <v>133306.1</v>
      </c>
      <c r="R6" s="66">
        <v>21694.3</v>
      </c>
      <c r="S6" s="144">
        <f t="shared" si="0"/>
        <v>155000.4</v>
      </c>
      <c r="T6" s="139">
        <v>186290.6</v>
      </c>
      <c r="U6" s="139">
        <f t="shared" ref="U6:U20" si="24">T6-S6</f>
        <v>31290.2</v>
      </c>
      <c r="V6" s="167">
        <f>Q6*Q23</f>
        <v>87656.23</v>
      </c>
      <c r="W6" s="205">
        <f t="shared" ref="W6:W20" si="25">R6+V6</f>
        <v>109350.53</v>
      </c>
      <c r="X6" s="187">
        <f t="shared" ref="X6:X20" si="26">W6-S6</f>
        <v>-45649.87</v>
      </c>
      <c r="Y6" s="46">
        <f t="shared" si="1"/>
        <v>109350.5</v>
      </c>
      <c r="Z6" s="46">
        <f>SUMIF('2020'!$B:$B,'Для расчета ЗП'!$A6,('2020'!$CH:$CH))-SUMIFS('2020'!$CH:$CH,'2020'!$B:$B,'Для расчета ЗП'!$A6,'2020'!$G:$G,4)</f>
        <v>133306096</v>
      </c>
      <c r="AA6" s="79">
        <f>SUMIFS('2020'!$P:$P,'2020'!$B:$B,'Для расчета ЗП'!$A6,'2020'!$G:$G,4)</f>
        <v>0</v>
      </c>
      <c r="AB6" s="46">
        <f>SUMIFS('2020'!$BL:$BL,'2020'!$B:$B,'Для расчета ЗП'!$A6,'2020'!$G:$G,4)</f>
        <v>0</v>
      </c>
      <c r="AC6" s="46">
        <f t="shared" ref="AC6:AC20" si="27">AE6-AD6</f>
        <v>0</v>
      </c>
      <c r="AD6" s="46">
        <f>SUMIFS('2020'!$AQ:$AQ,'2020'!$B:$B,'Для расчета ЗП'!$A6,'2020'!$G:$G,4)+SUMIFS('2020'!$BH:$BH,'2020'!$B:$B,'Для расчета ЗП'!$A6,'2020'!$G:$G,4)</f>
        <v>0</v>
      </c>
      <c r="AE6" s="46">
        <f>SUMIFS('2020'!$BM:$BM,'2020'!$B:$B,'Для расчета ЗП'!$A6,'2020'!$G:$G,4)+SUMIFS('2020'!$CD:$CD,'2020'!$B:$B,'Для расчета ЗП'!$A6,'2020'!$G:$G,4)</f>
        <v>0</v>
      </c>
      <c r="AF6" s="46">
        <f t="shared" ref="AF6:AF20" si="28">AH6-AG6</f>
        <v>0</v>
      </c>
      <c r="AG6" s="46">
        <f>SUMIFS('2020'!$BB:$BB,'2020'!$B:$B,'Для расчета ЗП'!$A6,'2020'!$G:$G,4)</f>
        <v>0</v>
      </c>
      <c r="AH6" s="46">
        <f>SUMIFS('2020'!$BX:$BX,'2020'!$B:$B,'Для расчета ЗП'!$A6,'2020'!$G:$G,4)</f>
        <v>0</v>
      </c>
      <c r="AI6" s="46"/>
      <c r="AJ6" s="46">
        <f t="shared" ref="AJ6:AJ17" si="29">AB6+AC6+AF6</f>
        <v>0</v>
      </c>
      <c r="AK6" s="46"/>
      <c r="AL6" s="46">
        <f>SUMIFS('2020'!$CH:$CH,'2020'!$B:$B,'Для расчета ЗП'!$A6,'2020'!$G:$G,4)</f>
        <v>0</v>
      </c>
      <c r="AM6" s="198">
        <f>SUMIF('2020'!$B:$B,'Для расчета ЗП'!$A6,('2020'!$P:$P))</f>
        <v>1150</v>
      </c>
      <c r="AN6" s="46">
        <f>SUMIF('2020'!$B:$B,'Для расчета ЗП'!$A6,('2020'!$BL:$BL))</f>
        <v>113404221</v>
      </c>
      <c r="AO6" s="199">
        <f>SUMIF('2020'!$B:$B,'Для расчета ЗП'!$A6,('2020'!$CH:$CH))</f>
        <v>133306096</v>
      </c>
      <c r="AP6" s="48">
        <f t="shared" si="2"/>
        <v>-45649.9</v>
      </c>
      <c r="AS6" s="105">
        <f t="shared" si="3"/>
        <v>87656.2</v>
      </c>
      <c r="AT6">
        <f t="shared" ref="AT6:AT20" si="30">AS6/AS$21</f>
        <v>3.5794874634511802E-2</v>
      </c>
      <c r="AU6">
        <f t="shared" ref="AU6:AU20" si="31">ROUND(AT$22*AT6,1)</f>
        <v>28067.8</v>
      </c>
      <c r="AV6" s="105">
        <f t="shared" si="4"/>
        <v>81282.7</v>
      </c>
      <c r="AW6" s="105">
        <f t="shared" si="5"/>
        <v>-73717.7</v>
      </c>
      <c r="AX6" s="111">
        <f t="shared" si="6"/>
        <v>0.44700000000000001</v>
      </c>
      <c r="AY6" s="37">
        <f>ROUND(SUMIFS('2020'!$BM:$BM,'2020'!$B:$B,'Для расчета ЗП'!$A6,'2020'!$G:$G,1),1)</f>
        <v>60779015</v>
      </c>
      <c r="AZ6" s="37">
        <f>ROUND(SUMIFS('2020'!$BM:$BM,'2020'!$B:$B,'Для расчета ЗП'!$A6,'2020'!$G:$G,2),1)</f>
        <v>8607036</v>
      </c>
      <c r="BA6" s="37">
        <f>ROUND(SUMIFS('2020'!$BM:$BM,'2020'!$B:$B,'Для расчета ЗП'!$A6,'2020'!$G:$G,3),1)</f>
        <v>780734</v>
      </c>
      <c r="BB6" s="39">
        <f t="shared" ref="BB6:BB18" si="32">AY6+AZ6+BA6</f>
        <v>70166785</v>
      </c>
      <c r="BC6" s="39">
        <f>ROUND((SUMIF('2020'!$B:$B,'Для расчета ЗП'!$A6,('2020'!$BM:$BM))-SUMIFS('2020'!$BM:$BM,'2020'!$B:$B,'Для расчета ЗП'!$A6,'2020'!$G:$G,4)),1)-BB6</f>
        <v>0</v>
      </c>
      <c r="BD6" s="39">
        <f>BB6*'Свод 2020'!AA$27</f>
        <v>74506944.060000002</v>
      </c>
      <c r="BE6" s="246">
        <f>SUMIFS('2020'!$P:$P,'2020'!$B:$B,'Для расчета ЗП'!$A6,'2020'!$G:$G,3,'2020'!$I:$I,3)</f>
        <v>0</v>
      </c>
      <c r="BF6" s="247">
        <f>ROUND((SUMIF('2020'!$B:$B,'Для расчета ЗП'!$A6,('2020'!$BL:$BL))-SUMIFS('2020'!$BL:$BL,'2020'!$B:$B,'Для расчета ЗП'!$A6,'2020'!$G:$G,4))/1000,1)</f>
        <v>113404.2</v>
      </c>
      <c r="BG6" s="247">
        <f t="shared" ref="BG6:BG18" si="33">BI6-BH6</f>
        <v>17148.2</v>
      </c>
      <c r="BH6" s="248">
        <f>ROUND((SUMIF('2020'!$B:$B,'Для расчета ЗП'!$A6,('2020'!$AQ:$AQ))-SUMIFS('2020'!$AQ:$AQ,'2020'!$B:$B,'Для расчета ЗП'!$A6,'2020'!$G:$G,4)+SUMIF('2020'!$B:$B,'Для расчета ЗП'!$A6,('2020'!$BH:$BH))-SUMIFS('2020'!$BH:$BH,'2020'!$B:$B,'Для расчета ЗП'!$A6,'2020'!$G:$G,4))/1000,1)</f>
        <v>70279.3</v>
      </c>
      <c r="BI6" s="248">
        <f>ROUND((SUMIF('2020'!$B:$B,'Для расчета ЗП'!$A6,('2020'!$BM:$BM))-SUMIFS('2020'!$BM:$BM,'2020'!$B:$B,'Для расчета ЗП'!$A6,'2020'!$G:$G,4)+SUMIF('2020'!$B:$B,'Для расчета ЗП'!$A6,('2020'!$CD:$CD))-SUMIFS('2020'!$CD:$CD,'2020'!$B:$B,'Для расчета ЗП'!$A6,'2020'!$G:$G,4))/1000,1)</f>
        <v>87427.5</v>
      </c>
      <c r="BJ6" s="247">
        <f t="shared" ref="BJ6:BJ18" si="34">BL6-BK6</f>
        <v>2753.7</v>
      </c>
      <c r="BK6" s="248">
        <f>ROUND((SUMIF('2020'!$B:$B,'Для расчета ЗП'!$A6,('2020'!$BB:$BB))-SUMIFS('2020'!$BB:$BB,'2020'!$B:$B,'Для расчета ЗП'!$A6,'2020'!$G:$G,4))/1000,1)</f>
        <v>2306.3000000000002</v>
      </c>
      <c r="BL6" s="248">
        <f>ROUND((SUMIF('2020'!$B:$B,'Для расчета ЗП'!$A6,('2020'!$BX:$BX))-SUMIFS('2020'!$BX:$BX,'2020'!$B:$B,'Для расчета ЗП'!$A6,'2020'!$G:$G,4))/1000,1)</f>
        <v>5060</v>
      </c>
      <c r="BM6" s="247">
        <f t="shared" ref="BM6:BM18" si="35">BF6+BG6+BJ6</f>
        <v>133306.1</v>
      </c>
      <c r="BN6" s="247">
        <v>1527.9</v>
      </c>
      <c r="BO6" s="249">
        <f t="shared" ref="BO6:BO18" si="36">BF6+BG6+BJ6+BN6</f>
        <v>134834</v>
      </c>
      <c r="BP6" s="248">
        <v>83543.199999999997</v>
      </c>
      <c r="BQ6" s="248">
        <f t="shared" ref="BQ6:BQ18" si="37">BP6-BO6</f>
        <v>-51290.8</v>
      </c>
      <c r="BR6" s="249">
        <f t="shared" ref="BR6:BR18" si="38">BM6*BM24</f>
        <v>0</v>
      </c>
      <c r="BS6" s="250">
        <f t="shared" ref="BS6:BS18" si="39">BN6+BR6</f>
        <v>1527.9</v>
      </c>
      <c r="BT6" s="250">
        <f t="shared" ref="BT6:BT18" si="40">BS6-BO6</f>
        <v>-133306.1</v>
      </c>
      <c r="BU6" s="251">
        <f t="shared" ref="BU6:BU18" si="41">ROUND((BF6+BG6+BJ6)*BU$23,1)+BN6</f>
        <v>1527.9</v>
      </c>
      <c r="BV6" s="251">
        <f>SUMIF('2020'!$B:$B,'Для расчета ЗП'!$A6,('2020'!$CH:$CH))-SUMIFS('2020'!$CH:$CH,'2020'!$B:$B,'Для расчета ЗП'!$A6,'2020'!$G:$G,4)</f>
        <v>133306096</v>
      </c>
      <c r="BW6" s="245">
        <f>SUMIFS('2020'!$P:$P,'2020'!$B:$B,'Для расчета ЗП'!$A6,'2020'!$G:$G,4)</f>
        <v>0</v>
      </c>
      <c r="BX6" s="251">
        <f>SUMIFS('2020'!$BL:$BL,'2020'!$B:$B,'Для расчета ЗП'!$A6,'2020'!$G:$G,4)</f>
        <v>0</v>
      </c>
      <c r="BY6" s="251">
        <f t="shared" ref="BY6:BY18" si="42">CA6-BZ6</f>
        <v>0</v>
      </c>
      <c r="BZ6" s="251">
        <f>SUMIFS('2020'!$AQ:$AQ,'2020'!$B:$B,'Для расчета ЗП'!$A6,'2020'!$G:$G,4)+SUMIFS('2020'!$BH:$BH,'2020'!$B:$B,'Для расчета ЗП'!$A6,'2020'!$G:$G,4)</f>
        <v>0</v>
      </c>
      <c r="CA6" s="251">
        <f>SUMIFS('2020'!$BM:$BM,'2020'!$B:$B,'Для расчета ЗП'!$A6,'2020'!$G:$G,4)+SUMIFS('2020'!$CD:$CD,'2020'!$B:$B,'Для расчета ЗП'!$A6,'2020'!$G:$G,4)</f>
        <v>0</v>
      </c>
      <c r="CB6" s="251">
        <f t="shared" ref="CB6:CB18" si="43">CD6-CC6</f>
        <v>0</v>
      </c>
      <c r="CC6" s="251">
        <f>SUMIFS('2020'!$BB:$BB,'2020'!$B:$B,'Для расчета ЗП'!$A6,'2020'!$G:$G,4)</f>
        <v>0</v>
      </c>
      <c r="CD6" s="251">
        <f>SUMIFS('2020'!$BX:$BX,'2020'!$B:$B,'Для расчета ЗП'!$A6,'2020'!$G:$G,4)</f>
        <v>0</v>
      </c>
      <c r="CE6" s="251"/>
      <c r="CF6" s="251">
        <f t="shared" ref="CF6:CF18" si="44">BX6+BY6+CB6</f>
        <v>0</v>
      </c>
      <c r="CG6" s="251"/>
      <c r="CH6" s="251">
        <f>SUMIFS('2020'!$CH:$CH,'2020'!$B:$B,'Для расчета ЗП'!$A6,'2020'!$G:$G,4)</f>
        <v>0</v>
      </c>
      <c r="CI6" s="252">
        <f>SUMIF('2020'!$B:$B,'Для расчета ЗП'!$A6,('2020'!$P:$P))</f>
        <v>1150</v>
      </c>
      <c r="CJ6" s="251">
        <f>SUMIF('2020'!$B:$B,'Для расчета ЗП'!$A6,('2020'!$BL:$BL))</f>
        <v>113404221</v>
      </c>
      <c r="CK6" s="253">
        <f>SUMIF('2020'!$B:$B,'Для расчета ЗП'!$A6,('2020'!$CH:$CH))</f>
        <v>133306096</v>
      </c>
      <c r="CL6" s="254">
        <f t="shared" ref="CL6:CL18" si="45">BU6-BO6</f>
        <v>-133306.1</v>
      </c>
      <c r="CM6" s="239"/>
      <c r="CN6" s="255">
        <f t="shared" ref="CN6:CN18" si="46">BO6-BN6</f>
        <v>133306.1</v>
      </c>
      <c r="CO6" s="255">
        <f t="shared" ref="CO6:CO18" si="47">BU6-BN6</f>
        <v>0</v>
      </c>
      <c r="CP6" s="239" t="e">
        <f t="shared" ref="CP6:CP18" si="48">CO6/CO$21</f>
        <v>#DIV/0!</v>
      </c>
      <c r="CQ6" s="239" t="e">
        <f t="shared" ref="CQ6:CQ18" si="49">ROUND(CP$22*CP6,1)</f>
        <v>#DIV/0!</v>
      </c>
      <c r="CR6" s="255" t="e">
        <f t="shared" ref="CR6:CR18" si="50">BU6-CQ6</f>
        <v>#DIV/0!</v>
      </c>
      <c r="CS6" s="255" t="e">
        <f t="shared" ref="CS6:CS18" si="51">CR6-BO6</f>
        <v>#DIV/0!</v>
      </c>
      <c r="CT6" s="256" t="e">
        <f t="shared" ref="CT6:CT18" si="52">(CR6-BN6)/(BO6-BN6)</f>
        <v>#DIV/0!</v>
      </c>
      <c r="CU6" s="248" t="e">
        <f>ROUND(SUMIFS(#REF!,#REF!,'Для расчета ЗП'!$A6,#REF!,1),1)</f>
        <v>#REF!</v>
      </c>
      <c r="CV6" s="248" t="e">
        <f>ROUND(SUMIFS(#REF!,#REF!,'Для расчета ЗП'!$A6,#REF!,2),1)</f>
        <v>#REF!</v>
      </c>
      <c r="CW6" s="248" t="e">
        <f>ROUND(SUMIFS(#REF!,#REF!,'Для расчета ЗП'!$A6,#REF!,3),1)</f>
        <v>#REF!</v>
      </c>
      <c r="CX6" s="257" t="e">
        <f t="shared" ref="CX6:CX18" si="53">CU6+CV6+CW6</f>
        <v>#REF!</v>
      </c>
      <c r="CY6" s="257" t="e">
        <f>ROUND((SUMIF('2020'!$B:$B,'Для расчета ЗП'!$A6,('2020'!$BM:$BM))-SUMIFS('2020'!$BM:$BM,'2020'!$B:$B,'Для расчета ЗП'!$A6,'2020'!$G:$G,4)),1)-CX6</f>
        <v>#REF!</v>
      </c>
      <c r="CZ6" s="246">
        <f>SUMIFS('2020'!$P:$P,'2020'!$B:$B,'Для расчета ЗП'!$A6,'2020'!$G:$G,3,'2020'!$I:$I,3)</f>
        <v>0</v>
      </c>
      <c r="DA6" s="247">
        <f>ROUND((SUMIF('2020'!$B:$B,'Для расчета ЗП'!$A6,('2020'!$BL:$BL))-SUMIFS('2020'!$BL:$BL,'2020'!$B:$B,'Для расчета ЗП'!$A6,'2020'!$G:$G,4))/1000,1)</f>
        <v>113404.2</v>
      </c>
      <c r="DB6" s="247">
        <f t="shared" ref="DB6:DB20" si="54">DD6-DC6</f>
        <v>17148.2</v>
      </c>
      <c r="DC6" s="248">
        <f>ROUND((SUMIF('2020'!$B:$B,'Для расчета ЗП'!$A6,('2020'!$AQ:$AQ))-SUMIFS('2020'!$AQ:$AQ,'2020'!$B:$B,'Для расчета ЗП'!$A6,'2020'!$G:$G,4)+SUMIF('2020'!$B:$B,'Для расчета ЗП'!$A6,('2020'!$BH:$BH))-SUMIFS('2020'!$BH:$BH,'2020'!$B:$B,'Для расчета ЗП'!$A6,'2020'!$G:$G,4))/1000,1)</f>
        <v>70279.3</v>
      </c>
      <c r="DD6" s="248">
        <f>ROUND((SUMIF('2020'!$B:$B,'Для расчета ЗП'!$A6,('2020'!$BM:$BM))-SUMIFS('2020'!$BM:$BM,'2020'!$B:$B,'Для расчета ЗП'!$A6,'2020'!$G:$G,4)+SUMIF('2020'!$B:$B,'Для расчета ЗП'!$A6,('2020'!$CD:$CD))-SUMIFS('2020'!$CD:$CD,'2020'!$B:$B,'Для расчета ЗП'!$A6,'2020'!$G:$G,4))/1000,1)</f>
        <v>87427.5</v>
      </c>
      <c r="DE6" s="247">
        <f t="shared" ref="DE6:DE20" si="55">DG6-DF6</f>
        <v>2753.7</v>
      </c>
      <c r="DF6" s="248">
        <f>ROUND((SUMIF('2020'!$B:$B,'Для расчета ЗП'!$A6,('2020'!$BB:$BB))-SUMIFS('2020'!$BB:$BB,'2020'!$B:$B,'Для расчета ЗП'!$A6,'2020'!$G:$G,4))/1000,1)</f>
        <v>2306.3000000000002</v>
      </c>
      <c r="DG6" s="248">
        <f>ROUND((SUMIF('2020'!$B:$B,'Для расчета ЗП'!$A6,('2020'!$BX:$BX))-SUMIFS('2020'!$BX:$BX,'2020'!$B:$B,'Для расчета ЗП'!$A6,'2020'!$G:$G,4))/1000,1)</f>
        <v>5060</v>
      </c>
      <c r="DH6" s="247">
        <f t="shared" ref="DH6:DH21" si="56">DA6+DB6+DE6</f>
        <v>133306.1</v>
      </c>
      <c r="DI6" s="247">
        <v>21694.3</v>
      </c>
      <c r="DJ6" s="249">
        <f t="shared" si="14"/>
        <v>155000.4</v>
      </c>
      <c r="DK6" s="248">
        <v>186290.6</v>
      </c>
      <c r="DL6" s="248">
        <f t="shared" ref="DL6:DL20" si="57">DK6-DJ6</f>
        <v>31290.2</v>
      </c>
      <c r="DM6" s="249">
        <f>DH6*DH23</f>
        <v>0</v>
      </c>
      <c r="DN6" s="250">
        <f t="shared" ref="DN6:DN20" si="58">DI6+DM6</f>
        <v>21694.3</v>
      </c>
      <c r="DO6" s="250">
        <f t="shared" ref="DO6:DO20" si="59">DN6-DJ6</f>
        <v>-133306.1</v>
      </c>
      <c r="DP6" s="251">
        <f t="shared" si="15"/>
        <v>21694.3</v>
      </c>
      <c r="DQ6" s="251">
        <f>SUMIF('2020'!$B:$B,'Для расчета ЗП'!$A6,('2020'!$CH:$CH))-SUMIFS('2020'!$CH:$CH,'2020'!$B:$B,'Для расчета ЗП'!$A6,'2020'!$G:$G,4)</f>
        <v>133306096</v>
      </c>
      <c r="DR6" s="245">
        <f>SUMIFS('2020'!$P:$P,'2020'!$B:$B,'Для расчета ЗП'!$A6,'2020'!$G:$G,4)</f>
        <v>0</v>
      </c>
      <c r="DS6" s="251">
        <f>SUMIFS('2020'!$BL:$BL,'2020'!$B:$B,'Для расчета ЗП'!$A6,'2020'!$G:$G,4)</f>
        <v>0</v>
      </c>
      <c r="DT6" s="251">
        <f t="shared" ref="DT6:DT20" si="60">DV6-DU6</f>
        <v>0</v>
      </c>
      <c r="DU6" s="251">
        <f>SUMIFS('2020'!$AQ:$AQ,'2020'!$B:$B,'Для расчета ЗП'!$A6,'2020'!$G:$G,4)+SUMIFS('2020'!$BH:$BH,'2020'!$B:$B,'Для расчета ЗП'!$A6,'2020'!$G:$G,4)</f>
        <v>0</v>
      </c>
      <c r="DV6" s="251">
        <f>SUMIFS('2020'!$BM:$BM,'2020'!$B:$B,'Для расчета ЗП'!$A6,'2020'!$G:$G,4)+SUMIFS('2020'!$CD:$CD,'2020'!$B:$B,'Для расчета ЗП'!$A6,'2020'!$G:$G,4)</f>
        <v>0</v>
      </c>
      <c r="DW6" s="251">
        <f t="shared" ref="DW6:DW20" si="61">DY6-DX6</f>
        <v>0</v>
      </c>
      <c r="DX6" s="251">
        <f>SUMIFS('2020'!$BB:$BB,'2020'!$B:$B,'Для расчета ЗП'!$A6,'2020'!$G:$G,4)</f>
        <v>0</v>
      </c>
      <c r="DY6" s="251">
        <f>SUMIFS('2020'!$BX:$BX,'2020'!$B:$B,'Для расчета ЗП'!$A6,'2020'!$G:$G,4)</f>
        <v>0</v>
      </c>
      <c r="DZ6" s="251"/>
      <c r="EA6" s="251">
        <f t="shared" ref="EA6:EA17" si="62">DS6+DT6+DW6</f>
        <v>0</v>
      </c>
      <c r="EB6" s="251"/>
      <c r="EC6" s="251">
        <f>SUMIFS('2020'!$CH:$CH,'2020'!$B:$B,'Для расчета ЗП'!$A6,'2020'!$G:$G,4)</f>
        <v>0</v>
      </c>
      <c r="ED6" s="252">
        <f>SUMIF('2020'!$B:$B,'Для расчета ЗП'!$A6,('2020'!$P:$P))</f>
        <v>1150</v>
      </c>
      <c r="EE6" s="251">
        <f>SUMIF('2020'!$B:$B,'Для расчета ЗП'!$A6,('2020'!$BL:$BL))</f>
        <v>113404221</v>
      </c>
      <c r="EF6" s="253">
        <f>SUMIF('2020'!$B:$B,'Для расчета ЗП'!$A6,('2020'!$CH:$CH))</f>
        <v>133306096</v>
      </c>
      <c r="EG6" s="254">
        <f t="shared" si="16"/>
        <v>-133306.1</v>
      </c>
      <c r="EH6" s="239"/>
      <c r="EI6" s="239"/>
      <c r="EJ6" s="255">
        <f t="shared" si="17"/>
        <v>0</v>
      </c>
      <c r="EK6" s="239" t="e">
        <f t="shared" ref="EK6:EK20" si="63">EJ6/EJ$21</f>
        <v>#DIV/0!</v>
      </c>
      <c r="EL6" s="239" t="e">
        <f t="shared" ref="EL6:EL17" si="64">ROUND(EK$22*EK6,1)</f>
        <v>#DIV/0!</v>
      </c>
      <c r="EM6" s="255" t="e">
        <f t="shared" si="18"/>
        <v>#DIV/0!</v>
      </c>
      <c r="EN6" s="255" t="e">
        <f t="shared" si="19"/>
        <v>#DIV/0!</v>
      </c>
      <c r="EO6" s="256" t="e">
        <f t="shared" si="20"/>
        <v>#DIV/0!</v>
      </c>
      <c r="EP6" s="255" t="e">
        <f>ROUND((SUMIF(#REF!,#REF!,(#REF!))-SUMIFS(#REF!,#REF!,#REF!,#REF!,4)),1)</f>
        <v>#REF!</v>
      </c>
      <c r="EQ6" s="255" t="e">
        <f>EP6*#REF!</f>
        <v>#REF!</v>
      </c>
      <c r="ER6" s="262" t="e">
        <f>ROUND(SUMIFS(#REF!,#REF!,'Для расчета ЗП'!$A6,#REF!,1),1)</f>
        <v>#REF!</v>
      </c>
      <c r="ES6" s="262" t="e">
        <f>ROUND(SUMIFS(#REF!,#REF!,'Для расчета ЗП'!$A6,#REF!,1),1)</f>
        <v>#REF!</v>
      </c>
      <c r="ET6" s="262" t="e">
        <f>ROUND(SUMIFS(#REF!,#REF!,'Для расчета ЗП'!$A6,#REF!,1),1)</f>
        <v>#REF!</v>
      </c>
      <c r="EU6" s="263" t="e">
        <f>ROUND((SUMIF(#REF!,#REF!,(#REF!))-SUMIFS(#REF!,#REF!,#REF!,#REF!,4)),1)</f>
        <v>#REF!</v>
      </c>
      <c r="EV6" s="263" t="e">
        <f>EU6*#REF!</f>
        <v>#REF!</v>
      </c>
    </row>
    <row r="7" spans="1:152" ht="45" x14ac:dyDescent="0.25">
      <c r="A7" s="6">
        <v>3</v>
      </c>
      <c r="B7" s="7" t="s">
        <v>45</v>
      </c>
      <c r="C7" s="38">
        <f>SUMIF('2020'!$B:$B,'Для расчета ЗП'!$A7,('2020'!$P:$P))-SUMIFS('2020'!$P:$P,'2020'!$B:$B,'Для расчета ЗП'!$A7,'2020'!$G:$G,4)</f>
        <v>838</v>
      </c>
      <c r="D7" s="38">
        <f>SUMIFS('2020'!$P:$P,'2020'!$B:$B,'Для расчета ЗП'!$A7,'2020'!$G:$G,1,'2020'!$I:$I,0)</f>
        <v>458</v>
      </c>
      <c r="E7" s="38">
        <f>SUMIFS('2020'!$P:$P,'2020'!$B:$B,'Для расчета ЗП'!$A7,'2020'!$G:$G,1,'2020'!$I:$I,3)</f>
        <v>327</v>
      </c>
      <c r="F7" s="38">
        <f>SUMIFS('2020'!$P:$P,'2020'!$B:$B,'Для расчета ЗП'!$A7,'2020'!$G:$G,2,'2020'!$I:$I,0)</f>
        <v>13</v>
      </c>
      <c r="G7" s="38">
        <f>SUMIFS('2020'!$P:$P,'2020'!$B:$B,'Для расчета ЗП'!$A7,'2020'!$G:$G,2,'2020'!$I:$I,3)</f>
        <v>40</v>
      </c>
      <c r="H7" s="38">
        <f>SUMIFS('2020'!$P:$P,'2020'!$B:$B,'Для расчета ЗП'!$A7,'2020'!$G:$G,3,'2020'!$I:$I,0)</f>
        <v>0</v>
      </c>
      <c r="I7" s="38">
        <f>SUMIFS('2020'!$P:$P,'2020'!$B:$B,'Для расчета ЗП'!$A7,'2020'!$G:$G,3,'2020'!$I:$I,3)</f>
        <v>0</v>
      </c>
      <c r="J7" s="66">
        <f>ROUND((SUMIF('2020'!$B:$B,'Для расчета ЗП'!$A7,('2020'!$BL:$BL))-SUMIFS('2020'!$BL:$BL,'2020'!$B:$B,'Для расчета ЗП'!$A7,'2020'!$G:$G,4))/1000,1)</f>
        <v>66641.3</v>
      </c>
      <c r="K7" s="66">
        <f t="shared" si="21"/>
        <v>11611.1</v>
      </c>
      <c r="L7" s="37">
        <f>ROUND((SUMIF('2020'!$B:$B,'Для расчета ЗП'!$A7,('2020'!$AQ:$AQ))-SUMIFS('2020'!$AQ:$AQ,'2020'!$B:$B,'Для расчета ЗП'!$A7,'2020'!$G:$G,4)+SUMIF('2020'!$B:$B,'Для расчета ЗП'!$A7,('2020'!$BH:$BH))-SUMIFS('2020'!$BH:$BH,'2020'!$B:$B,'Для расчета ЗП'!$A7,'2020'!$G:$G,4))/1000,1)</f>
        <v>41173.9</v>
      </c>
      <c r="M7" s="37">
        <f>ROUND((SUMIF('2020'!$B:$B,'Для расчета ЗП'!$A7,('2020'!$BM:$BM))-SUMIFS('2020'!$BM:$BM,'2020'!$B:$B,'Для расчета ЗП'!$A7,'2020'!$G:$G,4)+SUMIF('2020'!$B:$B,'Для расчета ЗП'!$A7,('2020'!$CD:$CD))-SUMIFS('2020'!$CD:$CD,'2020'!$B:$B,'Для расчета ЗП'!$A7,'2020'!$G:$G,4))/1000,1)</f>
        <v>52785</v>
      </c>
      <c r="N7" s="66">
        <f t="shared" si="22"/>
        <v>1577.3</v>
      </c>
      <c r="O7" s="37">
        <f>ROUND((SUMIF('2020'!$B:$B,'Для расчета ЗП'!$A7,('2020'!$BB:$BB))-SUMIFS('2020'!$BB:$BB,'2020'!$B:$B,'Для расчета ЗП'!$A7,'2020'!$G:$G,4))/1000,1)</f>
        <v>1360.9</v>
      </c>
      <c r="P7" s="37">
        <f>ROUND((SUMIF('2020'!$B:$B,'Для расчета ЗП'!$A7,('2020'!$BX:$BX))-SUMIFS('2020'!$BX:$BX,'2020'!$B:$B,'Для расчета ЗП'!$A7,'2020'!$G:$G,4))/1000,1)</f>
        <v>2938.2</v>
      </c>
      <c r="Q7" s="163">
        <f t="shared" si="23"/>
        <v>79829.7</v>
      </c>
      <c r="R7" s="66">
        <v>7929.9</v>
      </c>
      <c r="S7" s="144">
        <f t="shared" si="0"/>
        <v>87759.6</v>
      </c>
      <c r="T7" s="139">
        <v>97963.5</v>
      </c>
      <c r="U7" s="139">
        <f t="shared" si="24"/>
        <v>10203.9</v>
      </c>
      <c r="V7" s="167">
        <f>Q7*Q23</f>
        <v>52492.5</v>
      </c>
      <c r="W7" s="205">
        <f t="shared" si="25"/>
        <v>60422.400000000001</v>
      </c>
      <c r="X7" s="187">
        <f t="shared" si="26"/>
        <v>-27337.200000000001</v>
      </c>
      <c r="Y7" s="46">
        <f t="shared" si="1"/>
        <v>60422.400000000001</v>
      </c>
      <c r="Z7" s="46">
        <f>SUMIF('2020'!$B:$B,'Для расчета ЗП'!$A7,('2020'!$CH:$CH))-SUMIFS('2020'!$CH:$CH,'2020'!$B:$B,'Для расчета ЗП'!$A7,'2020'!$G:$G,4)</f>
        <v>79829619</v>
      </c>
      <c r="AA7" s="79">
        <f>SUMIFS('2020'!$P:$P,'2020'!$B:$B,'Для расчета ЗП'!$A7,'2020'!$G:$G,4)</f>
        <v>160</v>
      </c>
      <c r="AB7" s="46">
        <f>SUMIFS('2020'!$BL:$BL,'2020'!$B:$B,'Для расчета ЗП'!$A7,'2020'!$G:$G,4)</f>
        <v>12130980</v>
      </c>
      <c r="AC7" s="46">
        <f t="shared" si="27"/>
        <v>1834669</v>
      </c>
      <c r="AD7" s="46">
        <f>SUMIFS('2020'!$AQ:$AQ,'2020'!$B:$B,'Для расчета ЗП'!$A7,'2020'!$G:$G,4)+SUMIFS('2020'!$BH:$BH,'2020'!$B:$B,'Для расчета ЗП'!$A7,'2020'!$G:$G,4)</f>
        <v>6505920</v>
      </c>
      <c r="AE7" s="46">
        <f>SUMIFS('2020'!$BM:$BM,'2020'!$B:$B,'Для расчета ЗП'!$A7,'2020'!$G:$G,4)+SUMIFS('2020'!$CD:$CD,'2020'!$B:$B,'Для расчета ЗП'!$A7,'2020'!$G:$G,4)</f>
        <v>8340589</v>
      </c>
      <c r="AF7" s="46">
        <f t="shared" si="28"/>
        <v>375155</v>
      </c>
      <c r="AG7" s="46">
        <f>SUMIFS('2020'!$BB:$BB,'2020'!$B:$B,'Для расчета ЗП'!$A7,'2020'!$G:$G,4)</f>
        <v>339200</v>
      </c>
      <c r="AH7" s="46">
        <f>SUMIFS('2020'!$BX:$BX,'2020'!$B:$B,'Для расчета ЗП'!$A7,'2020'!$G:$G,4)</f>
        <v>714355</v>
      </c>
      <c r="AI7" s="46"/>
      <c r="AJ7" s="46">
        <f t="shared" si="29"/>
        <v>14340804</v>
      </c>
      <c r="AK7" s="46"/>
      <c r="AL7" s="46">
        <f>SUMIFS('2020'!$CH:$CH,'2020'!$B:$B,'Для расчета ЗП'!$A7,'2020'!$G:$G,4)</f>
        <v>14340804</v>
      </c>
      <c r="AM7" s="198">
        <f>SUMIF('2020'!$B:$B,'Для расчета ЗП'!$A7,('2020'!$P:$P))</f>
        <v>998</v>
      </c>
      <c r="AN7" s="46">
        <f>SUMIF('2020'!$B:$B,'Для расчета ЗП'!$A7,('2020'!$BL:$BL))</f>
        <v>78772247</v>
      </c>
      <c r="AO7" s="199">
        <f>SUMIF('2020'!$B:$B,'Для расчета ЗП'!$A7,('2020'!$CH:$CH))</f>
        <v>94170423</v>
      </c>
      <c r="AP7" s="48">
        <f t="shared" si="2"/>
        <v>-27337.200000000001</v>
      </c>
      <c r="AS7" s="105">
        <f t="shared" si="3"/>
        <v>52492.5</v>
      </c>
      <c r="AT7">
        <f t="shared" si="30"/>
        <v>2.1435591056332699E-2</v>
      </c>
      <c r="AU7">
        <f t="shared" si="31"/>
        <v>16808.3</v>
      </c>
      <c r="AV7" s="105">
        <f t="shared" si="4"/>
        <v>43614.1</v>
      </c>
      <c r="AW7" s="105">
        <f t="shared" si="5"/>
        <v>-44145.5</v>
      </c>
      <c r="AX7" s="111">
        <f t="shared" si="6"/>
        <v>0.44700000000000001</v>
      </c>
      <c r="AY7" s="37">
        <f>ROUND(SUMIFS('2020'!$BM:$BM,'2020'!$B:$B,'Для расчета ЗП'!$A7,'2020'!$G:$G,1),1)</f>
        <v>40438082</v>
      </c>
      <c r="AZ7" s="37">
        <f>ROUND(SUMIFS('2020'!$BM:$BM,'2020'!$B:$B,'Для расчета ЗП'!$A7,'2020'!$G:$G,2),1)</f>
        <v>1840388</v>
      </c>
      <c r="BA7" s="37">
        <f>ROUND(SUMIFS('2020'!$BM:$BM,'2020'!$B:$B,'Для расчета ЗП'!$A7,'2020'!$G:$G,3),1)</f>
        <v>0</v>
      </c>
      <c r="BB7" s="39">
        <f t="shared" si="32"/>
        <v>42278470</v>
      </c>
      <c r="BC7" s="39">
        <f>ROUND((SUMIF('2020'!$B:$B,'Для расчета ЗП'!$A7,('2020'!$BM:$BM))-SUMIFS('2020'!$BM:$BM,'2020'!$B:$B,'Для расчета ЗП'!$A7,'2020'!$G:$G,4)),1)-BB7</f>
        <v>0</v>
      </c>
      <c r="BD7" s="39">
        <f>BB7*'Свод 2020'!AA$27</f>
        <v>44893600.289999999</v>
      </c>
      <c r="BE7" s="246">
        <f>SUMIFS('2020'!$P:$P,'2020'!$B:$B,'Для расчета ЗП'!$A7,'2020'!$G:$G,3,'2020'!$I:$I,3)</f>
        <v>0</v>
      </c>
      <c r="BF7" s="247">
        <f>ROUND((SUMIF('2020'!$B:$B,'Для расчета ЗП'!$A7,('2020'!$BL:$BL))-SUMIFS('2020'!$BL:$BL,'2020'!$B:$B,'Для расчета ЗП'!$A7,'2020'!$G:$G,4))/1000,1)</f>
        <v>66641.3</v>
      </c>
      <c r="BG7" s="247">
        <f t="shared" si="33"/>
        <v>11611.1</v>
      </c>
      <c r="BH7" s="248">
        <f>ROUND((SUMIF('2020'!$B:$B,'Для расчета ЗП'!$A7,('2020'!$AQ:$AQ))-SUMIFS('2020'!$AQ:$AQ,'2020'!$B:$B,'Для расчета ЗП'!$A7,'2020'!$G:$G,4)+SUMIF('2020'!$B:$B,'Для расчета ЗП'!$A7,('2020'!$BH:$BH))-SUMIFS('2020'!$BH:$BH,'2020'!$B:$B,'Для расчета ЗП'!$A7,'2020'!$G:$G,4))/1000,1)</f>
        <v>41173.9</v>
      </c>
      <c r="BI7" s="248">
        <f>ROUND((SUMIF('2020'!$B:$B,'Для расчета ЗП'!$A7,('2020'!$BM:$BM))-SUMIFS('2020'!$BM:$BM,'2020'!$B:$B,'Для расчета ЗП'!$A7,'2020'!$G:$G,4)+SUMIF('2020'!$B:$B,'Для расчета ЗП'!$A7,('2020'!$CD:$CD))-SUMIFS('2020'!$CD:$CD,'2020'!$B:$B,'Для расчета ЗП'!$A7,'2020'!$G:$G,4))/1000,1)</f>
        <v>52785</v>
      </c>
      <c r="BJ7" s="247">
        <f t="shared" si="34"/>
        <v>1577.3</v>
      </c>
      <c r="BK7" s="248">
        <f>ROUND((SUMIF('2020'!$B:$B,'Для расчета ЗП'!$A7,('2020'!$BB:$BB))-SUMIFS('2020'!$BB:$BB,'2020'!$B:$B,'Для расчета ЗП'!$A7,'2020'!$G:$G,4))/1000,1)</f>
        <v>1360.9</v>
      </c>
      <c r="BL7" s="248">
        <f>ROUND((SUMIF('2020'!$B:$B,'Для расчета ЗП'!$A7,('2020'!$BX:$BX))-SUMIFS('2020'!$BX:$BX,'2020'!$B:$B,'Для расчета ЗП'!$A7,'2020'!$G:$G,4))/1000,1)</f>
        <v>2938.2</v>
      </c>
      <c r="BM7" s="247">
        <f t="shared" si="35"/>
        <v>79829.7</v>
      </c>
      <c r="BN7" s="247">
        <v>1528.9</v>
      </c>
      <c r="BO7" s="249">
        <f t="shared" si="36"/>
        <v>81358.600000000006</v>
      </c>
      <c r="BP7" s="248">
        <v>83544.2</v>
      </c>
      <c r="BQ7" s="248">
        <f t="shared" si="37"/>
        <v>2185.6</v>
      </c>
      <c r="BR7" s="249">
        <f t="shared" si="38"/>
        <v>0</v>
      </c>
      <c r="BS7" s="250">
        <f t="shared" si="39"/>
        <v>1528.9</v>
      </c>
      <c r="BT7" s="250">
        <f t="shared" si="40"/>
        <v>-79829.7</v>
      </c>
      <c r="BU7" s="251">
        <f t="shared" si="41"/>
        <v>1528.9</v>
      </c>
      <c r="BV7" s="251">
        <f>SUMIF('2020'!$B:$B,'Для расчета ЗП'!$A7,('2020'!$CH:$CH))-SUMIFS('2020'!$CH:$CH,'2020'!$B:$B,'Для расчета ЗП'!$A7,'2020'!$G:$G,4)</f>
        <v>79829619</v>
      </c>
      <c r="BW7" s="245">
        <f>SUMIFS('2020'!$P:$P,'2020'!$B:$B,'Для расчета ЗП'!$A7,'2020'!$G:$G,4)</f>
        <v>160</v>
      </c>
      <c r="BX7" s="251">
        <f>SUMIFS('2020'!$BL:$BL,'2020'!$B:$B,'Для расчета ЗП'!$A7,'2020'!$G:$G,4)</f>
        <v>12130980</v>
      </c>
      <c r="BY7" s="251">
        <f t="shared" si="42"/>
        <v>1834669</v>
      </c>
      <c r="BZ7" s="251">
        <f>SUMIFS('2020'!$AQ:$AQ,'2020'!$B:$B,'Для расчета ЗП'!$A7,'2020'!$G:$G,4)+SUMIFS('2020'!$BH:$BH,'2020'!$B:$B,'Для расчета ЗП'!$A7,'2020'!$G:$G,4)</f>
        <v>6505920</v>
      </c>
      <c r="CA7" s="251">
        <f>SUMIFS('2020'!$BM:$BM,'2020'!$B:$B,'Для расчета ЗП'!$A7,'2020'!$G:$G,4)+SUMIFS('2020'!$CD:$CD,'2020'!$B:$B,'Для расчета ЗП'!$A7,'2020'!$G:$G,4)</f>
        <v>8340589</v>
      </c>
      <c r="CB7" s="251">
        <f t="shared" si="43"/>
        <v>375155</v>
      </c>
      <c r="CC7" s="251">
        <f>SUMIFS('2020'!$BB:$BB,'2020'!$B:$B,'Для расчета ЗП'!$A7,'2020'!$G:$G,4)</f>
        <v>339200</v>
      </c>
      <c r="CD7" s="251">
        <f>SUMIFS('2020'!$BX:$BX,'2020'!$B:$B,'Для расчета ЗП'!$A7,'2020'!$G:$G,4)</f>
        <v>714355</v>
      </c>
      <c r="CE7" s="251"/>
      <c r="CF7" s="251">
        <f t="shared" si="44"/>
        <v>14340804</v>
      </c>
      <c r="CG7" s="251"/>
      <c r="CH7" s="251">
        <f>SUMIFS('2020'!$CH:$CH,'2020'!$B:$B,'Для расчета ЗП'!$A7,'2020'!$G:$G,4)</f>
        <v>14340804</v>
      </c>
      <c r="CI7" s="252">
        <f>SUMIF('2020'!$B:$B,'Для расчета ЗП'!$A7,('2020'!$P:$P))</f>
        <v>998</v>
      </c>
      <c r="CJ7" s="251">
        <f>SUMIF('2020'!$B:$B,'Для расчета ЗП'!$A7,('2020'!$BL:$BL))</f>
        <v>78772247</v>
      </c>
      <c r="CK7" s="253">
        <f>SUMIF('2020'!$B:$B,'Для расчета ЗП'!$A7,('2020'!$CH:$CH))</f>
        <v>94170423</v>
      </c>
      <c r="CL7" s="254">
        <f t="shared" si="45"/>
        <v>-79829.7</v>
      </c>
      <c r="CM7" s="239"/>
      <c r="CN7" s="255">
        <f t="shared" si="46"/>
        <v>79829.7</v>
      </c>
      <c r="CO7" s="255">
        <f t="shared" si="47"/>
        <v>0</v>
      </c>
      <c r="CP7" s="239" t="e">
        <f t="shared" si="48"/>
        <v>#DIV/0!</v>
      </c>
      <c r="CQ7" s="239" t="e">
        <f t="shared" si="49"/>
        <v>#DIV/0!</v>
      </c>
      <c r="CR7" s="255" t="e">
        <f t="shared" si="50"/>
        <v>#DIV/0!</v>
      </c>
      <c r="CS7" s="255" t="e">
        <f t="shared" si="51"/>
        <v>#DIV/0!</v>
      </c>
      <c r="CT7" s="256" t="e">
        <f t="shared" si="52"/>
        <v>#DIV/0!</v>
      </c>
      <c r="CU7" s="248" t="e">
        <f>ROUND(SUMIFS(#REF!,#REF!,'Для расчета ЗП'!$A7,#REF!,1),1)</f>
        <v>#REF!</v>
      </c>
      <c r="CV7" s="248" t="e">
        <f>ROUND(SUMIFS(#REF!,#REF!,'Для расчета ЗП'!$A7,#REF!,2),1)</f>
        <v>#REF!</v>
      </c>
      <c r="CW7" s="248" t="e">
        <f>ROUND(SUMIFS(#REF!,#REF!,'Для расчета ЗП'!$A7,#REF!,3),1)</f>
        <v>#REF!</v>
      </c>
      <c r="CX7" s="257" t="e">
        <f t="shared" si="53"/>
        <v>#REF!</v>
      </c>
      <c r="CY7" s="257" t="e">
        <f>ROUND((SUMIF('2020'!$B:$B,'Для расчета ЗП'!$A7,('2020'!$BM:$BM))-SUMIFS('2020'!$BM:$BM,'2020'!$B:$B,'Для расчета ЗП'!$A7,'2020'!$G:$G,4)),1)-CX7</f>
        <v>#REF!</v>
      </c>
      <c r="CZ7" s="246">
        <f>SUMIFS('2020'!$P:$P,'2020'!$B:$B,'Для расчета ЗП'!$A7,'2020'!$G:$G,3,'2020'!$I:$I,3)</f>
        <v>0</v>
      </c>
      <c r="DA7" s="247">
        <f>ROUND((SUMIF('2020'!$B:$B,'Для расчета ЗП'!$A7,('2020'!$BL:$BL))-SUMIFS('2020'!$BL:$BL,'2020'!$B:$B,'Для расчета ЗП'!$A7,'2020'!$G:$G,4))/1000,1)</f>
        <v>66641.3</v>
      </c>
      <c r="DB7" s="247">
        <f t="shared" si="54"/>
        <v>11611.1</v>
      </c>
      <c r="DC7" s="248">
        <f>ROUND((SUMIF('2020'!$B:$B,'Для расчета ЗП'!$A7,('2020'!$AQ:$AQ))-SUMIFS('2020'!$AQ:$AQ,'2020'!$B:$B,'Для расчета ЗП'!$A7,'2020'!$G:$G,4)+SUMIF('2020'!$B:$B,'Для расчета ЗП'!$A7,('2020'!$BH:$BH))-SUMIFS('2020'!$BH:$BH,'2020'!$B:$B,'Для расчета ЗП'!$A7,'2020'!$G:$G,4))/1000,1)</f>
        <v>41173.9</v>
      </c>
      <c r="DD7" s="248">
        <f>ROUND((SUMIF('2020'!$B:$B,'Для расчета ЗП'!$A7,('2020'!$BM:$BM))-SUMIFS('2020'!$BM:$BM,'2020'!$B:$B,'Для расчета ЗП'!$A7,'2020'!$G:$G,4)+SUMIF('2020'!$B:$B,'Для расчета ЗП'!$A7,('2020'!$CD:$CD))-SUMIFS('2020'!$CD:$CD,'2020'!$B:$B,'Для расчета ЗП'!$A7,'2020'!$G:$G,4))/1000,1)</f>
        <v>52785</v>
      </c>
      <c r="DE7" s="247">
        <f t="shared" si="55"/>
        <v>1577.3</v>
      </c>
      <c r="DF7" s="248">
        <f>ROUND((SUMIF('2020'!$B:$B,'Для расчета ЗП'!$A7,('2020'!$BB:$BB))-SUMIFS('2020'!$BB:$BB,'2020'!$B:$B,'Для расчета ЗП'!$A7,'2020'!$G:$G,4))/1000,1)</f>
        <v>1360.9</v>
      </c>
      <c r="DG7" s="248">
        <f>ROUND((SUMIF('2020'!$B:$B,'Для расчета ЗП'!$A7,('2020'!$BX:$BX))-SUMIFS('2020'!$BX:$BX,'2020'!$B:$B,'Для расчета ЗП'!$A7,'2020'!$G:$G,4))/1000,1)</f>
        <v>2938.2</v>
      </c>
      <c r="DH7" s="247">
        <f t="shared" si="56"/>
        <v>79829.7</v>
      </c>
      <c r="DI7" s="247">
        <v>7929.9</v>
      </c>
      <c r="DJ7" s="249">
        <f t="shared" si="14"/>
        <v>87759.6</v>
      </c>
      <c r="DK7" s="248">
        <v>97963.5</v>
      </c>
      <c r="DL7" s="248">
        <f t="shared" si="57"/>
        <v>10203.9</v>
      </c>
      <c r="DM7" s="249">
        <f>DH7*DH23</f>
        <v>0</v>
      </c>
      <c r="DN7" s="250">
        <f t="shared" si="58"/>
        <v>7929.9</v>
      </c>
      <c r="DO7" s="250">
        <f t="shared" si="59"/>
        <v>-79829.7</v>
      </c>
      <c r="DP7" s="251">
        <f t="shared" si="15"/>
        <v>7929.9</v>
      </c>
      <c r="DQ7" s="251">
        <f>SUMIF('2020'!$B:$B,'Для расчета ЗП'!$A7,('2020'!$CH:$CH))-SUMIFS('2020'!$CH:$CH,'2020'!$B:$B,'Для расчета ЗП'!$A7,'2020'!$G:$G,4)</f>
        <v>79829619</v>
      </c>
      <c r="DR7" s="245">
        <f>SUMIFS('2020'!$P:$P,'2020'!$B:$B,'Для расчета ЗП'!$A7,'2020'!$G:$G,4)</f>
        <v>160</v>
      </c>
      <c r="DS7" s="251">
        <f>SUMIFS('2020'!$BL:$BL,'2020'!$B:$B,'Для расчета ЗП'!$A7,'2020'!$G:$G,4)</f>
        <v>12130980</v>
      </c>
      <c r="DT7" s="251">
        <f t="shared" si="60"/>
        <v>1834669</v>
      </c>
      <c r="DU7" s="251">
        <f>SUMIFS('2020'!$AQ:$AQ,'2020'!$B:$B,'Для расчета ЗП'!$A7,'2020'!$G:$G,4)+SUMIFS('2020'!$BH:$BH,'2020'!$B:$B,'Для расчета ЗП'!$A7,'2020'!$G:$G,4)</f>
        <v>6505920</v>
      </c>
      <c r="DV7" s="251">
        <f>SUMIFS('2020'!$BM:$BM,'2020'!$B:$B,'Для расчета ЗП'!$A7,'2020'!$G:$G,4)+SUMIFS('2020'!$CD:$CD,'2020'!$B:$B,'Для расчета ЗП'!$A7,'2020'!$G:$G,4)</f>
        <v>8340589</v>
      </c>
      <c r="DW7" s="251">
        <f t="shared" si="61"/>
        <v>375155</v>
      </c>
      <c r="DX7" s="251">
        <f>SUMIFS('2020'!$BB:$BB,'2020'!$B:$B,'Для расчета ЗП'!$A7,'2020'!$G:$G,4)</f>
        <v>339200</v>
      </c>
      <c r="DY7" s="251">
        <f>SUMIFS('2020'!$BX:$BX,'2020'!$B:$B,'Для расчета ЗП'!$A7,'2020'!$G:$G,4)</f>
        <v>714355</v>
      </c>
      <c r="DZ7" s="251"/>
      <c r="EA7" s="251">
        <f t="shared" si="62"/>
        <v>14340804</v>
      </c>
      <c r="EB7" s="251"/>
      <c r="EC7" s="251">
        <f>SUMIFS('2020'!$CH:$CH,'2020'!$B:$B,'Для расчета ЗП'!$A7,'2020'!$G:$G,4)</f>
        <v>14340804</v>
      </c>
      <c r="ED7" s="252">
        <f>SUMIF('2020'!$B:$B,'Для расчета ЗП'!$A7,('2020'!$P:$P))</f>
        <v>998</v>
      </c>
      <c r="EE7" s="251">
        <f>SUMIF('2020'!$B:$B,'Для расчета ЗП'!$A7,('2020'!$BL:$BL))</f>
        <v>78772247</v>
      </c>
      <c r="EF7" s="253">
        <f>SUMIF('2020'!$B:$B,'Для расчета ЗП'!$A7,('2020'!$CH:$CH))</f>
        <v>94170423</v>
      </c>
      <c r="EG7" s="254">
        <f t="shared" si="16"/>
        <v>-79829.7</v>
      </c>
      <c r="EH7" s="239"/>
      <c r="EI7" s="239"/>
      <c r="EJ7" s="255">
        <f t="shared" si="17"/>
        <v>0</v>
      </c>
      <c r="EK7" s="239" t="e">
        <f t="shared" si="63"/>
        <v>#DIV/0!</v>
      </c>
      <c r="EL7" s="239" t="e">
        <f t="shared" si="64"/>
        <v>#DIV/0!</v>
      </c>
      <c r="EM7" s="255" t="e">
        <f t="shared" si="18"/>
        <v>#DIV/0!</v>
      </c>
      <c r="EN7" s="255" t="e">
        <f t="shared" si="19"/>
        <v>#DIV/0!</v>
      </c>
      <c r="EO7" s="256" t="e">
        <f t="shared" si="20"/>
        <v>#DIV/0!</v>
      </c>
      <c r="EP7" s="255" t="e">
        <f>ROUND((SUMIF(#REF!,#REF!,(#REF!))-SUMIFS(#REF!,#REF!,#REF!,#REF!,4)),1)</f>
        <v>#REF!</v>
      </c>
      <c r="EQ7" s="255" t="e">
        <f>EP7*#REF!</f>
        <v>#REF!</v>
      </c>
      <c r="ER7" s="262" t="e">
        <f>ROUND(SUMIFS(#REF!,#REF!,'Для расчета ЗП'!$A7,#REF!,1),1)</f>
        <v>#REF!</v>
      </c>
      <c r="ES7" s="262" t="e">
        <f>ROUND(SUMIFS(#REF!,#REF!,'Для расчета ЗП'!$A7,#REF!,1),1)</f>
        <v>#REF!</v>
      </c>
      <c r="ET7" s="262" t="e">
        <f>ROUND(SUMIFS(#REF!,#REF!,'Для расчета ЗП'!$A7,#REF!,1),1)</f>
        <v>#REF!</v>
      </c>
      <c r="EU7" s="263" t="e">
        <f>ROUND((SUMIF(#REF!,#REF!,(#REF!))-SUMIFS(#REF!,#REF!,#REF!,#REF!,4)),1)</f>
        <v>#REF!</v>
      </c>
      <c r="EV7" s="263" t="e">
        <f>EU7*#REF!</f>
        <v>#REF!</v>
      </c>
    </row>
    <row r="8" spans="1:152" ht="45" x14ac:dyDescent="0.25">
      <c r="A8" s="6">
        <v>4</v>
      </c>
      <c r="B8" s="7" t="s">
        <v>46</v>
      </c>
      <c r="C8" s="38">
        <f>SUMIF('2020'!$B:$B,'Для расчета ЗП'!$A8,('2020'!$P:$P))-SUMIFS('2020'!$P:$P,'2020'!$B:$B,'Для расчета ЗП'!$A8,'2020'!$G:$G,4)</f>
        <v>714</v>
      </c>
      <c r="D8" s="38">
        <f>SUMIFS('2020'!$P:$P,'2020'!$B:$B,'Для расчета ЗП'!$A8,'2020'!$G:$G,1,'2020'!$I:$I,0)</f>
        <v>437</v>
      </c>
      <c r="E8" s="38">
        <f>SUMIFS('2020'!$P:$P,'2020'!$B:$B,'Для расчета ЗП'!$A8,'2020'!$G:$G,1,'2020'!$I:$I,3)</f>
        <v>205</v>
      </c>
      <c r="F8" s="38">
        <f>SUMIFS('2020'!$P:$P,'2020'!$B:$B,'Для расчета ЗП'!$A8,'2020'!$G:$G,2,'2020'!$I:$I,0)</f>
        <v>30</v>
      </c>
      <c r="G8" s="38">
        <f>SUMIFS('2020'!$P:$P,'2020'!$B:$B,'Для расчета ЗП'!$A8,'2020'!$G:$G,2,'2020'!$I:$I,3)</f>
        <v>30</v>
      </c>
      <c r="H8" s="38">
        <f>SUMIFS('2020'!$P:$P,'2020'!$B:$B,'Для расчета ЗП'!$A8,'2020'!$G:$G,3,'2020'!$I:$I,0)</f>
        <v>12</v>
      </c>
      <c r="I8" s="38">
        <f>SUMIFS('2020'!$P:$P,'2020'!$B:$B,'Для расчета ЗП'!$A8,'2020'!$G:$G,3,'2020'!$I:$I,3)</f>
        <v>0</v>
      </c>
      <c r="J8" s="66">
        <f>ROUND((SUMIF('2020'!$B:$B,'Для расчета ЗП'!$A8,('2020'!$BL:$BL))-SUMIFS('2020'!$BL:$BL,'2020'!$B:$B,'Для расчета ЗП'!$A8,'2020'!$G:$G,4))/1000,1)</f>
        <v>66725.2</v>
      </c>
      <c r="K8" s="66">
        <f t="shared" si="21"/>
        <v>42603.5</v>
      </c>
      <c r="L8" s="37">
        <f>ROUND((SUMIF('2020'!$B:$B,'Для расчета ЗП'!$A8,('2020'!$AQ:$AQ))-SUMIFS('2020'!$AQ:$AQ,'2020'!$B:$B,'Для расчета ЗП'!$A8,'2020'!$G:$G,4)+SUMIF('2020'!$B:$B,'Для расчета ЗП'!$A8,('2020'!$BH:$BH))-SUMIFS('2020'!$BH:$BH,'2020'!$B:$B,'Для расчета ЗП'!$A8,'2020'!$G:$G,4))/1000,1)</f>
        <v>41483.5</v>
      </c>
      <c r="M8" s="37">
        <f>ROUND((SUMIF('2020'!$B:$B,'Для расчета ЗП'!$A8,('2020'!$BM:$BM))-SUMIFS('2020'!$BM:$BM,'2020'!$B:$B,'Для расчета ЗП'!$A8,'2020'!$G:$G,4)+SUMIF('2020'!$B:$B,'Для расчета ЗП'!$A8,('2020'!$CD:$CD))-SUMIFS('2020'!$CD:$CD,'2020'!$B:$B,'Для расчета ЗП'!$A8,'2020'!$G:$G,4))/1000,1)</f>
        <v>84087</v>
      </c>
      <c r="N8" s="66">
        <f t="shared" si="22"/>
        <v>3133</v>
      </c>
      <c r="O8" s="37">
        <f>ROUND((SUMIF('2020'!$B:$B,'Для расчета ЗП'!$A8,('2020'!$BB:$BB))-SUMIFS('2020'!$BB:$BB,'2020'!$B:$B,'Для расчета ЗП'!$A8,'2020'!$G:$G,4))/1000,1)</f>
        <v>1346.9</v>
      </c>
      <c r="P8" s="37">
        <f>ROUND((SUMIF('2020'!$B:$B,'Для расчета ЗП'!$A8,('2020'!$BX:$BX))-SUMIFS('2020'!$BX:$BX,'2020'!$B:$B,'Для расчета ЗП'!$A8,'2020'!$G:$G,4))/1000,1)</f>
        <v>4479.8999999999996</v>
      </c>
      <c r="Q8" s="163">
        <f t="shared" si="23"/>
        <v>112461.7</v>
      </c>
      <c r="R8" s="66">
        <v>5967</v>
      </c>
      <c r="S8" s="144">
        <f t="shared" si="0"/>
        <v>118428.7</v>
      </c>
      <c r="T8" s="139">
        <v>121369.2</v>
      </c>
      <c r="U8" s="139">
        <f t="shared" si="24"/>
        <v>2940.5</v>
      </c>
      <c r="V8" s="167">
        <f>Q8*Q23</f>
        <v>73949.87</v>
      </c>
      <c r="W8" s="205">
        <f t="shared" si="25"/>
        <v>79916.87</v>
      </c>
      <c r="X8" s="187">
        <f t="shared" si="26"/>
        <v>-38511.83</v>
      </c>
      <c r="Y8" s="46">
        <f t="shared" si="1"/>
        <v>79916.899999999994</v>
      </c>
      <c r="Z8" s="46">
        <f>SUMIF('2020'!$B:$B,'Для расчета ЗП'!$A8,('2020'!$CH:$CH))-SUMIFS('2020'!$CH:$CH,'2020'!$B:$B,'Для расчета ЗП'!$A8,'2020'!$G:$G,4)</f>
        <v>112461693</v>
      </c>
      <c r="AA8" s="79">
        <f>SUMIFS('2020'!$P:$P,'2020'!$B:$B,'Для расчета ЗП'!$A8,'2020'!$G:$G,4)</f>
        <v>0</v>
      </c>
      <c r="AB8" s="46">
        <f>SUMIFS('2020'!$BL:$BL,'2020'!$B:$B,'Для расчета ЗП'!$A8,'2020'!$G:$G,4)</f>
        <v>0</v>
      </c>
      <c r="AC8" s="46">
        <f t="shared" si="27"/>
        <v>0</v>
      </c>
      <c r="AD8" s="46">
        <f>SUMIFS('2020'!$AQ:$AQ,'2020'!$B:$B,'Для расчета ЗП'!$A8,'2020'!$G:$G,4)+SUMIFS('2020'!$BH:$BH,'2020'!$B:$B,'Для расчета ЗП'!$A8,'2020'!$G:$G,4)</f>
        <v>0</v>
      </c>
      <c r="AE8" s="46">
        <f>SUMIFS('2020'!$BM:$BM,'2020'!$B:$B,'Для расчета ЗП'!$A8,'2020'!$G:$G,4)+SUMIFS('2020'!$CD:$CD,'2020'!$B:$B,'Для расчета ЗП'!$A8,'2020'!$G:$G,4)</f>
        <v>0</v>
      </c>
      <c r="AF8" s="46">
        <f t="shared" si="28"/>
        <v>0</v>
      </c>
      <c r="AG8" s="46">
        <f>SUMIFS('2020'!$BB:$BB,'2020'!$B:$B,'Для расчета ЗП'!$A8,'2020'!$G:$G,4)</f>
        <v>0</v>
      </c>
      <c r="AH8" s="46">
        <f>SUMIFS('2020'!$BX:$BX,'2020'!$B:$B,'Для расчета ЗП'!$A8,'2020'!$G:$G,4)</f>
        <v>0</v>
      </c>
      <c r="AI8" s="46"/>
      <c r="AJ8" s="46">
        <f t="shared" si="29"/>
        <v>0</v>
      </c>
      <c r="AK8" s="46"/>
      <c r="AL8" s="46">
        <f>SUMIFS('2020'!$CH:$CH,'2020'!$B:$B,'Для расчета ЗП'!$A8,'2020'!$G:$G,4)</f>
        <v>0</v>
      </c>
      <c r="AM8" s="198">
        <f>SUMIF('2020'!$B:$B,'Для расчета ЗП'!$A8,('2020'!$P:$P))</f>
        <v>714</v>
      </c>
      <c r="AN8" s="46">
        <f>SUMIF('2020'!$B:$B,'Для расчета ЗП'!$A8,('2020'!$BL:$BL))</f>
        <v>66725166</v>
      </c>
      <c r="AO8" s="199">
        <f>SUMIF('2020'!$B:$B,'Для расчета ЗП'!$A8,('2020'!$CH:$CH))</f>
        <v>112461693</v>
      </c>
      <c r="AP8" s="48">
        <f t="shared" si="2"/>
        <v>-38511.800000000003</v>
      </c>
      <c r="AS8" s="105">
        <f t="shared" si="3"/>
        <v>73949.899999999994</v>
      </c>
      <c r="AT8">
        <f t="shared" si="30"/>
        <v>3.01978342631175E-2</v>
      </c>
      <c r="AU8">
        <f t="shared" si="31"/>
        <v>23679</v>
      </c>
      <c r="AV8" s="105">
        <f t="shared" si="4"/>
        <v>56237.9</v>
      </c>
      <c r="AW8" s="105">
        <f t="shared" si="5"/>
        <v>-62190.8</v>
      </c>
      <c r="AX8" s="111">
        <f t="shared" si="6"/>
        <v>0.44700000000000001</v>
      </c>
      <c r="AY8" s="37">
        <f>ROUND(SUMIFS('2020'!$BM:$BM,'2020'!$B:$B,'Для расчета ЗП'!$A8,'2020'!$G:$G,1),1)</f>
        <v>60359482</v>
      </c>
      <c r="AZ8" s="37">
        <f>ROUND(SUMIFS('2020'!$BM:$BM,'2020'!$B:$B,'Для расчета ЗП'!$A8,'2020'!$G:$G,2),1)</f>
        <v>5223417</v>
      </c>
      <c r="BA8" s="37">
        <f>ROUND(SUMIFS('2020'!$BM:$BM,'2020'!$B:$B,'Для расчета ЗП'!$A8,'2020'!$G:$G,3),1)</f>
        <v>1908218</v>
      </c>
      <c r="BB8" s="39">
        <f t="shared" si="32"/>
        <v>67491117</v>
      </c>
      <c r="BC8" s="39">
        <f>ROUND((SUMIF('2020'!$B:$B,'Для расчета ЗП'!$A8,('2020'!$BM:$BM))-SUMIFS('2020'!$BM:$BM,'2020'!$B:$B,'Для расчета ЗП'!$A8,'2020'!$G:$G,4)),1)-BB8</f>
        <v>0</v>
      </c>
      <c r="BD8" s="39">
        <f>BB8*'Свод 2020'!AA$27</f>
        <v>71665772.900000006</v>
      </c>
      <c r="BE8" s="246">
        <f>SUMIFS('2020'!$P:$P,'2020'!$B:$B,'Для расчета ЗП'!$A8,'2020'!$G:$G,3,'2020'!$I:$I,3)</f>
        <v>0</v>
      </c>
      <c r="BF8" s="247">
        <f>ROUND((SUMIF('2020'!$B:$B,'Для расчета ЗП'!$A8,('2020'!$BL:$BL))-SUMIFS('2020'!$BL:$BL,'2020'!$B:$B,'Для расчета ЗП'!$A8,'2020'!$G:$G,4))/1000,1)</f>
        <v>66725.2</v>
      </c>
      <c r="BG8" s="247">
        <f t="shared" si="33"/>
        <v>42603.5</v>
      </c>
      <c r="BH8" s="248">
        <f>ROUND((SUMIF('2020'!$B:$B,'Для расчета ЗП'!$A8,('2020'!$AQ:$AQ))-SUMIFS('2020'!$AQ:$AQ,'2020'!$B:$B,'Для расчета ЗП'!$A8,'2020'!$G:$G,4)+SUMIF('2020'!$B:$B,'Для расчета ЗП'!$A8,('2020'!$BH:$BH))-SUMIFS('2020'!$BH:$BH,'2020'!$B:$B,'Для расчета ЗП'!$A8,'2020'!$G:$G,4))/1000,1)</f>
        <v>41483.5</v>
      </c>
      <c r="BI8" s="248">
        <f>ROUND((SUMIF('2020'!$B:$B,'Для расчета ЗП'!$A8,('2020'!$BM:$BM))-SUMIFS('2020'!$BM:$BM,'2020'!$B:$B,'Для расчета ЗП'!$A8,'2020'!$G:$G,4)+SUMIF('2020'!$B:$B,'Для расчета ЗП'!$A8,('2020'!$CD:$CD))-SUMIFS('2020'!$CD:$CD,'2020'!$B:$B,'Для расчета ЗП'!$A8,'2020'!$G:$G,4))/1000,1)</f>
        <v>84087</v>
      </c>
      <c r="BJ8" s="247">
        <f t="shared" si="34"/>
        <v>3133</v>
      </c>
      <c r="BK8" s="248">
        <f>ROUND((SUMIF('2020'!$B:$B,'Для расчета ЗП'!$A8,('2020'!$BB:$BB))-SUMIFS('2020'!$BB:$BB,'2020'!$B:$B,'Для расчета ЗП'!$A8,'2020'!$G:$G,4))/1000,1)</f>
        <v>1346.9</v>
      </c>
      <c r="BL8" s="248">
        <f>ROUND((SUMIF('2020'!$B:$B,'Для расчета ЗП'!$A8,('2020'!$BX:$BX))-SUMIFS('2020'!$BX:$BX,'2020'!$B:$B,'Для расчета ЗП'!$A8,'2020'!$G:$G,4))/1000,1)</f>
        <v>4479.8999999999996</v>
      </c>
      <c r="BM8" s="247">
        <f t="shared" si="35"/>
        <v>112461.7</v>
      </c>
      <c r="BN8" s="247">
        <v>1529.9</v>
      </c>
      <c r="BO8" s="249">
        <f t="shared" si="36"/>
        <v>113991.6</v>
      </c>
      <c r="BP8" s="248">
        <v>83545.2</v>
      </c>
      <c r="BQ8" s="248">
        <f t="shared" si="37"/>
        <v>-30446.400000000001</v>
      </c>
      <c r="BR8" s="249">
        <f t="shared" si="38"/>
        <v>0</v>
      </c>
      <c r="BS8" s="250">
        <f t="shared" si="39"/>
        <v>1529.9</v>
      </c>
      <c r="BT8" s="250">
        <f t="shared" si="40"/>
        <v>-112461.7</v>
      </c>
      <c r="BU8" s="251">
        <f t="shared" si="41"/>
        <v>1529.9</v>
      </c>
      <c r="BV8" s="251">
        <f>SUMIF('2020'!$B:$B,'Для расчета ЗП'!$A8,('2020'!$CH:$CH))-SUMIFS('2020'!$CH:$CH,'2020'!$B:$B,'Для расчета ЗП'!$A8,'2020'!$G:$G,4)</f>
        <v>112461693</v>
      </c>
      <c r="BW8" s="245">
        <f>SUMIFS('2020'!$P:$P,'2020'!$B:$B,'Для расчета ЗП'!$A8,'2020'!$G:$G,4)</f>
        <v>0</v>
      </c>
      <c r="BX8" s="251">
        <f>SUMIFS('2020'!$BL:$BL,'2020'!$B:$B,'Для расчета ЗП'!$A8,'2020'!$G:$G,4)</f>
        <v>0</v>
      </c>
      <c r="BY8" s="251">
        <f t="shared" si="42"/>
        <v>0</v>
      </c>
      <c r="BZ8" s="251">
        <f>SUMIFS('2020'!$AQ:$AQ,'2020'!$B:$B,'Для расчета ЗП'!$A8,'2020'!$G:$G,4)+SUMIFS('2020'!$BH:$BH,'2020'!$B:$B,'Для расчета ЗП'!$A8,'2020'!$G:$G,4)</f>
        <v>0</v>
      </c>
      <c r="CA8" s="251">
        <f>SUMIFS('2020'!$BM:$BM,'2020'!$B:$B,'Для расчета ЗП'!$A8,'2020'!$G:$G,4)+SUMIFS('2020'!$CD:$CD,'2020'!$B:$B,'Для расчета ЗП'!$A8,'2020'!$G:$G,4)</f>
        <v>0</v>
      </c>
      <c r="CB8" s="251">
        <f t="shared" si="43"/>
        <v>0</v>
      </c>
      <c r="CC8" s="251">
        <f>SUMIFS('2020'!$BB:$BB,'2020'!$B:$B,'Для расчета ЗП'!$A8,'2020'!$G:$G,4)</f>
        <v>0</v>
      </c>
      <c r="CD8" s="251">
        <f>SUMIFS('2020'!$BX:$BX,'2020'!$B:$B,'Для расчета ЗП'!$A8,'2020'!$G:$G,4)</f>
        <v>0</v>
      </c>
      <c r="CE8" s="251"/>
      <c r="CF8" s="251">
        <f t="shared" si="44"/>
        <v>0</v>
      </c>
      <c r="CG8" s="251"/>
      <c r="CH8" s="251">
        <f>SUMIFS('2020'!$CH:$CH,'2020'!$B:$B,'Для расчета ЗП'!$A8,'2020'!$G:$G,4)</f>
        <v>0</v>
      </c>
      <c r="CI8" s="252">
        <f>SUMIF('2020'!$B:$B,'Для расчета ЗП'!$A8,('2020'!$P:$P))</f>
        <v>714</v>
      </c>
      <c r="CJ8" s="251">
        <f>SUMIF('2020'!$B:$B,'Для расчета ЗП'!$A8,('2020'!$BL:$BL))</f>
        <v>66725166</v>
      </c>
      <c r="CK8" s="253">
        <f>SUMIF('2020'!$B:$B,'Для расчета ЗП'!$A8,('2020'!$CH:$CH))</f>
        <v>112461693</v>
      </c>
      <c r="CL8" s="254">
        <f t="shared" si="45"/>
        <v>-112461.7</v>
      </c>
      <c r="CM8" s="239"/>
      <c r="CN8" s="255">
        <f t="shared" si="46"/>
        <v>112461.7</v>
      </c>
      <c r="CO8" s="255">
        <f t="shared" si="47"/>
        <v>0</v>
      </c>
      <c r="CP8" s="239" t="e">
        <f t="shared" si="48"/>
        <v>#DIV/0!</v>
      </c>
      <c r="CQ8" s="239" t="e">
        <f t="shared" si="49"/>
        <v>#DIV/0!</v>
      </c>
      <c r="CR8" s="255" t="e">
        <f t="shared" si="50"/>
        <v>#DIV/0!</v>
      </c>
      <c r="CS8" s="255" t="e">
        <f t="shared" si="51"/>
        <v>#DIV/0!</v>
      </c>
      <c r="CT8" s="256" t="e">
        <f t="shared" si="52"/>
        <v>#DIV/0!</v>
      </c>
      <c r="CU8" s="248" t="e">
        <f>ROUND(SUMIFS(#REF!,#REF!,'Для расчета ЗП'!$A8,#REF!,1),1)</f>
        <v>#REF!</v>
      </c>
      <c r="CV8" s="248" t="e">
        <f>ROUND(SUMIFS(#REF!,#REF!,'Для расчета ЗП'!$A8,#REF!,2),1)</f>
        <v>#REF!</v>
      </c>
      <c r="CW8" s="248" t="e">
        <f>ROUND(SUMIFS(#REF!,#REF!,'Для расчета ЗП'!$A8,#REF!,3),1)</f>
        <v>#REF!</v>
      </c>
      <c r="CX8" s="257" t="e">
        <f t="shared" si="53"/>
        <v>#REF!</v>
      </c>
      <c r="CY8" s="257" t="e">
        <f>ROUND((SUMIF('2020'!$B:$B,'Для расчета ЗП'!$A8,('2020'!$BM:$BM))-SUMIFS('2020'!$BM:$BM,'2020'!$B:$B,'Для расчета ЗП'!$A8,'2020'!$G:$G,4)),1)-CX8</f>
        <v>#REF!</v>
      </c>
      <c r="CZ8" s="246">
        <f>SUMIFS('2020'!$P:$P,'2020'!$B:$B,'Для расчета ЗП'!$A8,'2020'!$G:$G,3,'2020'!$I:$I,3)</f>
        <v>0</v>
      </c>
      <c r="DA8" s="247">
        <f>ROUND((SUMIF('2020'!$B:$B,'Для расчета ЗП'!$A8,('2020'!$BL:$BL))-SUMIFS('2020'!$BL:$BL,'2020'!$B:$B,'Для расчета ЗП'!$A8,'2020'!$G:$G,4))/1000,1)</f>
        <v>66725.2</v>
      </c>
      <c r="DB8" s="247">
        <f t="shared" si="54"/>
        <v>42603.5</v>
      </c>
      <c r="DC8" s="248">
        <f>ROUND((SUMIF('2020'!$B:$B,'Для расчета ЗП'!$A8,('2020'!$AQ:$AQ))-SUMIFS('2020'!$AQ:$AQ,'2020'!$B:$B,'Для расчета ЗП'!$A8,'2020'!$G:$G,4)+SUMIF('2020'!$B:$B,'Для расчета ЗП'!$A8,('2020'!$BH:$BH))-SUMIFS('2020'!$BH:$BH,'2020'!$B:$B,'Для расчета ЗП'!$A8,'2020'!$G:$G,4))/1000,1)</f>
        <v>41483.5</v>
      </c>
      <c r="DD8" s="248">
        <f>ROUND((SUMIF('2020'!$B:$B,'Для расчета ЗП'!$A8,('2020'!$BM:$BM))-SUMIFS('2020'!$BM:$BM,'2020'!$B:$B,'Для расчета ЗП'!$A8,'2020'!$G:$G,4)+SUMIF('2020'!$B:$B,'Для расчета ЗП'!$A8,('2020'!$CD:$CD))-SUMIFS('2020'!$CD:$CD,'2020'!$B:$B,'Для расчета ЗП'!$A8,'2020'!$G:$G,4))/1000,1)</f>
        <v>84087</v>
      </c>
      <c r="DE8" s="247">
        <f t="shared" si="55"/>
        <v>3133</v>
      </c>
      <c r="DF8" s="248">
        <f>ROUND((SUMIF('2020'!$B:$B,'Для расчета ЗП'!$A8,('2020'!$BB:$BB))-SUMIFS('2020'!$BB:$BB,'2020'!$B:$B,'Для расчета ЗП'!$A8,'2020'!$G:$G,4))/1000,1)</f>
        <v>1346.9</v>
      </c>
      <c r="DG8" s="248">
        <f>ROUND((SUMIF('2020'!$B:$B,'Для расчета ЗП'!$A8,('2020'!$BX:$BX))-SUMIFS('2020'!$BX:$BX,'2020'!$B:$B,'Для расчета ЗП'!$A8,'2020'!$G:$G,4))/1000,1)</f>
        <v>4479.8999999999996</v>
      </c>
      <c r="DH8" s="247">
        <f t="shared" si="56"/>
        <v>112461.7</v>
      </c>
      <c r="DI8" s="247">
        <v>5967</v>
      </c>
      <c r="DJ8" s="249">
        <f t="shared" si="14"/>
        <v>118428.7</v>
      </c>
      <c r="DK8" s="248">
        <v>121369.2</v>
      </c>
      <c r="DL8" s="248">
        <f t="shared" si="57"/>
        <v>2940.5</v>
      </c>
      <c r="DM8" s="249">
        <f>DH8*DH23</f>
        <v>0</v>
      </c>
      <c r="DN8" s="250">
        <f t="shared" si="58"/>
        <v>5967</v>
      </c>
      <c r="DO8" s="250">
        <f t="shared" si="59"/>
        <v>-112461.7</v>
      </c>
      <c r="DP8" s="251">
        <f t="shared" si="15"/>
        <v>5967</v>
      </c>
      <c r="DQ8" s="251">
        <f>SUMIF('2020'!$B:$B,'Для расчета ЗП'!$A8,('2020'!$CH:$CH))-SUMIFS('2020'!$CH:$CH,'2020'!$B:$B,'Для расчета ЗП'!$A8,'2020'!$G:$G,4)</f>
        <v>112461693</v>
      </c>
      <c r="DR8" s="245">
        <f>SUMIFS('2020'!$P:$P,'2020'!$B:$B,'Для расчета ЗП'!$A8,'2020'!$G:$G,4)</f>
        <v>0</v>
      </c>
      <c r="DS8" s="251">
        <f>SUMIFS('2020'!$BL:$BL,'2020'!$B:$B,'Для расчета ЗП'!$A8,'2020'!$G:$G,4)</f>
        <v>0</v>
      </c>
      <c r="DT8" s="251">
        <f t="shared" si="60"/>
        <v>0</v>
      </c>
      <c r="DU8" s="251">
        <f>SUMIFS('2020'!$AQ:$AQ,'2020'!$B:$B,'Для расчета ЗП'!$A8,'2020'!$G:$G,4)+SUMIFS('2020'!$BH:$BH,'2020'!$B:$B,'Для расчета ЗП'!$A8,'2020'!$G:$G,4)</f>
        <v>0</v>
      </c>
      <c r="DV8" s="251">
        <f>SUMIFS('2020'!$BM:$BM,'2020'!$B:$B,'Для расчета ЗП'!$A8,'2020'!$G:$G,4)+SUMIFS('2020'!$CD:$CD,'2020'!$B:$B,'Для расчета ЗП'!$A8,'2020'!$G:$G,4)</f>
        <v>0</v>
      </c>
      <c r="DW8" s="251">
        <f t="shared" si="61"/>
        <v>0</v>
      </c>
      <c r="DX8" s="251">
        <f>SUMIFS('2020'!$BB:$BB,'2020'!$B:$B,'Для расчета ЗП'!$A8,'2020'!$G:$G,4)</f>
        <v>0</v>
      </c>
      <c r="DY8" s="251">
        <f>SUMIFS('2020'!$BX:$BX,'2020'!$B:$B,'Для расчета ЗП'!$A8,'2020'!$G:$G,4)</f>
        <v>0</v>
      </c>
      <c r="DZ8" s="251"/>
      <c r="EA8" s="251">
        <f t="shared" si="62"/>
        <v>0</v>
      </c>
      <c r="EB8" s="251"/>
      <c r="EC8" s="251">
        <f>SUMIFS('2020'!$CH:$CH,'2020'!$B:$B,'Для расчета ЗП'!$A8,'2020'!$G:$G,4)</f>
        <v>0</v>
      </c>
      <c r="ED8" s="252">
        <f>SUMIF('2020'!$B:$B,'Для расчета ЗП'!$A8,('2020'!$P:$P))</f>
        <v>714</v>
      </c>
      <c r="EE8" s="251">
        <f>SUMIF('2020'!$B:$B,'Для расчета ЗП'!$A8,('2020'!$BL:$BL))</f>
        <v>66725166</v>
      </c>
      <c r="EF8" s="253">
        <f>SUMIF('2020'!$B:$B,'Для расчета ЗП'!$A8,('2020'!$CH:$CH))</f>
        <v>112461693</v>
      </c>
      <c r="EG8" s="254">
        <f t="shared" si="16"/>
        <v>-112461.7</v>
      </c>
      <c r="EH8" s="239"/>
      <c r="EI8" s="239"/>
      <c r="EJ8" s="255">
        <f t="shared" si="17"/>
        <v>0</v>
      </c>
      <c r="EK8" s="239" t="e">
        <f t="shared" si="63"/>
        <v>#DIV/0!</v>
      </c>
      <c r="EL8" s="239" t="e">
        <f t="shared" si="64"/>
        <v>#DIV/0!</v>
      </c>
      <c r="EM8" s="255" t="e">
        <f t="shared" si="18"/>
        <v>#DIV/0!</v>
      </c>
      <c r="EN8" s="255" t="e">
        <f t="shared" si="19"/>
        <v>#DIV/0!</v>
      </c>
      <c r="EO8" s="256" t="e">
        <f t="shared" si="20"/>
        <v>#DIV/0!</v>
      </c>
      <c r="EP8" s="255" t="e">
        <f>ROUND((SUMIF(#REF!,#REF!,(#REF!))-SUMIFS(#REF!,#REF!,#REF!,#REF!,4)),1)</f>
        <v>#REF!</v>
      </c>
      <c r="EQ8" s="255" t="e">
        <f>EP8*#REF!</f>
        <v>#REF!</v>
      </c>
      <c r="ER8" s="262" t="e">
        <f>ROUND(SUMIFS(#REF!,#REF!,'Для расчета ЗП'!$A8,#REF!,1),1)</f>
        <v>#REF!</v>
      </c>
      <c r="ES8" s="262" t="e">
        <f>ROUND(SUMIFS(#REF!,#REF!,'Для расчета ЗП'!$A8,#REF!,1),1)</f>
        <v>#REF!</v>
      </c>
      <c r="ET8" s="262" t="e">
        <f>ROUND(SUMIFS(#REF!,#REF!,'Для расчета ЗП'!$A8,#REF!,1),1)</f>
        <v>#REF!</v>
      </c>
      <c r="EU8" s="263" t="e">
        <f>ROUND((SUMIF(#REF!,#REF!,(#REF!))-SUMIFS(#REF!,#REF!,#REF!,#REF!,4)),1)</f>
        <v>#REF!</v>
      </c>
      <c r="EV8" s="263" t="e">
        <f>EU8*#REF!</f>
        <v>#REF!</v>
      </c>
    </row>
    <row r="9" spans="1:152" ht="60" x14ac:dyDescent="0.25">
      <c r="A9" s="6">
        <v>5</v>
      </c>
      <c r="B9" s="7" t="s">
        <v>47</v>
      </c>
      <c r="C9" s="38">
        <f>SUMIF('2020'!$B:$B,'Для расчета ЗП'!$A9,('2020'!$P:$P))-SUMIFS('2020'!$P:$P,'2020'!$B:$B,'Для расчета ЗП'!$A9,'2020'!$G:$G,4)</f>
        <v>2681</v>
      </c>
      <c r="D9" s="38">
        <f>SUMIFS('2020'!$P:$P,'2020'!$B:$B,'Для расчета ЗП'!$A9,'2020'!$G:$G,1,'2020'!$I:$I,0)</f>
        <v>1564</v>
      </c>
      <c r="E9" s="38">
        <f>SUMIFS('2020'!$P:$P,'2020'!$B:$B,'Для расчета ЗП'!$A9,'2020'!$G:$G,1,'2020'!$I:$I,3)</f>
        <v>875</v>
      </c>
      <c r="F9" s="38">
        <f>SUMIFS('2020'!$P:$P,'2020'!$B:$B,'Для расчета ЗП'!$A9,'2020'!$G:$G,2,'2020'!$I:$I,0)</f>
        <v>149</v>
      </c>
      <c r="G9" s="38">
        <f>SUMIFS('2020'!$P:$P,'2020'!$B:$B,'Для расчета ЗП'!$A9,'2020'!$G:$G,2,'2020'!$I:$I,3)</f>
        <v>52</v>
      </c>
      <c r="H9" s="38">
        <f>SUMIFS('2020'!$P:$P,'2020'!$B:$B,'Для расчета ЗП'!$A9,'2020'!$G:$G,3,'2020'!$I:$I,0)</f>
        <v>32</v>
      </c>
      <c r="I9" s="38">
        <f>SUMIFS('2020'!$P:$P,'2020'!$B:$B,'Для расчета ЗП'!$A9,'2020'!$G:$G,3,'2020'!$I:$I,3)</f>
        <v>0</v>
      </c>
      <c r="J9" s="66">
        <f>ROUND((SUMIF('2020'!$B:$B,'Для расчета ЗП'!$A9,('2020'!$BL:$BL))-SUMIFS('2020'!$BL:$BL,'2020'!$B:$B,'Для расчета ЗП'!$A9,'2020'!$G:$G,4))/1000,1)</f>
        <v>236954</v>
      </c>
      <c r="K9" s="66">
        <f t="shared" si="21"/>
        <v>58991.3</v>
      </c>
      <c r="L9" s="37">
        <f>ROUND((SUMIF('2020'!$B:$B,'Для расчета ЗП'!$A9,('2020'!$AQ:$AQ))-SUMIFS('2020'!$AQ:$AQ,'2020'!$B:$B,'Для расчета ЗП'!$A9,'2020'!$G:$G,4)+SUMIF('2020'!$B:$B,'Для расчета ЗП'!$A9,('2020'!$BH:$BH))-SUMIFS('2020'!$BH:$BH,'2020'!$B:$B,'Для расчета ЗП'!$A9,'2020'!$G:$G,4))/1000,1)</f>
        <v>149345</v>
      </c>
      <c r="M9" s="37">
        <f>ROUND((SUMIF('2020'!$B:$B,'Для расчета ЗП'!$A9,('2020'!$BM:$BM))-SUMIFS('2020'!$BM:$BM,'2020'!$B:$B,'Для расчета ЗП'!$A9,'2020'!$G:$G,4)+SUMIF('2020'!$B:$B,'Для расчета ЗП'!$A9,('2020'!$CD:$CD))-SUMIFS('2020'!$CD:$CD,'2020'!$B:$B,'Для расчета ЗП'!$A9,'2020'!$G:$G,4))/1000,1)</f>
        <v>208336.3</v>
      </c>
      <c r="N9" s="66">
        <f t="shared" si="22"/>
        <v>4809.2</v>
      </c>
      <c r="O9" s="37">
        <f>ROUND((SUMIF('2020'!$B:$B,'Для расчета ЗП'!$A9,('2020'!$BB:$BB))-SUMIFS('2020'!$BB:$BB,'2020'!$B:$B,'Для расчета ЗП'!$A9,'2020'!$G:$G,4))/1000,1)</f>
        <v>4912.3999999999996</v>
      </c>
      <c r="P9" s="37">
        <f>ROUND((SUMIF('2020'!$B:$B,'Для расчета ЗП'!$A9,('2020'!$BX:$BX))-SUMIFS('2020'!$BX:$BX,'2020'!$B:$B,'Для расчета ЗП'!$A9,'2020'!$G:$G,4))/1000,1)</f>
        <v>9721.6</v>
      </c>
      <c r="Q9" s="163">
        <f t="shared" si="23"/>
        <v>300754.5</v>
      </c>
      <c r="R9" s="66">
        <v>24219.3</v>
      </c>
      <c r="S9" s="144">
        <f t="shared" si="0"/>
        <v>324973.8</v>
      </c>
      <c r="T9" s="139">
        <v>355143.5</v>
      </c>
      <c r="U9" s="139">
        <f t="shared" si="24"/>
        <v>30169.7</v>
      </c>
      <c r="V9" s="167">
        <f>Q9*Q23</f>
        <v>197762.94</v>
      </c>
      <c r="W9" s="205">
        <f t="shared" si="25"/>
        <v>221982.24</v>
      </c>
      <c r="X9" s="187">
        <f t="shared" si="26"/>
        <v>-102991.56</v>
      </c>
      <c r="Y9" s="46">
        <f t="shared" si="1"/>
        <v>221982.2</v>
      </c>
      <c r="Z9" s="46">
        <f>SUMIF('2020'!$B:$B,'Для расчета ЗП'!$A9,('2020'!$CH:$CH))-SUMIFS('2020'!$CH:$CH,'2020'!$B:$B,'Для расчета ЗП'!$A9,'2020'!$G:$G,4)</f>
        <v>300748920</v>
      </c>
      <c r="AA9" s="79">
        <f>SUMIFS('2020'!$P:$P,'2020'!$B:$B,'Для расчета ЗП'!$A9,'2020'!$G:$G,4)</f>
        <v>418</v>
      </c>
      <c r="AB9" s="46">
        <f>SUMIFS('2020'!$BL:$BL,'2020'!$B:$B,'Для расчета ЗП'!$A9,'2020'!$G:$G,4)</f>
        <v>31627800</v>
      </c>
      <c r="AC9" s="46">
        <f t="shared" si="27"/>
        <v>6824653</v>
      </c>
      <c r="AD9" s="46">
        <f>SUMIFS('2020'!$AQ:$AQ,'2020'!$B:$B,'Для расчета ЗП'!$A9,'2020'!$G:$G,4)+SUMIFS('2020'!$BH:$BH,'2020'!$B:$B,'Для расчета ЗП'!$A9,'2020'!$G:$G,4)</f>
        <v>17277600</v>
      </c>
      <c r="AE9" s="46">
        <f>SUMIFS('2020'!$BM:$BM,'2020'!$B:$B,'Для расчета ЗП'!$A9,'2020'!$G:$G,4)+SUMIFS('2020'!$CD:$CD,'2020'!$B:$B,'Для расчета ЗП'!$A9,'2020'!$G:$G,4)</f>
        <v>24102253</v>
      </c>
      <c r="AF9" s="46">
        <f t="shared" si="28"/>
        <v>876413</v>
      </c>
      <c r="AG9" s="46">
        <f>SUMIFS('2020'!$BB:$BB,'2020'!$B:$B,'Для расчета ЗП'!$A9,'2020'!$G:$G,4)</f>
        <v>886160</v>
      </c>
      <c r="AH9" s="46">
        <f>SUMIFS('2020'!$BX:$BX,'2020'!$B:$B,'Для расчета ЗП'!$A9,'2020'!$G:$G,4)</f>
        <v>1762573</v>
      </c>
      <c r="AI9" s="46"/>
      <c r="AJ9" s="46">
        <f t="shared" si="29"/>
        <v>39328866</v>
      </c>
      <c r="AK9" s="46"/>
      <c r="AL9" s="46">
        <f>SUMIFS('2020'!$CH:$CH,'2020'!$B:$B,'Для расчета ЗП'!$A9,'2020'!$G:$G,4)</f>
        <v>39328866</v>
      </c>
      <c r="AM9" s="198">
        <f>SUMIF('2020'!$B:$B,'Для расчета ЗП'!$A9,('2020'!$P:$P))</f>
        <v>3099</v>
      </c>
      <c r="AN9" s="46">
        <f>SUMIF('2020'!$B:$B,'Для расчета ЗП'!$A9,('2020'!$BL:$BL))</f>
        <v>268581784</v>
      </c>
      <c r="AO9" s="199">
        <f>SUMIF('2020'!$B:$B,'Для расчета ЗП'!$A9,('2020'!$CH:$CH))</f>
        <v>340077786</v>
      </c>
      <c r="AP9" s="48">
        <f t="shared" si="2"/>
        <v>-102991.6</v>
      </c>
      <c r="AS9" s="105">
        <f t="shared" si="3"/>
        <v>197762.9</v>
      </c>
      <c r="AT9">
        <f t="shared" si="30"/>
        <v>8.0757530133150804E-2</v>
      </c>
      <c r="AU9">
        <f t="shared" si="31"/>
        <v>63324.4</v>
      </c>
      <c r="AV9" s="105">
        <f t="shared" si="4"/>
        <v>158657.79999999999</v>
      </c>
      <c r="AW9" s="105">
        <f t="shared" si="5"/>
        <v>-166316</v>
      </c>
      <c r="AX9" s="111">
        <f t="shared" si="6"/>
        <v>0.44700000000000001</v>
      </c>
      <c r="AY9" s="37">
        <f>ROUND(SUMIFS('2020'!$BM:$BM,'2020'!$B:$B,'Для расчета ЗП'!$A9,'2020'!$G:$G,1),1)</f>
        <v>148013312</v>
      </c>
      <c r="AZ9" s="37">
        <f>ROUND(SUMIFS('2020'!$BM:$BM,'2020'!$B:$B,'Для расчета ЗП'!$A9,'2020'!$G:$G,2),1)</f>
        <v>15613521</v>
      </c>
      <c r="BA9" s="37">
        <f>ROUND(SUMIFS('2020'!$BM:$BM,'2020'!$B:$B,'Для расчета ЗП'!$A9,'2020'!$G:$G,3),1)</f>
        <v>3502009</v>
      </c>
      <c r="BB9" s="39">
        <f t="shared" si="32"/>
        <v>167128842</v>
      </c>
      <c r="BC9" s="39">
        <f>ROUND((SUMIF('2020'!$B:$B,'Для расчета ЗП'!$A9,('2020'!$BM:$BM))-SUMIFS('2020'!$BM:$BM,'2020'!$B:$B,'Для расчета ЗП'!$A9,'2020'!$G:$G,4)),1)-BB9</f>
        <v>0</v>
      </c>
      <c r="BD9" s="39">
        <f>BB9*'Свод 2020'!AA$27</f>
        <v>177466578.83000001</v>
      </c>
      <c r="BE9" s="246">
        <f>SUMIFS('2020'!$P:$P,'2020'!$B:$B,'Для расчета ЗП'!$A9,'2020'!$G:$G,3,'2020'!$I:$I,3)</f>
        <v>0</v>
      </c>
      <c r="BF9" s="247">
        <f>ROUND((SUMIF('2020'!$B:$B,'Для расчета ЗП'!$A9,('2020'!$BL:$BL))-SUMIFS('2020'!$BL:$BL,'2020'!$B:$B,'Для расчета ЗП'!$A9,'2020'!$G:$G,4))/1000,1)</f>
        <v>236954</v>
      </c>
      <c r="BG9" s="247">
        <f t="shared" si="33"/>
        <v>58991.3</v>
      </c>
      <c r="BH9" s="248">
        <f>ROUND((SUMIF('2020'!$B:$B,'Для расчета ЗП'!$A9,('2020'!$AQ:$AQ))-SUMIFS('2020'!$AQ:$AQ,'2020'!$B:$B,'Для расчета ЗП'!$A9,'2020'!$G:$G,4)+SUMIF('2020'!$B:$B,'Для расчета ЗП'!$A9,('2020'!$BH:$BH))-SUMIFS('2020'!$BH:$BH,'2020'!$B:$B,'Для расчета ЗП'!$A9,'2020'!$G:$G,4))/1000,1)</f>
        <v>149345</v>
      </c>
      <c r="BI9" s="248">
        <f>ROUND((SUMIF('2020'!$B:$B,'Для расчета ЗП'!$A9,('2020'!$BM:$BM))-SUMIFS('2020'!$BM:$BM,'2020'!$B:$B,'Для расчета ЗП'!$A9,'2020'!$G:$G,4)+SUMIF('2020'!$B:$B,'Для расчета ЗП'!$A9,('2020'!$CD:$CD))-SUMIFS('2020'!$CD:$CD,'2020'!$B:$B,'Для расчета ЗП'!$A9,'2020'!$G:$G,4))/1000,1)</f>
        <v>208336.3</v>
      </c>
      <c r="BJ9" s="247">
        <f t="shared" si="34"/>
        <v>4809.2</v>
      </c>
      <c r="BK9" s="248">
        <f>ROUND((SUMIF('2020'!$B:$B,'Для расчета ЗП'!$A9,('2020'!$BB:$BB))-SUMIFS('2020'!$BB:$BB,'2020'!$B:$B,'Для расчета ЗП'!$A9,'2020'!$G:$G,4))/1000,1)</f>
        <v>4912.3999999999996</v>
      </c>
      <c r="BL9" s="248">
        <f>ROUND((SUMIF('2020'!$B:$B,'Для расчета ЗП'!$A9,('2020'!$BX:$BX))-SUMIFS('2020'!$BX:$BX,'2020'!$B:$B,'Для расчета ЗП'!$A9,'2020'!$G:$G,4))/1000,1)</f>
        <v>9721.6</v>
      </c>
      <c r="BM9" s="247">
        <f t="shared" si="35"/>
        <v>300754.5</v>
      </c>
      <c r="BN9" s="247">
        <v>1530.9</v>
      </c>
      <c r="BO9" s="249">
        <f t="shared" si="36"/>
        <v>302285.40000000002</v>
      </c>
      <c r="BP9" s="248">
        <v>83546.2</v>
      </c>
      <c r="BQ9" s="248">
        <f t="shared" si="37"/>
        <v>-218739.20000000001</v>
      </c>
      <c r="BR9" s="249">
        <f t="shared" si="38"/>
        <v>0</v>
      </c>
      <c r="BS9" s="250">
        <f t="shared" si="39"/>
        <v>1530.9</v>
      </c>
      <c r="BT9" s="250">
        <f t="shared" si="40"/>
        <v>-300754.5</v>
      </c>
      <c r="BU9" s="251">
        <f t="shared" si="41"/>
        <v>1530.9</v>
      </c>
      <c r="BV9" s="251">
        <f>SUMIF('2020'!$B:$B,'Для расчета ЗП'!$A9,('2020'!$CH:$CH))-SUMIFS('2020'!$CH:$CH,'2020'!$B:$B,'Для расчета ЗП'!$A9,'2020'!$G:$G,4)</f>
        <v>300748920</v>
      </c>
      <c r="BW9" s="245">
        <f>SUMIFS('2020'!$P:$P,'2020'!$B:$B,'Для расчета ЗП'!$A9,'2020'!$G:$G,4)</f>
        <v>418</v>
      </c>
      <c r="BX9" s="251">
        <f>SUMIFS('2020'!$BL:$BL,'2020'!$B:$B,'Для расчета ЗП'!$A9,'2020'!$G:$G,4)</f>
        <v>31627800</v>
      </c>
      <c r="BY9" s="251">
        <f t="shared" si="42"/>
        <v>6824653</v>
      </c>
      <c r="BZ9" s="251">
        <f>SUMIFS('2020'!$AQ:$AQ,'2020'!$B:$B,'Для расчета ЗП'!$A9,'2020'!$G:$G,4)+SUMIFS('2020'!$BH:$BH,'2020'!$B:$B,'Для расчета ЗП'!$A9,'2020'!$G:$G,4)</f>
        <v>17277600</v>
      </c>
      <c r="CA9" s="251">
        <f>SUMIFS('2020'!$BM:$BM,'2020'!$B:$B,'Для расчета ЗП'!$A9,'2020'!$G:$G,4)+SUMIFS('2020'!$CD:$CD,'2020'!$B:$B,'Для расчета ЗП'!$A9,'2020'!$G:$G,4)</f>
        <v>24102253</v>
      </c>
      <c r="CB9" s="251">
        <f t="shared" si="43"/>
        <v>876413</v>
      </c>
      <c r="CC9" s="251">
        <f>SUMIFS('2020'!$BB:$BB,'2020'!$B:$B,'Для расчета ЗП'!$A9,'2020'!$G:$G,4)</f>
        <v>886160</v>
      </c>
      <c r="CD9" s="251">
        <f>SUMIFS('2020'!$BX:$BX,'2020'!$B:$B,'Для расчета ЗП'!$A9,'2020'!$G:$G,4)</f>
        <v>1762573</v>
      </c>
      <c r="CE9" s="251"/>
      <c r="CF9" s="251">
        <f t="shared" si="44"/>
        <v>39328866</v>
      </c>
      <c r="CG9" s="251"/>
      <c r="CH9" s="251">
        <f>SUMIFS('2020'!$CH:$CH,'2020'!$B:$B,'Для расчета ЗП'!$A9,'2020'!$G:$G,4)</f>
        <v>39328866</v>
      </c>
      <c r="CI9" s="252">
        <f>SUMIF('2020'!$B:$B,'Для расчета ЗП'!$A9,('2020'!$P:$P))</f>
        <v>3099</v>
      </c>
      <c r="CJ9" s="251">
        <f>SUMIF('2020'!$B:$B,'Для расчета ЗП'!$A9,('2020'!$BL:$BL))</f>
        <v>268581784</v>
      </c>
      <c r="CK9" s="253">
        <f>SUMIF('2020'!$B:$B,'Для расчета ЗП'!$A9,('2020'!$CH:$CH))</f>
        <v>340077786</v>
      </c>
      <c r="CL9" s="254">
        <f t="shared" si="45"/>
        <v>-300754.5</v>
      </c>
      <c r="CM9" s="239"/>
      <c r="CN9" s="255">
        <f t="shared" si="46"/>
        <v>300754.5</v>
      </c>
      <c r="CO9" s="255">
        <f t="shared" si="47"/>
        <v>0</v>
      </c>
      <c r="CP9" s="239" t="e">
        <f t="shared" si="48"/>
        <v>#DIV/0!</v>
      </c>
      <c r="CQ9" s="239" t="e">
        <f t="shared" si="49"/>
        <v>#DIV/0!</v>
      </c>
      <c r="CR9" s="255" t="e">
        <f t="shared" si="50"/>
        <v>#DIV/0!</v>
      </c>
      <c r="CS9" s="255" t="e">
        <f t="shared" si="51"/>
        <v>#DIV/0!</v>
      </c>
      <c r="CT9" s="256" t="e">
        <f t="shared" si="52"/>
        <v>#DIV/0!</v>
      </c>
      <c r="CU9" s="248" t="e">
        <f>ROUND(SUMIFS(#REF!,#REF!,'Для расчета ЗП'!$A9,#REF!,1),1)</f>
        <v>#REF!</v>
      </c>
      <c r="CV9" s="248" t="e">
        <f>ROUND(SUMIFS(#REF!,#REF!,'Для расчета ЗП'!$A9,#REF!,2),1)</f>
        <v>#REF!</v>
      </c>
      <c r="CW9" s="248" t="e">
        <f>ROUND(SUMIFS(#REF!,#REF!,'Для расчета ЗП'!$A9,#REF!,3),1)</f>
        <v>#REF!</v>
      </c>
      <c r="CX9" s="257" t="e">
        <f t="shared" si="53"/>
        <v>#REF!</v>
      </c>
      <c r="CY9" s="257" t="e">
        <f>ROUND((SUMIF('2020'!$B:$B,'Для расчета ЗП'!$A9,('2020'!$BM:$BM))-SUMIFS('2020'!$BM:$BM,'2020'!$B:$B,'Для расчета ЗП'!$A9,'2020'!$G:$G,4)),1)-CX9</f>
        <v>#REF!</v>
      </c>
      <c r="CZ9" s="246">
        <f>SUMIFS('2020'!$P:$P,'2020'!$B:$B,'Для расчета ЗП'!$A9,'2020'!$G:$G,3,'2020'!$I:$I,3)</f>
        <v>0</v>
      </c>
      <c r="DA9" s="247">
        <f>ROUND((SUMIF('2020'!$B:$B,'Для расчета ЗП'!$A9,('2020'!$BL:$BL))-SUMIFS('2020'!$BL:$BL,'2020'!$B:$B,'Для расчета ЗП'!$A9,'2020'!$G:$G,4))/1000,1)</f>
        <v>236954</v>
      </c>
      <c r="DB9" s="247">
        <f t="shared" si="54"/>
        <v>58991.3</v>
      </c>
      <c r="DC9" s="248">
        <f>ROUND((SUMIF('2020'!$B:$B,'Для расчета ЗП'!$A9,('2020'!$AQ:$AQ))-SUMIFS('2020'!$AQ:$AQ,'2020'!$B:$B,'Для расчета ЗП'!$A9,'2020'!$G:$G,4)+SUMIF('2020'!$B:$B,'Для расчета ЗП'!$A9,('2020'!$BH:$BH))-SUMIFS('2020'!$BH:$BH,'2020'!$B:$B,'Для расчета ЗП'!$A9,'2020'!$G:$G,4))/1000,1)</f>
        <v>149345</v>
      </c>
      <c r="DD9" s="248">
        <f>ROUND((SUMIF('2020'!$B:$B,'Для расчета ЗП'!$A9,('2020'!$BM:$BM))-SUMIFS('2020'!$BM:$BM,'2020'!$B:$B,'Для расчета ЗП'!$A9,'2020'!$G:$G,4)+SUMIF('2020'!$B:$B,'Для расчета ЗП'!$A9,('2020'!$CD:$CD))-SUMIFS('2020'!$CD:$CD,'2020'!$B:$B,'Для расчета ЗП'!$A9,'2020'!$G:$G,4))/1000,1)</f>
        <v>208336.3</v>
      </c>
      <c r="DE9" s="247">
        <f t="shared" si="55"/>
        <v>4809.2</v>
      </c>
      <c r="DF9" s="248">
        <f>ROUND((SUMIF('2020'!$B:$B,'Для расчета ЗП'!$A9,('2020'!$BB:$BB))-SUMIFS('2020'!$BB:$BB,'2020'!$B:$B,'Для расчета ЗП'!$A9,'2020'!$G:$G,4))/1000,1)</f>
        <v>4912.3999999999996</v>
      </c>
      <c r="DG9" s="248">
        <f>ROUND((SUMIF('2020'!$B:$B,'Для расчета ЗП'!$A9,('2020'!$BX:$BX))-SUMIFS('2020'!$BX:$BX,'2020'!$B:$B,'Для расчета ЗП'!$A9,'2020'!$G:$G,4))/1000,1)</f>
        <v>9721.6</v>
      </c>
      <c r="DH9" s="247">
        <f t="shared" si="56"/>
        <v>300754.5</v>
      </c>
      <c r="DI9" s="247">
        <v>24219.3</v>
      </c>
      <c r="DJ9" s="249">
        <f t="shared" si="14"/>
        <v>324973.8</v>
      </c>
      <c r="DK9" s="248">
        <v>355143.5</v>
      </c>
      <c r="DL9" s="248">
        <f t="shared" si="57"/>
        <v>30169.7</v>
      </c>
      <c r="DM9" s="249">
        <f>DH9*DH23</f>
        <v>0</v>
      </c>
      <c r="DN9" s="250">
        <f t="shared" si="58"/>
        <v>24219.3</v>
      </c>
      <c r="DO9" s="250">
        <f t="shared" si="59"/>
        <v>-300754.5</v>
      </c>
      <c r="DP9" s="251">
        <f t="shared" si="15"/>
        <v>24219.3</v>
      </c>
      <c r="DQ9" s="251">
        <f>SUMIF('2020'!$B:$B,'Для расчета ЗП'!$A9,('2020'!$CH:$CH))-SUMIFS('2020'!$CH:$CH,'2020'!$B:$B,'Для расчета ЗП'!$A9,'2020'!$G:$G,4)</f>
        <v>300748920</v>
      </c>
      <c r="DR9" s="245">
        <f>SUMIFS('2020'!$P:$P,'2020'!$B:$B,'Для расчета ЗП'!$A9,'2020'!$G:$G,4)</f>
        <v>418</v>
      </c>
      <c r="DS9" s="251">
        <f>SUMIFS('2020'!$BL:$BL,'2020'!$B:$B,'Для расчета ЗП'!$A9,'2020'!$G:$G,4)</f>
        <v>31627800</v>
      </c>
      <c r="DT9" s="251">
        <f t="shared" si="60"/>
        <v>6824653</v>
      </c>
      <c r="DU9" s="251">
        <f>SUMIFS('2020'!$AQ:$AQ,'2020'!$B:$B,'Для расчета ЗП'!$A9,'2020'!$G:$G,4)+SUMIFS('2020'!$BH:$BH,'2020'!$B:$B,'Для расчета ЗП'!$A9,'2020'!$G:$G,4)</f>
        <v>17277600</v>
      </c>
      <c r="DV9" s="251">
        <f>SUMIFS('2020'!$BM:$BM,'2020'!$B:$B,'Для расчета ЗП'!$A9,'2020'!$G:$G,4)+SUMIFS('2020'!$CD:$CD,'2020'!$B:$B,'Для расчета ЗП'!$A9,'2020'!$G:$G,4)</f>
        <v>24102253</v>
      </c>
      <c r="DW9" s="251">
        <f t="shared" si="61"/>
        <v>876413</v>
      </c>
      <c r="DX9" s="251">
        <f>SUMIFS('2020'!$BB:$BB,'2020'!$B:$B,'Для расчета ЗП'!$A9,'2020'!$G:$G,4)</f>
        <v>886160</v>
      </c>
      <c r="DY9" s="251">
        <f>SUMIFS('2020'!$BX:$BX,'2020'!$B:$B,'Для расчета ЗП'!$A9,'2020'!$G:$G,4)</f>
        <v>1762573</v>
      </c>
      <c r="DZ9" s="251"/>
      <c r="EA9" s="251">
        <f t="shared" si="62"/>
        <v>39328866</v>
      </c>
      <c r="EB9" s="251"/>
      <c r="EC9" s="251">
        <f>SUMIFS('2020'!$CH:$CH,'2020'!$B:$B,'Для расчета ЗП'!$A9,'2020'!$G:$G,4)</f>
        <v>39328866</v>
      </c>
      <c r="ED9" s="252">
        <f>SUMIF('2020'!$B:$B,'Для расчета ЗП'!$A9,('2020'!$P:$P))</f>
        <v>3099</v>
      </c>
      <c r="EE9" s="251">
        <f>SUMIF('2020'!$B:$B,'Для расчета ЗП'!$A9,('2020'!$BL:$BL))</f>
        <v>268581784</v>
      </c>
      <c r="EF9" s="253">
        <f>SUMIF('2020'!$B:$B,'Для расчета ЗП'!$A9,('2020'!$CH:$CH))</f>
        <v>340077786</v>
      </c>
      <c r="EG9" s="254">
        <f t="shared" si="16"/>
        <v>-300754.5</v>
      </c>
      <c r="EH9" s="239"/>
      <c r="EI9" s="239"/>
      <c r="EJ9" s="255">
        <f t="shared" si="17"/>
        <v>0</v>
      </c>
      <c r="EK9" s="239" t="e">
        <f t="shared" si="63"/>
        <v>#DIV/0!</v>
      </c>
      <c r="EL9" s="239" t="e">
        <f t="shared" si="64"/>
        <v>#DIV/0!</v>
      </c>
      <c r="EM9" s="255" t="e">
        <f t="shared" si="18"/>
        <v>#DIV/0!</v>
      </c>
      <c r="EN9" s="255" t="e">
        <f t="shared" si="19"/>
        <v>#DIV/0!</v>
      </c>
      <c r="EO9" s="256" t="e">
        <f t="shared" si="20"/>
        <v>#DIV/0!</v>
      </c>
      <c r="EP9" s="255" t="e">
        <f>ROUND((SUMIF(#REF!,#REF!,(#REF!))-SUMIFS(#REF!,#REF!,#REF!,#REF!,4)),1)</f>
        <v>#REF!</v>
      </c>
      <c r="EQ9" s="255" t="e">
        <f>EP9*#REF!</f>
        <v>#REF!</v>
      </c>
      <c r="ER9" s="262" t="e">
        <f>ROUND(SUMIFS(#REF!,#REF!,'Для расчета ЗП'!$A9,#REF!,1),1)</f>
        <v>#REF!</v>
      </c>
      <c r="ES9" s="262" t="e">
        <f>ROUND(SUMIFS(#REF!,#REF!,'Для расчета ЗП'!$A9,#REF!,1),1)</f>
        <v>#REF!</v>
      </c>
      <c r="ET9" s="262" t="e">
        <f>ROUND(SUMIFS(#REF!,#REF!,'Для расчета ЗП'!$A9,#REF!,1),1)</f>
        <v>#REF!</v>
      </c>
      <c r="EU9" s="263" t="e">
        <f>ROUND((SUMIF(#REF!,#REF!,(#REF!))-SUMIFS(#REF!,#REF!,#REF!,#REF!,4)),1)</f>
        <v>#REF!</v>
      </c>
      <c r="EV9" s="263" t="e">
        <f>EU9*#REF!</f>
        <v>#REF!</v>
      </c>
    </row>
    <row r="10" spans="1:152" ht="75" x14ac:dyDescent="0.25">
      <c r="A10" s="6">
        <v>6</v>
      </c>
      <c r="B10" s="7" t="s">
        <v>48</v>
      </c>
      <c r="C10" s="38">
        <f>SUMIF('2020'!$B:$B,'Для расчета ЗП'!$A10,('2020'!$P:$P))-SUMIFS('2020'!$P:$P,'2020'!$B:$B,'Для расчета ЗП'!$A10,'2020'!$G:$G,4)</f>
        <v>3657</v>
      </c>
      <c r="D10" s="38">
        <f>SUMIFS('2020'!$P:$P,'2020'!$B:$B,'Для расчета ЗП'!$A10,'2020'!$G:$G,1,'2020'!$I:$I,0)</f>
        <v>2405</v>
      </c>
      <c r="E10" s="38">
        <f>SUMIFS('2020'!$P:$P,'2020'!$B:$B,'Для расчета ЗП'!$A10,'2020'!$G:$G,1,'2020'!$I:$I,3)</f>
        <v>838</v>
      </c>
      <c r="F10" s="38">
        <f>SUMIFS('2020'!$P:$P,'2020'!$B:$B,'Для расчета ЗП'!$A10,'2020'!$G:$G,2,'2020'!$I:$I,0)</f>
        <v>260</v>
      </c>
      <c r="G10" s="38">
        <f>SUMIFS('2020'!$P:$P,'2020'!$B:$B,'Для расчета ЗП'!$A10,'2020'!$G:$G,2,'2020'!$I:$I,3)</f>
        <v>113</v>
      </c>
      <c r="H10" s="38">
        <f>SUMIFS('2020'!$P:$P,'2020'!$B:$B,'Для расчета ЗП'!$A10,'2020'!$G:$G,3,'2020'!$I:$I,0)</f>
        <v>41</v>
      </c>
      <c r="I10" s="38">
        <f>SUMIFS('2020'!$P:$P,'2020'!$B:$B,'Для расчета ЗП'!$A10,'2020'!$G:$G,3,'2020'!$I:$I,3)</f>
        <v>0</v>
      </c>
      <c r="J10" s="66">
        <f>ROUND((SUMIF('2020'!$B:$B,'Для расчета ЗП'!$A10,('2020'!$BL:$BL))-SUMIFS('2020'!$BL:$BL,'2020'!$B:$B,'Для расчета ЗП'!$A10,'2020'!$G:$G,4))/1000,1)</f>
        <v>368189.2</v>
      </c>
      <c r="K10" s="66">
        <f t="shared" si="21"/>
        <v>329018.5</v>
      </c>
      <c r="L10" s="37">
        <f>ROUND((SUMIF('2020'!$B:$B,'Для расчета ЗП'!$A10,('2020'!$AQ:$AQ))-SUMIFS('2020'!$AQ:$AQ,'2020'!$B:$B,'Для расчета ЗП'!$A10,'2020'!$G:$G,4)+SUMIF('2020'!$B:$B,'Для расчета ЗП'!$A10,('2020'!$BH:$BH))-SUMIFS('2020'!$BH:$BH,'2020'!$B:$B,'Для расчета ЗП'!$A10,'2020'!$G:$G,4))/1000,1)</f>
        <v>228168.2</v>
      </c>
      <c r="M10" s="37">
        <f>ROUND((SUMIF('2020'!$B:$B,'Для расчета ЗП'!$A10,('2020'!$BM:$BM))-SUMIFS('2020'!$BM:$BM,'2020'!$B:$B,'Для расчета ЗП'!$A10,'2020'!$G:$G,4)+SUMIF('2020'!$B:$B,'Для расчета ЗП'!$A10,('2020'!$CD:$CD))-SUMIFS('2020'!$CD:$CD,'2020'!$B:$B,'Для расчета ЗП'!$A10,'2020'!$G:$G,4))/1000,1)</f>
        <v>557186.69999999995</v>
      </c>
      <c r="N10" s="66">
        <f t="shared" si="22"/>
        <v>12000</v>
      </c>
      <c r="O10" s="37">
        <f>ROUND((SUMIF('2020'!$B:$B,'Для расчета ЗП'!$A10,('2020'!$BB:$BB))-SUMIFS('2020'!$BB:$BB,'2020'!$B:$B,'Для расчета ЗП'!$A10,'2020'!$G:$G,4))/1000,1)</f>
        <v>7500</v>
      </c>
      <c r="P10" s="37">
        <f>ROUND((SUMIF('2020'!$B:$B,'Для расчета ЗП'!$A10,('2020'!$BX:$BX))-SUMIFS('2020'!$BX:$BX,'2020'!$B:$B,'Для расчета ЗП'!$A10,'2020'!$G:$G,4))/1000,1)</f>
        <v>19500</v>
      </c>
      <c r="Q10" s="163">
        <f t="shared" si="23"/>
        <v>709207.7</v>
      </c>
      <c r="R10" s="66">
        <v>53347.6</v>
      </c>
      <c r="S10" s="144">
        <f t="shared" si="0"/>
        <v>762555.3</v>
      </c>
      <c r="T10" s="139">
        <v>809681.4</v>
      </c>
      <c r="U10" s="139">
        <f t="shared" si="24"/>
        <v>47126.1</v>
      </c>
      <c r="V10" s="167">
        <f>Q10*Q23</f>
        <v>466343.8</v>
      </c>
      <c r="W10" s="205">
        <f t="shared" si="25"/>
        <v>519691.4</v>
      </c>
      <c r="X10" s="187">
        <f t="shared" si="26"/>
        <v>-242863.9</v>
      </c>
      <c r="Y10" s="46">
        <f t="shared" si="1"/>
        <v>519691.4</v>
      </c>
      <c r="Z10" s="46">
        <f>SUMIF('2020'!$B:$B,'Для расчета ЗП'!$A10,('2020'!$CH:$CH))-SUMIFS('2020'!$CH:$CH,'2020'!$B:$B,'Для расчета ЗП'!$A10,'2020'!$G:$G,4)</f>
        <v>709207749</v>
      </c>
      <c r="AA10" s="79">
        <f>SUMIFS('2020'!$P:$P,'2020'!$B:$B,'Для расчета ЗП'!$A10,'2020'!$G:$G,4)</f>
        <v>0</v>
      </c>
      <c r="AB10" s="46">
        <f>SUMIFS('2020'!$BL:$BL,'2020'!$B:$B,'Для расчета ЗП'!$A10,'2020'!$G:$G,4)</f>
        <v>0</v>
      </c>
      <c r="AC10" s="46">
        <f t="shared" si="27"/>
        <v>0</v>
      </c>
      <c r="AD10" s="46">
        <f>SUMIFS('2020'!$AQ:$AQ,'2020'!$B:$B,'Для расчета ЗП'!$A10,'2020'!$G:$G,4)+SUMIFS('2020'!$BH:$BH,'2020'!$B:$B,'Для расчета ЗП'!$A10,'2020'!$G:$G,4)</f>
        <v>0</v>
      </c>
      <c r="AE10" s="46">
        <f>SUMIFS('2020'!$BM:$BM,'2020'!$B:$B,'Для расчета ЗП'!$A10,'2020'!$G:$G,4)+SUMIFS('2020'!$CD:$CD,'2020'!$B:$B,'Для расчета ЗП'!$A10,'2020'!$G:$G,4)</f>
        <v>0</v>
      </c>
      <c r="AF10" s="46">
        <f t="shared" si="28"/>
        <v>0</v>
      </c>
      <c r="AG10" s="46">
        <f>SUMIFS('2020'!$BB:$BB,'2020'!$B:$B,'Для расчета ЗП'!$A10,'2020'!$G:$G,4)</f>
        <v>0</v>
      </c>
      <c r="AH10" s="46">
        <f>SUMIFS('2020'!$BX:$BX,'2020'!$B:$B,'Для расчета ЗП'!$A10,'2020'!$G:$G,4)</f>
        <v>0</v>
      </c>
      <c r="AI10" s="46"/>
      <c r="AJ10" s="46">
        <f t="shared" si="29"/>
        <v>0</v>
      </c>
      <c r="AK10" s="46"/>
      <c r="AL10" s="46">
        <f>SUMIFS('2020'!$CH:$CH,'2020'!$B:$B,'Для расчета ЗП'!$A10,'2020'!$G:$G,4)</f>
        <v>0</v>
      </c>
      <c r="AM10" s="198">
        <f>SUMIF('2020'!$B:$B,'Для расчета ЗП'!$A10,('2020'!$P:$P))</f>
        <v>3657</v>
      </c>
      <c r="AN10" s="46">
        <f>SUMIF('2020'!$B:$B,'Для расчета ЗП'!$A10,('2020'!$BL:$BL))</f>
        <v>368189227</v>
      </c>
      <c r="AO10" s="199">
        <f>SUMIF('2020'!$B:$B,'Для расчета ЗП'!$A10,('2020'!$CH:$CH))</f>
        <v>709207749</v>
      </c>
      <c r="AP10" s="48">
        <f t="shared" si="2"/>
        <v>-242863.9</v>
      </c>
      <c r="AS10" s="105">
        <f t="shared" si="3"/>
        <v>466343.8</v>
      </c>
      <c r="AT10">
        <f t="shared" si="30"/>
        <v>0.19043396653724301</v>
      </c>
      <c r="AU10">
        <f t="shared" si="31"/>
        <v>149324.9</v>
      </c>
      <c r="AV10" s="105">
        <f t="shared" si="4"/>
        <v>370366.5</v>
      </c>
      <c r="AW10" s="105">
        <f t="shared" si="5"/>
        <v>-392188.8</v>
      </c>
      <c r="AX10" s="111">
        <f t="shared" si="6"/>
        <v>0.44700000000000001</v>
      </c>
      <c r="AY10" s="37">
        <f>ROUND(SUMIFS('2020'!$BM:$BM,'2020'!$B:$B,'Для расчета ЗП'!$A10,'2020'!$G:$G,1),1)</f>
        <v>391856825</v>
      </c>
      <c r="AZ10" s="37">
        <f>ROUND(SUMIFS('2020'!$BM:$BM,'2020'!$B:$B,'Для расчета ЗП'!$A10,'2020'!$G:$G,2),1)</f>
        <v>47274244</v>
      </c>
      <c r="BA10" s="37">
        <f>ROUND(SUMIFS('2020'!$BM:$BM,'2020'!$B:$B,'Для расчета ЗП'!$A10,'2020'!$G:$G,3),1)</f>
        <v>7854571</v>
      </c>
      <c r="BB10" s="39">
        <f t="shared" si="32"/>
        <v>446985640</v>
      </c>
      <c r="BC10" s="39">
        <f>ROUND((SUMIF('2020'!$B:$B,'Для расчета ЗП'!$A10,('2020'!$BM:$BM))-SUMIFS('2020'!$BM:$BM,'2020'!$B:$B,'Для расчета ЗП'!$A10,'2020'!$G:$G,4)),1)-BB10</f>
        <v>0</v>
      </c>
      <c r="BD10" s="39">
        <f>BB10*'Свод 2020'!AA$27</f>
        <v>474633889.45999998</v>
      </c>
      <c r="BE10" s="246">
        <f>SUMIFS('2020'!$P:$P,'2020'!$B:$B,'Для расчета ЗП'!$A10,'2020'!$G:$G,3,'2020'!$I:$I,3)</f>
        <v>0</v>
      </c>
      <c r="BF10" s="247">
        <f>ROUND((SUMIF('2020'!$B:$B,'Для расчета ЗП'!$A10,('2020'!$BL:$BL))-SUMIFS('2020'!$BL:$BL,'2020'!$B:$B,'Для расчета ЗП'!$A10,'2020'!$G:$G,4))/1000,1)</f>
        <v>368189.2</v>
      </c>
      <c r="BG10" s="247">
        <f t="shared" si="33"/>
        <v>329018.5</v>
      </c>
      <c r="BH10" s="248">
        <f>ROUND((SUMIF('2020'!$B:$B,'Для расчета ЗП'!$A10,('2020'!$AQ:$AQ))-SUMIFS('2020'!$AQ:$AQ,'2020'!$B:$B,'Для расчета ЗП'!$A10,'2020'!$G:$G,4)+SUMIF('2020'!$B:$B,'Для расчета ЗП'!$A10,('2020'!$BH:$BH))-SUMIFS('2020'!$BH:$BH,'2020'!$B:$B,'Для расчета ЗП'!$A10,'2020'!$G:$G,4))/1000,1)</f>
        <v>228168.2</v>
      </c>
      <c r="BI10" s="248">
        <f>ROUND((SUMIF('2020'!$B:$B,'Для расчета ЗП'!$A10,('2020'!$BM:$BM))-SUMIFS('2020'!$BM:$BM,'2020'!$B:$B,'Для расчета ЗП'!$A10,'2020'!$G:$G,4)+SUMIF('2020'!$B:$B,'Для расчета ЗП'!$A10,('2020'!$CD:$CD))-SUMIFS('2020'!$CD:$CD,'2020'!$B:$B,'Для расчета ЗП'!$A10,'2020'!$G:$G,4))/1000,1)</f>
        <v>557186.69999999995</v>
      </c>
      <c r="BJ10" s="247">
        <f t="shared" si="34"/>
        <v>12000</v>
      </c>
      <c r="BK10" s="248">
        <f>ROUND((SUMIF('2020'!$B:$B,'Для расчета ЗП'!$A10,('2020'!$BB:$BB))-SUMIFS('2020'!$BB:$BB,'2020'!$B:$B,'Для расчета ЗП'!$A10,'2020'!$G:$G,4))/1000,1)</f>
        <v>7500</v>
      </c>
      <c r="BL10" s="248">
        <f>ROUND((SUMIF('2020'!$B:$B,'Для расчета ЗП'!$A10,('2020'!$BX:$BX))-SUMIFS('2020'!$BX:$BX,'2020'!$B:$B,'Для расчета ЗП'!$A10,'2020'!$G:$G,4))/1000,1)</f>
        <v>19500</v>
      </c>
      <c r="BM10" s="247">
        <f t="shared" si="35"/>
        <v>709207.7</v>
      </c>
      <c r="BN10" s="247">
        <v>1531.9</v>
      </c>
      <c r="BO10" s="249">
        <f t="shared" si="36"/>
        <v>710739.6</v>
      </c>
      <c r="BP10" s="248">
        <v>83547.199999999997</v>
      </c>
      <c r="BQ10" s="248">
        <f t="shared" si="37"/>
        <v>-627192.4</v>
      </c>
      <c r="BR10" s="249">
        <f t="shared" si="38"/>
        <v>0</v>
      </c>
      <c r="BS10" s="250">
        <f t="shared" si="39"/>
        <v>1531.9</v>
      </c>
      <c r="BT10" s="250">
        <f t="shared" si="40"/>
        <v>-709207.7</v>
      </c>
      <c r="BU10" s="251">
        <f t="shared" si="41"/>
        <v>1531.9</v>
      </c>
      <c r="BV10" s="251">
        <f>SUMIF('2020'!$B:$B,'Для расчета ЗП'!$A10,('2020'!$CH:$CH))-SUMIFS('2020'!$CH:$CH,'2020'!$B:$B,'Для расчета ЗП'!$A10,'2020'!$G:$G,4)</f>
        <v>709207749</v>
      </c>
      <c r="BW10" s="245">
        <f>SUMIFS('2020'!$P:$P,'2020'!$B:$B,'Для расчета ЗП'!$A10,'2020'!$G:$G,4)</f>
        <v>0</v>
      </c>
      <c r="BX10" s="251">
        <f>SUMIFS('2020'!$BL:$BL,'2020'!$B:$B,'Для расчета ЗП'!$A10,'2020'!$G:$G,4)</f>
        <v>0</v>
      </c>
      <c r="BY10" s="251">
        <f t="shared" si="42"/>
        <v>0</v>
      </c>
      <c r="BZ10" s="251">
        <f>SUMIFS('2020'!$AQ:$AQ,'2020'!$B:$B,'Для расчета ЗП'!$A10,'2020'!$G:$G,4)+SUMIFS('2020'!$BH:$BH,'2020'!$B:$B,'Для расчета ЗП'!$A10,'2020'!$G:$G,4)</f>
        <v>0</v>
      </c>
      <c r="CA10" s="251">
        <f>SUMIFS('2020'!$BM:$BM,'2020'!$B:$B,'Для расчета ЗП'!$A10,'2020'!$G:$G,4)+SUMIFS('2020'!$CD:$CD,'2020'!$B:$B,'Для расчета ЗП'!$A10,'2020'!$G:$G,4)</f>
        <v>0</v>
      </c>
      <c r="CB10" s="251">
        <f t="shared" si="43"/>
        <v>0</v>
      </c>
      <c r="CC10" s="251">
        <f>SUMIFS('2020'!$BB:$BB,'2020'!$B:$B,'Для расчета ЗП'!$A10,'2020'!$G:$G,4)</f>
        <v>0</v>
      </c>
      <c r="CD10" s="251">
        <f>SUMIFS('2020'!$BX:$BX,'2020'!$B:$B,'Для расчета ЗП'!$A10,'2020'!$G:$G,4)</f>
        <v>0</v>
      </c>
      <c r="CE10" s="251"/>
      <c r="CF10" s="251">
        <f t="shared" si="44"/>
        <v>0</v>
      </c>
      <c r="CG10" s="251"/>
      <c r="CH10" s="251">
        <f>SUMIFS('2020'!$CH:$CH,'2020'!$B:$B,'Для расчета ЗП'!$A10,'2020'!$G:$G,4)</f>
        <v>0</v>
      </c>
      <c r="CI10" s="252">
        <f>SUMIF('2020'!$B:$B,'Для расчета ЗП'!$A10,('2020'!$P:$P))</f>
        <v>3657</v>
      </c>
      <c r="CJ10" s="251">
        <f>SUMIF('2020'!$B:$B,'Для расчета ЗП'!$A10,('2020'!$BL:$BL))</f>
        <v>368189227</v>
      </c>
      <c r="CK10" s="253">
        <f>SUMIF('2020'!$B:$B,'Для расчета ЗП'!$A10,('2020'!$CH:$CH))</f>
        <v>709207749</v>
      </c>
      <c r="CL10" s="254">
        <f t="shared" si="45"/>
        <v>-709207.7</v>
      </c>
      <c r="CM10" s="239"/>
      <c r="CN10" s="255">
        <f t="shared" si="46"/>
        <v>709207.7</v>
      </c>
      <c r="CO10" s="255">
        <f t="shared" si="47"/>
        <v>0</v>
      </c>
      <c r="CP10" s="239" t="e">
        <f t="shared" si="48"/>
        <v>#DIV/0!</v>
      </c>
      <c r="CQ10" s="239" t="e">
        <f t="shared" si="49"/>
        <v>#DIV/0!</v>
      </c>
      <c r="CR10" s="255" t="e">
        <f t="shared" si="50"/>
        <v>#DIV/0!</v>
      </c>
      <c r="CS10" s="255" t="e">
        <f t="shared" si="51"/>
        <v>#DIV/0!</v>
      </c>
      <c r="CT10" s="256" t="e">
        <f t="shared" si="52"/>
        <v>#DIV/0!</v>
      </c>
      <c r="CU10" s="248" t="e">
        <f>ROUND(SUMIFS(#REF!,#REF!,'Для расчета ЗП'!$A10,#REF!,1),1)</f>
        <v>#REF!</v>
      </c>
      <c r="CV10" s="248" t="e">
        <f>ROUND(SUMIFS(#REF!,#REF!,'Для расчета ЗП'!$A10,#REF!,2),1)</f>
        <v>#REF!</v>
      </c>
      <c r="CW10" s="248" t="e">
        <f>ROUND(SUMIFS(#REF!,#REF!,'Для расчета ЗП'!$A10,#REF!,3),1)</f>
        <v>#REF!</v>
      </c>
      <c r="CX10" s="257" t="e">
        <f t="shared" si="53"/>
        <v>#REF!</v>
      </c>
      <c r="CY10" s="257" t="e">
        <f>ROUND((SUMIF('2020'!$B:$B,'Для расчета ЗП'!$A10,('2020'!$BM:$BM))-SUMIFS('2020'!$BM:$BM,'2020'!$B:$B,'Для расчета ЗП'!$A10,'2020'!$G:$G,4)),1)-CX10</f>
        <v>#REF!</v>
      </c>
      <c r="CZ10" s="246">
        <f>SUMIFS('2020'!$P:$P,'2020'!$B:$B,'Для расчета ЗП'!$A10,'2020'!$G:$G,3,'2020'!$I:$I,3)</f>
        <v>0</v>
      </c>
      <c r="DA10" s="247">
        <f>ROUND((SUMIF('2020'!$B:$B,'Для расчета ЗП'!$A10,('2020'!$BL:$BL))-SUMIFS('2020'!$BL:$BL,'2020'!$B:$B,'Для расчета ЗП'!$A10,'2020'!$G:$G,4))/1000,1)</f>
        <v>368189.2</v>
      </c>
      <c r="DB10" s="247">
        <f t="shared" si="54"/>
        <v>329018.5</v>
      </c>
      <c r="DC10" s="248">
        <f>ROUND((SUMIF('2020'!$B:$B,'Для расчета ЗП'!$A10,('2020'!$AQ:$AQ))-SUMIFS('2020'!$AQ:$AQ,'2020'!$B:$B,'Для расчета ЗП'!$A10,'2020'!$G:$G,4)+SUMIF('2020'!$B:$B,'Для расчета ЗП'!$A10,('2020'!$BH:$BH))-SUMIFS('2020'!$BH:$BH,'2020'!$B:$B,'Для расчета ЗП'!$A10,'2020'!$G:$G,4))/1000,1)</f>
        <v>228168.2</v>
      </c>
      <c r="DD10" s="248">
        <f>ROUND((SUMIF('2020'!$B:$B,'Для расчета ЗП'!$A10,('2020'!$BM:$BM))-SUMIFS('2020'!$BM:$BM,'2020'!$B:$B,'Для расчета ЗП'!$A10,'2020'!$G:$G,4)+SUMIF('2020'!$B:$B,'Для расчета ЗП'!$A10,('2020'!$CD:$CD))-SUMIFS('2020'!$CD:$CD,'2020'!$B:$B,'Для расчета ЗП'!$A10,'2020'!$G:$G,4))/1000,1)</f>
        <v>557186.69999999995</v>
      </c>
      <c r="DE10" s="247">
        <f t="shared" si="55"/>
        <v>12000</v>
      </c>
      <c r="DF10" s="248">
        <f>ROUND((SUMIF('2020'!$B:$B,'Для расчета ЗП'!$A10,('2020'!$BB:$BB))-SUMIFS('2020'!$BB:$BB,'2020'!$B:$B,'Для расчета ЗП'!$A10,'2020'!$G:$G,4))/1000,1)</f>
        <v>7500</v>
      </c>
      <c r="DG10" s="248">
        <f>ROUND((SUMIF('2020'!$B:$B,'Для расчета ЗП'!$A10,('2020'!$BX:$BX))-SUMIFS('2020'!$BX:$BX,'2020'!$B:$B,'Для расчета ЗП'!$A10,'2020'!$G:$G,4))/1000,1)</f>
        <v>19500</v>
      </c>
      <c r="DH10" s="247">
        <f t="shared" si="56"/>
        <v>709207.7</v>
      </c>
      <c r="DI10" s="247">
        <v>53347.6</v>
      </c>
      <c r="DJ10" s="249">
        <f t="shared" si="14"/>
        <v>762555.3</v>
      </c>
      <c r="DK10" s="248">
        <v>809681.4</v>
      </c>
      <c r="DL10" s="248">
        <f t="shared" si="57"/>
        <v>47126.1</v>
      </c>
      <c r="DM10" s="249">
        <f>DH10*DH23</f>
        <v>0</v>
      </c>
      <c r="DN10" s="250">
        <f t="shared" si="58"/>
        <v>53347.6</v>
      </c>
      <c r="DO10" s="250">
        <f t="shared" si="59"/>
        <v>-709207.7</v>
      </c>
      <c r="DP10" s="251">
        <f t="shared" si="15"/>
        <v>53347.6</v>
      </c>
      <c r="DQ10" s="251">
        <f>SUMIF('2020'!$B:$B,'Для расчета ЗП'!$A10,('2020'!$CH:$CH))-SUMIFS('2020'!$CH:$CH,'2020'!$B:$B,'Для расчета ЗП'!$A10,'2020'!$G:$G,4)</f>
        <v>709207749</v>
      </c>
      <c r="DR10" s="245">
        <f>SUMIFS('2020'!$P:$P,'2020'!$B:$B,'Для расчета ЗП'!$A10,'2020'!$G:$G,4)</f>
        <v>0</v>
      </c>
      <c r="DS10" s="251">
        <f>SUMIFS('2020'!$BL:$BL,'2020'!$B:$B,'Для расчета ЗП'!$A10,'2020'!$G:$G,4)</f>
        <v>0</v>
      </c>
      <c r="DT10" s="251">
        <f t="shared" si="60"/>
        <v>0</v>
      </c>
      <c r="DU10" s="251">
        <f>SUMIFS('2020'!$AQ:$AQ,'2020'!$B:$B,'Для расчета ЗП'!$A10,'2020'!$G:$G,4)+SUMIFS('2020'!$BH:$BH,'2020'!$B:$B,'Для расчета ЗП'!$A10,'2020'!$G:$G,4)</f>
        <v>0</v>
      </c>
      <c r="DV10" s="251">
        <f>SUMIFS('2020'!$BM:$BM,'2020'!$B:$B,'Для расчета ЗП'!$A10,'2020'!$G:$G,4)+SUMIFS('2020'!$CD:$CD,'2020'!$B:$B,'Для расчета ЗП'!$A10,'2020'!$G:$G,4)</f>
        <v>0</v>
      </c>
      <c r="DW10" s="251">
        <f t="shared" si="61"/>
        <v>0</v>
      </c>
      <c r="DX10" s="251">
        <f>SUMIFS('2020'!$BB:$BB,'2020'!$B:$B,'Для расчета ЗП'!$A10,'2020'!$G:$G,4)</f>
        <v>0</v>
      </c>
      <c r="DY10" s="251">
        <f>SUMIFS('2020'!$BX:$BX,'2020'!$B:$B,'Для расчета ЗП'!$A10,'2020'!$G:$G,4)</f>
        <v>0</v>
      </c>
      <c r="DZ10" s="251"/>
      <c r="EA10" s="251">
        <f t="shared" si="62"/>
        <v>0</v>
      </c>
      <c r="EB10" s="251"/>
      <c r="EC10" s="251">
        <f>SUMIFS('2020'!$CH:$CH,'2020'!$B:$B,'Для расчета ЗП'!$A10,'2020'!$G:$G,4)</f>
        <v>0</v>
      </c>
      <c r="ED10" s="252">
        <f>SUMIF('2020'!$B:$B,'Для расчета ЗП'!$A10,('2020'!$P:$P))</f>
        <v>3657</v>
      </c>
      <c r="EE10" s="251">
        <f>SUMIF('2020'!$B:$B,'Для расчета ЗП'!$A10,('2020'!$BL:$BL))</f>
        <v>368189227</v>
      </c>
      <c r="EF10" s="253">
        <f>SUMIF('2020'!$B:$B,'Для расчета ЗП'!$A10,('2020'!$CH:$CH))</f>
        <v>709207749</v>
      </c>
      <c r="EG10" s="254">
        <f t="shared" si="16"/>
        <v>-709207.7</v>
      </c>
      <c r="EH10" s="239"/>
      <c r="EI10" s="239"/>
      <c r="EJ10" s="255">
        <f t="shared" si="17"/>
        <v>0</v>
      </c>
      <c r="EK10" s="239" t="e">
        <f t="shared" si="63"/>
        <v>#DIV/0!</v>
      </c>
      <c r="EL10" s="239" t="e">
        <f t="shared" si="64"/>
        <v>#DIV/0!</v>
      </c>
      <c r="EM10" s="255" t="e">
        <f t="shared" si="18"/>
        <v>#DIV/0!</v>
      </c>
      <c r="EN10" s="255" t="e">
        <f t="shared" si="19"/>
        <v>#DIV/0!</v>
      </c>
      <c r="EO10" s="256" t="e">
        <f t="shared" si="20"/>
        <v>#DIV/0!</v>
      </c>
      <c r="EP10" s="255" t="e">
        <f>ROUND((SUMIF(#REF!,#REF!,(#REF!))-SUMIFS(#REF!,#REF!,#REF!,#REF!,4)),1)</f>
        <v>#REF!</v>
      </c>
      <c r="EQ10" s="255" t="e">
        <f>EP10*#REF!</f>
        <v>#REF!</v>
      </c>
      <c r="ER10" s="262" t="e">
        <f>ROUND(SUMIFS(#REF!,#REF!,'Для расчета ЗП'!$A10,#REF!,1),1)</f>
        <v>#REF!</v>
      </c>
      <c r="ES10" s="262" t="e">
        <f>ROUND(SUMIFS(#REF!,#REF!,'Для расчета ЗП'!$A10,#REF!,1),1)</f>
        <v>#REF!</v>
      </c>
      <c r="ET10" s="262" t="e">
        <f>ROUND(SUMIFS(#REF!,#REF!,'Для расчета ЗП'!$A10,#REF!,1),1)</f>
        <v>#REF!</v>
      </c>
      <c r="EU10" s="263" t="e">
        <f>ROUND((SUMIF(#REF!,#REF!,(#REF!))-SUMIFS(#REF!,#REF!,#REF!,#REF!,4)),1)</f>
        <v>#REF!</v>
      </c>
      <c r="EV10" s="263" t="e">
        <f>EU10*#REF!</f>
        <v>#REF!</v>
      </c>
    </row>
    <row r="11" spans="1:152" ht="45" x14ac:dyDescent="0.25">
      <c r="A11" s="6">
        <v>7</v>
      </c>
      <c r="B11" s="7" t="s">
        <v>49</v>
      </c>
      <c r="C11" s="38">
        <f>SUMIF('2020'!$B:$B,'Для расчета ЗП'!$A11,('2020'!$P:$P))-SUMIFS('2020'!$P:$P,'2020'!$B:$B,'Для расчета ЗП'!$A11,'2020'!$G:$G,4)</f>
        <v>1285</v>
      </c>
      <c r="D11" s="38">
        <f>SUMIFS('2020'!$P:$P,'2020'!$B:$B,'Для расчета ЗП'!$A11,'2020'!$G:$G,1,'2020'!$I:$I,0)</f>
        <v>741</v>
      </c>
      <c r="E11" s="38">
        <f>SUMIFS('2020'!$P:$P,'2020'!$B:$B,'Для расчета ЗП'!$A11,'2020'!$G:$G,1,'2020'!$I:$I,3)</f>
        <v>396</v>
      </c>
      <c r="F11" s="38">
        <f>SUMIFS('2020'!$P:$P,'2020'!$B:$B,'Для расчета ЗП'!$A11,'2020'!$G:$G,2,'2020'!$I:$I,0)</f>
        <v>92</v>
      </c>
      <c r="G11" s="38">
        <f>SUMIFS('2020'!$P:$P,'2020'!$B:$B,'Для расчета ЗП'!$A11,'2020'!$G:$G,2,'2020'!$I:$I,3)</f>
        <v>42</v>
      </c>
      <c r="H11" s="38">
        <f>SUMIFS('2020'!$P:$P,'2020'!$B:$B,'Для расчета ЗП'!$A11,'2020'!$G:$G,3,'2020'!$I:$I,0)</f>
        <v>14</v>
      </c>
      <c r="I11" s="38">
        <f>SUMIFS('2020'!$P:$P,'2020'!$B:$B,'Для расчета ЗП'!$A11,'2020'!$G:$G,3,'2020'!$I:$I,3)</f>
        <v>0</v>
      </c>
      <c r="J11" s="66">
        <f>ROUND((SUMIF('2020'!$B:$B,'Для расчета ЗП'!$A11,('2020'!$BL:$BL))-SUMIFS('2020'!$BL:$BL,'2020'!$B:$B,'Для расчета ЗП'!$A11,'2020'!$G:$G,4))/1000,1)</f>
        <v>116824</v>
      </c>
      <c r="K11" s="66">
        <f t="shared" si="21"/>
        <v>84672.9</v>
      </c>
      <c r="L11" s="37">
        <f>ROUND((SUMIF('2020'!$B:$B,'Для расчета ЗП'!$A11,('2020'!$AQ:$AQ))-SUMIFS('2020'!$AQ:$AQ,'2020'!$B:$B,'Для расчета ЗП'!$A11,'2020'!$G:$G,4)+SUMIF('2020'!$B:$B,'Для расчета ЗП'!$A11,('2020'!$BH:$BH))-SUMIFS('2020'!$BH:$BH,'2020'!$B:$B,'Для расчета ЗП'!$A11,'2020'!$G:$G,4))/1000,1)</f>
        <v>72693</v>
      </c>
      <c r="M11" s="37">
        <f>ROUND((SUMIF('2020'!$B:$B,'Для расчета ЗП'!$A11,('2020'!$BM:$BM))-SUMIFS('2020'!$BM:$BM,'2020'!$B:$B,'Для расчета ЗП'!$A11,'2020'!$G:$G,4)+SUMIF('2020'!$B:$B,'Для расчета ЗП'!$A11,('2020'!$CD:$CD))-SUMIFS('2020'!$CD:$CD,'2020'!$B:$B,'Для расчета ЗП'!$A11,'2020'!$G:$G,4))/1000,1)</f>
        <v>157365.9</v>
      </c>
      <c r="N11" s="66">
        <f t="shared" si="22"/>
        <v>4779.6000000000004</v>
      </c>
      <c r="O11" s="37">
        <f>ROUND((SUMIF('2020'!$B:$B,'Для расчета ЗП'!$A11,('2020'!$BB:$BB))-SUMIFS('2020'!$BB:$BB,'2020'!$B:$B,'Для расчета ЗП'!$A11,'2020'!$G:$G,4))/1000,1)</f>
        <v>2382.6</v>
      </c>
      <c r="P11" s="37">
        <f>ROUND((SUMIF('2020'!$B:$B,'Для расчета ЗП'!$A11,('2020'!$BX:$BX))-SUMIFS('2020'!$BX:$BX,'2020'!$B:$B,'Для расчета ЗП'!$A11,'2020'!$G:$G,4))/1000,1)</f>
        <v>7162.2</v>
      </c>
      <c r="Q11" s="163">
        <f t="shared" si="23"/>
        <v>206276.5</v>
      </c>
      <c r="R11" s="66">
        <v>7009.5</v>
      </c>
      <c r="S11" s="144">
        <f t="shared" si="0"/>
        <v>213286</v>
      </c>
      <c r="T11" s="139">
        <v>230902.1</v>
      </c>
      <c r="U11" s="139">
        <f t="shared" si="24"/>
        <v>17616.099999999999</v>
      </c>
      <c r="V11" s="167">
        <f>Q11*Q23</f>
        <v>135638.35999999999</v>
      </c>
      <c r="W11" s="205">
        <f t="shared" si="25"/>
        <v>142647.85999999999</v>
      </c>
      <c r="X11" s="187">
        <f t="shared" si="26"/>
        <v>-70638.14</v>
      </c>
      <c r="Y11" s="46">
        <f t="shared" si="1"/>
        <v>142647.9</v>
      </c>
      <c r="Z11" s="46">
        <f>SUMIF('2020'!$B:$B,'Для расчета ЗП'!$A11,('2020'!$CH:$CH))-SUMIFS('2020'!$CH:$CH,'2020'!$B:$B,'Для расчета ЗП'!$A11,'2020'!$G:$G,4)</f>
        <v>206276402</v>
      </c>
      <c r="AA11" s="79">
        <f>SUMIFS('2020'!$P:$P,'2020'!$B:$B,'Для расчета ЗП'!$A11,'2020'!$G:$G,4)</f>
        <v>0</v>
      </c>
      <c r="AB11" s="46">
        <f>SUMIFS('2020'!$BL:$BL,'2020'!$B:$B,'Для расчета ЗП'!$A11,'2020'!$G:$G,4)</f>
        <v>0</v>
      </c>
      <c r="AC11" s="46">
        <f t="shared" si="27"/>
        <v>0</v>
      </c>
      <c r="AD11" s="46">
        <f>SUMIFS('2020'!$AQ:$AQ,'2020'!$B:$B,'Для расчета ЗП'!$A11,'2020'!$G:$G,4)+SUMIFS('2020'!$BH:$BH,'2020'!$B:$B,'Для расчета ЗП'!$A11,'2020'!$G:$G,4)</f>
        <v>0</v>
      </c>
      <c r="AE11" s="46">
        <f>SUMIFS('2020'!$BM:$BM,'2020'!$B:$B,'Для расчета ЗП'!$A11,'2020'!$G:$G,4)+SUMIFS('2020'!$CD:$CD,'2020'!$B:$B,'Для расчета ЗП'!$A11,'2020'!$G:$G,4)</f>
        <v>0</v>
      </c>
      <c r="AF11" s="46">
        <f t="shared" si="28"/>
        <v>0</v>
      </c>
      <c r="AG11" s="46">
        <f>SUMIFS('2020'!$BB:$BB,'2020'!$B:$B,'Для расчета ЗП'!$A11,'2020'!$G:$G,4)</f>
        <v>0</v>
      </c>
      <c r="AH11" s="46">
        <f>SUMIFS('2020'!$BX:$BX,'2020'!$B:$B,'Для расчета ЗП'!$A11,'2020'!$G:$G,4)</f>
        <v>0</v>
      </c>
      <c r="AI11" s="46"/>
      <c r="AJ11" s="46">
        <f t="shared" si="29"/>
        <v>0</v>
      </c>
      <c r="AK11" s="46"/>
      <c r="AL11" s="46">
        <f>SUMIFS('2020'!$CH:$CH,'2020'!$B:$B,'Для расчета ЗП'!$A11,'2020'!$G:$G,4)</f>
        <v>0</v>
      </c>
      <c r="AM11" s="198">
        <f>SUMIF('2020'!$B:$B,'Для расчета ЗП'!$A11,('2020'!$P:$P))</f>
        <v>1285</v>
      </c>
      <c r="AN11" s="46">
        <f>SUMIF('2020'!$B:$B,'Для расчета ЗП'!$A11,('2020'!$BL:$BL))</f>
        <v>116823967</v>
      </c>
      <c r="AO11" s="199">
        <f>SUMIF('2020'!$B:$B,'Для расчета ЗП'!$A11,('2020'!$CH:$CH))</f>
        <v>206276402</v>
      </c>
      <c r="AP11" s="48">
        <f t="shared" si="2"/>
        <v>-70638.100000000006</v>
      </c>
      <c r="AS11" s="105">
        <f t="shared" si="3"/>
        <v>135638.39999999999</v>
      </c>
      <c r="AT11">
        <f t="shared" si="30"/>
        <v>5.5388660740777799E-2</v>
      </c>
      <c r="AU11">
        <f t="shared" si="31"/>
        <v>43431.9</v>
      </c>
      <c r="AV11" s="105">
        <f t="shared" si="4"/>
        <v>99216</v>
      </c>
      <c r="AW11" s="105">
        <f t="shared" si="5"/>
        <v>-114070</v>
      </c>
      <c r="AX11" s="111">
        <f t="shared" si="6"/>
        <v>0.44700000000000001</v>
      </c>
      <c r="AY11" s="37">
        <f>ROUND(SUMIFS('2020'!$BM:$BM,'2020'!$B:$B,'Для расчета ЗП'!$A11,'2020'!$G:$G,1),1)</f>
        <v>108881827</v>
      </c>
      <c r="AZ11" s="37">
        <f>ROUND(SUMIFS('2020'!$BM:$BM,'2020'!$B:$B,'Для расчета ЗП'!$A11,'2020'!$G:$G,2),1)</f>
        <v>15295336</v>
      </c>
      <c r="BA11" s="37">
        <f>ROUND(SUMIFS('2020'!$BM:$BM,'2020'!$B:$B,'Для расчета ЗП'!$A11,'2020'!$G:$G,3),1)</f>
        <v>2382212</v>
      </c>
      <c r="BB11" s="39">
        <f t="shared" si="32"/>
        <v>126559375</v>
      </c>
      <c r="BC11" s="39">
        <f>ROUND((SUMIF('2020'!$B:$B,'Для расчета ЗП'!$A11,('2020'!$BM:$BM))-SUMIFS('2020'!$BM:$BM,'2020'!$B:$B,'Для расчета ЗП'!$A11,'2020'!$G:$G,4)),1)-BB11</f>
        <v>0</v>
      </c>
      <c r="BD11" s="39">
        <f>BB11*'Свод 2020'!AA$27</f>
        <v>134387691.75</v>
      </c>
      <c r="BE11" s="246">
        <f>SUMIFS('2020'!$P:$P,'2020'!$B:$B,'Для расчета ЗП'!$A11,'2020'!$G:$G,3,'2020'!$I:$I,3)</f>
        <v>0</v>
      </c>
      <c r="BF11" s="247">
        <f>ROUND((SUMIF('2020'!$B:$B,'Для расчета ЗП'!$A11,('2020'!$BL:$BL))-SUMIFS('2020'!$BL:$BL,'2020'!$B:$B,'Для расчета ЗП'!$A11,'2020'!$G:$G,4))/1000,1)</f>
        <v>116824</v>
      </c>
      <c r="BG11" s="247">
        <f t="shared" si="33"/>
        <v>84672.9</v>
      </c>
      <c r="BH11" s="248">
        <f>ROUND((SUMIF('2020'!$B:$B,'Для расчета ЗП'!$A11,('2020'!$AQ:$AQ))-SUMIFS('2020'!$AQ:$AQ,'2020'!$B:$B,'Для расчета ЗП'!$A11,'2020'!$G:$G,4)+SUMIF('2020'!$B:$B,'Для расчета ЗП'!$A11,('2020'!$BH:$BH))-SUMIFS('2020'!$BH:$BH,'2020'!$B:$B,'Для расчета ЗП'!$A11,'2020'!$G:$G,4))/1000,1)</f>
        <v>72693</v>
      </c>
      <c r="BI11" s="248">
        <f>ROUND((SUMIF('2020'!$B:$B,'Для расчета ЗП'!$A11,('2020'!$BM:$BM))-SUMIFS('2020'!$BM:$BM,'2020'!$B:$B,'Для расчета ЗП'!$A11,'2020'!$G:$G,4)+SUMIF('2020'!$B:$B,'Для расчета ЗП'!$A11,('2020'!$CD:$CD))-SUMIFS('2020'!$CD:$CD,'2020'!$B:$B,'Для расчета ЗП'!$A11,'2020'!$G:$G,4))/1000,1)</f>
        <v>157365.9</v>
      </c>
      <c r="BJ11" s="247">
        <f t="shared" si="34"/>
        <v>4779.6000000000004</v>
      </c>
      <c r="BK11" s="248">
        <f>ROUND((SUMIF('2020'!$B:$B,'Для расчета ЗП'!$A11,('2020'!$BB:$BB))-SUMIFS('2020'!$BB:$BB,'2020'!$B:$B,'Для расчета ЗП'!$A11,'2020'!$G:$G,4))/1000,1)</f>
        <v>2382.6</v>
      </c>
      <c r="BL11" s="248">
        <f>ROUND((SUMIF('2020'!$B:$B,'Для расчета ЗП'!$A11,('2020'!$BX:$BX))-SUMIFS('2020'!$BX:$BX,'2020'!$B:$B,'Для расчета ЗП'!$A11,'2020'!$G:$G,4))/1000,1)</f>
        <v>7162.2</v>
      </c>
      <c r="BM11" s="247">
        <f t="shared" si="35"/>
        <v>206276.5</v>
      </c>
      <c r="BN11" s="247">
        <v>1532.9</v>
      </c>
      <c r="BO11" s="249">
        <f t="shared" si="36"/>
        <v>207809.4</v>
      </c>
      <c r="BP11" s="248">
        <v>83548.2</v>
      </c>
      <c r="BQ11" s="248">
        <f t="shared" si="37"/>
        <v>-124261.2</v>
      </c>
      <c r="BR11" s="249">
        <f t="shared" si="38"/>
        <v>0</v>
      </c>
      <c r="BS11" s="250">
        <f t="shared" si="39"/>
        <v>1532.9</v>
      </c>
      <c r="BT11" s="250">
        <f t="shared" si="40"/>
        <v>-206276.5</v>
      </c>
      <c r="BU11" s="251">
        <f t="shared" si="41"/>
        <v>1532.9</v>
      </c>
      <c r="BV11" s="251">
        <f>SUMIF('2020'!$B:$B,'Для расчета ЗП'!$A11,('2020'!$CH:$CH))-SUMIFS('2020'!$CH:$CH,'2020'!$B:$B,'Для расчета ЗП'!$A11,'2020'!$G:$G,4)</f>
        <v>206276402</v>
      </c>
      <c r="BW11" s="245">
        <f>SUMIFS('2020'!$P:$P,'2020'!$B:$B,'Для расчета ЗП'!$A11,'2020'!$G:$G,4)</f>
        <v>0</v>
      </c>
      <c r="BX11" s="251">
        <f>SUMIFS('2020'!$BL:$BL,'2020'!$B:$B,'Для расчета ЗП'!$A11,'2020'!$G:$G,4)</f>
        <v>0</v>
      </c>
      <c r="BY11" s="251">
        <f t="shared" si="42"/>
        <v>0</v>
      </c>
      <c r="BZ11" s="251">
        <f>SUMIFS('2020'!$AQ:$AQ,'2020'!$B:$B,'Для расчета ЗП'!$A11,'2020'!$G:$G,4)+SUMIFS('2020'!$BH:$BH,'2020'!$B:$B,'Для расчета ЗП'!$A11,'2020'!$G:$G,4)</f>
        <v>0</v>
      </c>
      <c r="CA11" s="251">
        <f>SUMIFS('2020'!$BM:$BM,'2020'!$B:$B,'Для расчета ЗП'!$A11,'2020'!$G:$G,4)+SUMIFS('2020'!$CD:$CD,'2020'!$B:$B,'Для расчета ЗП'!$A11,'2020'!$G:$G,4)</f>
        <v>0</v>
      </c>
      <c r="CB11" s="251">
        <f t="shared" si="43"/>
        <v>0</v>
      </c>
      <c r="CC11" s="251">
        <f>SUMIFS('2020'!$BB:$BB,'2020'!$B:$B,'Для расчета ЗП'!$A11,'2020'!$G:$G,4)</f>
        <v>0</v>
      </c>
      <c r="CD11" s="251">
        <f>SUMIFS('2020'!$BX:$BX,'2020'!$B:$B,'Для расчета ЗП'!$A11,'2020'!$G:$G,4)</f>
        <v>0</v>
      </c>
      <c r="CE11" s="251"/>
      <c r="CF11" s="251">
        <f t="shared" si="44"/>
        <v>0</v>
      </c>
      <c r="CG11" s="251"/>
      <c r="CH11" s="251">
        <f>SUMIFS('2020'!$CH:$CH,'2020'!$B:$B,'Для расчета ЗП'!$A11,'2020'!$G:$G,4)</f>
        <v>0</v>
      </c>
      <c r="CI11" s="252">
        <f>SUMIF('2020'!$B:$B,'Для расчета ЗП'!$A11,('2020'!$P:$P))</f>
        <v>1285</v>
      </c>
      <c r="CJ11" s="251">
        <f>SUMIF('2020'!$B:$B,'Для расчета ЗП'!$A11,('2020'!$BL:$BL))</f>
        <v>116823967</v>
      </c>
      <c r="CK11" s="253">
        <f>SUMIF('2020'!$B:$B,'Для расчета ЗП'!$A11,('2020'!$CH:$CH))</f>
        <v>206276402</v>
      </c>
      <c r="CL11" s="254">
        <f t="shared" si="45"/>
        <v>-206276.5</v>
      </c>
      <c r="CM11" s="239"/>
      <c r="CN11" s="255">
        <f t="shared" si="46"/>
        <v>206276.5</v>
      </c>
      <c r="CO11" s="255">
        <f t="shared" si="47"/>
        <v>0</v>
      </c>
      <c r="CP11" s="239" t="e">
        <f t="shared" si="48"/>
        <v>#DIV/0!</v>
      </c>
      <c r="CQ11" s="239" t="e">
        <f t="shared" si="49"/>
        <v>#DIV/0!</v>
      </c>
      <c r="CR11" s="255" t="e">
        <f t="shared" si="50"/>
        <v>#DIV/0!</v>
      </c>
      <c r="CS11" s="255" t="e">
        <f t="shared" si="51"/>
        <v>#DIV/0!</v>
      </c>
      <c r="CT11" s="256" t="e">
        <f t="shared" si="52"/>
        <v>#DIV/0!</v>
      </c>
      <c r="CU11" s="248" t="e">
        <f>ROUND(SUMIFS(#REF!,#REF!,'Для расчета ЗП'!$A11,#REF!,1),1)</f>
        <v>#REF!</v>
      </c>
      <c r="CV11" s="248" t="e">
        <f>ROUND(SUMIFS(#REF!,#REF!,'Для расчета ЗП'!$A11,#REF!,2),1)</f>
        <v>#REF!</v>
      </c>
      <c r="CW11" s="248" t="e">
        <f>ROUND(SUMIFS(#REF!,#REF!,'Для расчета ЗП'!$A11,#REF!,3),1)</f>
        <v>#REF!</v>
      </c>
      <c r="CX11" s="257" t="e">
        <f t="shared" si="53"/>
        <v>#REF!</v>
      </c>
      <c r="CY11" s="257" t="e">
        <f>ROUND((SUMIF('2020'!$B:$B,'Для расчета ЗП'!$A11,('2020'!$BM:$BM))-SUMIFS('2020'!$BM:$BM,'2020'!$B:$B,'Для расчета ЗП'!$A11,'2020'!$G:$G,4)),1)-CX11</f>
        <v>#REF!</v>
      </c>
      <c r="CZ11" s="246">
        <f>SUMIFS('2020'!$P:$P,'2020'!$B:$B,'Для расчета ЗП'!$A11,'2020'!$G:$G,3,'2020'!$I:$I,3)</f>
        <v>0</v>
      </c>
      <c r="DA11" s="247">
        <f>ROUND((SUMIF('2020'!$B:$B,'Для расчета ЗП'!$A11,('2020'!$BL:$BL))-SUMIFS('2020'!$BL:$BL,'2020'!$B:$B,'Для расчета ЗП'!$A11,'2020'!$G:$G,4))/1000,1)</f>
        <v>116824</v>
      </c>
      <c r="DB11" s="247">
        <f t="shared" si="54"/>
        <v>84672.9</v>
      </c>
      <c r="DC11" s="248">
        <f>ROUND((SUMIF('2020'!$B:$B,'Для расчета ЗП'!$A11,('2020'!$AQ:$AQ))-SUMIFS('2020'!$AQ:$AQ,'2020'!$B:$B,'Для расчета ЗП'!$A11,'2020'!$G:$G,4)+SUMIF('2020'!$B:$B,'Для расчета ЗП'!$A11,('2020'!$BH:$BH))-SUMIFS('2020'!$BH:$BH,'2020'!$B:$B,'Для расчета ЗП'!$A11,'2020'!$G:$G,4))/1000,1)</f>
        <v>72693</v>
      </c>
      <c r="DD11" s="248">
        <f>ROUND((SUMIF('2020'!$B:$B,'Для расчета ЗП'!$A11,('2020'!$BM:$BM))-SUMIFS('2020'!$BM:$BM,'2020'!$B:$B,'Для расчета ЗП'!$A11,'2020'!$G:$G,4)+SUMIF('2020'!$B:$B,'Для расчета ЗП'!$A11,('2020'!$CD:$CD))-SUMIFS('2020'!$CD:$CD,'2020'!$B:$B,'Для расчета ЗП'!$A11,'2020'!$G:$G,4))/1000,1)</f>
        <v>157365.9</v>
      </c>
      <c r="DE11" s="247">
        <f t="shared" si="55"/>
        <v>4779.6000000000004</v>
      </c>
      <c r="DF11" s="248">
        <f>ROUND((SUMIF('2020'!$B:$B,'Для расчета ЗП'!$A11,('2020'!$BB:$BB))-SUMIFS('2020'!$BB:$BB,'2020'!$B:$B,'Для расчета ЗП'!$A11,'2020'!$G:$G,4))/1000,1)</f>
        <v>2382.6</v>
      </c>
      <c r="DG11" s="248">
        <f>ROUND((SUMIF('2020'!$B:$B,'Для расчета ЗП'!$A11,('2020'!$BX:$BX))-SUMIFS('2020'!$BX:$BX,'2020'!$B:$B,'Для расчета ЗП'!$A11,'2020'!$G:$G,4))/1000,1)</f>
        <v>7162.2</v>
      </c>
      <c r="DH11" s="247">
        <f t="shared" si="56"/>
        <v>206276.5</v>
      </c>
      <c r="DI11" s="247">
        <v>7009.5</v>
      </c>
      <c r="DJ11" s="249">
        <f t="shared" si="14"/>
        <v>213286</v>
      </c>
      <c r="DK11" s="248">
        <v>230902.1</v>
      </c>
      <c r="DL11" s="248">
        <f t="shared" si="57"/>
        <v>17616.099999999999</v>
      </c>
      <c r="DM11" s="249">
        <f>DH11*DH23</f>
        <v>0</v>
      </c>
      <c r="DN11" s="250">
        <f t="shared" si="58"/>
        <v>7009.5</v>
      </c>
      <c r="DO11" s="250">
        <f t="shared" si="59"/>
        <v>-206276.5</v>
      </c>
      <c r="DP11" s="251">
        <f t="shared" si="15"/>
        <v>7009.5</v>
      </c>
      <c r="DQ11" s="251">
        <f>SUMIF('2020'!$B:$B,'Для расчета ЗП'!$A11,('2020'!$CH:$CH))-SUMIFS('2020'!$CH:$CH,'2020'!$B:$B,'Для расчета ЗП'!$A11,'2020'!$G:$G,4)</f>
        <v>206276402</v>
      </c>
      <c r="DR11" s="245">
        <f>SUMIFS('2020'!$P:$P,'2020'!$B:$B,'Для расчета ЗП'!$A11,'2020'!$G:$G,4)</f>
        <v>0</v>
      </c>
      <c r="DS11" s="251">
        <f>SUMIFS('2020'!$BL:$BL,'2020'!$B:$B,'Для расчета ЗП'!$A11,'2020'!$G:$G,4)</f>
        <v>0</v>
      </c>
      <c r="DT11" s="251">
        <f t="shared" si="60"/>
        <v>0</v>
      </c>
      <c r="DU11" s="251">
        <f>SUMIFS('2020'!$AQ:$AQ,'2020'!$B:$B,'Для расчета ЗП'!$A11,'2020'!$G:$G,4)+SUMIFS('2020'!$BH:$BH,'2020'!$B:$B,'Для расчета ЗП'!$A11,'2020'!$G:$G,4)</f>
        <v>0</v>
      </c>
      <c r="DV11" s="251">
        <f>SUMIFS('2020'!$BM:$BM,'2020'!$B:$B,'Для расчета ЗП'!$A11,'2020'!$G:$G,4)+SUMIFS('2020'!$CD:$CD,'2020'!$B:$B,'Для расчета ЗП'!$A11,'2020'!$G:$G,4)</f>
        <v>0</v>
      </c>
      <c r="DW11" s="251">
        <f t="shared" si="61"/>
        <v>0</v>
      </c>
      <c r="DX11" s="251">
        <f>SUMIFS('2020'!$BB:$BB,'2020'!$B:$B,'Для расчета ЗП'!$A11,'2020'!$G:$G,4)</f>
        <v>0</v>
      </c>
      <c r="DY11" s="251">
        <f>SUMIFS('2020'!$BX:$BX,'2020'!$B:$B,'Для расчета ЗП'!$A11,'2020'!$G:$G,4)</f>
        <v>0</v>
      </c>
      <c r="DZ11" s="251"/>
      <c r="EA11" s="251">
        <f t="shared" si="62"/>
        <v>0</v>
      </c>
      <c r="EB11" s="251"/>
      <c r="EC11" s="251">
        <f>SUMIFS('2020'!$CH:$CH,'2020'!$B:$B,'Для расчета ЗП'!$A11,'2020'!$G:$G,4)</f>
        <v>0</v>
      </c>
      <c r="ED11" s="252">
        <f>SUMIF('2020'!$B:$B,'Для расчета ЗП'!$A11,('2020'!$P:$P))</f>
        <v>1285</v>
      </c>
      <c r="EE11" s="251">
        <f>SUMIF('2020'!$B:$B,'Для расчета ЗП'!$A11,('2020'!$BL:$BL))</f>
        <v>116823967</v>
      </c>
      <c r="EF11" s="253">
        <f>SUMIF('2020'!$B:$B,'Для расчета ЗП'!$A11,('2020'!$CH:$CH))</f>
        <v>206276402</v>
      </c>
      <c r="EG11" s="254">
        <f t="shared" si="16"/>
        <v>-206276.5</v>
      </c>
      <c r="EH11" s="239"/>
      <c r="EI11" s="239"/>
      <c r="EJ11" s="255">
        <f t="shared" si="17"/>
        <v>0</v>
      </c>
      <c r="EK11" s="239" t="e">
        <f t="shared" si="63"/>
        <v>#DIV/0!</v>
      </c>
      <c r="EL11" s="239" t="e">
        <f t="shared" si="64"/>
        <v>#DIV/0!</v>
      </c>
      <c r="EM11" s="255" t="e">
        <f t="shared" si="18"/>
        <v>#DIV/0!</v>
      </c>
      <c r="EN11" s="255" t="e">
        <f t="shared" si="19"/>
        <v>#DIV/0!</v>
      </c>
      <c r="EO11" s="256" t="e">
        <f t="shared" si="20"/>
        <v>#DIV/0!</v>
      </c>
      <c r="EP11" s="255" t="e">
        <f>ROUND((SUMIF(#REF!,#REF!,(#REF!))-SUMIFS(#REF!,#REF!,#REF!,#REF!,4)),1)</f>
        <v>#REF!</v>
      </c>
      <c r="EQ11" s="255" t="e">
        <f>EP11*#REF!</f>
        <v>#REF!</v>
      </c>
      <c r="ER11" s="262" t="e">
        <f>ROUND(SUMIFS(#REF!,#REF!,'Для расчета ЗП'!$A11,#REF!,1),1)</f>
        <v>#REF!</v>
      </c>
      <c r="ES11" s="262" t="e">
        <f>ROUND(SUMIFS(#REF!,#REF!,'Для расчета ЗП'!$A11,#REF!,1),1)</f>
        <v>#REF!</v>
      </c>
      <c r="ET11" s="262" t="e">
        <f>ROUND(SUMIFS(#REF!,#REF!,'Для расчета ЗП'!$A11,#REF!,1),1)</f>
        <v>#REF!</v>
      </c>
      <c r="EU11" s="263" t="e">
        <f>ROUND((SUMIF(#REF!,#REF!,(#REF!))-SUMIFS(#REF!,#REF!,#REF!,#REF!,4)),1)</f>
        <v>#REF!</v>
      </c>
      <c r="EV11" s="263" t="e">
        <f>EU11*#REF!</f>
        <v>#REF!</v>
      </c>
    </row>
    <row r="12" spans="1:152" ht="60" x14ac:dyDescent="0.25">
      <c r="A12" s="6">
        <v>8</v>
      </c>
      <c r="B12" s="7" t="s">
        <v>50</v>
      </c>
      <c r="C12" s="38">
        <f>SUMIF('2020'!$B:$B,'Для расчета ЗП'!$A12,('2020'!$P:$P))-SUMIFS('2020'!$P:$P,'2020'!$B:$B,'Для расчета ЗП'!$A12,'2020'!$G:$G,4)</f>
        <v>2590</v>
      </c>
      <c r="D12" s="38">
        <f>SUMIFS('2020'!$P:$P,'2020'!$B:$B,'Для расчета ЗП'!$A12,'2020'!$G:$G,1,'2020'!$I:$I,0)</f>
        <v>1981</v>
      </c>
      <c r="E12" s="38">
        <f>SUMIFS('2020'!$P:$P,'2020'!$B:$B,'Для расчета ЗП'!$A12,'2020'!$G:$G,1,'2020'!$I:$I,3)</f>
        <v>215</v>
      </c>
      <c r="F12" s="38">
        <f>SUMIFS('2020'!$P:$P,'2020'!$B:$B,'Для расчета ЗП'!$A12,'2020'!$G:$G,2,'2020'!$I:$I,0)</f>
        <v>329</v>
      </c>
      <c r="G12" s="38">
        <f>SUMIFS('2020'!$P:$P,'2020'!$B:$B,'Для расчета ЗП'!$A12,'2020'!$G:$G,2,'2020'!$I:$I,3)</f>
        <v>50</v>
      </c>
      <c r="H12" s="38">
        <f>SUMIFS('2020'!$P:$P,'2020'!$B:$B,'Для расчета ЗП'!$A12,'2020'!$G:$G,3,'2020'!$I:$I,0)</f>
        <v>15</v>
      </c>
      <c r="I12" s="38">
        <f>SUMIFS('2020'!$P:$P,'2020'!$B:$B,'Для расчета ЗП'!$A12,'2020'!$G:$G,3,'2020'!$I:$I,3)</f>
        <v>0</v>
      </c>
      <c r="J12" s="66">
        <f>ROUND((SUMIF('2020'!$B:$B,'Для расчета ЗП'!$A12,('2020'!$BL:$BL))-SUMIFS('2020'!$BL:$BL,'2020'!$B:$B,'Для расчета ЗП'!$A12,'2020'!$G:$G,4))/1000,1)</f>
        <v>305331.59999999998</v>
      </c>
      <c r="K12" s="66">
        <f t="shared" si="21"/>
        <v>96255.6</v>
      </c>
      <c r="L12" s="37">
        <f>ROUND((SUMIF('2020'!$B:$B,'Для расчета ЗП'!$A12,('2020'!$AQ:$AQ))-SUMIFS('2020'!$AQ:$AQ,'2020'!$B:$B,'Для расчета ЗП'!$A12,'2020'!$G:$G,4)+SUMIF('2020'!$B:$B,'Для расчета ЗП'!$A12,('2020'!$BH:$BH))-SUMIFS('2020'!$BH:$BH,'2020'!$B:$B,'Для расчета ЗП'!$A12,'2020'!$G:$G,4))/1000,1)</f>
        <v>190983.4</v>
      </c>
      <c r="M12" s="37">
        <f>ROUND((SUMIF('2020'!$B:$B,'Для расчета ЗП'!$A12,('2020'!$BM:$BM))-SUMIFS('2020'!$BM:$BM,'2020'!$B:$B,'Для расчета ЗП'!$A12,'2020'!$G:$G,4)+SUMIF('2020'!$B:$B,'Для расчета ЗП'!$A12,('2020'!$CD:$CD))-SUMIFS('2020'!$CD:$CD,'2020'!$B:$B,'Для расчета ЗП'!$A12,'2020'!$G:$G,4))/1000,1)</f>
        <v>287239</v>
      </c>
      <c r="N12" s="66">
        <f t="shared" si="22"/>
        <v>9223.1</v>
      </c>
      <c r="O12" s="37">
        <f>ROUND((SUMIF('2020'!$B:$B,'Для расчета ЗП'!$A12,('2020'!$BB:$BB))-SUMIFS('2020'!$BB:$BB,'2020'!$B:$B,'Для расчета ЗП'!$A12,'2020'!$G:$G,4))/1000,1)</f>
        <v>6269.9</v>
      </c>
      <c r="P12" s="37">
        <f>ROUND((SUMIF('2020'!$B:$B,'Для расчета ЗП'!$A12,('2020'!$BX:$BX))-SUMIFS('2020'!$BX:$BX,'2020'!$B:$B,'Для расчета ЗП'!$A12,'2020'!$G:$G,4))/1000,1)</f>
        <v>15493</v>
      </c>
      <c r="Q12" s="163">
        <f t="shared" si="23"/>
        <v>410810.3</v>
      </c>
      <c r="R12" s="66">
        <v>216003.3</v>
      </c>
      <c r="S12" s="144">
        <f t="shared" si="0"/>
        <v>626813.6</v>
      </c>
      <c r="T12" s="139">
        <v>614143.80000000005</v>
      </c>
      <c r="U12" s="139">
        <f t="shared" si="24"/>
        <v>-12669.8</v>
      </c>
      <c r="V12" s="167">
        <f>Q12*Q23</f>
        <v>270130.78999999998</v>
      </c>
      <c r="W12" s="205">
        <f t="shared" si="25"/>
        <v>486134.09</v>
      </c>
      <c r="X12" s="187">
        <f t="shared" si="26"/>
        <v>-140679.51</v>
      </c>
      <c r="Y12" s="46">
        <f t="shared" si="1"/>
        <v>486134.1</v>
      </c>
      <c r="Z12" s="46">
        <f>SUMIF('2020'!$B:$B,'Для расчета ЗП'!$A12,('2020'!$CH:$CH))-SUMIFS('2020'!$CH:$CH,'2020'!$B:$B,'Для расчета ЗП'!$A12,'2020'!$G:$G,4)</f>
        <v>410810274</v>
      </c>
      <c r="AA12" s="79">
        <f>SUMIFS('2020'!$P:$P,'2020'!$B:$B,'Для расчета ЗП'!$A12,'2020'!$G:$G,4)</f>
        <v>0</v>
      </c>
      <c r="AB12" s="46">
        <f>SUMIFS('2020'!$BL:$BL,'2020'!$B:$B,'Для расчета ЗП'!$A12,'2020'!$G:$G,4)</f>
        <v>0</v>
      </c>
      <c r="AC12" s="46">
        <f t="shared" si="27"/>
        <v>0</v>
      </c>
      <c r="AD12" s="46">
        <f>SUMIFS('2020'!$AQ:$AQ,'2020'!$B:$B,'Для расчета ЗП'!$A12,'2020'!$G:$G,4)+SUMIFS('2020'!$BH:$BH,'2020'!$B:$B,'Для расчета ЗП'!$A12,'2020'!$G:$G,4)</f>
        <v>0</v>
      </c>
      <c r="AE12" s="46">
        <f>SUMIFS('2020'!$BM:$BM,'2020'!$B:$B,'Для расчета ЗП'!$A12,'2020'!$G:$G,4)+SUMIFS('2020'!$CD:$CD,'2020'!$B:$B,'Для расчета ЗП'!$A12,'2020'!$G:$G,4)</f>
        <v>0</v>
      </c>
      <c r="AF12" s="46">
        <f t="shared" si="28"/>
        <v>0</v>
      </c>
      <c r="AG12" s="46">
        <f>SUMIFS('2020'!$BB:$BB,'2020'!$B:$B,'Для расчета ЗП'!$A12,'2020'!$G:$G,4)</f>
        <v>0</v>
      </c>
      <c r="AH12" s="46">
        <f>SUMIFS('2020'!$BX:$BX,'2020'!$B:$B,'Для расчета ЗП'!$A12,'2020'!$G:$G,4)</f>
        <v>0</v>
      </c>
      <c r="AI12" s="46"/>
      <c r="AJ12" s="46">
        <f t="shared" si="29"/>
        <v>0</v>
      </c>
      <c r="AK12" s="46"/>
      <c r="AL12" s="46">
        <f>SUMIFS('2020'!$CH:$CH,'2020'!$B:$B,'Для расчета ЗП'!$A12,'2020'!$G:$G,4)</f>
        <v>0</v>
      </c>
      <c r="AM12" s="198">
        <f>SUMIF('2020'!$B:$B,'Для расчета ЗП'!$A12,('2020'!$P:$P))</f>
        <v>2590</v>
      </c>
      <c r="AN12" s="46">
        <f>SUMIF('2020'!$B:$B,'Для расчета ЗП'!$A12,('2020'!$BL:$BL))</f>
        <v>305331578</v>
      </c>
      <c r="AO12" s="199">
        <f>SUMIF('2020'!$B:$B,'Для расчета ЗП'!$A12,('2020'!$CH:$CH))</f>
        <v>410810274</v>
      </c>
      <c r="AP12" s="48">
        <f t="shared" si="2"/>
        <v>-140679.5</v>
      </c>
      <c r="AS12" s="105">
        <f t="shared" si="3"/>
        <v>270130.8</v>
      </c>
      <c r="AT12">
        <f t="shared" si="30"/>
        <v>0.11030934629747099</v>
      </c>
      <c r="AU12">
        <f t="shared" si="31"/>
        <v>86496.8</v>
      </c>
      <c r="AV12" s="105">
        <f t="shared" si="4"/>
        <v>399637.3</v>
      </c>
      <c r="AW12" s="105">
        <f t="shared" si="5"/>
        <v>-227176.3</v>
      </c>
      <c r="AX12" s="111">
        <f t="shared" si="6"/>
        <v>0.44700000000000001</v>
      </c>
      <c r="AY12" s="37">
        <f>ROUND(SUMIFS('2020'!$BM:$BM,'2020'!$B:$B,'Для расчета ЗП'!$A12,'2020'!$G:$G,1),1)</f>
        <v>193277045</v>
      </c>
      <c r="AZ12" s="37">
        <f>ROUND(SUMIFS('2020'!$BM:$BM,'2020'!$B:$B,'Для расчета ЗП'!$A12,'2020'!$G:$G,2),1)</f>
        <v>35401063</v>
      </c>
      <c r="BA12" s="37">
        <f>ROUND(SUMIFS('2020'!$BM:$BM,'2020'!$B:$B,'Для расчета ЗП'!$A12,'2020'!$G:$G,3),1)</f>
        <v>1769832</v>
      </c>
      <c r="BB12" s="39">
        <f t="shared" si="32"/>
        <v>230447940</v>
      </c>
      <c r="BC12" s="39">
        <f>ROUND((SUMIF('2020'!$B:$B,'Для расчета ЗП'!$A12,('2020'!$BM:$BM))-SUMIFS('2020'!$BM:$BM,'2020'!$B:$B,'Для расчета ЗП'!$A12,'2020'!$G:$G,4)),1)-BB12</f>
        <v>0</v>
      </c>
      <c r="BD12" s="39">
        <f>BB12*'Свод 2020'!AA$27</f>
        <v>244702272.94</v>
      </c>
      <c r="BE12" s="246">
        <f>SUMIFS('2020'!$P:$P,'2020'!$B:$B,'Для расчета ЗП'!$A12,'2020'!$G:$G,3,'2020'!$I:$I,3)</f>
        <v>0</v>
      </c>
      <c r="BF12" s="247">
        <f>ROUND((SUMIF('2020'!$B:$B,'Для расчета ЗП'!$A12,('2020'!$BL:$BL))-SUMIFS('2020'!$BL:$BL,'2020'!$B:$B,'Для расчета ЗП'!$A12,'2020'!$G:$G,4))/1000,1)</f>
        <v>305331.59999999998</v>
      </c>
      <c r="BG12" s="247">
        <f t="shared" si="33"/>
        <v>96255.6</v>
      </c>
      <c r="BH12" s="248">
        <f>ROUND((SUMIF('2020'!$B:$B,'Для расчета ЗП'!$A12,('2020'!$AQ:$AQ))-SUMIFS('2020'!$AQ:$AQ,'2020'!$B:$B,'Для расчета ЗП'!$A12,'2020'!$G:$G,4)+SUMIF('2020'!$B:$B,'Для расчета ЗП'!$A12,('2020'!$BH:$BH))-SUMIFS('2020'!$BH:$BH,'2020'!$B:$B,'Для расчета ЗП'!$A12,'2020'!$G:$G,4))/1000,1)</f>
        <v>190983.4</v>
      </c>
      <c r="BI12" s="248">
        <f>ROUND((SUMIF('2020'!$B:$B,'Для расчета ЗП'!$A12,('2020'!$BM:$BM))-SUMIFS('2020'!$BM:$BM,'2020'!$B:$B,'Для расчета ЗП'!$A12,'2020'!$G:$G,4)+SUMIF('2020'!$B:$B,'Для расчета ЗП'!$A12,('2020'!$CD:$CD))-SUMIFS('2020'!$CD:$CD,'2020'!$B:$B,'Для расчета ЗП'!$A12,'2020'!$G:$G,4))/1000,1)</f>
        <v>287239</v>
      </c>
      <c r="BJ12" s="247">
        <f t="shared" si="34"/>
        <v>9223.1</v>
      </c>
      <c r="BK12" s="248">
        <f>ROUND((SUMIF('2020'!$B:$B,'Для расчета ЗП'!$A12,('2020'!$BB:$BB))-SUMIFS('2020'!$BB:$BB,'2020'!$B:$B,'Для расчета ЗП'!$A12,'2020'!$G:$G,4))/1000,1)</f>
        <v>6269.9</v>
      </c>
      <c r="BL12" s="248">
        <f>ROUND((SUMIF('2020'!$B:$B,'Для расчета ЗП'!$A12,('2020'!$BX:$BX))-SUMIFS('2020'!$BX:$BX,'2020'!$B:$B,'Для расчета ЗП'!$A12,'2020'!$G:$G,4))/1000,1)</f>
        <v>15493</v>
      </c>
      <c r="BM12" s="247">
        <f t="shared" si="35"/>
        <v>410810.3</v>
      </c>
      <c r="BN12" s="247">
        <v>1533.9</v>
      </c>
      <c r="BO12" s="249">
        <f t="shared" si="36"/>
        <v>412344.2</v>
      </c>
      <c r="BP12" s="248">
        <v>83549.2</v>
      </c>
      <c r="BQ12" s="248">
        <f t="shared" si="37"/>
        <v>-328795</v>
      </c>
      <c r="BR12" s="249">
        <f t="shared" si="38"/>
        <v>0</v>
      </c>
      <c r="BS12" s="250">
        <f t="shared" si="39"/>
        <v>1533.9</v>
      </c>
      <c r="BT12" s="250">
        <f t="shared" si="40"/>
        <v>-410810.3</v>
      </c>
      <c r="BU12" s="251">
        <f t="shared" si="41"/>
        <v>1533.9</v>
      </c>
      <c r="BV12" s="251">
        <f>SUMIF('2020'!$B:$B,'Для расчета ЗП'!$A12,('2020'!$CH:$CH))-SUMIFS('2020'!$CH:$CH,'2020'!$B:$B,'Для расчета ЗП'!$A12,'2020'!$G:$G,4)</f>
        <v>410810274</v>
      </c>
      <c r="BW12" s="245">
        <f>SUMIFS('2020'!$P:$P,'2020'!$B:$B,'Для расчета ЗП'!$A12,'2020'!$G:$G,4)</f>
        <v>0</v>
      </c>
      <c r="BX12" s="251">
        <f>SUMIFS('2020'!$BL:$BL,'2020'!$B:$B,'Для расчета ЗП'!$A12,'2020'!$G:$G,4)</f>
        <v>0</v>
      </c>
      <c r="BY12" s="251">
        <f t="shared" si="42"/>
        <v>0</v>
      </c>
      <c r="BZ12" s="251">
        <f>SUMIFS('2020'!$AQ:$AQ,'2020'!$B:$B,'Для расчета ЗП'!$A12,'2020'!$G:$G,4)+SUMIFS('2020'!$BH:$BH,'2020'!$B:$B,'Для расчета ЗП'!$A12,'2020'!$G:$G,4)</f>
        <v>0</v>
      </c>
      <c r="CA12" s="251">
        <f>SUMIFS('2020'!$BM:$BM,'2020'!$B:$B,'Для расчета ЗП'!$A12,'2020'!$G:$G,4)+SUMIFS('2020'!$CD:$CD,'2020'!$B:$B,'Для расчета ЗП'!$A12,'2020'!$G:$G,4)</f>
        <v>0</v>
      </c>
      <c r="CB12" s="251">
        <f t="shared" si="43"/>
        <v>0</v>
      </c>
      <c r="CC12" s="251">
        <f>SUMIFS('2020'!$BB:$BB,'2020'!$B:$B,'Для расчета ЗП'!$A12,'2020'!$G:$G,4)</f>
        <v>0</v>
      </c>
      <c r="CD12" s="251">
        <f>SUMIFS('2020'!$BX:$BX,'2020'!$B:$B,'Для расчета ЗП'!$A12,'2020'!$G:$G,4)</f>
        <v>0</v>
      </c>
      <c r="CE12" s="251"/>
      <c r="CF12" s="251">
        <f t="shared" si="44"/>
        <v>0</v>
      </c>
      <c r="CG12" s="251"/>
      <c r="CH12" s="251">
        <f>SUMIFS('2020'!$CH:$CH,'2020'!$B:$B,'Для расчета ЗП'!$A12,'2020'!$G:$G,4)</f>
        <v>0</v>
      </c>
      <c r="CI12" s="252">
        <f>SUMIF('2020'!$B:$B,'Для расчета ЗП'!$A12,('2020'!$P:$P))</f>
        <v>2590</v>
      </c>
      <c r="CJ12" s="251">
        <f>SUMIF('2020'!$B:$B,'Для расчета ЗП'!$A12,('2020'!$BL:$BL))</f>
        <v>305331578</v>
      </c>
      <c r="CK12" s="253">
        <f>SUMIF('2020'!$B:$B,'Для расчета ЗП'!$A12,('2020'!$CH:$CH))</f>
        <v>410810274</v>
      </c>
      <c r="CL12" s="254">
        <f t="shared" si="45"/>
        <v>-410810.3</v>
      </c>
      <c r="CM12" s="239"/>
      <c r="CN12" s="255">
        <f t="shared" si="46"/>
        <v>410810.3</v>
      </c>
      <c r="CO12" s="255">
        <f t="shared" si="47"/>
        <v>0</v>
      </c>
      <c r="CP12" s="239" t="e">
        <f t="shared" si="48"/>
        <v>#DIV/0!</v>
      </c>
      <c r="CQ12" s="239" t="e">
        <f t="shared" si="49"/>
        <v>#DIV/0!</v>
      </c>
      <c r="CR12" s="255" t="e">
        <f t="shared" si="50"/>
        <v>#DIV/0!</v>
      </c>
      <c r="CS12" s="255" t="e">
        <f t="shared" si="51"/>
        <v>#DIV/0!</v>
      </c>
      <c r="CT12" s="256" t="e">
        <f t="shared" si="52"/>
        <v>#DIV/0!</v>
      </c>
      <c r="CU12" s="248" t="e">
        <f>ROUND(SUMIFS(#REF!,#REF!,'Для расчета ЗП'!$A12,#REF!,1),1)</f>
        <v>#REF!</v>
      </c>
      <c r="CV12" s="248" t="e">
        <f>ROUND(SUMIFS(#REF!,#REF!,'Для расчета ЗП'!$A12,#REF!,2),1)</f>
        <v>#REF!</v>
      </c>
      <c r="CW12" s="248" t="e">
        <f>ROUND(SUMIFS(#REF!,#REF!,'Для расчета ЗП'!$A12,#REF!,3),1)</f>
        <v>#REF!</v>
      </c>
      <c r="CX12" s="257" t="e">
        <f t="shared" si="53"/>
        <v>#REF!</v>
      </c>
      <c r="CY12" s="257" t="e">
        <f>ROUND((SUMIF('2020'!$B:$B,'Для расчета ЗП'!$A12,('2020'!$BM:$BM))-SUMIFS('2020'!$BM:$BM,'2020'!$B:$B,'Для расчета ЗП'!$A12,'2020'!$G:$G,4)),1)-CX12</f>
        <v>#REF!</v>
      </c>
      <c r="CZ12" s="246">
        <f>SUMIFS('2020'!$P:$P,'2020'!$B:$B,'Для расчета ЗП'!$A12,'2020'!$G:$G,3,'2020'!$I:$I,3)</f>
        <v>0</v>
      </c>
      <c r="DA12" s="247">
        <f>ROUND((SUMIF('2020'!$B:$B,'Для расчета ЗП'!$A12,('2020'!$BL:$BL))-SUMIFS('2020'!$BL:$BL,'2020'!$B:$B,'Для расчета ЗП'!$A12,'2020'!$G:$G,4))/1000,1)</f>
        <v>305331.59999999998</v>
      </c>
      <c r="DB12" s="247">
        <f t="shared" si="54"/>
        <v>96255.6</v>
      </c>
      <c r="DC12" s="248">
        <f>ROUND((SUMIF('2020'!$B:$B,'Для расчета ЗП'!$A12,('2020'!$AQ:$AQ))-SUMIFS('2020'!$AQ:$AQ,'2020'!$B:$B,'Для расчета ЗП'!$A12,'2020'!$G:$G,4)+SUMIF('2020'!$B:$B,'Для расчета ЗП'!$A12,('2020'!$BH:$BH))-SUMIFS('2020'!$BH:$BH,'2020'!$B:$B,'Для расчета ЗП'!$A12,'2020'!$G:$G,4))/1000,1)</f>
        <v>190983.4</v>
      </c>
      <c r="DD12" s="248">
        <f>ROUND((SUMIF('2020'!$B:$B,'Для расчета ЗП'!$A12,('2020'!$BM:$BM))-SUMIFS('2020'!$BM:$BM,'2020'!$B:$B,'Для расчета ЗП'!$A12,'2020'!$G:$G,4)+SUMIF('2020'!$B:$B,'Для расчета ЗП'!$A12,('2020'!$CD:$CD))-SUMIFS('2020'!$CD:$CD,'2020'!$B:$B,'Для расчета ЗП'!$A12,'2020'!$G:$G,4))/1000,1)</f>
        <v>287239</v>
      </c>
      <c r="DE12" s="247">
        <f t="shared" si="55"/>
        <v>9223.1</v>
      </c>
      <c r="DF12" s="248">
        <f>ROUND((SUMIF('2020'!$B:$B,'Для расчета ЗП'!$A12,('2020'!$BB:$BB))-SUMIFS('2020'!$BB:$BB,'2020'!$B:$B,'Для расчета ЗП'!$A12,'2020'!$G:$G,4))/1000,1)</f>
        <v>6269.9</v>
      </c>
      <c r="DG12" s="248">
        <f>ROUND((SUMIF('2020'!$B:$B,'Для расчета ЗП'!$A12,('2020'!$BX:$BX))-SUMIFS('2020'!$BX:$BX,'2020'!$B:$B,'Для расчета ЗП'!$A12,'2020'!$G:$G,4))/1000,1)</f>
        <v>15493</v>
      </c>
      <c r="DH12" s="247">
        <f t="shared" si="56"/>
        <v>410810.3</v>
      </c>
      <c r="DI12" s="247">
        <v>216003.3</v>
      </c>
      <c r="DJ12" s="249">
        <f t="shared" si="14"/>
        <v>626813.6</v>
      </c>
      <c r="DK12" s="248">
        <v>614143.80000000005</v>
      </c>
      <c r="DL12" s="248">
        <f t="shared" si="57"/>
        <v>-12669.8</v>
      </c>
      <c r="DM12" s="249">
        <f>DH12*DH23</f>
        <v>0</v>
      </c>
      <c r="DN12" s="250">
        <f t="shared" si="58"/>
        <v>216003.3</v>
      </c>
      <c r="DO12" s="250">
        <f t="shared" si="59"/>
        <v>-410810.3</v>
      </c>
      <c r="DP12" s="251">
        <f t="shared" si="15"/>
        <v>216003.3</v>
      </c>
      <c r="DQ12" s="251">
        <f>SUMIF('2020'!$B:$B,'Для расчета ЗП'!$A12,('2020'!$CH:$CH))-SUMIFS('2020'!$CH:$CH,'2020'!$B:$B,'Для расчета ЗП'!$A12,'2020'!$G:$G,4)</f>
        <v>410810274</v>
      </c>
      <c r="DR12" s="245">
        <f>SUMIFS('2020'!$P:$P,'2020'!$B:$B,'Для расчета ЗП'!$A12,'2020'!$G:$G,4)</f>
        <v>0</v>
      </c>
      <c r="DS12" s="251">
        <f>SUMIFS('2020'!$BL:$BL,'2020'!$B:$B,'Для расчета ЗП'!$A12,'2020'!$G:$G,4)</f>
        <v>0</v>
      </c>
      <c r="DT12" s="251">
        <f t="shared" si="60"/>
        <v>0</v>
      </c>
      <c r="DU12" s="251">
        <f>SUMIFS('2020'!$AQ:$AQ,'2020'!$B:$B,'Для расчета ЗП'!$A12,'2020'!$G:$G,4)+SUMIFS('2020'!$BH:$BH,'2020'!$B:$B,'Для расчета ЗП'!$A12,'2020'!$G:$G,4)</f>
        <v>0</v>
      </c>
      <c r="DV12" s="251">
        <f>SUMIFS('2020'!$BM:$BM,'2020'!$B:$B,'Для расчета ЗП'!$A12,'2020'!$G:$G,4)+SUMIFS('2020'!$CD:$CD,'2020'!$B:$B,'Для расчета ЗП'!$A12,'2020'!$G:$G,4)</f>
        <v>0</v>
      </c>
      <c r="DW12" s="251">
        <f t="shared" si="61"/>
        <v>0</v>
      </c>
      <c r="DX12" s="251">
        <f>SUMIFS('2020'!$BB:$BB,'2020'!$B:$B,'Для расчета ЗП'!$A12,'2020'!$G:$G,4)</f>
        <v>0</v>
      </c>
      <c r="DY12" s="251">
        <f>SUMIFS('2020'!$BX:$BX,'2020'!$B:$B,'Для расчета ЗП'!$A12,'2020'!$G:$G,4)</f>
        <v>0</v>
      </c>
      <c r="DZ12" s="251"/>
      <c r="EA12" s="251">
        <f t="shared" si="62"/>
        <v>0</v>
      </c>
      <c r="EB12" s="251"/>
      <c r="EC12" s="251">
        <f>SUMIFS('2020'!$CH:$CH,'2020'!$B:$B,'Для расчета ЗП'!$A12,'2020'!$G:$G,4)</f>
        <v>0</v>
      </c>
      <c r="ED12" s="252">
        <f>SUMIF('2020'!$B:$B,'Для расчета ЗП'!$A12,('2020'!$P:$P))</f>
        <v>2590</v>
      </c>
      <c r="EE12" s="251">
        <f>SUMIF('2020'!$B:$B,'Для расчета ЗП'!$A12,('2020'!$BL:$BL))</f>
        <v>305331578</v>
      </c>
      <c r="EF12" s="253">
        <f>SUMIF('2020'!$B:$B,'Для расчета ЗП'!$A12,('2020'!$CH:$CH))</f>
        <v>410810274</v>
      </c>
      <c r="EG12" s="254">
        <f t="shared" si="16"/>
        <v>-410810.3</v>
      </c>
      <c r="EH12" s="239"/>
      <c r="EI12" s="239"/>
      <c r="EJ12" s="255">
        <f t="shared" si="17"/>
        <v>0</v>
      </c>
      <c r="EK12" s="239" t="e">
        <f t="shared" si="63"/>
        <v>#DIV/0!</v>
      </c>
      <c r="EL12" s="239" t="e">
        <f t="shared" si="64"/>
        <v>#DIV/0!</v>
      </c>
      <c r="EM12" s="255" t="e">
        <f t="shared" si="18"/>
        <v>#DIV/0!</v>
      </c>
      <c r="EN12" s="255" t="e">
        <f t="shared" si="19"/>
        <v>#DIV/0!</v>
      </c>
      <c r="EO12" s="256" t="e">
        <f t="shared" si="20"/>
        <v>#DIV/0!</v>
      </c>
      <c r="EP12" s="255" t="e">
        <f>ROUND((SUMIF(#REF!,#REF!,(#REF!))-SUMIFS(#REF!,#REF!,#REF!,#REF!,4)),1)</f>
        <v>#REF!</v>
      </c>
      <c r="EQ12" s="255" t="e">
        <f>EP12*#REF!</f>
        <v>#REF!</v>
      </c>
      <c r="ER12" s="262" t="e">
        <f>ROUND(SUMIFS(#REF!,#REF!,'Для расчета ЗП'!$A12,#REF!,1),1)</f>
        <v>#REF!</v>
      </c>
      <c r="ES12" s="262" t="e">
        <f>ROUND(SUMIFS(#REF!,#REF!,'Для расчета ЗП'!$A12,#REF!,1),1)</f>
        <v>#REF!</v>
      </c>
      <c r="ET12" s="262" t="e">
        <f>ROUND(SUMIFS(#REF!,#REF!,'Для расчета ЗП'!$A12,#REF!,1),1)</f>
        <v>#REF!</v>
      </c>
      <c r="EU12" s="263" t="e">
        <f>ROUND((SUMIF(#REF!,#REF!,(#REF!))-SUMIFS(#REF!,#REF!,#REF!,#REF!,4)),1)</f>
        <v>#REF!</v>
      </c>
      <c r="EV12" s="263" t="e">
        <f>EU12*#REF!</f>
        <v>#REF!</v>
      </c>
    </row>
    <row r="13" spans="1:152" ht="60" x14ac:dyDescent="0.25">
      <c r="A13" s="6">
        <v>9</v>
      </c>
      <c r="B13" s="7" t="s">
        <v>51</v>
      </c>
      <c r="C13" s="38">
        <f>SUMIF('2020'!$B:$B,'Для расчета ЗП'!$A13,('2020'!$P:$P))-SUMIFS('2020'!$P:$P,'2020'!$B:$B,'Для расчета ЗП'!$A13,'2020'!$G:$G,4)</f>
        <v>3383</v>
      </c>
      <c r="D13" s="38">
        <f>SUMIFS('2020'!$P:$P,'2020'!$B:$B,'Для расчета ЗП'!$A13,'2020'!$G:$G,1,'2020'!$I:$I,0)</f>
        <v>2058</v>
      </c>
      <c r="E13" s="38">
        <f>SUMIFS('2020'!$P:$P,'2020'!$B:$B,'Для расчета ЗП'!$A13,'2020'!$G:$G,1,'2020'!$I:$I,3)</f>
        <v>840</v>
      </c>
      <c r="F13" s="38">
        <f>SUMIFS('2020'!$P:$P,'2020'!$B:$B,'Для расчета ЗП'!$A13,'2020'!$G:$G,2,'2020'!$I:$I,0)</f>
        <v>286</v>
      </c>
      <c r="G13" s="38">
        <f>SUMIFS('2020'!$P:$P,'2020'!$B:$B,'Для расчета ЗП'!$A13,'2020'!$G:$G,2,'2020'!$I:$I,3)</f>
        <v>148</v>
      </c>
      <c r="H13" s="38">
        <f>SUMIFS('2020'!$P:$P,'2020'!$B:$B,'Для расчета ЗП'!$A13,'2020'!$G:$G,3,'2020'!$I:$I,0)</f>
        <v>51</v>
      </c>
      <c r="I13" s="38">
        <f>SUMIFS('2020'!$P:$P,'2020'!$B:$B,'Для расчета ЗП'!$A13,'2020'!$G:$G,3,'2020'!$I:$I,3)</f>
        <v>0</v>
      </c>
      <c r="J13" s="66">
        <f>ROUND((SUMIF('2020'!$B:$B,'Для расчета ЗП'!$A13,('2020'!$BL:$BL))-SUMIFS('2020'!$BL:$BL,'2020'!$B:$B,'Для расчета ЗП'!$A13,'2020'!$G:$G,4))/1000,1)</f>
        <v>320793.2</v>
      </c>
      <c r="K13" s="66">
        <f t="shared" si="21"/>
        <v>456926.7</v>
      </c>
      <c r="L13" s="37">
        <f>ROUND((SUMIF('2020'!$B:$B,'Для расчета ЗП'!$A13,('2020'!$AQ:$AQ))-SUMIFS('2020'!$AQ:$AQ,'2020'!$B:$B,'Для расчета ЗП'!$A13,'2020'!$G:$G,4)+SUMIF('2020'!$B:$B,'Для расчета ЗП'!$A13,('2020'!$BH:$BH))-SUMIFS('2020'!$BH:$BH,'2020'!$B:$B,'Для расчета ЗП'!$A13,'2020'!$G:$G,4))/1000,1)</f>
        <v>202359</v>
      </c>
      <c r="M13" s="37">
        <f>ROUND((SUMIF('2020'!$B:$B,'Для расчета ЗП'!$A13,('2020'!$BM:$BM))-SUMIFS('2020'!$BM:$BM,'2020'!$B:$B,'Для расчета ЗП'!$A13,'2020'!$G:$G,4)+SUMIF('2020'!$B:$B,'Для расчета ЗП'!$A13,('2020'!$CD:$CD))-SUMIFS('2020'!$CD:$CD,'2020'!$B:$B,'Для расчета ЗП'!$A13,'2020'!$G:$G,4))/1000,1)</f>
        <v>659285.69999999995</v>
      </c>
      <c r="N13" s="66">
        <f t="shared" si="22"/>
        <v>12552.2</v>
      </c>
      <c r="O13" s="37">
        <f>ROUND((SUMIF('2020'!$B:$B,'Для расчета ЗП'!$A13,('2020'!$BB:$BB))-SUMIFS('2020'!$BB:$BB,'2020'!$B:$B,'Для расчета ЗП'!$A13,'2020'!$G:$G,4))/1000,1)</f>
        <v>6634.3</v>
      </c>
      <c r="P13" s="37">
        <f>ROUND((SUMIF('2020'!$B:$B,'Для расчета ЗП'!$A13,('2020'!$BX:$BX))-SUMIFS('2020'!$BX:$BX,'2020'!$B:$B,'Для расчета ЗП'!$A13,'2020'!$G:$G,4))/1000,1)</f>
        <v>19186.5</v>
      </c>
      <c r="Q13" s="163">
        <f t="shared" si="23"/>
        <v>790272.1</v>
      </c>
      <c r="R13" s="66">
        <v>97171.9</v>
      </c>
      <c r="S13" s="144">
        <f t="shared" si="0"/>
        <v>887444</v>
      </c>
      <c r="T13" s="139">
        <v>866937.1</v>
      </c>
      <c r="U13" s="139">
        <f t="shared" si="24"/>
        <v>-20506.900000000001</v>
      </c>
      <c r="V13" s="167">
        <f>Q13*Q23</f>
        <v>519648.19</v>
      </c>
      <c r="W13" s="205">
        <f t="shared" si="25"/>
        <v>616820.09</v>
      </c>
      <c r="X13" s="187">
        <f t="shared" si="26"/>
        <v>-270623.90999999997</v>
      </c>
      <c r="Y13" s="46">
        <f t="shared" si="1"/>
        <v>616820.1</v>
      </c>
      <c r="Z13" s="46">
        <f>SUMIF('2020'!$B:$B,'Для расчета ЗП'!$A13,('2020'!$CH:$CH))-SUMIFS('2020'!$CH:$CH,'2020'!$B:$B,'Для расчета ЗП'!$A13,'2020'!$G:$G,4)</f>
        <v>790272016</v>
      </c>
      <c r="AA13" s="79">
        <f>SUMIFS('2020'!$P:$P,'2020'!$B:$B,'Для расчета ЗП'!$A13,'2020'!$G:$G,4)</f>
        <v>0</v>
      </c>
      <c r="AB13" s="46">
        <f>SUMIFS('2020'!$BL:$BL,'2020'!$B:$B,'Для расчета ЗП'!$A13,'2020'!$G:$G,4)</f>
        <v>0</v>
      </c>
      <c r="AC13" s="46">
        <f t="shared" si="27"/>
        <v>0</v>
      </c>
      <c r="AD13" s="46">
        <f>SUMIFS('2020'!$AQ:$AQ,'2020'!$B:$B,'Для расчета ЗП'!$A13,'2020'!$G:$G,4)+SUMIFS('2020'!$BH:$BH,'2020'!$B:$B,'Для расчета ЗП'!$A13,'2020'!$G:$G,4)</f>
        <v>0</v>
      </c>
      <c r="AE13" s="46">
        <f>SUMIFS('2020'!$BM:$BM,'2020'!$B:$B,'Для расчета ЗП'!$A13,'2020'!$G:$G,4)+SUMIFS('2020'!$CD:$CD,'2020'!$B:$B,'Для расчета ЗП'!$A13,'2020'!$G:$G,4)</f>
        <v>0</v>
      </c>
      <c r="AF13" s="46">
        <f t="shared" si="28"/>
        <v>0</v>
      </c>
      <c r="AG13" s="46">
        <f>SUMIFS('2020'!$BB:$BB,'2020'!$B:$B,'Для расчета ЗП'!$A13,'2020'!$G:$G,4)</f>
        <v>0</v>
      </c>
      <c r="AH13" s="46">
        <f>SUMIFS('2020'!$BX:$BX,'2020'!$B:$B,'Для расчета ЗП'!$A13,'2020'!$G:$G,4)</f>
        <v>0</v>
      </c>
      <c r="AI13" s="46"/>
      <c r="AJ13" s="46">
        <f t="shared" si="29"/>
        <v>0</v>
      </c>
      <c r="AK13" s="46"/>
      <c r="AL13" s="46">
        <f>SUMIFS('2020'!$CH:$CH,'2020'!$B:$B,'Для расчета ЗП'!$A13,'2020'!$G:$G,4)</f>
        <v>0</v>
      </c>
      <c r="AM13" s="198">
        <f>SUMIF('2020'!$B:$B,'Для расчета ЗП'!$A13,('2020'!$P:$P))</f>
        <v>3383</v>
      </c>
      <c r="AN13" s="46">
        <f>SUMIF('2020'!$B:$B,'Для расчета ЗП'!$A13,('2020'!$BL:$BL))</f>
        <v>320793159</v>
      </c>
      <c r="AO13" s="199">
        <f>SUMIF('2020'!$B:$B,'Для расчета ЗП'!$A13,('2020'!$CH:$CH))</f>
        <v>790272016</v>
      </c>
      <c r="AP13" s="48">
        <f t="shared" si="2"/>
        <v>-270623.90000000002</v>
      </c>
      <c r="AS13" s="105">
        <f t="shared" si="3"/>
        <v>519648.2</v>
      </c>
      <c r="AT13">
        <f t="shared" si="30"/>
        <v>0.21220110126893099</v>
      </c>
      <c r="AU13">
        <f t="shared" si="31"/>
        <v>166393.20000000001</v>
      </c>
      <c r="AV13" s="105">
        <f t="shared" si="4"/>
        <v>450426.9</v>
      </c>
      <c r="AW13" s="105">
        <f t="shared" si="5"/>
        <v>-437017.1</v>
      </c>
      <c r="AX13" s="111">
        <f t="shared" si="6"/>
        <v>0.44700000000000001</v>
      </c>
      <c r="AY13" s="37">
        <f>ROUND(SUMIFS('2020'!$BM:$BM,'2020'!$B:$B,'Для расчета ЗП'!$A13,'2020'!$G:$G,1),1)</f>
        <v>446114000</v>
      </c>
      <c r="AZ13" s="37">
        <f>ROUND(SUMIFS('2020'!$BM:$BM,'2020'!$B:$B,'Для расчета ЗП'!$A13,'2020'!$G:$G,2),1)</f>
        <v>70474393</v>
      </c>
      <c r="BA13" s="37">
        <f>ROUND(SUMIFS('2020'!$BM:$BM,'2020'!$B:$B,'Для расчета ЗП'!$A13,'2020'!$G:$G,3),1)</f>
        <v>13035095</v>
      </c>
      <c r="BB13" s="39">
        <f t="shared" si="32"/>
        <v>529623488</v>
      </c>
      <c r="BC13" s="39">
        <f>ROUND((SUMIF('2020'!$B:$B,'Для расчета ЗП'!$A13,('2020'!$BM:$BM))-SUMIFS('2020'!$BM:$BM,'2020'!$B:$B,'Для расчета ЗП'!$A13,'2020'!$G:$G,4)),1)-BB13</f>
        <v>0</v>
      </c>
      <c r="BD13" s="39">
        <f>BB13*'Свод 2020'!AA$27</f>
        <v>562383292.79999995</v>
      </c>
      <c r="BE13" s="246">
        <f>SUMIFS('2020'!$P:$P,'2020'!$B:$B,'Для расчета ЗП'!$A13,'2020'!$G:$G,3,'2020'!$I:$I,3)</f>
        <v>0</v>
      </c>
      <c r="BF13" s="247">
        <f>ROUND((SUMIF('2020'!$B:$B,'Для расчета ЗП'!$A13,('2020'!$BL:$BL))-SUMIFS('2020'!$BL:$BL,'2020'!$B:$B,'Для расчета ЗП'!$A13,'2020'!$G:$G,4))/1000,1)</f>
        <v>320793.2</v>
      </c>
      <c r="BG13" s="247">
        <f t="shared" si="33"/>
        <v>456926.7</v>
      </c>
      <c r="BH13" s="248">
        <f>ROUND((SUMIF('2020'!$B:$B,'Для расчета ЗП'!$A13,('2020'!$AQ:$AQ))-SUMIFS('2020'!$AQ:$AQ,'2020'!$B:$B,'Для расчета ЗП'!$A13,'2020'!$G:$G,4)+SUMIF('2020'!$B:$B,'Для расчета ЗП'!$A13,('2020'!$BH:$BH))-SUMIFS('2020'!$BH:$BH,'2020'!$B:$B,'Для расчета ЗП'!$A13,'2020'!$G:$G,4))/1000,1)</f>
        <v>202359</v>
      </c>
      <c r="BI13" s="248">
        <f>ROUND((SUMIF('2020'!$B:$B,'Для расчета ЗП'!$A13,('2020'!$BM:$BM))-SUMIFS('2020'!$BM:$BM,'2020'!$B:$B,'Для расчета ЗП'!$A13,'2020'!$G:$G,4)+SUMIF('2020'!$B:$B,'Для расчета ЗП'!$A13,('2020'!$CD:$CD))-SUMIFS('2020'!$CD:$CD,'2020'!$B:$B,'Для расчета ЗП'!$A13,'2020'!$G:$G,4))/1000,1)</f>
        <v>659285.69999999995</v>
      </c>
      <c r="BJ13" s="247">
        <f t="shared" si="34"/>
        <v>12552.2</v>
      </c>
      <c r="BK13" s="248">
        <f>ROUND((SUMIF('2020'!$B:$B,'Для расчета ЗП'!$A13,('2020'!$BB:$BB))-SUMIFS('2020'!$BB:$BB,'2020'!$B:$B,'Для расчета ЗП'!$A13,'2020'!$G:$G,4))/1000,1)</f>
        <v>6634.3</v>
      </c>
      <c r="BL13" s="248">
        <f>ROUND((SUMIF('2020'!$B:$B,'Для расчета ЗП'!$A13,('2020'!$BX:$BX))-SUMIFS('2020'!$BX:$BX,'2020'!$B:$B,'Для расчета ЗП'!$A13,'2020'!$G:$G,4))/1000,1)</f>
        <v>19186.5</v>
      </c>
      <c r="BM13" s="247">
        <f t="shared" si="35"/>
        <v>790272.1</v>
      </c>
      <c r="BN13" s="247">
        <v>1534.9</v>
      </c>
      <c r="BO13" s="249">
        <f t="shared" si="36"/>
        <v>791807</v>
      </c>
      <c r="BP13" s="248">
        <v>83550.2</v>
      </c>
      <c r="BQ13" s="248">
        <f t="shared" si="37"/>
        <v>-708256.8</v>
      </c>
      <c r="BR13" s="249">
        <f t="shared" si="38"/>
        <v>0</v>
      </c>
      <c r="BS13" s="250">
        <f t="shared" si="39"/>
        <v>1534.9</v>
      </c>
      <c r="BT13" s="250">
        <f t="shared" si="40"/>
        <v>-790272.1</v>
      </c>
      <c r="BU13" s="251">
        <f t="shared" si="41"/>
        <v>1534.9</v>
      </c>
      <c r="BV13" s="251">
        <f>SUMIF('2020'!$B:$B,'Для расчета ЗП'!$A13,('2020'!$CH:$CH))-SUMIFS('2020'!$CH:$CH,'2020'!$B:$B,'Для расчета ЗП'!$A13,'2020'!$G:$G,4)</f>
        <v>790272016</v>
      </c>
      <c r="BW13" s="245">
        <f>SUMIFS('2020'!$P:$P,'2020'!$B:$B,'Для расчета ЗП'!$A13,'2020'!$G:$G,4)</f>
        <v>0</v>
      </c>
      <c r="BX13" s="251">
        <f>SUMIFS('2020'!$BL:$BL,'2020'!$B:$B,'Для расчета ЗП'!$A13,'2020'!$G:$G,4)</f>
        <v>0</v>
      </c>
      <c r="BY13" s="251">
        <f t="shared" si="42"/>
        <v>0</v>
      </c>
      <c r="BZ13" s="251">
        <f>SUMIFS('2020'!$AQ:$AQ,'2020'!$B:$B,'Для расчета ЗП'!$A13,'2020'!$G:$G,4)+SUMIFS('2020'!$BH:$BH,'2020'!$B:$B,'Для расчета ЗП'!$A13,'2020'!$G:$G,4)</f>
        <v>0</v>
      </c>
      <c r="CA13" s="251">
        <f>SUMIFS('2020'!$BM:$BM,'2020'!$B:$B,'Для расчета ЗП'!$A13,'2020'!$G:$G,4)+SUMIFS('2020'!$CD:$CD,'2020'!$B:$B,'Для расчета ЗП'!$A13,'2020'!$G:$G,4)</f>
        <v>0</v>
      </c>
      <c r="CB13" s="251">
        <f t="shared" si="43"/>
        <v>0</v>
      </c>
      <c r="CC13" s="251">
        <f>SUMIFS('2020'!$BB:$BB,'2020'!$B:$B,'Для расчета ЗП'!$A13,'2020'!$G:$G,4)</f>
        <v>0</v>
      </c>
      <c r="CD13" s="251">
        <f>SUMIFS('2020'!$BX:$BX,'2020'!$B:$B,'Для расчета ЗП'!$A13,'2020'!$G:$G,4)</f>
        <v>0</v>
      </c>
      <c r="CE13" s="251"/>
      <c r="CF13" s="251">
        <f t="shared" si="44"/>
        <v>0</v>
      </c>
      <c r="CG13" s="251"/>
      <c r="CH13" s="251">
        <f>SUMIFS('2020'!$CH:$CH,'2020'!$B:$B,'Для расчета ЗП'!$A13,'2020'!$G:$G,4)</f>
        <v>0</v>
      </c>
      <c r="CI13" s="252">
        <f>SUMIF('2020'!$B:$B,'Для расчета ЗП'!$A13,('2020'!$P:$P))</f>
        <v>3383</v>
      </c>
      <c r="CJ13" s="251">
        <f>SUMIF('2020'!$B:$B,'Для расчета ЗП'!$A13,('2020'!$BL:$BL))</f>
        <v>320793159</v>
      </c>
      <c r="CK13" s="253">
        <f>SUMIF('2020'!$B:$B,'Для расчета ЗП'!$A13,('2020'!$CH:$CH))</f>
        <v>790272016</v>
      </c>
      <c r="CL13" s="254">
        <f t="shared" si="45"/>
        <v>-790272.1</v>
      </c>
      <c r="CM13" s="239"/>
      <c r="CN13" s="255">
        <f t="shared" si="46"/>
        <v>790272.1</v>
      </c>
      <c r="CO13" s="255">
        <f t="shared" si="47"/>
        <v>0</v>
      </c>
      <c r="CP13" s="239" t="e">
        <f t="shared" si="48"/>
        <v>#DIV/0!</v>
      </c>
      <c r="CQ13" s="239" t="e">
        <f t="shared" si="49"/>
        <v>#DIV/0!</v>
      </c>
      <c r="CR13" s="255" t="e">
        <f t="shared" si="50"/>
        <v>#DIV/0!</v>
      </c>
      <c r="CS13" s="255" t="e">
        <f t="shared" si="51"/>
        <v>#DIV/0!</v>
      </c>
      <c r="CT13" s="256" t="e">
        <f t="shared" si="52"/>
        <v>#DIV/0!</v>
      </c>
      <c r="CU13" s="248" t="e">
        <f>ROUND(SUMIFS(#REF!,#REF!,'Для расчета ЗП'!$A13,#REF!,1),1)</f>
        <v>#REF!</v>
      </c>
      <c r="CV13" s="248" t="e">
        <f>ROUND(SUMIFS(#REF!,#REF!,'Для расчета ЗП'!$A13,#REF!,2),1)</f>
        <v>#REF!</v>
      </c>
      <c r="CW13" s="248" t="e">
        <f>ROUND(SUMIFS(#REF!,#REF!,'Для расчета ЗП'!$A13,#REF!,3),1)</f>
        <v>#REF!</v>
      </c>
      <c r="CX13" s="257" t="e">
        <f t="shared" si="53"/>
        <v>#REF!</v>
      </c>
      <c r="CY13" s="257" t="e">
        <f>ROUND((SUMIF('2020'!$B:$B,'Для расчета ЗП'!$A13,('2020'!$BM:$BM))-SUMIFS('2020'!$BM:$BM,'2020'!$B:$B,'Для расчета ЗП'!$A13,'2020'!$G:$G,4)),1)-CX13</f>
        <v>#REF!</v>
      </c>
      <c r="CZ13" s="246">
        <f>SUMIFS('2020'!$P:$P,'2020'!$B:$B,'Для расчета ЗП'!$A13,'2020'!$G:$G,3,'2020'!$I:$I,3)</f>
        <v>0</v>
      </c>
      <c r="DA13" s="247">
        <f>ROUND((SUMIF('2020'!$B:$B,'Для расчета ЗП'!$A13,('2020'!$BL:$BL))-SUMIFS('2020'!$BL:$BL,'2020'!$B:$B,'Для расчета ЗП'!$A13,'2020'!$G:$G,4))/1000,1)</f>
        <v>320793.2</v>
      </c>
      <c r="DB13" s="247">
        <f t="shared" si="54"/>
        <v>456926.7</v>
      </c>
      <c r="DC13" s="248">
        <f>ROUND((SUMIF('2020'!$B:$B,'Для расчета ЗП'!$A13,('2020'!$AQ:$AQ))-SUMIFS('2020'!$AQ:$AQ,'2020'!$B:$B,'Для расчета ЗП'!$A13,'2020'!$G:$G,4)+SUMIF('2020'!$B:$B,'Для расчета ЗП'!$A13,('2020'!$BH:$BH))-SUMIFS('2020'!$BH:$BH,'2020'!$B:$B,'Для расчета ЗП'!$A13,'2020'!$G:$G,4))/1000,1)</f>
        <v>202359</v>
      </c>
      <c r="DD13" s="248">
        <f>ROUND((SUMIF('2020'!$B:$B,'Для расчета ЗП'!$A13,('2020'!$BM:$BM))-SUMIFS('2020'!$BM:$BM,'2020'!$B:$B,'Для расчета ЗП'!$A13,'2020'!$G:$G,4)+SUMIF('2020'!$B:$B,'Для расчета ЗП'!$A13,('2020'!$CD:$CD))-SUMIFS('2020'!$CD:$CD,'2020'!$B:$B,'Для расчета ЗП'!$A13,'2020'!$G:$G,4))/1000,1)</f>
        <v>659285.69999999995</v>
      </c>
      <c r="DE13" s="247">
        <f t="shared" si="55"/>
        <v>12552.2</v>
      </c>
      <c r="DF13" s="248">
        <f>ROUND((SUMIF('2020'!$B:$B,'Для расчета ЗП'!$A13,('2020'!$BB:$BB))-SUMIFS('2020'!$BB:$BB,'2020'!$B:$B,'Для расчета ЗП'!$A13,'2020'!$G:$G,4))/1000,1)</f>
        <v>6634.3</v>
      </c>
      <c r="DG13" s="248">
        <f>ROUND((SUMIF('2020'!$B:$B,'Для расчета ЗП'!$A13,('2020'!$BX:$BX))-SUMIFS('2020'!$BX:$BX,'2020'!$B:$B,'Для расчета ЗП'!$A13,'2020'!$G:$G,4))/1000,1)</f>
        <v>19186.5</v>
      </c>
      <c r="DH13" s="247">
        <f t="shared" si="56"/>
        <v>790272.1</v>
      </c>
      <c r="DI13" s="247">
        <v>97171.9</v>
      </c>
      <c r="DJ13" s="249">
        <f t="shared" si="14"/>
        <v>887444</v>
      </c>
      <c r="DK13" s="248">
        <v>866937.1</v>
      </c>
      <c r="DL13" s="248">
        <f t="shared" si="57"/>
        <v>-20506.900000000001</v>
      </c>
      <c r="DM13" s="249">
        <f>DH13*DH23</f>
        <v>0</v>
      </c>
      <c r="DN13" s="250">
        <f t="shared" si="58"/>
        <v>97171.9</v>
      </c>
      <c r="DO13" s="250">
        <f t="shared" si="59"/>
        <v>-790272.1</v>
      </c>
      <c r="DP13" s="251">
        <f t="shared" si="15"/>
        <v>97171.9</v>
      </c>
      <c r="DQ13" s="251">
        <f>SUMIF('2020'!$B:$B,'Для расчета ЗП'!$A13,('2020'!$CH:$CH))-SUMIFS('2020'!$CH:$CH,'2020'!$B:$B,'Для расчета ЗП'!$A13,'2020'!$G:$G,4)</f>
        <v>790272016</v>
      </c>
      <c r="DR13" s="245">
        <f>SUMIFS('2020'!$P:$P,'2020'!$B:$B,'Для расчета ЗП'!$A13,'2020'!$G:$G,4)</f>
        <v>0</v>
      </c>
      <c r="DS13" s="251">
        <f>SUMIFS('2020'!$BL:$BL,'2020'!$B:$B,'Для расчета ЗП'!$A13,'2020'!$G:$G,4)</f>
        <v>0</v>
      </c>
      <c r="DT13" s="251">
        <f t="shared" si="60"/>
        <v>0</v>
      </c>
      <c r="DU13" s="251">
        <f>SUMIFS('2020'!$AQ:$AQ,'2020'!$B:$B,'Для расчета ЗП'!$A13,'2020'!$G:$G,4)+SUMIFS('2020'!$BH:$BH,'2020'!$B:$B,'Для расчета ЗП'!$A13,'2020'!$G:$G,4)</f>
        <v>0</v>
      </c>
      <c r="DV13" s="251">
        <f>SUMIFS('2020'!$BM:$BM,'2020'!$B:$B,'Для расчета ЗП'!$A13,'2020'!$G:$G,4)+SUMIFS('2020'!$CD:$CD,'2020'!$B:$B,'Для расчета ЗП'!$A13,'2020'!$G:$G,4)</f>
        <v>0</v>
      </c>
      <c r="DW13" s="251">
        <f t="shared" si="61"/>
        <v>0</v>
      </c>
      <c r="DX13" s="251">
        <f>SUMIFS('2020'!$BB:$BB,'2020'!$B:$B,'Для расчета ЗП'!$A13,'2020'!$G:$G,4)</f>
        <v>0</v>
      </c>
      <c r="DY13" s="251">
        <f>SUMIFS('2020'!$BX:$BX,'2020'!$B:$B,'Для расчета ЗП'!$A13,'2020'!$G:$G,4)</f>
        <v>0</v>
      </c>
      <c r="DZ13" s="251"/>
      <c r="EA13" s="251">
        <f t="shared" si="62"/>
        <v>0</v>
      </c>
      <c r="EB13" s="251"/>
      <c r="EC13" s="251">
        <f>SUMIFS('2020'!$CH:$CH,'2020'!$B:$B,'Для расчета ЗП'!$A13,'2020'!$G:$G,4)</f>
        <v>0</v>
      </c>
      <c r="ED13" s="252">
        <f>SUMIF('2020'!$B:$B,'Для расчета ЗП'!$A13,('2020'!$P:$P))</f>
        <v>3383</v>
      </c>
      <c r="EE13" s="251">
        <f>SUMIF('2020'!$B:$B,'Для расчета ЗП'!$A13,('2020'!$BL:$BL))</f>
        <v>320793159</v>
      </c>
      <c r="EF13" s="253">
        <f>SUMIF('2020'!$B:$B,'Для расчета ЗП'!$A13,('2020'!$CH:$CH))</f>
        <v>790272016</v>
      </c>
      <c r="EG13" s="254">
        <f t="shared" si="16"/>
        <v>-790272.1</v>
      </c>
      <c r="EH13" s="239"/>
      <c r="EI13" s="239"/>
      <c r="EJ13" s="255">
        <f t="shared" si="17"/>
        <v>0</v>
      </c>
      <c r="EK13" s="239" t="e">
        <f t="shared" si="63"/>
        <v>#DIV/0!</v>
      </c>
      <c r="EL13" s="239" t="e">
        <f t="shared" si="64"/>
        <v>#DIV/0!</v>
      </c>
      <c r="EM13" s="255" t="e">
        <f t="shared" si="18"/>
        <v>#DIV/0!</v>
      </c>
      <c r="EN13" s="255" t="e">
        <f t="shared" si="19"/>
        <v>#DIV/0!</v>
      </c>
      <c r="EO13" s="256" t="e">
        <f t="shared" si="20"/>
        <v>#DIV/0!</v>
      </c>
      <c r="EP13" s="255" t="e">
        <f>ROUND((SUMIF(#REF!,#REF!,(#REF!))-SUMIFS(#REF!,#REF!,#REF!,#REF!,4)),1)</f>
        <v>#REF!</v>
      </c>
      <c r="EQ13" s="255" t="e">
        <f>EP13*#REF!</f>
        <v>#REF!</v>
      </c>
      <c r="ER13" s="262" t="e">
        <f>ROUND(SUMIFS(#REF!,#REF!,'Для расчета ЗП'!$A13,#REF!,1),1)</f>
        <v>#REF!</v>
      </c>
      <c r="ES13" s="262" t="e">
        <f>ROUND(SUMIFS(#REF!,#REF!,'Для расчета ЗП'!$A13,#REF!,1),1)</f>
        <v>#REF!</v>
      </c>
      <c r="ET13" s="262" t="e">
        <f>ROUND(SUMIFS(#REF!,#REF!,'Для расчета ЗП'!$A13,#REF!,1),1)</f>
        <v>#REF!</v>
      </c>
      <c r="EU13" s="263" t="e">
        <f>ROUND((SUMIF(#REF!,#REF!,(#REF!))-SUMIFS(#REF!,#REF!,#REF!,#REF!,4)),1)</f>
        <v>#REF!</v>
      </c>
      <c r="EV13" s="263" t="e">
        <f>EU13*#REF!</f>
        <v>#REF!</v>
      </c>
    </row>
    <row r="14" spans="1:152" ht="45" x14ac:dyDescent="0.25">
      <c r="A14" s="6">
        <v>10</v>
      </c>
      <c r="B14" s="7" t="s">
        <v>52</v>
      </c>
      <c r="C14" s="38">
        <f>SUMIF('2020'!$B:$B,'Для расчета ЗП'!$A14,('2020'!$P:$P))-SUMIFS('2020'!$P:$P,'2020'!$B:$B,'Для расчета ЗП'!$A14,'2020'!$G:$G,4)</f>
        <v>1975</v>
      </c>
      <c r="D14" s="38">
        <f>SUMIFS('2020'!$P:$P,'2020'!$B:$B,'Для расчета ЗП'!$A14,'2020'!$G:$G,1,'2020'!$I:$I,0)</f>
        <v>1134</v>
      </c>
      <c r="E14" s="38">
        <f>SUMIFS('2020'!$P:$P,'2020'!$B:$B,'Для расчета ЗП'!$A14,'2020'!$G:$G,1,'2020'!$I:$I,3)</f>
        <v>423</v>
      </c>
      <c r="F14" s="38">
        <f>SUMIFS('2020'!$P:$P,'2020'!$B:$B,'Для расчета ЗП'!$A14,'2020'!$G:$G,2,'2020'!$I:$I,0)</f>
        <v>300</v>
      </c>
      <c r="G14" s="38">
        <f>SUMIFS('2020'!$P:$P,'2020'!$B:$B,'Для расчета ЗП'!$A14,'2020'!$G:$G,2,'2020'!$I:$I,3)</f>
        <v>90</v>
      </c>
      <c r="H14" s="38">
        <f>SUMIFS('2020'!$P:$P,'2020'!$B:$B,'Для расчета ЗП'!$A14,'2020'!$G:$G,3,'2020'!$I:$I,0)</f>
        <v>28</v>
      </c>
      <c r="I14" s="38">
        <f>SUMIFS('2020'!$P:$P,'2020'!$B:$B,'Для расчета ЗП'!$A14,'2020'!$G:$G,3,'2020'!$I:$I,3)</f>
        <v>0</v>
      </c>
      <c r="J14" s="66">
        <f>ROUND((SUMIF('2020'!$B:$B,'Для расчета ЗП'!$A14,('2020'!$BL:$BL))-SUMIFS('2020'!$BL:$BL,'2020'!$B:$B,'Для расчета ЗП'!$A14,'2020'!$G:$G,4))/1000,1)</f>
        <v>197262.2</v>
      </c>
      <c r="K14" s="66">
        <f t="shared" si="21"/>
        <v>44947.5</v>
      </c>
      <c r="L14" s="37">
        <f>ROUND((SUMIF('2020'!$B:$B,'Для расчета ЗП'!$A14,('2020'!$AQ:$AQ))-SUMIFS('2020'!$AQ:$AQ,'2020'!$B:$B,'Для расчета ЗП'!$A14,'2020'!$G:$G,4)+SUMIF('2020'!$B:$B,'Для расчета ЗП'!$A14,('2020'!$BH:$BH))-SUMIFS('2020'!$BH:$BH,'2020'!$B:$B,'Для расчета ЗП'!$A14,'2020'!$G:$G,4))/1000,1)</f>
        <v>124164.6</v>
      </c>
      <c r="M14" s="37">
        <f>ROUND((SUMIF('2020'!$B:$B,'Для расчета ЗП'!$A14,('2020'!$BM:$BM))-SUMIFS('2020'!$BM:$BM,'2020'!$B:$B,'Для расчета ЗП'!$A14,'2020'!$G:$G,4)+SUMIF('2020'!$B:$B,'Для расчета ЗП'!$A14,('2020'!$CD:$CD))-SUMIFS('2020'!$CD:$CD,'2020'!$B:$B,'Для расчета ЗП'!$A14,'2020'!$G:$G,4))/1000,1)</f>
        <v>169112.1</v>
      </c>
      <c r="N14" s="66">
        <f t="shared" si="22"/>
        <v>7879.7</v>
      </c>
      <c r="O14" s="37">
        <f>ROUND((SUMIF('2020'!$B:$B,'Для расчета ЗП'!$A14,('2020'!$BB:$BB))-SUMIFS('2020'!$BB:$BB,'2020'!$B:$B,'Для расчета ЗП'!$A14,'2020'!$G:$G,4))/1000,1)</f>
        <v>4032.6</v>
      </c>
      <c r="P14" s="37">
        <f>ROUND((SUMIF('2020'!$B:$B,'Для расчета ЗП'!$A14,('2020'!$BX:$BX))-SUMIFS('2020'!$BX:$BX,'2020'!$B:$B,'Для расчета ЗП'!$A14,'2020'!$G:$G,4))/1000,1)</f>
        <v>11912.3</v>
      </c>
      <c r="Q14" s="163">
        <f t="shared" si="23"/>
        <v>250089.4</v>
      </c>
      <c r="R14" s="66">
        <v>8108.9</v>
      </c>
      <c r="S14" s="144">
        <f t="shared" si="0"/>
        <v>258198.3</v>
      </c>
      <c r="T14" s="139">
        <v>281361</v>
      </c>
      <c r="U14" s="139">
        <f t="shared" si="24"/>
        <v>23162.7</v>
      </c>
      <c r="V14" s="167">
        <f>Q14*Q23</f>
        <v>164447.79</v>
      </c>
      <c r="W14" s="205">
        <f t="shared" si="25"/>
        <v>172556.69</v>
      </c>
      <c r="X14" s="187">
        <f t="shared" si="26"/>
        <v>-85641.61</v>
      </c>
      <c r="Y14" s="46">
        <f t="shared" si="1"/>
        <v>172556.7</v>
      </c>
      <c r="Z14" s="46">
        <f>SUMIF('2020'!$B:$B,'Для расчета ЗП'!$A14,('2020'!$CH:$CH))-SUMIFS('2020'!$CH:$CH,'2020'!$B:$B,'Для расчета ЗП'!$A14,'2020'!$G:$G,4)</f>
        <v>250089432</v>
      </c>
      <c r="AA14" s="79">
        <f>SUMIFS('2020'!$P:$P,'2020'!$B:$B,'Для расчета ЗП'!$A14,'2020'!$G:$G,4)</f>
        <v>0</v>
      </c>
      <c r="AB14" s="46">
        <f>SUMIFS('2020'!$BL:$BL,'2020'!$B:$B,'Для расчета ЗП'!$A14,'2020'!$G:$G,4)</f>
        <v>0</v>
      </c>
      <c r="AC14" s="46">
        <f t="shared" si="27"/>
        <v>0</v>
      </c>
      <c r="AD14" s="46">
        <f>SUMIFS('2020'!$AQ:$AQ,'2020'!$B:$B,'Для расчета ЗП'!$A14,'2020'!$G:$G,4)+SUMIFS('2020'!$BH:$BH,'2020'!$B:$B,'Для расчета ЗП'!$A14,'2020'!$G:$G,4)</f>
        <v>0</v>
      </c>
      <c r="AE14" s="46">
        <f>SUMIFS('2020'!$BM:$BM,'2020'!$B:$B,'Для расчета ЗП'!$A14,'2020'!$G:$G,4)+SUMIFS('2020'!$CD:$CD,'2020'!$B:$B,'Для расчета ЗП'!$A14,'2020'!$G:$G,4)</f>
        <v>0</v>
      </c>
      <c r="AF14" s="46">
        <f t="shared" si="28"/>
        <v>0</v>
      </c>
      <c r="AG14" s="46">
        <f>SUMIFS('2020'!$BB:$BB,'2020'!$B:$B,'Для расчета ЗП'!$A14,'2020'!$G:$G,4)</f>
        <v>0</v>
      </c>
      <c r="AH14" s="46">
        <f>SUMIFS('2020'!$BX:$BX,'2020'!$B:$B,'Для расчета ЗП'!$A14,'2020'!$G:$G,4)</f>
        <v>0</v>
      </c>
      <c r="AI14" s="46"/>
      <c r="AJ14" s="46">
        <f t="shared" si="29"/>
        <v>0</v>
      </c>
      <c r="AK14" s="46"/>
      <c r="AL14" s="46">
        <f>SUMIFS('2020'!$CH:$CH,'2020'!$B:$B,'Для расчета ЗП'!$A14,'2020'!$G:$G,4)</f>
        <v>0</v>
      </c>
      <c r="AM14" s="198">
        <f>SUMIF('2020'!$B:$B,'Для расчета ЗП'!$A14,('2020'!$P:$P))</f>
        <v>1975</v>
      </c>
      <c r="AN14" s="46">
        <f>SUMIF('2020'!$B:$B,'Для расчета ЗП'!$A14,('2020'!$BL:$BL))</f>
        <v>197262193</v>
      </c>
      <c r="AO14" s="199">
        <f>SUMIF('2020'!$B:$B,'Для расчета ЗП'!$A14,('2020'!$CH:$CH))</f>
        <v>250089432</v>
      </c>
      <c r="AP14" s="48">
        <f t="shared" si="2"/>
        <v>-85641.600000000006</v>
      </c>
      <c r="AS14" s="105">
        <f t="shared" si="3"/>
        <v>164447.79999999999</v>
      </c>
      <c r="AT14">
        <f t="shared" si="30"/>
        <v>6.7153132179141595E-2</v>
      </c>
      <c r="AU14">
        <f t="shared" si="31"/>
        <v>52656.800000000003</v>
      </c>
      <c r="AV14" s="105">
        <f t="shared" si="4"/>
        <v>119899.9</v>
      </c>
      <c r="AW14" s="105">
        <f t="shared" si="5"/>
        <v>-138298.4</v>
      </c>
      <c r="AX14" s="111">
        <f t="shared" si="6"/>
        <v>0.44700000000000001</v>
      </c>
      <c r="AY14" s="37">
        <f>ROUND(SUMIFS('2020'!$BM:$BM,'2020'!$B:$B,'Для расчета ЗП'!$A14,'2020'!$G:$G,1),1)</f>
        <v>102474493</v>
      </c>
      <c r="AZ14" s="37">
        <f>ROUND(SUMIFS('2020'!$BM:$BM,'2020'!$B:$B,'Для расчета ЗП'!$A14,'2020'!$G:$G,2),1)</f>
        <v>30586819</v>
      </c>
      <c r="BA14" s="37">
        <f>ROUND(SUMIFS('2020'!$BM:$BM,'2020'!$B:$B,'Для расчета ЗП'!$A14,'2020'!$G:$G,3),1)</f>
        <v>2991769</v>
      </c>
      <c r="BB14" s="39">
        <f t="shared" si="32"/>
        <v>136053081</v>
      </c>
      <c r="BC14" s="39">
        <f>ROUND((SUMIF('2020'!$B:$B,'Для расчета ЗП'!$A14,('2020'!$BM:$BM))-SUMIFS('2020'!$BM:$BM,'2020'!$B:$B,'Для расчета ЗП'!$A14,'2020'!$G:$G,4)),1)-BB14</f>
        <v>0</v>
      </c>
      <c r="BD14" s="39">
        <f>BB14*'Свод 2020'!AA$27</f>
        <v>144468629.93000001</v>
      </c>
      <c r="BE14" s="246">
        <f>SUMIFS('2020'!$P:$P,'2020'!$B:$B,'Для расчета ЗП'!$A14,'2020'!$G:$G,3,'2020'!$I:$I,3)</f>
        <v>0</v>
      </c>
      <c r="BF14" s="247">
        <f>ROUND((SUMIF('2020'!$B:$B,'Для расчета ЗП'!$A14,('2020'!$BL:$BL))-SUMIFS('2020'!$BL:$BL,'2020'!$B:$B,'Для расчета ЗП'!$A14,'2020'!$G:$G,4))/1000,1)</f>
        <v>197262.2</v>
      </c>
      <c r="BG14" s="247">
        <f t="shared" si="33"/>
        <v>44947.5</v>
      </c>
      <c r="BH14" s="248">
        <f>ROUND((SUMIF('2020'!$B:$B,'Для расчета ЗП'!$A14,('2020'!$AQ:$AQ))-SUMIFS('2020'!$AQ:$AQ,'2020'!$B:$B,'Для расчета ЗП'!$A14,'2020'!$G:$G,4)+SUMIF('2020'!$B:$B,'Для расчета ЗП'!$A14,('2020'!$BH:$BH))-SUMIFS('2020'!$BH:$BH,'2020'!$B:$B,'Для расчета ЗП'!$A14,'2020'!$G:$G,4))/1000,1)</f>
        <v>124164.6</v>
      </c>
      <c r="BI14" s="248">
        <f>ROUND((SUMIF('2020'!$B:$B,'Для расчета ЗП'!$A14,('2020'!$BM:$BM))-SUMIFS('2020'!$BM:$BM,'2020'!$B:$B,'Для расчета ЗП'!$A14,'2020'!$G:$G,4)+SUMIF('2020'!$B:$B,'Для расчета ЗП'!$A14,('2020'!$CD:$CD))-SUMIFS('2020'!$CD:$CD,'2020'!$B:$B,'Для расчета ЗП'!$A14,'2020'!$G:$G,4))/1000,1)</f>
        <v>169112.1</v>
      </c>
      <c r="BJ14" s="247">
        <f t="shared" si="34"/>
        <v>7879.7</v>
      </c>
      <c r="BK14" s="248">
        <f>ROUND((SUMIF('2020'!$B:$B,'Для расчета ЗП'!$A14,('2020'!$BB:$BB))-SUMIFS('2020'!$BB:$BB,'2020'!$B:$B,'Для расчета ЗП'!$A14,'2020'!$G:$G,4))/1000,1)</f>
        <v>4032.6</v>
      </c>
      <c r="BL14" s="248">
        <f>ROUND((SUMIF('2020'!$B:$B,'Для расчета ЗП'!$A14,('2020'!$BX:$BX))-SUMIFS('2020'!$BX:$BX,'2020'!$B:$B,'Для расчета ЗП'!$A14,'2020'!$G:$G,4))/1000,1)</f>
        <v>11912.3</v>
      </c>
      <c r="BM14" s="247">
        <f t="shared" si="35"/>
        <v>250089.4</v>
      </c>
      <c r="BN14" s="247">
        <v>1535.9</v>
      </c>
      <c r="BO14" s="249">
        <f t="shared" si="36"/>
        <v>251625.3</v>
      </c>
      <c r="BP14" s="248">
        <v>83551.199999999997</v>
      </c>
      <c r="BQ14" s="248">
        <f t="shared" si="37"/>
        <v>-168074.1</v>
      </c>
      <c r="BR14" s="249">
        <f t="shared" si="38"/>
        <v>0</v>
      </c>
      <c r="BS14" s="250">
        <f t="shared" si="39"/>
        <v>1535.9</v>
      </c>
      <c r="BT14" s="250">
        <f t="shared" si="40"/>
        <v>-250089.4</v>
      </c>
      <c r="BU14" s="251">
        <f t="shared" si="41"/>
        <v>1535.9</v>
      </c>
      <c r="BV14" s="251">
        <f>SUMIF('2020'!$B:$B,'Для расчета ЗП'!$A14,('2020'!$CH:$CH))-SUMIFS('2020'!$CH:$CH,'2020'!$B:$B,'Для расчета ЗП'!$A14,'2020'!$G:$G,4)</f>
        <v>250089432</v>
      </c>
      <c r="BW14" s="245">
        <f>SUMIFS('2020'!$P:$P,'2020'!$B:$B,'Для расчета ЗП'!$A14,'2020'!$G:$G,4)</f>
        <v>0</v>
      </c>
      <c r="BX14" s="251">
        <f>SUMIFS('2020'!$BL:$BL,'2020'!$B:$B,'Для расчета ЗП'!$A14,'2020'!$G:$G,4)</f>
        <v>0</v>
      </c>
      <c r="BY14" s="251">
        <f t="shared" si="42"/>
        <v>0</v>
      </c>
      <c r="BZ14" s="251">
        <f>SUMIFS('2020'!$AQ:$AQ,'2020'!$B:$B,'Для расчета ЗП'!$A14,'2020'!$G:$G,4)+SUMIFS('2020'!$BH:$BH,'2020'!$B:$B,'Для расчета ЗП'!$A14,'2020'!$G:$G,4)</f>
        <v>0</v>
      </c>
      <c r="CA14" s="251">
        <f>SUMIFS('2020'!$BM:$BM,'2020'!$B:$B,'Для расчета ЗП'!$A14,'2020'!$G:$G,4)+SUMIFS('2020'!$CD:$CD,'2020'!$B:$B,'Для расчета ЗП'!$A14,'2020'!$G:$G,4)</f>
        <v>0</v>
      </c>
      <c r="CB14" s="251">
        <f t="shared" si="43"/>
        <v>0</v>
      </c>
      <c r="CC14" s="251">
        <f>SUMIFS('2020'!$BB:$BB,'2020'!$B:$B,'Для расчета ЗП'!$A14,'2020'!$G:$G,4)</f>
        <v>0</v>
      </c>
      <c r="CD14" s="251">
        <f>SUMIFS('2020'!$BX:$BX,'2020'!$B:$B,'Для расчета ЗП'!$A14,'2020'!$G:$G,4)</f>
        <v>0</v>
      </c>
      <c r="CE14" s="251"/>
      <c r="CF14" s="251">
        <f t="shared" si="44"/>
        <v>0</v>
      </c>
      <c r="CG14" s="251"/>
      <c r="CH14" s="251">
        <f>SUMIFS('2020'!$CH:$CH,'2020'!$B:$B,'Для расчета ЗП'!$A14,'2020'!$G:$G,4)</f>
        <v>0</v>
      </c>
      <c r="CI14" s="252">
        <f>SUMIF('2020'!$B:$B,'Для расчета ЗП'!$A14,('2020'!$P:$P))</f>
        <v>1975</v>
      </c>
      <c r="CJ14" s="251">
        <f>SUMIF('2020'!$B:$B,'Для расчета ЗП'!$A14,('2020'!$BL:$BL))</f>
        <v>197262193</v>
      </c>
      <c r="CK14" s="253">
        <f>SUMIF('2020'!$B:$B,'Для расчета ЗП'!$A14,('2020'!$CH:$CH))</f>
        <v>250089432</v>
      </c>
      <c r="CL14" s="254">
        <f t="shared" si="45"/>
        <v>-250089.4</v>
      </c>
      <c r="CM14" s="239"/>
      <c r="CN14" s="255">
        <f t="shared" si="46"/>
        <v>250089.4</v>
      </c>
      <c r="CO14" s="255">
        <f t="shared" si="47"/>
        <v>0</v>
      </c>
      <c r="CP14" s="239" t="e">
        <f t="shared" si="48"/>
        <v>#DIV/0!</v>
      </c>
      <c r="CQ14" s="239" t="e">
        <f t="shared" si="49"/>
        <v>#DIV/0!</v>
      </c>
      <c r="CR14" s="255" t="e">
        <f t="shared" si="50"/>
        <v>#DIV/0!</v>
      </c>
      <c r="CS14" s="255" t="e">
        <f t="shared" si="51"/>
        <v>#DIV/0!</v>
      </c>
      <c r="CT14" s="256" t="e">
        <f t="shared" si="52"/>
        <v>#DIV/0!</v>
      </c>
      <c r="CU14" s="248" t="e">
        <f>ROUND(SUMIFS(#REF!,#REF!,'Для расчета ЗП'!$A14,#REF!,1),1)</f>
        <v>#REF!</v>
      </c>
      <c r="CV14" s="248" t="e">
        <f>ROUND(SUMIFS(#REF!,#REF!,'Для расчета ЗП'!$A14,#REF!,2),1)</f>
        <v>#REF!</v>
      </c>
      <c r="CW14" s="248" t="e">
        <f>ROUND(SUMIFS(#REF!,#REF!,'Для расчета ЗП'!$A14,#REF!,3),1)</f>
        <v>#REF!</v>
      </c>
      <c r="CX14" s="257" t="e">
        <f t="shared" si="53"/>
        <v>#REF!</v>
      </c>
      <c r="CY14" s="257" t="e">
        <f>ROUND((SUMIF('2020'!$B:$B,'Для расчета ЗП'!$A14,('2020'!$BM:$BM))-SUMIFS('2020'!$BM:$BM,'2020'!$B:$B,'Для расчета ЗП'!$A14,'2020'!$G:$G,4)),1)-CX14</f>
        <v>#REF!</v>
      </c>
      <c r="CZ14" s="246">
        <f>SUMIFS('2020'!$P:$P,'2020'!$B:$B,'Для расчета ЗП'!$A14,'2020'!$G:$G,3,'2020'!$I:$I,3)</f>
        <v>0</v>
      </c>
      <c r="DA14" s="247">
        <f>ROUND((SUMIF('2020'!$B:$B,'Для расчета ЗП'!$A14,('2020'!$BL:$BL))-SUMIFS('2020'!$BL:$BL,'2020'!$B:$B,'Для расчета ЗП'!$A14,'2020'!$G:$G,4))/1000,1)</f>
        <v>197262.2</v>
      </c>
      <c r="DB14" s="247">
        <f t="shared" si="54"/>
        <v>44947.5</v>
      </c>
      <c r="DC14" s="248">
        <f>ROUND((SUMIF('2020'!$B:$B,'Для расчета ЗП'!$A14,('2020'!$AQ:$AQ))-SUMIFS('2020'!$AQ:$AQ,'2020'!$B:$B,'Для расчета ЗП'!$A14,'2020'!$G:$G,4)+SUMIF('2020'!$B:$B,'Для расчета ЗП'!$A14,('2020'!$BH:$BH))-SUMIFS('2020'!$BH:$BH,'2020'!$B:$B,'Для расчета ЗП'!$A14,'2020'!$G:$G,4))/1000,1)</f>
        <v>124164.6</v>
      </c>
      <c r="DD14" s="248">
        <f>ROUND((SUMIF('2020'!$B:$B,'Для расчета ЗП'!$A14,('2020'!$BM:$BM))-SUMIFS('2020'!$BM:$BM,'2020'!$B:$B,'Для расчета ЗП'!$A14,'2020'!$G:$G,4)+SUMIF('2020'!$B:$B,'Для расчета ЗП'!$A14,('2020'!$CD:$CD))-SUMIFS('2020'!$CD:$CD,'2020'!$B:$B,'Для расчета ЗП'!$A14,'2020'!$G:$G,4))/1000,1)</f>
        <v>169112.1</v>
      </c>
      <c r="DE14" s="247">
        <f t="shared" si="55"/>
        <v>7879.7</v>
      </c>
      <c r="DF14" s="248">
        <f>ROUND((SUMIF('2020'!$B:$B,'Для расчета ЗП'!$A14,('2020'!$BB:$BB))-SUMIFS('2020'!$BB:$BB,'2020'!$B:$B,'Для расчета ЗП'!$A14,'2020'!$G:$G,4))/1000,1)</f>
        <v>4032.6</v>
      </c>
      <c r="DG14" s="248">
        <f>ROUND((SUMIF('2020'!$B:$B,'Для расчета ЗП'!$A14,('2020'!$BX:$BX))-SUMIFS('2020'!$BX:$BX,'2020'!$B:$B,'Для расчета ЗП'!$A14,'2020'!$G:$G,4))/1000,1)</f>
        <v>11912.3</v>
      </c>
      <c r="DH14" s="247">
        <f t="shared" si="56"/>
        <v>250089.4</v>
      </c>
      <c r="DI14" s="247">
        <v>8108.9</v>
      </c>
      <c r="DJ14" s="249">
        <f t="shared" si="14"/>
        <v>258198.3</v>
      </c>
      <c r="DK14" s="248">
        <v>281361</v>
      </c>
      <c r="DL14" s="248">
        <f t="shared" si="57"/>
        <v>23162.7</v>
      </c>
      <c r="DM14" s="249">
        <f>DH14*DH23</f>
        <v>0</v>
      </c>
      <c r="DN14" s="250">
        <f t="shared" si="58"/>
        <v>8108.9</v>
      </c>
      <c r="DO14" s="250">
        <f t="shared" si="59"/>
        <v>-250089.4</v>
      </c>
      <c r="DP14" s="251">
        <f t="shared" si="15"/>
        <v>8108.9</v>
      </c>
      <c r="DQ14" s="251">
        <f>SUMIF('2020'!$B:$B,'Для расчета ЗП'!$A14,('2020'!$CH:$CH))-SUMIFS('2020'!$CH:$CH,'2020'!$B:$B,'Для расчета ЗП'!$A14,'2020'!$G:$G,4)</f>
        <v>250089432</v>
      </c>
      <c r="DR14" s="245">
        <f>SUMIFS('2020'!$P:$P,'2020'!$B:$B,'Для расчета ЗП'!$A14,'2020'!$G:$G,4)</f>
        <v>0</v>
      </c>
      <c r="DS14" s="251">
        <f>SUMIFS('2020'!$BL:$BL,'2020'!$B:$B,'Для расчета ЗП'!$A14,'2020'!$G:$G,4)</f>
        <v>0</v>
      </c>
      <c r="DT14" s="251">
        <f t="shared" si="60"/>
        <v>0</v>
      </c>
      <c r="DU14" s="251">
        <f>SUMIFS('2020'!$AQ:$AQ,'2020'!$B:$B,'Для расчета ЗП'!$A14,'2020'!$G:$G,4)+SUMIFS('2020'!$BH:$BH,'2020'!$B:$B,'Для расчета ЗП'!$A14,'2020'!$G:$G,4)</f>
        <v>0</v>
      </c>
      <c r="DV14" s="251">
        <f>SUMIFS('2020'!$BM:$BM,'2020'!$B:$B,'Для расчета ЗП'!$A14,'2020'!$G:$G,4)+SUMIFS('2020'!$CD:$CD,'2020'!$B:$B,'Для расчета ЗП'!$A14,'2020'!$G:$G,4)</f>
        <v>0</v>
      </c>
      <c r="DW14" s="251">
        <f t="shared" si="61"/>
        <v>0</v>
      </c>
      <c r="DX14" s="251">
        <f>SUMIFS('2020'!$BB:$BB,'2020'!$B:$B,'Для расчета ЗП'!$A14,'2020'!$G:$G,4)</f>
        <v>0</v>
      </c>
      <c r="DY14" s="251">
        <f>SUMIFS('2020'!$BX:$BX,'2020'!$B:$B,'Для расчета ЗП'!$A14,'2020'!$G:$G,4)</f>
        <v>0</v>
      </c>
      <c r="DZ14" s="251"/>
      <c r="EA14" s="251">
        <f t="shared" si="62"/>
        <v>0</v>
      </c>
      <c r="EB14" s="251"/>
      <c r="EC14" s="251">
        <f>SUMIFS('2020'!$CH:$CH,'2020'!$B:$B,'Для расчета ЗП'!$A14,'2020'!$G:$G,4)</f>
        <v>0</v>
      </c>
      <c r="ED14" s="252">
        <f>SUMIF('2020'!$B:$B,'Для расчета ЗП'!$A14,('2020'!$P:$P))</f>
        <v>1975</v>
      </c>
      <c r="EE14" s="251">
        <f>SUMIF('2020'!$B:$B,'Для расчета ЗП'!$A14,('2020'!$BL:$BL))</f>
        <v>197262193</v>
      </c>
      <c r="EF14" s="253">
        <f>SUMIF('2020'!$B:$B,'Для расчета ЗП'!$A14,('2020'!$CH:$CH))</f>
        <v>250089432</v>
      </c>
      <c r="EG14" s="254">
        <f t="shared" si="16"/>
        <v>-250089.4</v>
      </c>
      <c r="EH14" s="239"/>
      <c r="EI14" s="239"/>
      <c r="EJ14" s="255">
        <f t="shared" si="17"/>
        <v>0</v>
      </c>
      <c r="EK14" s="239" t="e">
        <f t="shared" si="63"/>
        <v>#DIV/0!</v>
      </c>
      <c r="EL14" s="239" t="e">
        <f t="shared" si="64"/>
        <v>#DIV/0!</v>
      </c>
      <c r="EM14" s="255" t="e">
        <f t="shared" si="18"/>
        <v>#DIV/0!</v>
      </c>
      <c r="EN14" s="255" t="e">
        <f t="shared" si="19"/>
        <v>#DIV/0!</v>
      </c>
      <c r="EO14" s="256" t="e">
        <f t="shared" si="20"/>
        <v>#DIV/0!</v>
      </c>
      <c r="EP14" s="255" t="e">
        <f>ROUND((SUMIF(#REF!,#REF!,(#REF!))-SUMIFS(#REF!,#REF!,#REF!,#REF!,4)),1)</f>
        <v>#REF!</v>
      </c>
      <c r="EQ14" s="255" t="e">
        <f>EP14*#REF!</f>
        <v>#REF!</v>
      </c>
      <c r="ER14" s="262" t="e">
        <f>ROUND(SUMIFS(#REF!,#REF!,'Для расчета ЗП'!$A14,#REF!,1),1)</f>
        <v>#REF!</v>
      </c>
      <c r="ES14" s="262" t="e">
        <f>ROUND(SUMIFS(#REF!,#REF!,'Для расчета ЗП'!$A14,#REF!,1),1)</f>
        <v>#REF!</v>
      </c>
      <c r="ET14" s="262" t="e">
        <f>ROUND(SUMIFS(#REF!,#REF!,'Для расчета ЗП'!$A14,#REF!,1),1)</f>
        <v>#REF!</v>
      </c>
      <c r="EU14" s="263" t="e">
        <f>ROUND((SUMIF(#REF!,#REF!,(#REF!))-SUMIFS(#REF!,#REF!,#REF!,#REF!,4)),1)</f>
        <v>#REF!</v>
      </c>
      <c r="EV14" s="263" t="e">
        <f>EU14*#REF!</f>
        <v>#REF!</v>
      </c>
    </row>
    <row r="15" spans="1:152" ht="60" x14ac:dyDescent="0.25">
      <c r="A15" s="6">
        <v>11</v>
      </c>
      <c r="B15" s="7" t="s">
        <v>53</v>
      </c>
      <c r="C15" s="38">
        <f>SUMIF('2020'!$B:$B,'Для расчета ЗП'!$A15,('2020'!$P:$P))-SUMIFS('2020'!$P:$P,'2020'!$B:$B,'Для расчета ЗП'!$A15,'2020'!$G:$G,4)</f>
        <v>1534</v>
      </c>
      <c r="D15" s="38">
        <f>SUMIFS('2020'!$P:$P,'2020'!$B:$B,'Для расчета ЗП'!$A15,'2020'!$G:$G,1,'2020'!$I:$I,0)</f>
        <v>969</v>
      </c>
      <c r="E15" s="38">
        <f>SUMIFS('2020'!$P:$P,'2020'!$B:$B,'Для расчета ЗП'!$A15,'2020'!$G:$G,1,'2020'!$I:$I,3)</f>
        <v>444</v>
      </c>
      <c r="F15" s="38">
        <f>SUMIFS('2020'!$P:$P,'2020'!$B:$B,'Для расчета ЗП'!$A15,'2020'!$G:$G,2,'2020'!$I:$I,0)</f>
        <v>57</v>
      </c>
      <c r="G15" s="38">
        <f>SUMIFS('2020'!$P:$P,'2020'!$B:$B,'Для расчета ЗП'!$A15,'2020'!$G:$G,2,'2020'!$I:$I,3)</f>
        <v>41</v>
      </c>
      <c r="H15" s="38">
        <f>SUMIFS('2020'!$P:$P,'2020'!$B:$B,'Для расчета ЗП'!$A15,'2020'!$G:$G,3,'2020'!$I:$I,0)</f>
        <v>23</v>
      </c>
      <c r="I15" s="38">
        <f>SUMIFS('2020'!$P:$P,'2020'!$B:$B,'Для расчета ЗП'!$A15,'2020'!$G:$G,3,'2020'!$I:$I,3)</f>
        <v>0</v>
      </c>
      <c r="J15" s="66">
        <f>ROUND((SUMIF('2020'!$B:$B,'Для расчета ЗП'!$A15,('2020'!$BL:$BL))-SUMIFS('2020'!$BL:$BL,'2020'!$B:$B,'Для расчета ЗП'!$A15,'2020'!$G:$G,4))/1000,1)</f>
        <v>142662.6</v>
      </c>
      <c r="K15" s="66">
        <f t="shared" si="21"/>
        <v>22014.1</v>
      </c>
      <c r="L15" s="37">
        <f>ROUND((SUMIF('2020'!$B:$B,'Для расчета ЗП'!$A15,('2020'!$AQ:$AQ))-SUMIFS('2020'!$AQ:$AQ,'2020'!$B:$B,'Для расчета ЗП'!$A15,'2020'!$G:$G,4)+SUMIF('2020'!$B:$B,'Для расчета ЗП'!$A15,('2020'!$BH:$BH))-SUMIFS('2020'!$BH:$BH,'2020'!$B:$B,'Для расчета ЗП'!$A15,'2020'!$G:$G,4))/1000,1)</f>
        <v>89126.2</v>
      </c>
      <c r="M15" s="37">
        <f>ROUND((SUMIF('2020'!$B:$B,'Для расчета ЗП'!$A15,('2020'!$BM:$BM))-SUMIFS('2020'!$BM:$BM,'2020'!$B:$B,'Для расчета ЗП'!$A15,'2020'!$G:$G,4)+SUMIF('2020'!$B:$B,'Для расчета ЗП'!$A15,('2020'!$CD:$CD))-SUMIFS('2020'!$CD:$CD,'2020'!$B:$B,'Для расчета ЗП'!$A15,'2020'!$G:$G,4))/1000,1)</f>
        <v>111140.3</v>
      </c>
      <c r="N15" s="66">
        <f t="shared" si="22"/>
        <v>6443.5</v>
      </c>
      <c r="O15" s="37">
        <f>ROUND((SUMIF('2020'!$B:$B,'Для расчета ЗП'!$A15,('2020'!$BB:$BB))-SUMIFS('2020'!$BB:$BB,'2020'!$B:$B,'Для расчета ЗП'!$A15,'2020'!$G:$G,4))/1000,1)</f>
        <v>2930.2</v>
      </c>
      <c r="P15" s="37">
        <f>ROUND((SUMIF('2020'!$B:$B,'Для расчета ЗП'!$A15,('2020'!$BX:$BX))-SUMIFS('2020'!$BX:$BX,'2020'!$B:$B,'Для расчета ЗП'!$A15,'2020'!$G:$G,4))/1000,1)</f>
        <v>9373.7000000000007</v>
      </c>
      <c r="Q15" s="163">
        <f t="shared" si="23"/>
        <v>171120.2</v>
      </c>
      <c r="R15" s="66">
        <v>92876.800000000003</v>
      </c>
      <c r="S15" s="144">
        <f t="shared" si="0"/>
        <v>263997</v>
      </c>
      <c r="T15" s="139">
        <v>358967.3</v>
      </c>
      <c r="U15" s="139">
        <f t="shared" si="24"/>
        <v>94970.3</v>
      </c>
      <c r="V15" s="167">
        <f>Q15*Q23</f>
        <v>112521.12</v>
      </c>
      <c r="W15" s="205">
        <f t="shared" si="25"/>
        <v>205397.92</v>
      </c>
      <c r="X15" s="187">
        <f t="shared" si="26"/>
        <v>-58599.08</v>
      </c>
      <c r="Y15" s="46">
        <f t="shared" si="1"/>
        <v>205397.9</v>
      </c>
      <c r="Z15" s="46">
        <f>SUMIF('2020'!$B:$B,'Для расчета ЗП'!$A15,('2020'!$CH:$CH))-SUMIFS('2020'!$CH:$CH,'2020'!$B:$B,'Для расчета ЗП'!$A15,'2020'!$G:$G,4)</f>
        <v>171120204</v>
      </c>
      <c r="AA15" s="79">
        <f>SUMIFS('2020'!$P:$P,'2020'!$B:$B,'Для расчета ЗП'!$A15,'2020'!$G:$G,4)</f>
        <v>0</v>
      </c>
      <c r="AB15" s="46">
        <f>SUMIFS('2020'!$BL:$BL,'2020'!$B:$B,'Для расчета ЗП'!$A15,'2020'!$G:$G,4)</f>
        <v>0</v>
      </c>
      <c r="AC15" s="46">
        <f t="shared" si="27"/>
        <v>0</v>
      </c>
      <c r="AD15" s="46">
        <f>SUMIFS('2020'!$AQ:$AQ,'2020'!$B:$B,'Для расчета ЗП'!$A15,'2020'!$G:$G,4)+SUMIFS('2020'!$BH:$BH,'2020'!$B:$B,'Для расчета ЗП'!$A15,'2020'!$G:$G,4)</f>
        <v>0</v>
      </c>
      <c r="AE15" s="46">
        <f>SUMIFS('2020'!$BM:$BM,'2020'!$B:$B,'Для расчета ЗП'!$A15,'2020'!$G:$G,4)+SUMIFS('2020'!$CD:$CD,'2020'!$B:$B,'Для расчета ЗП'!$A15,'2020'!$G:$G,4)</f>
        <v>0</v>
      </c>
      <c r="AF15" s="46">
        <f t="shared" si="28"/>
        <v>0</v>
      </c>
      <c r="AG15" s="46">
        <f>SUMIFS('2020'!$BB:$BB,'2020'!$B:$B,'Для расчета ЗП'!$A15,'2020'!$G:$G,4)</f>
        <v>0</v>
      </c>
      <c r="AH15" s="46">
        <f>SUMIFS('2020'!$BX:$BX,'2020'!$B:$B,'Для расчета ЗП'!$A15,'2020'!$G:$G,4)</f>
        <v>0</v>
      </c>
      <c r="AI15" s="46"/>
      <c r="AJ15" s="46">
        <f t="shared" si="29"/>
        <v>0</v>
      </c>
      <c r="AK15" s="46"/>
      <c r="AL15" s="46">
        <f>SUMIFS('2020'!$CH:$CH,'2020'!$B:$B,'Для расчета ЗП'!$A15,'2020'!$G:$G,4)</f>
        <v>0</v>
      </c>
      <c r="AM15" s="198">
        <f>SUMIF('2020'!$B:$B,'Для расчета ЗП'!$A15,('2020'!$P:$P))</f>
        <v>1534</v>
      </c>
      <c r="AN15" s="46">
        <f>SUMIF('2020'!$B:$B,'Для расчета ЗП'!$A15,('2020'!$BL:$BL))</f>
        <v>142662578</v>
      </c>
      <c r="AO15" s="199">
        <f>SUMIF('2020'!$B:$B,'Для расчета ЗП'!$A15,('2020'!$CH:$CH))</f>
        <v>171120204</v>
      </c>
      <c r="AP15" s="48">
        <f t="shared" si="2"/>
        <v>-58599.1</v>
      </c>
      <c r="AS15" s="105">
        <f t="shared" si="3"/>
        <v>112521.1</v>
      </c>
      <c r="AT15">
        <f t="shared" si="30"/>
        <v>4.59485885566265E-2</v>
      </c>
      <c r="AU15">
        <f t="shared" si="31"/>
        <v>36029.699999999997</v>
      </c>
      <c r="AV15" s="105">
        <f t="shared" si="4"/>
        <v>169368.2</v>
      </c>
      <c r="AW15" s="105">
        <f t="shared" si="5"/>
        <v>-94628.800000000003</v>
      </c>
      <c r="AX15" s="111">
        <f t="shared" si="6"/>
        <v>0.44700000000000001</v>
      </c>
      <c r="AY15" s="37">
        <f>ROUND(SUMIFS('2020'!$BM:$BM,'2020'!$B:$B,'Для расчета ЗП'!$A15,'2020'!$G:$G,1),1)</f>
        <v>81210491</v>
      </c>
      <c r="AZ15" s="37">
        <f>ROUND(SUMIFS('2020'!$BM:$BM,'2020'!$B:$B,'Для расчета ЗП'!$A15,'2020'!$G:$G,2),1)</f>
        <v>5679965</v>
      </c>
      <c r="BA15" s="37">
        <f>ROUND(SUMIFS('2020'!$BM:$BM,'2020'!$B:$B,'Для расчета ЗП'!$A15,'2020'!$G:$G,3),1)</f>
        <v>2250024</v>
      </c>
      <c r="BB15" s="39">
        <f t="shared" si="32"/>
        <v>89140480</v>
      </c>
      <c r="BC15" s="39">
        <f>ROUND((SUMIF('2020'!$B:$B,'Для расчета ЗП'!$A15,('2020'!$BM:$BM))-SUMIFS('2020'!$BM:$BM,'2020'!$B:$B,'Для расчета ЗП'!$A15,'2020'!$G:$G,4)),1)-BB15</f>
        <v>0</v>
      </c>
      <c r="BD15" s="39">
        <f>BB15*'Свод 2020'!AA$27</f>
        <v>94654254.959999993</v>
      </c>
      <c r="BE15" s="246">
        <f>SUMIFS('2020'!$P:$P,'2020'!$B:$B,'Для расчета ЗП'!$A15,'2020'!$G:$G,3,'2020'!$I:$I,3)</f>
        <v>0</v>
      </c>
      <c r="BF15" s="247">
        <f>ROUND((SUMIF('2020'!$B:$B,'Для расчета ЗП'!$A15,('2020'!$BL:$BL))-SUMIFS('2020'!$BL:$BL,'2020'!$B:$B,'Для расчета ЗП'!$A15,'2020'!$G:$G,4))/1000,1)</f>
        <v>142662.6</v>
      </c>
      <c r="BG15" s="247">
        <f t="shared" si="33"/>
        <v>22014.1</v>
      </c>
      <c r="BH15" s="248">
        <f>ROUND((SUMIF('2020'!$B:$B,'Для расчета ЗП'!$A15,('2020'!$AQ:$AQ))-SUMIFS('2020'!$AQ:$AQ,'2020'!$B:$B,'Для расчета ЗП'!$A15,'2020'!$G:$G,4)+SUMIF('2020'!$B:$B,'Для расчета ЗП'!$A15,('2020'!$BH:$BH))-SUMIFS('2020'!$BH:$BH,'2020'!$B:$B,'Для расчета ЗП'!$A15,'2020'!$G:$G,4))/1000,1)</f>
        <v>89126.2</v>
      </c>
      <c r="BI15" s="248">
        <f>ROUND((SUMIF('2020'!$B:$B,'Для расчета ЗП'!$A15,('2020'!$BM:$BM))-SUMIFS('2020'!$BM:$BM,'2020'!$B:$B,'Для расчета ЗП'!$A15,'2020'!$G:$G,4)+SUMIF('2020'!$B:$B,'Для расчета ЗП'!$A15,('2020'!$CD:$CD))-SUMIFS('2020'!$CD:$CD,'2020'!$B:$B,'Для расчета ЗП'!$A15,'2020'!$G:$G,4))/1000,1)</f>
        <v>111140.3</v>
      </c>
      <c r="BJ15" s="247">
        <f t="shared" si="34"/>
        <v>6443.5</v>
      </c>
      <c r="BK15" s="248">
        <f>ROUND((SUMIF('2020'!$B:$B,'Для расчета ЗП'!$A15,('2020'!$BB:$BB))-SUMIFS('2020'!$BB:$BB,'2020'!$B:$B,'Для расчета ЗП'!$A15,'2020'!$G:$G,4))/1000,1)</f>
        <v>2930.2</v>
      </c>
      <c r="BL15" s="248">
        <f>ROUND((SUMIF('2020'!$B:$B,'Для расчета ЗП'!$A15,('2020'!$BX:$BX))-SUMIFS('2020'!$BX:$BX,'2020'!$B:$B,'Для расчета ЗП'!$A15,'2020'!$G:$G,4))/1000,1)</f>
        <v>9373.7000000000007</v>
      </c>
      <c r="BM15" s="247">
        <f t="shared" si="35"/>
        <v>171120.2</v>
      </c>
      <c r="BN15" s="247">
        <v>1536.9</v>
      </c>
      <c r="BO15" s="249">
        <f t="shared" si="36"/>
        <v>172657.1</v>
      </c>
      <c r="BP15" s="248">
        <v>83552.2</v>
      </c>
      <c r="BQ15" s="248">
        <f t="shared" si="37"/>
        <v>-89104.9</v>
      </c>
      <c r="BR15" s="249">
        <f t="shared" si="38"/>
        <v>0</v>
      </c>
      <c r="BS15" s="250">
        <f t="shared" si="39"/>
        <v>1536.9</v>
      </c>
      <c r="BT15" s="250">
        <f t="shared" si="40"/>
        <v>-171120.2</v>
      </c>
      <c r="BU15" s="251">
        <f t="shared" si="41"/>
        <v>1536.9</v>
      </c>
      <c r="BV15" s="251">
        <f>SUMIF('2020'!$B:$B,'Для расчета ЗП'!$A15,('2020'!$CH:$CH))-SUMIFS('2020'!$CH:$CH,'2020'!$B:$B,'Для расчета ЗП'!$A15,'2020'!$G:$G,4)</f>
        <v>171120204</v>
      </c>
      <c r="BW15" s="245">
        <f>SUMIFS('2020'!$P:$P,'2020'!$B:$B,'Для расчета ЗП'!$A15,'2020'!$G:$G,4)</f>
        <v>0</v>
      </c>
      <c r="BX15" s="251">
        <f>SUMIFS('2020'!$BL:$BL,'2020'!$B:$B,'Для расчета ЗП'!$A15,'2020'!$G:$G,4)</f>
        <v>0</v>
      </c>
      <c r="BY15" s="251">
        <f t="shared" si="42"/>
        <v>0</v>
      </c>
      <c r="BZ15" s="251">
        <f>SUMIFS('2020'!$AQ:$AQ,'2020'!$B:$B,'Для расчета ЗП'!$A15,'2020'!$G:$G,4)+SUMIFS('2020'!$BH:$BH,'2020'!$B:$B,'Для расчета ЗП'!$A15,'2020'!$G:$G,4)</f>
        <v>0</v>
      </c>
      <c r="CA15" s="251">
        <f>SUMIFS('2020'!$BM:$BM,'2020'!$B:$B,'Для расчета ЗП'!$A15,'2020'!$G:$G,4)+SUMIFS('2020'!$CD:$CD,'2020'!$B:$B,'Для расчета ЗП'!$A15,'2020'!$G:$G,4)</f>
        <v>0</v>
      </c>
      <c r="CB15" s="251">
        <f t="shared" si="43"/>
        <v>0</v>
      </c>
      <c r="CC15" s="251">
        <f>SUMIFS('2020'!$BB:$BB,'2020'!$B:$B,'Для расчета ЗП'!$A15,'2020'!$G:$G,4)</f>
        <v>0</v>
      </c>
      <c r="CD15" s="251">
        <f>SUMIFS('2020'!$BX:$BX,'2020'!$B:$B,'Для расчета ЗП'!$A15,'2020'!$G:$G,4)</f>
        <v>0</v>
      </c>
      <c r="CE15" s="251"/>
      <c r="CF15" s="251">
        <f t="shared" si="44"/>
        <v>0</v>
      </c>
      <c r="CG15" s="251"/>
      <c r="CH15" s="251">
        <f>SUMIFS('2020'!$CH:$CH,'2020'!$B:$B,'Для расчета ЗП'!$A15,'2020'!$G:$G,4)</f>
        <v>0</v>
      </c>
      <c r="CI15" s="252">
        <f>SUMIF('2020'!$B:$B,'Для расчета ЗП'!$A15,('2020'!$P:$P))</f>
        <v>1534</v>
      </c>
      <c r="CJ15" s="251">
        <f>SUMIF('2020'!$B:$B,'Для расчета ЗП'!$A15,('2020'!$BL:$BL))</f>
        <v>142662578</v>
      </c>
      <c r="CK15" s="253">
        <f>SUMIF('2020'!$B:$B,'Для расчета ЗП'!$A15,('2020'!$CH:$CH))</f>
        <v>171120204</v>
      </c>
      <c r="CL15" s="254">
        <f t="shared" si="45"/>
        <v>-171120.2</v>
      </c>
      <c r="CM15" s="239"/>
      <c r="CN15" s="255">
        <f t="shared" si="46"/>
        <v>171120.2</v>
      </c>
      <c r="CO15" s="255">
        <f t="shared" si="47"/>
        <v>0</v>
      </c>
      <c r="CP15" s="239" t="e">
        <f t="shared" si="48"/>
        <v>#DIV/0!</v>
      </c>
      <c r="CQ15" s="239" t="e">
        <f t="shared" si="49"/>
        <v>#DIV/0!</v>
      </c>
      <c r="CR15" s="255" t="e">
        <f t="shared" si="50"/>
        <v>#DIV/0!</v>
      </c>
      <c r="CS15" s="255" t="e">
        <f t="shared" si="51"/>
        <v>#DIV/0!</v>
      </c>
      <c r="CT15" s="256" t="e">
        <f t="shared" si="52"/>
        <v>#DIV/0!</v>
      </c>
      <c r="CU15" s="248" t="e">
        <f>ROUND(SUMIFS(#REF!,#REF!,'Для расчета ЗП'!$A15,#REF!,1),1)</f>
        <v>#REF!</v>
      </c>
      <c r="CV15" s="248" t="e">
        <f>ROUND(SUMIFS(#REF!,#REF!,'Для расчета ЗП'!$A15,#REF!,2),1)</f>
        <v>#REF!</v>
      </c>
      <c r="CW15" s="248" t="e">
        <f>ROUND(SUMIFS(#REF!,#REF!,'Для расчета ЗП'!$A15,#REF!,3),1)</f>
        <v>#REF!</v>
      </c>
      <c r="CX15" s="257" t="e">
        <f t="shared" si="53"/>
        <v>#REF!</v>
      </c>
      <c r="CY15" s="257" t="e">
        <f>ROUND((SUMIF('2020'!$B:$B,'Для расчета ЗП'!$A15,('2020'!$BM:$BM))-SUMIFS('2020'!$BM:$BM,'2020'!$B:$B,'Для расчета ЗП'!$A15,'2020'!$G:$G,4)),1)-CX15</f>
        <v>#REF!</v>
      </c>
      <c r="CZ15" s="246">
        <f>SUMIFS('2020'!$P:$P,'2020'!$B:$B,'Для расчета ЗП'!$A15,'2020'!$G:$G,3,'2020'!$I:$I,3)</f>
        <v>0</v>
      </c>
      <c r="DA15" s="247">
        <f>ROUND((SUMIF('2020'!$B:$B,'Для расчета ЗП'!$A15,('2020'!$BL:$BL))-SUMIFS('2020'!$BL:$BL,'2020'!$B:$B,'Для расчета ЗП'!$A15,'2020'!$G:$G,4))/1000,1)</f>
        <v>142662.6</v>
      </c>
      <c r="DB15" s="247">
        <f t="shared" si="54"/>
        <v>22014.1</v>
      </c>
      <c r="DC15" s="248">
        <f>ROUND((SUMIF('2020'!$B:$B,'Для расчета ЗП'!$A15,('2020'!$AQ:$AQ))-SUMIFS('2020'!$AQ:$AQ,'2020'!$B:$B,'Для расчета ЗП'!$A15,'2020'!$G:$G,4)+SUMIF('2020'!$B:$B,'Для расчета ЗП'!$A15,('2020'!$BH:$BH))-SUMIFS('2020'!$BH:$BH,'2020'!$B:$B,'Для расчета ЗП'!$A15,'2020'!$G:$G,4))/1000,1)</f>
        <v>89126.2</v>
      </c>
      <c r="DD15" s="248">
        <f>ROUND((SUMIF('2020'!$B:$B,'Для расчета ЗП'!$A15,('2020'!$BM:$BM))-SUMIFS('2020'!$BM:$BM,'2020'!$B:$B,'Для расчета ЗП'!$A15,'2020'!$G:$G,4)+SUMIF('2020'!$B:$B,'Для расчета ЗП'!$A15,('2020'!$CD:$CD))-SUMIFS('2020'!$CD:$CD,'2020'!$B:$B,'Для расчета ЗП'!$A15,'2020'!$G:$G,4))/1000,1)</f>
        <v>111140.3</v>
      </c>
      <c r="DE15" s="247">
        <f t="shared" si="55"/>
        <v>6443.5</v>
      </c>
      <c r="DF15" s="248">
        <f>ROUND((SUMIF('2020'!$B:$B,'Для расчета ЗП'!$A15,('2020'!$BB:$BB))-SUMIFS('2020'!$BB:$BB,'2020'!$B:$B,'Для расчета ЗП'!$A15,'2020'!$G:$G,4))/1000,1)</f>
        <v>2930.2</v>
      </c>
      <c r="DG15" s="248">
        <f>ROUND((SUMIF('2020'!$B:$B,'Для расчета ЗП'!$A15,('2020'!$BX:$BX))-SUMIFS('2020'!$BX:$BX,'2020'!$B:$B,'Для расчета ЗП'!$A15,'2020'!$G:$G,4))/1000,1)</f>
        <v>9373.7000000000007</v>
      </c>
      <c r="DH15" s="247">
        <f t="shared" si="56"/>
        <v>171120.2</v>
      </c>
      <c r="DI15" s="247">
        <v>92876.800000000003</v>
      </c>
      <c r="DJ15" s="249">
        <f t="shared" si="14"/>
        <v>263997</v>
      </c>
      <c r="DK15" s="248">
        <v>358967.3</v>
      </c>
      <c r="DL15" s="248">
        <f t="shared" si="57"/>
        <v>94970.3</v>
      </c>
      <c r="DM15" s="249">
        <f>DH15*DH23</f>
        <v>0</v>
      </c>
      <c r="DN15" s="250">
        <f t="shared" si="58"/>
        <v>92876.800000000003</v>
      </c>
      <c r="DO15" s="250">
        <f t="shared" si="59"/>
        <v>-171120.2</v>
      </c>
      <c r="DP15" s="251">
        <f t="shared" si="15"/>
        <v>92876.800000000003</v>
      </c>
      <c r="DQ15" s="251">
        <f>SUMIF('2020'!$B:$B,'Для расчета ЗП'!$A15,('2020'!$CH:$CH))-SUMIFS('2020'!$CH:$CH,'2020'!$B:$B,'Для расчета ЗП'!$A15,'2020'!$G:$G,4)</f>
        <v>171120204</v>
      </c>
      <c r="DR15" s="245">
        <f>SUMIFS('2020'!$P:$P,'2020'!$B:$B,'Для расчета ЗП'!$A15,'2020'!$G:$G,4)</f>
        <v>0</v>
      </c>
      <c r="DS15" s="251">
        <f>SUMIFS('2020'!$BL:$BL,'2020'!$B:$B,'Для расчета ЗП'!$A15,'2020'!$G:$G,4)</f>
        <v>0</v>
      </c>
      <c r="DT15" s="251">
        <f t="shared" si="60"/>
        <v>0</v>
      </c>
      <c r="DU15" s="251">
        <f>SUMIFS('2020'!$AQ:$AQ,'2020'!$B:$B,'Для расчета ЗП'!$A15,'2020'!$G:$G,4)+SUMIFS('2020'!$BH:$BH,'2020'!$B:$B,'Для расчета ЗП'!$A15,'2020'!$G:$G,4)</f>
        <v>0</v>
      </c>
      <c r="DV15" s="251">
        <f>SUMIFS('2020'!$BM:$BM,'2020'!$B:$B,'Для расчета ЗП'!$A15,'2020'!$G:$G,4)+SUMIFS('2020'!$CD:$CD,'2020'!$B:$B,'Для расчета ЗП'!$A15,'2020'!$G:$G,4)</f>
        <v>0</v>
      </c>
      <c r="DW15" s="251">
        <f t="shared" si="61"/>
        <v>0</v>
      </c>
      <c r="DX15" s="251">
        <f>SUMIFS('2020'!$BB:$BB,'2020'!$B:$B,'Для расчета ЗП'!$A15,'2020'!$G:$G,4)</f>
        <v>0</v>
      </c>
      <c r="DY15" s="251">
        <f>SUMIFS('2020'!$BX:$BX,'2020'!$B:$B,'Для расчета ЗП'!$A15,'2020'!$G:$G,4)</f>
        <v>0</v>
      </c>
      <c r="DZ15" s="251"/>
      <c r="EA15" s="251">
        <f t="shared" si="62"/>
        <v>0</v>
      </c>
      <c r="EB15" s="251"/>
      <c r="EC15" s="251">
        <f>SUMIFS('2020'!$CH:$CH,'2020'!$B:$B,'Для расчета ЗП'!$A15,'2020'!$G:$G,4)</f>
        <v>0</v>
      </c>
      <c r="ED15" s="252">
        <f>SUMIF('2020'!$B:$B,'Для расчета ЗП'!$A15,('2020'!$P:$P))</f>
        <v>1534</v>
      </c>
      <c r="EE15" s="251">
        <f>SUMIF('2020'!$B:$B,'Для расчета ЗП'!$A15,('2020'!$BL:$BL))</f>
        <v>142662578</v>
      </c>
      <c r="EF15" s="253">
        <f>SUMIF('2020'!$B:$B,'Для расчета ЗП'!$A15,('2020'!$CH:$CH))</f>
        <v>171120204</v>
      </c>
      <c r="EG15" s="254">
        <f t="shared" si="16"/>
        <v>-171120.2</v>
      </c>
      <c r="EH15" s="239"/>
      <c r="EI15" s="239"/>
      <c r="EJ15" s="255">
        <f t="shared" si="17"/>
        <v>0</v>
      </c>
      <c r="EK15" s="239" t="e">
        <f t="shared" si="63"/>
        <v>#DIV/0!</v>
      </c>
      <c r="EL15" s="239" t="e">
        <f t="shared" si="64"/>
        <v>#DIV/0!</v>
      </c>
      <c r="EM15" s="255" t="e">
        <f t="shared" si="18"/>
        <v>#DIV/0!</v>
      </c>
      <c r="EN15" s="255" t="e">
        <f t="shared" si="19"/>
        <v>#DIV/0!</v>
      </c>
      <c r="EO15" s="256" t="e">
        <f t="shared" si="20"/>
        <v>#DIV/0!</v>
      </c>
      <c r="EP15" s="255" t="e">
        <f>ROUND((SUMIF(#REF!,#REF!,(#REF!))-SUMIFS(#REF!,#REF!,#REF!,#REF!,4)),1)</f>
        <v>#REF!</v>
      </c>
      <c r="EQ15" s="255" t="e">
        <f>EP15*#REF!</f>
        <v>#REF!</v>
      </c>
      <c r="ER15" s="262" t="e">
        <f>ROUND(SUMIFS(#REF!,#REF!,'Для расчета ЗП'!$A15,#REF!,1),1)</f>
        <v>#REF!</v>
      </c>
      <c r="ES15" s="262" t="e">
        <f>ROUND(SUMIFS(#REF!,#REF!,'Для расчета ЗП'!$A15,#REF!,1),1)</f>
        <v>#REF!</v>
      </c>
      <c r="ET15" s="262" t="e">
        <f>ROUND(SUMIFS(#REF!,#REF!,'Для расчета ЗП'!$A15,#REF!,1),1)</f>
        <v>#REF!</v>
      </c>
      <c r="EU15" s="263" t="e">
        <f>ROUND((SUMIF(#REF!,#REF!,(#REF!))-SUMIFS(#REF!,#REF!,#REF!,#REF!,4)),1)</f>
        <v>#REF!</v>
      </c>
      <c r="EV15" s="263" t="e">
        <f>EU15*#REF!</f>
        <v>#REF!</v>
      </c>
    </row>
    <row r="16" spans="1:152" ht="45" x14ac:dyDescent="0.25">
      <c r="A16" s="6">
        <v>12</v>
      </c>
      <c r="B16" s="7" t="s">
        <v>54</v>
      </c>
      <c r="C16" s="38">
        <f>SUMIF('2020'!$B:$B,'Для расчета ЗП'!$A16,('2020'!$P:$P))-SUMIFS('2020'!$P:$P,'2020'!$B:$B,'Для расчета ЗП'!$A16,'2020'!$G:$G,4)</f>
        <v>1921</v>
      </c>
      <c r="D16" s="38">
        <f>SUMIFS('2020'!$P:$P,'2020'!$B:$B,'Для расчета ЗП'!$A16,'2020'!$G:$G,1,'2020'!$I:$I,0)</f>
        <v>1198</v>
      </c>
      <c r="E16" s="38">
        <f>SUMIFS('2020'!$P:$P,'2020'!$B:$B,'Для расчета ЗП'!$A16,'2020'!$G:$G,1,'2020'!$I:$I,3)</f>
        <v>436</v>
      </c>
      <c r="F16" s="38">
        <f>SUMIFS('2020'!$P:$P,'2020'!$B:$B,'Для расчета ЗП'!$A16,'2020'!$G:$G,2,'2020'!$I:$I,0)</f>
        <v>224</v>
      </c>
      <c r="G16" s="38">
        <f>SUMIFS('2020'!$P:$P,'2020'!$B:$B,'Для расчета ЗП'!$A16,'2020'!$G:$G,2,'2020'!$I:$I,3)</f>
        <v>40</v>
      </c>
      <c r="H16" s="38">
        <f>SUMIFS('2020'!$P:$P,'2020'!$B:$B,'Для расчета ЗП'!$A16,'2020'!$G:$G,3,'2020'!$I:$I,0)</f>
        <v>23</v>
      </c>
      <c r="I16" s="38">
        <f>SUMIFS('2020'!$P:$P,'2020'!$B:$B,'Для расчета ЗП'!$A16,'2020'!$G:$G,3,'2020'!$I:$I,3)</f>
        <v>0</v>
      </c>
      <c r="J16" s="66">
        <f>ROUND((SUMIF('2020'!$B:$B,'Для расчета ЗП'!$A16,('2020'!$BL:$BL))-SUMIFS('2020'!$BL:$BL,'2020'!$B:$B,'Для расчета ЗП'!$A16,'2020'!$G:$G,4))/1000,1)</f>
        <v>197814.3</v>
      </c>
      <c r="K16" s="66">
        <f t="shared" si="21"/>
        <v>53544.3</v>
      </c>
      <c r="L16" s="37">
        <f>ROUND((SUMIF('2020'!$B:$B,'Для расчета ЗП'!$A16,('2020'!$AQ:$AQ))-SUMIFS('2020'!$AQ:$AQ,'2020'!$B:$B,'Для расчета ЗП'!$A16,'2020'!$G:$G,4)+SUMIF('2020'!$B:$B,'Для расчета ЗП'!$A16,('2020'!$BH:$BH))-SUMIFS('2020'!$BH:$BH,'2020'!$B:$B,'Для расчета ЗП'!$A16,'2020'!$G:$G,4))/1000,1)</f>
        <v>123117.2</v>
      </c>
      <c r="M16" s="37">
        <f>ROUND((SUMIF('2020'!$B:$B,'Для расчета ЗП'!$A16,('2020'!$BM:$BM))-SUMIFS('2020'!$BM:$BM,'2020'!$B:$B,'Для расчета ЗП'!$A16,'2020'!$G:$G,4)+SUMIF('2020'!$B:$B,'Для расчета ЗП'!$A16,('2020'!$CD:$CD))-SUMIFS('2020'!$CD:$CD,'2020'!$B:$B,'Для расчета ЗП'!$A16,'2020'!$G:$G,4))/1000,1)</f>
        <v>176661.5</v>
      </c>
      <c r="N16" s="66">
        <f t="shared" si="22"/>
        <v>6029.5</v>
      </c>
      <c r="O16" s="37">
        <f>ROUND((SUMIF('2020'!$B:$B,'Для расчета ЗП'!$A16,('2020'!$BB:$BB))-SUMIFS('2020'!$BB:$BB,'2020'!$B:$B,'Для расчета ЗП'!$A16,'2020'!$G:$G,4))/1000,1)</f>
        <v>3995.4</v>
      </c>
      <c r="P16" s="37">
        <f>ROUND((SUMIF('2020'!$B:$B,'Для расчета ЗП'!$A16,('2020'!$BX:$BX))-SUMIFS('2020'!$BX:$BX,'2020'!$B:$B,'Для расчета ЗП'!$A16,'2020'!$G:$G,4))/1000,1)</f>
        <v>10024.9</v>
      </c>
      <c r="Q16" s="163">
        <f t="shared" si="23"/>
        <v>257388.1</v>
      </c>
      <c r="R16" s="66">
        <v>9481</v>
      </c>
      <c r="S16" s="144">
        <f t="shared" si="0"/>
        <v>266869.09999999998</v>
      </c>
      <c r="T16" s="139">
        <v>295277</v>
      </c>
      <c r="U16" s="139">
        <f t="shared" si="24"/>
        <v>28407.9</v>
      </c>
      <c r="V16" s="167">
        <f>Q16*Q23</f>
        <v>169247.1</v>
      </c>
      <c r="W16" s="205">
        <f t="shared" si="25"/>
        <v>178728.1</v>
      </c>
      <c r="X16" s="187">
        <f t="shared" si="26"/>
        <v>-88141</v>
      </c>
      <c r="Y16" s="46">
        <f t="shared" si="1"/>
        <v>178728.1</v>
      </c>
      <c r="Z16" s="46">
        <f>SUMIF('2020'!$B:$B,'Для расчета ЗП'!$A16,('2020'!$CH:$CH))-SUMIFS('2020'!$CH:$CH,'2020'!$B:$B,'Для расчета ЗП'!$A16,'2020'!$G:$G,4)</f>
        <v>257388023</v>
      </c>
      <c r="AA16" s="79">
        <f>SUMIFS('2020'!$P:$P,'2020'!$B:$B,'Для расчета ЗП'!$A16,'2020'!$G:$G,4)</f>
        <v>822</v>
      </c>
      <c r="AB16" s="46">
        <f>SUMIFS('2020'!$BL:$BL,'2020'!$B:$B,'Для расчета ЗП'!$A16,'2020'!$G:$G,4)</f>
        <v>55364610</v>
      </c>
      <c r="AC16" s="46">
        <f t="shared" si="27"/>
        <v>13064608</v>
      </c>
      <c r="AD16" s="46">
        <f>SUMIFS('2020'!$AQ:$AQ,'2020'!$B:$B,'Для расчета ЗП'!$A16,'2020'!$G:$G,4)+SUMIFS('2020'!$BH:$BH,'2020'!$B:$B,'Для расчета ЗП'!$A16,'2020'!$G:$G,4)</f>
        <v>30033580</v>
      </c>
      <c r="AE16" s="46">
        <f>SUMIFS('2020'!$BM:$BM,'2020'!$B:$B,'Для расчета ЗП'!$A16,'2020'!$G:$G,4)+SUMIFS('2020'!$CD:$CD,'2020'!$B:$B,'Для расчета ЗП'!$A16,'2020'!$G:$G,4)</f>
        <v>43098188</v>
      </c>
      <c r="AF16" s="46">
        <f t="shared" si="28"/>
        <v>1998770</v>
      </c>
      <c r="AG16" s="46">
        <f>SUMIFS('2020'!$BB:$BB,'2020'!$B:$B,'Для расчета ЗП'!$A16,'2020'!$G:$G,4)</f>
        <v>1551840</v>
      </c>
      <c r="AH16" s="46">
        <f>SUMIFS('2020'!$BX:$BX,'2020'!$B:$B,'Для расчета ЗП'!$A16,'2020'!$G:$G,4)</f>
        <v>3550610</v>
      </c>
      <c r="AI16" s="46"/>
      <c r="AJ16" s="46">
        <f t="shared" si="29"/>
        <v>70427988</v>
      </c>
      <c r="AK16" s="46"/>
      <c r="AL16" s="46">
        <f>SUMIFS('2020'!$CH:$CH,'2020'!$B:$B,'Для расчета ЗП'!$A16,'2020'!$G:$G,4)</f>
        <v>70427988</v>
      </c>
      <c r="AM16" s="198">
        <f>SUMIF('2020'!$B:$B,'Для расчета ЗП'!$A16,('2020'!$P:$P))</f>
        <v>2743</v>
      </c>
      <c r="AN16" s="46">
        <f>SUMIF('2020'!$B:$B,'Для расчета ЗП'!$A16,('2020'!$BL:$BL))</f>
        <v>253178917</v>
      </c>
      <c r="AO16" s="199">
        <f>SUMIF('2020'!$B:$B,'Для расчета ЗП'!$A16,('2020'!$CH:$CH))</f>
        <v>327816011</v>
      </c>
      <c r="AP16" s="48">
        <f t="shared" si="2"/>
        <v>-88141</v>
      </c>
      <c r="AS16" s="105">
        <f t="shared" si="3"/>
        <v>169247.1</v>
      </c>
      <c r="AT16">
        <f t="shared" si="30"/>
        <v>6.9112951813501897E-2</v>
      </c>
      <c r="AU16">
        <f t="shared" si="31"/>
        <v>54193.5</v>
      </c>
      <c r="AV16" s="105">
        <f t="shared" si="4"/>
        <v>124534.6</v>
      </c>
      <c r="AW16" s="105">
        <f t="shared" si="5"/>
        <v>-142334.5</v>
      </c>
      <c r="AX16" s="111">
        <f t="shared" si="6"/>
        <v>0.44700000000000001</v>
      </c>
      <c r="AY16" s="37">
        <f>ROUND(SUMIFS('2020'!$BM:$BM,'2020'!$B:$B,'Для расчета ЗП'!$A16,'2020'!$G:$G,1),1)</f>
        <v>115842197</v>
      </c>
      <c r="AZ16" s="37">
        <f>ROUND(SUMIFS('2020'!$BM:$BM,'2020'!$B:$B,'Для расчета ЗП'!$A16,'2020'!$G:$G,2),1)</f>
        <v>23436649</v>
      </c>
      <c r="BA16" s="37">
        <f>ROUND(SUMIFS('2020'!$BM:$BM,'2020'!$B:$B,'Для расчета ЗП'!$A16,'2020'!$G:$G,3),1)</f>
        <v>2589243</v>
      </c>
      <c r="BB16" s="39">
        <f t="shared" si="32"/>
        <v>141868089</v>
      </c>
      <c r="BC16" s="39">
        <f>ROUND((SUMIF('2020'!$B:$B,'Для расчета ЗП'!$A16,('2020'!$BM:$BM))-SUMIFS('2020'!$BM:$BM,'2020'!$B:$B,'Для расчета ЗП'!$A16,'2020'!$G:$G,4)),1)-BB16</f>
        <v>0</v>
      </c>
      <c r="BD16" s="39">
        <f>BB16*'Свод 2020'!AA$27</f>
        <v>150643324.63</v>
      </c>
      <c r="BE16" s="246">
        <f>SUMIFS('2020'!$P:$P,'2020'!$B:$B,'Для расчета ЗП'!$A16,'2020'!$G:$G,3,'2020'!$I:$I,3)</f>
        <v>0</v>
      </c>
      <c r="BF16" s="247">
        <f>ROUND((SUMIF('2020'!$B:$B,'Для расчета ЗП'!$A16,('2020'!$BL:$BL))-SUMIFS('2020'!$BL:$BL,'2020'!$B:$B,'Для расчета ЗП'!$A16,'2020'!$G:$G,4))/1000,1)</f>
        <v>197814.3</v>
      </c>
      <c r="BG16" s="247">
        <f t="shared" si="33"/>
        <v>53544.3</v>
      </c>
      <c r="BH16" s="248">
        <f>ROUND((SUMIF('2020'!$B:$B,'Для расчета ЗП'!$A16,('2020'!$AQ:$AQ))-SUMIFS('2020'!$AQ:$AQ,'2020'!$B:$B,'Для расчета ЗП'!$A16,'2020'!$G:$G,4)+SUMIF('2020'!$B:$B,'Для расчета ЗП'!$A16,('2020'!$BH:$BH))-SUMIFS('2020'!$BH:$BH,'2020'!$B:$B,'Для расчета ЗП'!$A16,'2020'!$G:$G,4))/1000,1)</f>
        <v>123117.2</v>
      </c>
      <c r="BI16" s="248">
        <f>ROUND((SUMIF('2020'!$B:$B,'Для расчета ЗП'!$A16,('2020'!$BM:$BM))-SUMIFS('2020'!$BM:$BM,'2020'!$B:$B,'Для расчета ЗП'!$A16,'2020'!$G:$G,4)+SUMIF('2020'!$B:$B,'Для расчета ЗП'!$A16,('2020'!$CD:$CD))-SUMIFS('2020'!$CD:$CD,'2020'!$B:$B,'Для расчета ЗП'!$A16,'2020'!$G:$G,4))/1000,1)</f>
        <v>176661.5</v>
      </c>
      <c r="BJ16" s="247">
        <f t="shared" si="34"/>
        <v>6029.5</v>
      </c>
      <c r="BK16" s="248">
        <f>ROUND((SUMIF('2020'!$B:$B,'Для расчета ЗП'!$A16,('2020'!$BB:$BB))-SUMIFS('2020'!$BB:$BB,'2020'!$B:$B,'Для расчета ЗП'!$A16,'2020'!$G:$G,4))/1000,1)</f>
        <v>3995.4</v>
      </c>
      <c r="BL16" s="248">
        <f>ROUND((SUMIF('2020'!$B:$B,'Для расчета ЗП'!$A16,('2020'!$BX:$BX))-SUMIFS('2020'!$BX:$BX,'2020'!$B:$B,'Для расчета ЗП'!$A16,'2020'!$G:$G,4))/1000,1)</f>
        <v>10024.9</v>
      </c>
      <c r="BM16" s="247">
        <f t="shared" si="35"/>
        <v>257388.1</v>
      </c>
      <c r="BN16" s="247">
        <v>1537.9</v>
      </c>
      <c r="BO16" s="249">
        <f t="shared" si="36"/>
        <v>258926</v>
      </c>
      <c r="BP16" s="248">
        <v>83553.2</v>
      </c>
      <c r="BQ16" s="248">
        <f t="shared" si="37"/>
        <v>-175372.79999999999</v>
      </c>
      <c r="BR16" s="249">
        <f t="shared" si="38"/>
        <v>0</v>
      </c>
      <c r="BS16" s="250">
        <f t="shared" si="39"/>
        <v>1537.9</v>
      </c>
      <c r="BT16" s="250">
        <f t="shared" si="40"/>
        <v>-257388.1</v>
      </c>
      <c r="BU16" s="251">
        <f t="shared" si="41"/>
        <v>1537.9</v>
      </c>
      <c r="BV16" s="251">
        <f>SUMIF('2020'!$B:$B,'Для расчета ЗП'!$A16,('2020'!$CH:$CH))-SUMIFS('2020'!$CH:$CH,'2020'!$B:$B,'Для расчета ЗП'!$A16,'2020'!$G:$G,4)</f>
        <v>257388023</v>
      </c>
      <c r="BW16" s="245">
        <f>SUMIFS('2020'!$P:$P,'2020'!$B:$B,'Для расчета ЗП'!$A16,'2020'!$G:$G,4)</f>
        <v>822</v>
      </c>
      <c r="BX16" s="251">
        <f>SUMIFS('2020'!$BL:$BL,'2020'!$B:$B,'Для расчета ЗП'!$A16,'2020'!$G:$G,4)</f>
        <v>55364610</v>
      </c>
      <c r="BY16" s="251">
        <f t="shared" si="42"/>
        <v>13064608</v>
      </c>
      <c r="BZ16" s="251">
        <f>SUMIFS('2020'!$AQ:$AQ,'2020'!$B:$B,'Для расчета ЗП'!$A16,'2020'!$G:$G,4)+SUMIFS('2020'!$BH:$BH,'2020'!$B:$B,'Для расчета ЗП'!$A16,'2020'!$G:$G,4)</f>
        <v>30033580</v>
      </c>
      <c r="CA16" s="251">
        <f>SUMIFS('2020'!$BM:$BM,'2020'!$B:$B,'Для расчета ЗП'!$A16,'2020'!$G:$G,4)+SUMIFS('2020'!$CD:$CD,'2020'!$B:$B,'Для расчета ЗП'!$A16,'2020'!$G:$G,4)</f>
        <v>43098188</v>
      </c>
      <c r="CB16" s="251">
        <f t="shared" si="43"/>
        <v>1998770</v>
      </c>
      <c r="CC16" s="251">
        <f>SUMIFS('2020'!$BB:$BB,'2020'!$B:$B,'Для расчета ЗП'!$A16,'2020'!$G:$G,4)</f>
        <v>1551840</v>
      </c>
      <c r="CD16" s="251">
        <f>SUMIFS('2020'!$BX:$BX,'2020'!$B:$B,'Для расчета ЗП'!$A16,'2020'!$G:$G,4)</f>
        <v>3550610</v>
      </c>
      <c r="CE16" s="251"/>
      <c r="CF16" s="251">
        <f t="shared" si="44"/>
        <v>70427988</v>
      </c>
      <c r="CG16" s="251"/>
      <c r="CH16" s="251">
        <f>SUMIFS('2020'!$CH:$CH,'2020'!$B:$B,'Для расчета ЗП'!$A16,'2020'!$G:$G,4)</f>
        <v>70427988</v>
      </c>
      <c r="CI16" s="252">
        <f>SUMIF('2020'!$B:$B,'Для расчета ЗП'!$A16,('2020'!$P:$P))</f>
        <v>2743</v>
      </c>
      <c r="CJ16" s="251">
        <f>SUMIF('2020'!$B:$B,'Для расчета ЗП'!$A16,('2020'!$BL:$BL))</f>
        <v>253178917</v>
      </c>
      <c r="CK16" s="253">
        <f>SUMIF('2020'!$B:$B,'Для расчета ЗП'!$A16,('2020'!$CH:$CH))</f>
        <v>327816011</v>
      </c>
      <c r="CL16" s="254">
        <f t="shared" si="45"/>
        <v>-257388.1</v>
      </c>
      <c r="CM16" s="239"/>
      <c r="CN16" s="255">
        <f t="shared" si="46"/>
        <v>257388.1</v>
      </c>
      <c r="CO16" s="255">
        <f t="shared" si="47"/>
        <v>0</v>
      </c>
      <c r="CP16" s="239" t="e">
        <f t="shared" si="48"/>
        <v>#DIV/0!</v>
      </c>
      <c r="CQ16" s="239" t="e">
        <f t="shared" si="49"/>
        <v>#DIV/0!</v>
      </c>
      <c r="CR16" s="255" t="e">
        <f t="shared" si="50"/>
        <v>#DIV/0!</v>
      </c>
      <c r="CS16" s="255" t="e">
        <f t="shared" si="51"/>
        <v>#DIV/0!</v>
      </c>
      <c r="CT16" s="256" t="e">
        <f t="shared" si="52"/>
        <v>#DIV/0!</v>
      </c>
      <c r="CU16" s="248" t="e">
        <f>ROUND(SUMIFS(#REF!,#REF!,'Для расчета ЗП'!$A16,#REF!,1),1)</f>
        <v>#REF!</v>
      </c>
      <c r="CV16" s="248" t="e">
        <f>ROUND(SUMIFS(#REF!,#REF!,'Для расчета ЗП'!$A16,#REF!,2),1)</f>
        <v>#REF!</v>
      </c>
      <c r="CW16" s="248" t="e">
        <f>ROUND(SUMIFS(#REF!,#REF!,'Для расчета ЗП'!$A16,#REF!,3),1)</f>
        <v>#REF!</v>
      </c>
      <c r="CX16" s="257" t="e">
        <f t="shared" si="53"/>
        <v>#REF!</v>
      </c>
      <c r="CY16" s="257" t="e">
        <f>ROUND((SUMIF('2020'!$B:$B,'Для расчета ЗП'!$A16,('2020'!$BM:$BM))-SUMIFS('2020'!$BM:$BM,'2020'!$B:$B,'Для расчета ЗП'!$A16,'2020'!$G:$G,4)),1)-CX16</f>
        <v>#REF!</v>
      </c>
      <c r="CZ16" s="246">
        <f>SUMIFS('2020'!$P:$P,'2020'!$B:$B,'Для расчета ЗП'!$A16,'2020'!$G:$G,3,'2020'!$I:$I,3)</f>
        <v>0</v>
      </c>
      <c r="DA16" s="247">
        <f>ROUND((SUMIF('2020'!$B:$B,'Для расчета ЗП'!$A16,('2020'!$BL:$BL))-SUMIFS('2020'!$BL:$BL,'2020'!$B:$B,'Для расчета ЗП'!$A16,'2020'!$G:$G,4))/1000,1)</f>
        <v>197814.3</v>
      </c>
      <c r="DB16" s="247">
        <f t="shared" si="54"/>
        <v>53544.3</v>
      </c>
      <c r="DC16" s="248">
        <f>ROUND((SUMIF('2020'!$B:$B,'Для расчета ЗП'!$A16,('2020'!$AQ:$AQ))-SUMIFS('2020'!$AQ:$AQ,'2020'!$B:$B,'Для расчета ЗП'!$A16,'2020'!$G:$G,4)+SUMIF('2020'!$B:$B,'Для расчета ЗП'!$A16,('2020'!$BH:$BH))-SUMIFS('2020'!$BH:$BH,'2020'!$B:$B,'Для расчета ЗП'!$A16,'2020'!$G:$G,4))/1000,1)</f>
        <v>123117.2</v>
      </c>
      <c r="DD16" s="248">
        <f>ROUND((SUMIF('2020'!$B:$B,'Для расчета ЗП'!$A16,('2020'!$BM:$BM))-SUMIFS('2020'!$BM:$BM,'2020'!$B:$B,'Для расчета ЗП'!$A16,'2020'!$G:$G,4)+SUMIF('2020'!$B:$B,'Для расчета ЗП'!$A16,('2020'!$CD:$CD))-SUMIFS('2020'!$CD:$CD,'2020'!$B:$B,'Для расчета ЗП'!$A16,'2020'!$G:$G,4))/1000,1)</f>
        <v>176661.5</v>
      </c>
      <c r="DE16" s="247">
        <f t="shared" si="55"/>
        <v>6029.5</v>
      </c>
      <c r="DF16" s="248">
        <f>ROUND((SUMIF('2020'!$B:$B,'Для расчета ЗП'!$A16,('2020'!$BB:$BB))-SUMIFS('2020'!$BB:$BB,'2020'!$B:$B,'Для расчета ЗП'!$A16,'2020'!$G:$G,4))/1000,1)</f>
        <v>3995.4</v>
      </c>
      <c r="DG16" s="248">
        <f>ROUND((SUMIF('2020'!$B:$B,'Для расчета ЗП'!$A16,('2020'!$BX:$BX))-SUMIFS('2020'!$BX:$BX,'2020'!$B:$B,'Для расчета ЗП'!$A16,'2020'!$G:$G,4))/1000,1)</f>
        <v>10024.9</v>
      </c>
      <c r="DH16" s="247">
        <f t="shared" si="56"/>
        <v>257388.1</v>
      </c>
      <c r="DI16" s="247">
        <v>9481</v>
      </c>
      <c r="DJ16" s="249">
        <f t="shared" si="14"/>
        <v>266869.09999999998</v>
      </c>
      <c r="DK16" s="248">
        <v>295277</v>
      </c>
      <c r="DL16" s="248">
        <f t="shared" si="57"/>
        <v>28407.9</v>
      </c>
      <c r="DM16" s="249">
        <f>DH16*DH23</f>
        <v>0</v>
      </c>
      <c r="DN16" s="250">
        <f t="shared" si="58"/>
        <v>9481</v>
      </c>
      <c r="DO16" s="250">
        <f t="shared" si="59"/>
        <v>-257388.1</v>
      </c>
      <c r="DP16" s="251">
        <f t="shared" si="15"/>
        <v>9481</v>
      </c>
      <c r="DQ16" s="251">
        <f>SUMIF('2020'!$B:$B,'Для расчета ЗП'!$A16,('2020'!$CH:$CH))-SUMIFS('2020'!$CH:$CH,'2020'!$B:$B,'Для расчета ЗП'!$A16,'2020'!$G:$G,4)</f>
        <v>257388023</v>
      </c>
      <c r="DR16" s="245">
        <f>SUMIFS('2020'!$P:$P,'2020'!$B:$B,'Для расчета ЗП'!$A16,'2020'!$G:$G,4)</f>
        <v>822</v>
      </c>
      <c r="DS16" s="251">
        <f>SUMIFS('2020'!$BL:$BL,'2020'!$B:$B,'Для расчета ЗП'!$A16,'2020'!$G:$G,4)</f>
        <v>55364610</v>
      </c>
      <c r="DT16" s="251">
        <f t="shared" si="60"/>
        <v>13064608</v>
      </c>
      <c r="DU16" s="251">
        <f>SUMIFS('2020'!$AQ:$AQ,'2020'!$B:$B,'Для расчета ЗП'!$A16,'2020'!$G:$G,4)+SUMIFS('2020'!$BH:$BH,'2020'!$B:$B,'Для расчета ЗП'!$A16,'2020'!$G:$G,4)</f>
        <v>30033580</v>
      </c>
      <c r="DV16" s="251">
        <f>SUMIFS('2020'!$BM:$BM,'2020'!$B:$B,'Для расчета ЗП'!$A16,'2020'!$G:$G,4)+SUMIFS('2020'!$CD:$CD,'2020'!$B:$B,'Для расчета ЗП'!$A16,'2020'!$G:$G,4)</f>
        <v>43098188</v>
      </c>
      <c r="DW16" s="251">
        <f t="shared" si="61"/>
        <v>1998770</v>
      </c>
      <c r="DX16" s="251">
        <f>SUMIFS('2020'!$BB:$BB,'2020'!$B:$B,'Для расчета ЗП'!$A16,'2020'!$G:$G,4)</f>
        <v>1551840</v>
      </c>
      <c r="DY16" s="251">
        <f>SUMIFS('2020'!$BX:$BX,'2020'!$B:$B,'Для расчета ЗП'!$A16,'2020'!$G:$G,4)</f>
        <v>3550610</v>
      </c>
      <c r="DZ16" s="251"/>
      <c r="EA16" s="251">
        <f t="shared" si="62"/>
        <v>70427988</v>
      </c>
      <c r="EB16" s="251"/>
      <c r="EC16" s="251">
        <f>SUMIFS('2020'!$CH:$CH,'2020'!$B:$B,'Для расчета ЗП'!$A16,'2020'!$G:$G,4)</f>
        <v>70427988</v>
      </c>
      <c r="ED16" s="252">
        <f>SUMIF('2020'!$B:$B,'Для расчета ЗП'!$A16,('2020'!$P:$P))</f>
        <v>2743</v>
      </c>
      <c r="EE16" s="251">
        <f>SUMIF('2020'!$B:$B,'Для расчета ЗП'!$A16,('2020'!$BL:$BL))</f>
        <v>253178917</v>
      </c>
      <c r="EF16" s="253">
        <f>SUMIF('2020'!$B:$B,'Для расчета ЗП'!$A16,('2020'!$CH:$CH))</f>
        <v>327816011</v>
      </c>
      <c r="EG16" s="254">
        <f t="shared" si="16"/>
        <v>-257388.1</v>
      </c>
      <c r="EH16" s="239"/>
      <c r="EI16" s="239"/>
      <c r="EJ16" s="255">
        <f t="shared" si="17"/>
        <v>0</v>
      </c>
      <c r="EK16" s="239" t="e">
        <f t="shared" si="63"/>
        <v>#DIV/0!</v>
      </c>
      <c r="EL16" s="239" t="e">
        <f t="shared" si="64"/>
        <v>#DIV/0!</v>
      </c>
      <c r="EM16" s="255" t="e">
        <f t="shared" si="18"/>
        <v>#DIV/0!</v>
      </c>
      <c r="EN16" s="255" t="e">
        <f t="shared" si="19"/>
        <v>#DIV/0!</v>
      </c>
      <c r="EO16" s="256" t="e">
        <f t="shared" si="20"/>
        <v>#DIV/0!</v>
      </c>
      <c r="EP16" s="255" t="e">
        <f>ROUND((SUMIF(#REF!,#REF!,(#REF!))-SUMIFS(#REF!,#REF!,#REF!,#REF!,4)),1)</f>
        <v>#REF!</v>
      </c>
      <c r="EQ16" s="255" t="e">
        <f>EP16*#REF!</f>
        <v>#REF!</v>
      </c>
      <c r="ER16" s="262" t="e">
        <f>ROUND(SUMIFS(#REF!,#REF!,'Для расчета ЗП'!$A16,#REF!,1),1)</f>
        <v>#REF!</v>
      </c>
      <c r="ES16" s="262" t="e">
        <f>ROUND(SUMIFS(#REF!,#REF!,'Для расчета ЗП'!$A16,#REF!,1),1)</f>
        <v>#REF!</v>
      </c>
      <c r="ET16" s="262" t="e">
        <f>ROUND(SUMIFS(#REF!,#REF!,'Для расчета ЗП'!$A16,#REF!,1),1)</f>
        <v>#REF!</v>
      </c>
      <c r="EU16" s="263" t="e">
        <f>ROUND((SUMIF(#REF!,#REF!,(#REF!))-SUMIFS(#REF!,#REF!,#REF!,#REF!,4)),1)</f>
        <v>#REF!</v>
      </c>
      <c r="EV16" s="263" t="e">
        <f>EU16*#REF!</f>
        <v>#REF!</v>
      </c>
    </row>
    <row r="17" spans="1:152" ht="45" x14ac:dyDescent="0.25">
      <c r="A17" s="6">
        <v>13</v>
      </c>
      <c r="B17" s="7" t="s">
        <v>55</v>
      </c>
      <c r="C17" s="38">
        <f>SUMIF('2020'!$B:$B,'Для расчета ЗП'!$A17,('2020'!$P:$P))-SUMIFS('2020'!$P:$P,'2020'!$B:$B,'Для расчета ЗП'!$A17,'2020'!$G:$G,4)</f>
        <v>848</v>
      </c>
      <c r="D17" s="38">
        <f>SUMIFS('2020'!$P:$P,'2020'!$B:$B,'Для расчета ЗП'!$A17,'2020'!$G:$G,1,'2020'!$I:$I,0)</f>
        <v>516</v>
      </c>
      <c r="E17" s="38">
        <f>SUMIFS('2020'!$P:$P,'2020'!$B:$B,'Для расчета ЗП'!$A17,'2020'!$G:$G,1,'2020'!$I:$I,3)</f>
        <v>265</v>
      </c>
      <c r="F17" s="38">
        <f>SUMIFS('2020'!$P:$P,'2020'!$B:$B,'Для расчета ЗП'!$A17,'2020'!$G:$G,2,'2020'!$I:$I,0)</f>
        <v>30</v>
      </c>
      <c r="G17" s="38">
        <f>SUMIFS('2020'!$P:$P,'2020'!$B:$B,'Для расчета ЗП'!$A17,'2020'!$G:$G,2,'2020'!$I:$I,3)</f>
        <v>30</v>
      </c>
      <c r="H17" s="38">
        <f>SUMIFS('2020'!$P:$P,'2020'!$B:$B,'Для расчета ЗП'!$A17,'2020'!$G:$G,3,'2020'!$I:$I,0)</f>
        <v>7</v>
      </c>
      <c r="I17" s="38">
        <f>SUMIFS('2020'!$P:$P,'2020'!$B:$B,'Для расчета ЗП'!$A17,'2020'!$G:$G,3,'2020'!$I:$I,3)</f>
        <v>0</v>
      </c>
      <c r="J17" s="66">
        <f>ROUND((SUMIF('2020'!$B:$B,'Для расчета ЗП'!$A17,('2020'!$BL:$BL))-SUMIFS('2020'!$BL:$BL,'2020'!$B:$B,'Для расчета ЗП'!$A17,'2020'!$G:$G,4))/1000,1)</f>
        <v>76108.399999999994</v>
      </c>
      <c r="K17" s="66">
        <f t="shared" si="21"/>
        <v>22031.599999999999</v>
      </c>
      <c r="L17" s="37">
        <f>ROUND((SUMIF('2020'!$B:$B,'Для расчета ЗП'!$A17,('2020'!$AQ:$AQ))-SUMIFS('2020'!$AQ:$AQ,'2020'!$B:$B,'Для расчета ЗП'!$A17,'2020'!$G:$G,4)+SUMIF('2020'!$B:$B,'Для расчета ЗП'!$A17,('2020'!$BH:$BH))-SUMIFS('2020'!$BH:$BH,'2020'!$B:$B,'Для расчета ЗП'!$A17,'2020'!$G:$G,4))/1000,1)</f>
        <v>47379.8</v>
      </c>
      <c r="M17" s="37">
        <f>ROUND((SUMIF('2020'!$B:$B,'Для расчета ЗП'!$A17,('2020'!$BM:$BM))-SUMIFS('2020'!$BM:$BM,'2020'!$B:$B,'Для расчета ЗП'!$A17,'2020'!$G:$G,4)+SUMIF('2020'!$B:$B,'Для расчета ЗП'!$A17,('2020'!$CD:$CD))-SUMIFS('2020'!$CD:$CD,'2020'!$B:$B,'Для расчета ЗП'!$A17,'2020'!$G:$G,4))/1000,1)</f>
        <v>69411.399999999994</v>
      </c>
      <c r="N17" s="66">
        <f t="shared" si="22"/>
        <v>2638.4</v>
      </c>
      <c r="O17" s="37">
        <f>ROUND((SUMIF('2020'!$B:$B,'Для расчета ЗП'!$A17,('2020'!$BB:$BB))-SUMIFS('2020'!$BB:$BB,'2020'!$B:$B,'Для расчета ЗП'!$A17,'2020'!$G:$G,4))/1000,1)</f>
        <v>1557.5</v>
      </c>
      <c r="P17" s="37">
        <f>ROUND((SUMIF('2020'!$B:$B,'Для расчета ЗП'!$A17,('2020'!$BX:$BX))-SUMIFS('2020'!$BX:$BX,'2020'!$B:$B,'Для расчета ЗП'!$A17,'2020'!$G:$G,4))/1000,1)</f>
        <v>4195.8999999999996</v>
      </c>
      <c r="Q17" s="163">
        <f t="shared" si="23"/>
        <v>100778.4</v>
      </c>
      <c r="R17" s="66">
        <v>89183.2</v>
      </c>
      <c r="S17" s="144">
        <f t="shared" si="0"/>
        <v>189961.60000000001</v>
      </c>
      <c r="T17" s="139">
        <v>185615.7</v>
      </c>
      <c r="U17" s="139">
        <f t="shared" si="24"/>
        <v>-4345.8999999999996</v>
      </c>
      <c r="V17" s="167">
        <f>Q17*Q23+0.01</f>
        <v>66267.460000000006</v>
      </c>
      <c r="W17" s="205">
        <f t="shared" si="25"/>
        <v>155450.66</v>
      </c>
      <c r="X17" s="187">
        <f t="shared" si="26"/>
        <v>-34510.94</v>
      </c>
      <c r="Y17" s="46">
        <f t="shared" si="1"/>
        <v>155450.6</v>
      </c>
      <c r="Z17" s="46">
        <f>SUMIF('2020'!$B:$B,'Для расчета ЗП'!$A17,('2020'!$CH:$CH))-SUMIFS('2020'!$CH:$CH,'2020'!$B:$B,'Для расчета ЗП'!$A17,'2020'!$G:$G,4)</f>
        <v>100778358</v>
      </c>
      <c r="AA17" s="79">
        <f>SUMIFS('2020'!$P:$P,'2020'!$B:$B,'Для расчета ЗП'!$A17,'2020'!$G:$G,4)</f>
        <v>0</v>
      </c>
      <c r="AB17" s="46">
        <f>SUMIFS('2020'!$BL:$BL,'2020'!$B:$B,'Для расчета ЗП'!$A17,'2020'!$G:$G,4)</f>
        <v>0</v>
      </c>
      <c r="AC17" s="46">
        <f t="shared" si="27"/>
        <v>0</v>
      </c>
      <c r="AD17" s="46">
        <f>SUMIFS('2020'!$AQ:$AQ,'2020'!$B:$B,'Для расчета ЗП'!$A17,'2020'!$G:$G,4)+SUMIFS('2020'!$BH:$BH,'2020'!$B:$B,'Для расчета ЗП'!$A17,'2020'!$G:$G,4)</f>
        <v>0</v>
      </c>
      <c r="AE17" s="46">
        <f>SUMIFS('2020'!$BM:$BM,'2020'!$B:$B,'Для расчета ЗП'!$A17,'2020'!$G:$G,4)+SUMIFS('2020'!$CD:$CD,'2020'!$B:$B,'Для расчета ЗП'!$A17,'2020'!$G:$G,4)</f>
        <v>0</v>
      </c>
      <c r="AF17" s="46">
        <f t="shared" si="28"/>
        <v>0</v>
      </c>
      <c r="AG17" s="46">
        <f>SUMIFS('2020'!$BB:$BB,'2020'!$B:$B,'Для расчета ЗП'!$A17,'2020'!$G:$G,4)</f>
        <v>0</v>
      </c>
      <c r="AH17" s="46">
        <f>SUMIFS('2020'!$BX:$BX,'2020'!$B:$B,'Для расчета ЗП'!$A17,'2020'!$G:$G,4)</f>
        <v>0</v>
      </c>
      <c r="AI17" s="46"/>
      <c r="AJ17" s="46">
        <f t="shared" si="29"/>
        <v>0</v>
      </c>
      <c r="AK17" s="46"/>
      <c r="AL17" s="46">
        <f>SUMIFS('2020'!$CH:$CH,'2020'!$B:$B,'Для расчета ЗП'!$A17,'2020'!$G:$G,4)</f>
        <v>0</v>
      </c>
      <c r="AM17" s="198">
        <f>SUMIF('2020'!$B:$B,'Для расчета ЗП'!$A17,('2020'!$P:$P))</f>
        <v>848</v>
      </c>
      <c r="AN17" s="46">
        <f>SUMIF('2020'!$B:$B,'Для расчета ЗП'!$A17,('2020'!$BL:$BL))</f>
        <v>76108365</v>
      </c>
      <c r="AO17" s="199">
        <f>SUMIF('2020'!$B:$B,'Для расчета ЗП'!$A17,('2020'!$CH:$CH))</f>
        <v>100778358</v>
      </c>
      <c r="AP17" s="48">
        <f t="shared" si="2"/>
        <v>-34511</v>
      </c>
      <c r="AS17" s="105">
        <f t="shared" si="3"/>
        <v>66267.399999999994</v>
      </c>
      <c r="AT17">
        <f t="shared" si="30"/>
        <v>2.70606446019226E-2</v>
      </c>
      <c r="AU17">
        <f t="shared" si="31"/>
        <v>21219.1</v>
      </c>
      <c r="AV17" s="105">
        <f t="shared" si="4"/>
        <v>134231.5</v>
      </c>
      <c r="AW17" s="105">
        <f t="shared" si="5"/>
        <v>-55730.1</v>
      </c>
      <c r="AX17" s="111">
        <f t="shared" si="6"/>
        <v>0.44700000000000001</v>
      </c>
      <c r="AY17" s="37">
        <f>ROUND(SUMIFS('2020'!$BM:$BM,'2020'!$B:$B,'Для расчета ЗП'!$A17,'2020'!$G:$G,1),1)</f>
        <v>51170798</v>
      </c>
      <c r="AZ17" s="37">
        <f>ROUND(SUMIFS('2020'!$BM:$BM,'2020'!$B:$B,'Для расчета ЗП'!$A17,'2020'!$G:$G,2),1)</f>
        <v>3671759</v>
      </c>
      <c r="BA17" s="37">
        <f>ROUND(SUMIFS('2020'!$BM:$BM,'2020'!$B:$B,'Для расчета ЗП'!$A17,'2020'!$G:$G,3),1)</f>
        <v>804505</v>
      </c>
      <c r="BB17" s="39">
        <f t="shared" si="32"/>
        <v>55647062</v>
      </c>
      <c r="BC17" s="39">
        <f>ROUND((SUMIF('2020'!$B:$B,'Для расчета ЗП'!$A17,('2020'!$BM:$BM))-SUMIFS('2020'!$BM:$BM,'2020'!$B:$B,'Для расчета ЗП'!$A17,'2020'!$G:$G,4)),1)-BB17</f>
        <v>0</v>
      </c>
      <c r="BD17" s="39">
        <f>BB17*'Свод 2020'!AA$27</f>
        <v>59089105.130000003</v>
      </c>
      <c r="BE17" s="246">
        <f>SUMIFS('2020'!$P:$P,'2020'!$B:$B,'Для расчета ЗП'!$A17,'2020'!$G:$G,3,'2020'!$I:$I,3)</f>
        <v>0</v>
      </c>
      <c r="BF17" s="247">
        <f>ROUND((SUMIF('2020'!$B:$B,'Для расчета ЗП'!$A17,('2020'!$BL:$BL))-SUMIFS('2020'!$BL:$BL,'2020'!$B:$B,'Для расчета ЗП'!$A17,'2020'!$G:$G,4))/1000,1)</f>
        <v>76108.399999999994</v>
      </c>
      <c r="BG17" s="247">
        <f t="shared" si="33"/>
        <v>22031.599999999999</v>
      </c>
      <c r="BH17" s="248">
        <f>ROUND((SUMIF('2020'!$B:$B,'Для расчета ЗП'!$A17,('2020'!$AQ:$AQ))-SUMIFS('2020'!$AQ:$AQ,'2020'!$B:$B,'Для расчета ЗП'!$A17,'2020'!$G:$G,4)+SUMIF('2020'!$B:$B,'Для расчета ЗП'!$A17,('2020'!$BH:$BH))-SUMIFS('2020'!$BH:$BH,'2020'!$B:$B,'Для расчета ЗП'!$A17,'2020'!$G:$G,4))/1000,1)</f>
        <v>47379.8</v>
      </c>
      <c r="BI17" s="248">
        <f>ROUND((SUMIF('2020'!$B:$B,'Для расчета ЗП'!$A17,('2020'!$BM:$BM))-SUMIFS('2020'!$BM:$BM,'2020'!$B:$B,'Для расчета ЗП'!$A17,'2020'!$G:$G,4)+SUMIF('2020'!$B:$B,'Для расчета ЗП'!$A17,('2020'!$CD:$CD))-SUMIFS('2020'!$CD:$CD,'2020'!$B:$B,'Для расчета ЗП'!$A17,'2020'!$G:$G,4))/1000,1)</f>
        <v>69411.399999999994</v>
      </c>
      <c r="BJ17" s="247">
        <f t="shared" si="34"/>
        <v>2638.4</v>
      </c>
      <c r="BK17" s="248">
        <f>ROUND((SUMIF('2020'!$B:$B,'Для расчета ЗП'!$A17,('2020'!$BB:$BB))-SUMIFS('2020'!$BB:$BB,'2020'!$B:$B,'Для расчета ЗП'!$A17,'2020'!$G:$G,4))/1000,1)</f>
        <v>1557.5</v>
      </c>
      <c r="BL17" s="248">
        <f>ROUND((SUMIF('2020'!$B:$B,'Для расчета ЗП'!$A17,('2020'!$BX:$BX))-SUMIFS('2020'!$BX:$BX,'2020'!$B:$B,'Для расчета ЗП'!$A17,'2020'!$G:$G,4))/1000,1)</f>
        <v>4195.8999999999996</v>
      </c>
      <c r="BM17" s="247">
        <f t="shared" si="35"/>
        <v>100778.4</v>
      </c>
      <c r="BN17" s="247">
        <v>1538.9</v>
      </c>
      <c r="BO17" s="249">
        <f t="shared" si="36"/>
        <v>102317.3</v>
      </c>
      <c r="BP17" s="248">
        <v>83554.2</v>
      </c>
      <c r="BQ17" s="248">
        <f t="shared" si="37"/>
        <v>-18763.099999999999</v>
      </c>
      <c r="BR17" s="249">
        <f t="shared" si="38"/>
        <v>0</v>
      </c>
      <c r="BS17" s="250">
        <f t="shared" si="39"/>
        <v>1538.9</v>
      </c>
      <c r="BT17" s="250">
        <f t="shared" si="40"/>
        <v>-100778.4</v>
      </c>
      <c r="BU17" s="251">
        <f t="shared" si="41"/>
        <v>1538.9</v>
      </c>
      <c r="BV17" s="251">
        <f>SUMIF('2020'!$B:$B,'Для расчета ЗП'!$A17,('2020'!$CH:$CH))-SUMIFS('2020'!$CH:$CH,'2020'!$B:$B,'Для расчета ЗП'!$A17,'2020'!$G:$G,4)</f>
        <v>100778358</v>
      </c>
      <c r="BW17" s="245">
        <f>SUMIFS('2020'!$P:$P,'2020'!$B:$B,'Для расчета ЗП'!$A17,'2020'!$G:$G,4)</f>
        <v>0</v>
      </c>
      <c r="BX17" s="251">
        <f>SUMIFS('2020'!$BL:$BL,'2020'!$B:$B,'Для расчета ЗП'!$A17,'2020'!$G:$G,4)</f>
        <v>0</v>
      </c>
      <c r="BY17" s="251">
        <f t="shared" si="42"/>
        <v>0</v>
      </c>
      <c r="BZ17" s="251">
        <f>SUMIFS('2020'!$AQ:$AQ,'2020'!$B:$B,'Для расчета ЗП'!$A17,'2020'!$G:$G,4)+SUMIFS('2020'!$BH:$BH,'2020'!$B:$B,'Для расчета ЗП'!$A17,'2020'!$G:$G,4)</f>
        <v>0</v>
      </c>
      <c r="CA17" s="251">
        <f>SUMIFS('2020'!$BM:$BM,'2020'!$B:$B,'Для расчета ЗП'!$A17,'2020'!$G:$G,4)+SUMIFS('2020'!$CD:$CD,'2020'!$B:$B,'Для расчета ЗП'!$A17,'2020'!$G:$G,4)</f>
        <v>0</v>
      </c>
      <c r="CB17" s="251">
        <f t="shared" si="43"/>
        <v>0</v>
      </c>
      <c r="CC17" s="251">
        <f>SUMIFS('2020'!$BB:$BB,'2020'!$B:$B,'Для расчета ЗП'!$A17,'2020'!$G:$G,4)</f>
        <v>0</v>
      </c>
      <c r="CD17" s="251">
        <f>SUMIFS('2020'!$BX:$BX,'2020'!$B:$B,'Для расчета ЗП'!$A17,'2020'!$G:$G,4)</f>
        <v>0</v>
      </c>
      <c r="CE17" s="251"/>
      <c r="CF17" s="251">
        <f t="shared" si="44"/>
        <v>0</v>
      </c>
      <c r="CG17" s="251"/>
      <c r="CH17" s="251">
        <f>SUMIFS('2020'!$CH:$CH,'2020'!$B:$B,'Для расчета ЗП'!$A17,'2020'!$G:$G,4)</f>
        <v>0</v>
      </c>
      <c r="CI17" s="252">
        <f>SUMIF('2020'!$B:$B,'Для расчета ЗП'!$A17,('2020'!$P:$P))</f>
        <v>848</v>
      </c>
      <c r="CJ17" s="251">
        <f>SUMIF('2020'!$B:$B,'Для расчета ЗП'!$A17,('2020'!$BL:$BL))</f>
        <v>76108365</v>
      </c>
      <c r="CK17" s="253">
        <f>SUMIF('2020'!$B:$B,'Для расчета ЗП'!$A17,('2020'!$CH:$CH))</f>
        <v>100778358</v>
      </c>
      <c r="CL17" s="254">
        <f t="shared" si="45"/>
        <v>-100778.4</v>
      </c>
      <c r="CM17" s="239"/>
      <c r="CN17" s="255">
        <f t="shared" si="46"/>
        <v>100778.4</v>
      </c>
      <c r="CO17" s="255">
        <f t="shared" si="47"/>
        <v>0</v>
      </c>
      <c r="CP17" s="239" t="e">
        <f t="shared" si="48"/>
        <v>#DIV/0!</v>
      </c>
      <c r="CQ17" s="239" t="e">
        <f t="shared" si="49"/>
        <v>#DIV/0!</v>
      </c>
      <c r="CR17" s="255" t="e">
        <f t="shared" si="50"/>
        <v>#DIV/0!</v>
      </c>
      <c r="CS17" s="255" t="e">
        <f t="shared" si="51"/>
        <v>#DIV/0!</v>
      </c>
      <c r="CT17" s="256" t="e">
        <f t="shared" si="52"/>
        <v>#DIV/0!</v>
      </c>
      <c r="CU17" s="248" t="e">
        <f>ROUND(SUMIFS(#REF!,#REF!,'Для расчета ЗП'!$A17,#REF!,1),1)</f>
        <v>#REF!</v>
      </c>
      <c r="CV17" s="248" t="e">
        <f>ROUND(SUMIFS(#REF!,#REF!,'Для расчета ЗП'!$A17,#REF!,2),1)</f>
        <v>#REF!</v>
      </c>
      <c r="CW17" s="248" t="e">
        <f>ROUND(SUMIFS(#REF!,#REF!,'Для расчета ЗП'!$A17,#REF!,3),1)</f>
        <v>#REF!</v>
      </c>
      <c r="CX17" s="257" t="e">
        <f t="shared" si="53"/>
        <v>#REF!</v>
      </c>
      <c r="CY17" s="257" t="e">
        <f>ROUND((SUMIF('2020'!$B:$B,'Для расчета ЗП'!$A17,('2020'!$BM:$BM))-SUMIFS('2020'!$BM:$BM,'2020'!$B:$B,'Для расчета ЗП'!$A17,'2020'!$G:$G,4)),1)-CX17</f>
        <v>#REF!</v>
      </c>
      <c r="CZ17" s="246">
        <f>SUMIFS('2020'!$P:$P,'2020'!$B:$B,'Для расчета ЗП'!$A17,'2020'!$G:$G,3,'2020'!$I:$I,3)</f>
        <v>0</v>
      </c>
      <c r="DA17" s="247">
        <f>ROUND((SUMIF('2020'!$B:$B,'Для расчета ЗП'!$A17,('2020'!$BL:$BL))-SUMIFS('2020'!$BL:$BL,'2020'!$B:$B,'Для расчета ЗП'!$A17,'2020'!$G:$G,4))/1000,1)</f>
        <v>76108.399999999994</v>
      </c>
      <c r="DB17" s="247">
        <f t="shared" si="54"/>
        <v>22031.599999999999</v>
      </c>
      <c r="DC17" s="248">
        <f>ROUND((SUMIF('2020'!$B:$B,'Для расчета ЗП'!$A17,('2020'!$AQ:$AQ))-SUMIFS('2020'!$AQ:$AQ,'2020'!$B:$B,'Для расчета ЗП'!$A17,'2020'!$G:$G,4)+SUMIF('2020'!$B:$B,'Для расчета ЗП'!$A17,('2020'!$BH:$BH))-SUMIFS('2020'!$BH:$BH,'2020'!$B:$B,'Для расчета ЗП'!$A17,'2020'!$G:$G,4))/1000,1)</f>
        <v>47379.8</v>
      </c>
      <c r="DD17" s="248">
        <f>ROUND((SUMIF('2020'!$B:$B,'Для расчета ЗП'!$A17,('2020'!$BM:$BM))-SUMIFS('2020'!$BM:$BM,'2020'!$B:$B,'Для расчета ЗП'!$A17,'2020'!$G:$G,4)+SUMIF('2020'!$B:$B,'Для расчета ЗП'!$A17,('2020'!$CD:$CD))-SUMIFS('2020'!$CD:$CD,'2020'!$B:$B,'Для расчета ЗП'!$A17,'2020'!$G:$G,4))/1000,1)</f>
        <v>69411.399999999994</v>
      </c>
      <c r="DE17" s="247">
        <f t="shared" si="55"/>
        <v>2638.4</v>
      </c>
      <c r="DF17" s="248">
        <f>ROUND((SUMIF('2020'!$B:$B,'Для расчета ЗП'!$A17,('2020'!$BB:$BB))-SUMIFS('2020'!$BB:$BB,'2020'!$B:$B,'Для расчета ЗП'!$A17,'2020'!$G:$G,4))/1000,1)</f>
        <v>1557.5</v>
      </c>
      <c r="DG17" s="248">
        <f>ROUND((SUMIF('2020'!$B:$B,'Для расчета ЗП'!$A17,('2020'!$BX:$BX))-SUMIFS('2020'!$BX:$BX,'2020'!$B:$B,'Для расчета ЗП'!$A17,'2020'!$G:$G,4))/1000,1)</f>
        <v>4195.8999999999996</v>
      </c>
      <c r="DH17" s="247">
        <f t="shared" si="56"/>
        <v>100778.4</v>
      </c>
      <c r="DI17" s="247">
        <v>89183.2</v>
      </c>
      <c r="DJ17" s="249">
        <f t="shared" si="14"/>
        <v>189961.60000000001</v>
      </c>
      <c r="DK17" s="248">
        <v>185615.7</v>
      </c>
      <c r="DL17" s="248">
        <f t="shared" si="57"/>
        <v>-4345.8999999999996</v>
      </c>
      <c r="DM17" s="249">
        <f>DH17*DH23+0.01</f>
        <v>0.01</v>
      </c>
      <c r="DN17" s="250">
        <f t="shared" si="58"/>
        <v>89183.21</v>
      </c>
      <c r="DO17" s="250">
        <f t="shared" si="59"/>
        <v>-100778.39</v>
      </c>
      <c r="DP17" s="251">
        <f t="shared" si="15"/>
        <v>89183.2</v>
      </c>
      <c r="DQ17" s="251">
        <f>SUMIF('2020'!$B:$B,'Для расчета ЗП'!$A17,('2020'!$CH:$CH))-SUMIFS('2020'!$CH:$CH,'2020'!$B:$B,'Для расчета ЗП'!$A17,'2020'!$G:$G,4)</f>
        <v>100778358</v>
      </c>
      <c r="DR17" s="245">
        <f>SUMIFS('2020'!$P:$P,'2020'!$B:$B,'Для расчета ЗП'!$A17,'2020'!$G:$G,4)</f>
        <v>0</v>
      </c>
      <c r="DS17" s="251">
        <f>SUMIFS('2020'!$BL:$BL,'2020'!$B:$B,'Для расчета ЗП'!$A17,'2020'!$G:$G,4)</f>
        <v>0</v>
      </c>
      <c r="DT17" s="251">
        <f t="shared" si="60"/>
        <v>0</v>
      </c>
      <c r="DU17" s="251">
        <f>SUMIFS('2020'!$AQ:$AQ,'2020'!$B:$B,'Для расчета ЗП'!$A17,'2020'!$G:$G,4)+SUMIFS('2020'!$BH:$BH,'2020'!$B:$B,'Для расчета ЗП'!$A17,'2020'!$G:$G,4)</f>
        <v>0</v>
      </c>
      <c r="DV17" s="251">
        <f>SUMIFS('2020'!$BM:$BM,'2020'!$B:$B,'Для расчета ЗП'!$A17,'2020'!$G:$G,4)+SUMIFS('2020'!$CD:$CD,'2020'!$B:$B,'Для расчета ЗП'!$A17,'2020'!$G:$G,4)</f>
        <v>0</v>
      </c>
      <c r="DW17" s="251">
        <f t="shared" si="61"/>
        <v>0</v>
      </c>
      <c r="DX17" s="251">
        <f>SUMIFS('2020'!$BB:$BB,'2020'!$B:$B,'Для расчета ЗП'!$A17,'2020'!$G:$G,4)</f>
        <v>0</v>
      </c>
      <c r="DY17" s="251">
        <f>SUMIFS('2020'!$BX:$BX,'2020'!$B:$B,'Для расчета ЗП'!$A17,'2020'!$G:$G,4)</f>
        <v>0</v>
      </c>
      <c r="DZ17" s="251"/>
      <c r="EA17" s="251">
        <f t="shared" si="62"/>
        <v>0</v>
      </c>
      <c r="EB17" s="251"/>
      <c r="EC17" s="251">
        <f>SUMIFS('2020'!$CH:$CH,'2020'!$B:$B,'Для расчета ЗП'!$A17,'2020'!$G:$G,4)</f>
        <v>0</v>
      </c>
      <c r="ED17" s="252">
        <f>SUMIF('2020'!$B:$B,'Для расчета ЗП'!$A17,('2020'!$P:$P))</f>
        <v>848</v>
      </c>
      <c r="EE17" s="251">
        <f>SUMIF('2020'!$B:$B,'Для расчета ЗП'!$A17,('2020'!$BL:$BL))</f>
        <v>76108365</v>
      </c>
      <c r="EF17" s="253">
        <f>SUMIF('2020'!$B:$B,'Для расчета ЗП'!$A17,('2020'!$CH:$CH))</f>
        <v>100778358</v>
      </c>
      <c r="EG17" s="254">
        <f t="shared" si="16"/>
        <v>-100778.4</v>
      </c>
      <c r="EH17" s="239"/>
      <c r="EI17" s="239"/>
      <c r="EJ17" s="255">
        <f t="shared" si="17"/>
        <v>0</v>
      </c>
      <c r="EK17" s="239" t="e">
        <f t="shared" si="63"/>
        <v>#DIV/0!</v>
      </c>
      <c r="EL17" s="239" t="e">
        <f t="shared" si="64"/>
        <v>#DIV/0!</v>
      </c>
      <c r="EM17" s="255" t="e">
        <f t="shared" si="18"/>
        <v>#DIV/0!</v>
      </c>
      <c r="EN17" s="255" t="e">
        <f t="shared" si="19"/>
        <v>#DIV/0!</v>
      </c>
      <c r="EO17" s="256" t="e">
        <f t="shared" si="20"/>
        <v>#DIV/0!</v>
      </c>
      <c r="EP17" s="255" t="e">
        <f>ROUND((SUMIF(#REF!,#REF!,(#REF!))-SUMIFS(#REF!,#REF!,#REF!,#REF!,4)),1)</f>
        <v>#REF!</v>
      </c>
      <c r="EQ17" s="255" t="e">
        <f>EP17*#REF!</f>
        <v>#REF!</v>
      </c>
      <c r="ER17" s="262" t="e">
        <f>ROUND(SUMIFS(#REF!,#REF!,'Для расчета ЗП'!$A17,#REF!,1),1)</f>
        <v>#REF!</v>
      </c>
      <c r="ES17" s="262" t="e">
        <f>ROUND(SUMIFS(#REF!,#REF!,'Для расчета ЗП'!$A17,#REF!,1),1)</f>
        <v>#REF!</v>
      </c>
      <c r="ET17" s="262" t="e">
        <f>ROUND(SUMIFS(#REF!,#REF!,'Для расчета ЗП'!$A17,#REF!,1),1)</f>
        <v>#REF!</v>
      </c>
      <c r="EU17" s="263" t="e">
        <f>ROUND((SUMIF(#REF!,#REF!,(#REF!))-SUMIFS(#REF!,#REF!,#REF!,#REF!,4)),1)</f>
        <v>#REF!</v>
      </c>
      <c r="EV17" s="263" t="e">
        <f>EU17*#REF!</f>
        <v>#REF!</v>
      </c>
    </row>
    <row r="18" spans="1:152" ht="45" x14ac:dyDescent="0.25">
      <c r="A18" s="6">
        <v>14</v>
      </c>
      <c r="B18" s="7" t="s">
        <v>56</v>
      </c>
      <c r="C18" s="38">
        <f>SUMIF('2020'!$B:$B,'Для расчета ЗП'!$A18,('2020'!$P:$P))-SUMIFS('2020'!$P:$P,'2020'!$B:$B,'Для расчета ЗП'!$A18,'2020'!$G:$G,4)</f>
        <v>565</v>
      </c>
      <c r="D18" s="38">
        <f>SUMIFS('2020'!$P:$P,'2020'!$B:$B,'Для расчета ЗП'!$A18,'2020'!$G:$G,1,'2020'!$I:$I,0)</f>
        <v>331</v>
      </c>
      <c r="E18" s="38">
        <f>SUMIFS('2020'!$P:$P,'2020'!$B:$B,'Для расчета ЗП'!$A18,'2020'!$G:$G,1,'2020'!$I:$I,3)</f>
        <v>195</v>
      </c>
      <c r="F18" s="38">
        <f>SUMIFS('2020'!$P:$P,'2020'!$B:$B,'Для расчета ЗП'!$A18,'2020'!$G:$G,2,'2020'!$I:$I,0)</f>
        <v>19</v>
      </c>
      <c r="G18" s="38">
        <f>SUMIFS('2020'!$P:$P,'2020'!$B:$B,'Для расчета ЗП'!$A18,'2020'!$G:$G,2,'2020'!$I:$I,3)</f>
        <v>20</v>
      </c>
      <c r="H18" s="38">
        <f>SUMIFS('2020'!$P:$P,'2020'!$B:$B,'Для расчета ЗП'!$A18,'2020'!$G:$G,3,'2020'!$I:$I,0)</f>
        <v>0</v>
      </c>
      <c r="I18" s="38">
        <f>SUMIFS('2020'!$P:$P,'2020'!$B:$B,'Для расчета ЗП'!$A18,'2020'!$G:$G,3,'2020'!$I:$I,3)</f>
        <v>0</v>
      </c>
      <c r="J18" s="66">
        <f>ROUND((SUMIF('2020'!$B:$B,'Для расчета ЗП'!$A18,('2020'!$BL:$BL))-SUMIFS('2020'!$BL:$BL,'2020'!$B:$B,'Для расчета ЗП'!$A18,'2020'!$G:$G,4))/1000,1)</f>
        <v>48406.1</v>
      </c>
      <c r="K18" s="66">
        <f t="shared" si="21"/>
        <v>58656.9</v>
      </c>
      <c r="L18" s="37">
        <f>ROUND((SUMIF('2020'!$B:$B,'Для расчета ЗП'!$A18,('2020'!$AQ:$AQ))-SUMIFS('2020'!$AQ:$AQ,'2020'!$B:$B,'Для расчета ЗП'!$A18,'2020'!$G:$G,4)+SUMIF('2020'!$B:$B,'Для расчета ЗП'!$A18,('2020'!$BH:$BH))-SUMIFS('2020'!$BH:$BH,'2020'!$B:$B,'Для расчета ЗП'!$A18,'2020'!$G:$G,4))/1000,1)</f>
        <v>30266.7</v>
      </c>
      <c r="M18" s="37">
        <f>ROUND((SUMIF('2020'!$B:$B,'Для расчета ЗП'!$A18,('2020'!$BM:$BM))-SUMIFS('2020'!$BM:$BM,'2020'!$B:$B,'Для расчета ЗП'!$A18,'2020'!$G:$G,4)+SUMIF('2020'!$B:$B,'Для расчета ЗП'!$A18,('2020'!$CD:$CD))-SUMIFS('2020'!$CD:$CD,'2020'!$B:$B,'Для расчета ЗП'!$A18,'2020'!$G:$G,4))/1000,1)</f>
        <v>88923.6</v>
      </c>
      <c r="N18" s="66">
        <f t="shared" si="22"/>
        <v>11481.8</v>
      </c>
      <c r="O18" s="37">
        <f>ROUND((SUMIF('2020'!$B:$B,'Для расчета ЗП'!$A18,('2020'!$BB:$BB))-SUMIFS('2020'!$BB:$BB,'2020'!$B:$B,'Для расчета ЗП'!$A18,'2020'!$G:$G,4))/1000,1)</f>
        <v>992</v>
      </c>
      <c r="P18" s="37">
        <f>ROUND((SUMIF('2020'!$B:$B,'Для расчета ЗП'!$A18,('2020'!$BX:$BX))-SUMIFS('2020'!$BX:$BX,'2020'!$B:$B,'Для расчета ЗП'!$A18,'2020'!$G:$G,4))/1000,1)</f>
        <v>12473.8</v>
      </c>
      <c r="Q18" s="163">
        <f t="shared" si="23"/>
        <v>118544.8</v>
      </c>
      <c r="R18" s="66">
        <v>4027.7</v>
      </c>
      <c r="S18" s="144">
        <f t="shared" si="0"/>
        <v>122572.5</v>
      </c>
      <c r="T18" s="139">
        <v>111133.3</v>
      </c>
      <c r="U18" s="139">
        <f t="shared" si="24"/>
        <v>-11439.2</v>
      </c>
      <c r="V18" s="167">
        <f>Q18*Q23</f>
        <v>77949.850000000006</v>
      </c>
      <c r="W18" s="205">
        <f t="shared" si="25"/>
        <v>81977.55</v>
      </c>
      <c r="X18" s="187">
        <f t="shared" si="26"/>
        <v>-40594.949999999997</v>
      </c>
      <c r="Y18" s="46">
        <f t="shared" si="1"/>
        <v>81977.5</v>
      </c>
      <c r="Z18" s="46">
        <f>SUMIF('2020'!$B:$B,'Для расчета ЗП'!$A18,('2020'!$CH:$CH))-SUMIFS('2020'!$CH:$CH,'2020'!$B:$B,'Для расчета ЗП'!$A18,'2020'!$G:$G,4)</f>
        <v>118544827</v>
      </c>
      <c r="AA18" s="79">
        <f>SUMIFS('2020'!$P:$P,'2020'!$B:$B,'Для расчета ЗП'!$A18,'2020'!$G:$G,4)</f>
        <v>27</v>
      </c>
      <c r="AB18" s="46">
        <f>SUMIFS('2020'!$BL:$BL,'2020'!$B:$B,'Для расчета ЗП'!$A18,'2020'!$G:$G,4)</f>
        <v>2032290</v>
      </c>
      <c r="AC18" s="46">
        <f t="shared" si="27"/>
        <v>2101412</v>
      </c>
      <c r="AD18" s="46">
        <f>SUMIFS('2020'!$AQ:$AQ,'2020'!$B:$B,'Для расчета ЗП'!$A18,'2020'!$G:$G,4)+SUMIFS('2020'!$BH:$BH,'2020'!$B:$B,'Для расчета ЗП'!$A18,'2020'!$G:$G,4)</f>
        <v>1084320</v>
      </c>
      <c r="AE18" s="46">
        <f>SUMIFS('2020'!$BM:$BM,'2020'!$B:$B,'Для расчета ЗП'!$A18,'2020'!$G:$G,4)+SUMIFS('2020'!$CD:$CD,'2020'!$B:$B,'Для расчета ЗП'!$A18,'2020'!$G:$G,4)</f>
        <v>3185732</v>
      </c>
      <c r="AF18" s="46">
        <f t="shared" si="28"/>
        <v>613670</v>
      </c>
      <c r="AG18" s="46">
        <f>SUMIFS('2020'!$BB:$BB,'2020'!$B:$B,'Для расчета ЗП'!$A18,'2020'!$G:$G,4)</f>
        <v>57240</v>
      </c>
      <c r="AH18" s="46">
        <f>SUMIFS('2020'!$BX:$BX,'2020'!$B:$B,'Для расчета ЗП'!$A18,'2020'!$G:$G,4)</f>
        <v>670910</v>
      </c>
      <c r="AI18" s="46"/>
      <c r="AJ18" s="46">
        <f>AB18+AC18+AF18</f>
        <v>4747372</v>
      </c>
      <c r="AK18" s="46"/>
      <c r="AL18" s="46">
        <f>SUMIFS('2020'!$CH:$CH,'2020'!$B:$B,'Для расчета ЗП'!$A18,'2020'!$G:$G,4)</f>
        <v>4747372</v>
      </c>
      <c r="AM18" s="198">
        <f>SUMIF('2020'!$B:$B,'Для расчета ЗП'!$A18,('2020'!$P:$P))</f>
        <v>592</v>
      </c>
      <c r="AN18" s="46">
        <f>SUMIF('2020'!$B:$B,'Для расчета ЗП'!$A18,('2020'!$BL:$BL))</f>
        <v>50438386</v>
      </c>
      <c r="AO18" s="199">
        <f>SUMIF('2020'!$B:$B,'Для расчета ЗП'!$A18,('2020'!$CH:$CH))</f>
        <v>123292199</v>
      </c>
      <c r="AP18" s="48">
        <f t="shared" si="2"/>
        <v>-40595</v>
      </c>
      <c r="AS18" s="105">
        <f t="shared" si="3"/>
        <v>77949.8</v>
      </c>
      <c r="AT18">
        <f t="shared" si="30"/>
        <v>3.1831214663483799E-2</v>
      </c>
      <c r="AU18">
        <f>ROUND(AT$22*AT18,1)-0.1</f>
        <v>24959.7</v>
      </c>
      <c r="AV18" s="105">
        <f t="shared" si="4"/>
        <v>57017.8</v>
      </c>
      <c r="AW18" s="105">
        <f t="shared" si="5"/>
        <v>-65554.7</v>
      </c>
      <c r="AX18" s="111">
        <f t="shared" si="6"/>
        <v>0.44700000000000001</v>
      </c>
      <c r="AY18" s="37">
        <f>ROUND(SUMIFS('2020'!$BM:$BM,'2020'!$B:$B,'Для расчета ЗП'!$A18,'2020'!$G:$G,1),1)</f>
        <v>66526908</v>
      </c>
      <c r="AZ18" s="37">
        <f>ROUND(SUMIFS('2020'!$BM:$BM,'2020'!$B:$B,'Для расчета ЗП'!$A18,'2020'!$G:$G,2),1)</f>
        <v>4701623</v>
      </c>
      <c r="BA18" s="37">
        <f>ROUND(SUMIFS('2020'!$BM:$BM,'2020'!$B:$B,'Для расчета ЗП'!$A18,'2020'!$G:$G,3),1)</f>
        <v>0</v>
      </c>
      <c r="BB18" s="39">
        <f t="shared" si="32"/>
        <v>71228531</v>
      </c>
      <c r="BC18" s="39">
        <f>ROUND((SUMIF('2020'!$B:$B,'Для расчета ЗП'!$A18,('2020'!$BM:$BM))-SUMIFS('2020'!$BM:$BM,'2020'!$B:$B,'Для расчета ЗП'!$A18,'2020'!$G:$G,4)),1)-BB18</f>
        <v>0</v>
      </c>
      <c r="BD18" s="39">
        <f>BB18*'Свод 2020'!AA$27</f>
        <v>75634364.25</v>
      </c>
      <c r="BE18" s="246">
        <f>SUMIFS('2020'!$P:$P,'2020'!$B:$B,'Для расчета ЗП'!$A18,'2020'!$G:$G,3,'2020'!$I:$I,3)</f>
        <v>0</v>
      </c>
      <c r="BF18" s="247">
        <f>ROUND((SUMIF('2020'!$B:$B,'Для расчета ЗП'!$A18,('2020'!$BL:$BL))-SUMIFS('2020'!$BL:$BL,'2020'!$B:$B,'Для расчета ЗП'!$A18,'2020'!$G:$G,4))/1000,1)</f>
        <v>48406.1</v>
      </c>
      <c r="BG18" s="247">
        <f t="shared" si="33"/>
        <v>58656.9</v>
      </c>
      <c r="BH18" s="248">
        <f>ROUND((SUMIF('2020'!$B:$B,'Для расчета ЗП'!$A18,('2020'!$AQ:$AQ))-SUMIFS('2020'!$AQ:$AQ,'2020'!$B:$B,'Для расчета ЗП'!$A18,'2020'!$G:$G,4)+SUMIF('2020'!$B:$B,'Для расчета ЗП'!$A18,('2020'!$BH:$BH))-SUMIFS('2020'!$BH:$BH,'2020'!$B:$B,'Для расчета ЗП'!$A18,'2020'!$G:$G,4))/1000,1)</f>
        <v>30266.7</v>
      </c>
      <c r="BI18" s="248">
        <f>ROUND((SUMIF('2020'!$B:$B,'Для расчета ЗП'!$A18,('2020'!$BM:$BM))-SUMIFS('2020'!$BM:$BM,'2020'!$B:$B,'Для расчета ЗП'!$A18,'2020'!$G:$G,4)+SUMIF('2020'!$B:$B,'Для расчета ЗП'!$A18,('2020'!$CD:$CD))-SUMIFS('2020'!$CD:$CD,'2020'!$B:$B,'Для расчета ЗП'!$A18,'2020'!$G:$G,4))/1000,1)</f>
        <v>88923.6</v>
      </c>
      <c r="BJ18" s="247">
        <f t="shared" si="34"/>
        <v>11481.8</v>
      </c>
      <c r="BK18" s="248">
        <f>ROUND((SUMIF('2020'!$B:$B,'Для расчета ЗП'!$A18,('2020'!$BB:$BB))-SUMIFS('2020'!$BB:$BB,'2020'!$B:$B,'Для расчета ЗП'!$A18,'2020'!$G:$G,4))/1000,1)</f>
        <v>992</v>
      </c>
      <c r="BL18" s="248">
        <f>ROUND((SUMIF('2020'!$B:$B,'Для расчета ЗП'!$A18,('2020'!$BX:$BX))-SUMIFS('2020'!$BX:$BX,'2020'!$B:$B,'Для расчета ЗП'!$A18,'2020'!$G:$G,4))/1000,1)</f>
        <v>12473.8</v>
      </c>
      <c r="BM18" s="247">
        <f t="shared" si="35"/>
        <v>118544.8</v>
      </c>
      <c r="BN18" s="247">
        <v>1539.9</v>
      </c>
      <c r="BO18" s="249">
        <f t="shared" si="36"/>
        <v>120084.7</v>
      </c>
      <c r="BP18" s="248">
        <v>83555.199999999997</v>
      </c>
      <c r="BQ18" s="248">
        <f t="shared" si="37"/>
        <v>-36529.5</v>
      </c>
      <c r="BR18" s="249">
        <f t="shared" si="38"/>
        <v>0</v>
      </c>
      <c r="BS18" s="250">
        <f t="shared" si="39"/>
        <v>1539.9</v>
      </c>
      <c r="BT18" s="250">
        <f t="shared" si="40"/>
        <v>-118544.8</v>
      </c>
      <c r="BU18" s="251">
        <f t="shared" si="41"/>
        <v>1539.9</v>
      </c>
      <c r="BV18" s="251">
        <f>SUMIF('2020'!$B:$B,'Для расчета ЗП'!$A18,('2020'!$CH:$CH))-SUMIFS('2020'!$CH:$CH,'2020'!$B:$B,'Для расчета ЗП'!$A18,'2020'!$G:$G,4)</f>
        <v>118544827</v>
      </c>
      <c r="BW18" s="245">
        <f>SUMIFS('2020'!$P:$P,'2020'!$B:$B,'Для расчета ЗП'!$A18,'2020'!$G:$G,4)</f>
        <v>27</v>
      </c>
      <c r="BX18" s="251">
        <f>SUMIFS('2020'!$BL:$BL,'2020'!$B:$B,'Для расчета ЗП'!$A18,'2020'!$G:$G,4)</f>
        <v>2032290</v>
      </c>
      <c r="BY18" s="251">
        <f t="shared" si="42"/>
        <v>2101412</v>
      </c>
      <c r="BZ18" s="251">
        <f>SUMIFS('2020'!$AQ:$AQ,'2020'!$B:$B,'Для расчета ЗП'!$A18,'2020'!$G:$G,4)+SUMIFS('2020'!$BH:$BH,'2020'!$B:$B,'Для расчета ЗП'!$A18,'2020'!$G:$G,4)</f>
        <v>1084320</v>
      </c>
      <c r="CA18" s="251">
        <f>SUMIFS('2020'!$BM:$BM,'2020'!$B:$B,'Для расчета ЗП'!$A18,'2020'!$G:$G,4)+SUMIFS('2020'!$CD:$CD,'2020'!$B:$B,'Для расчета ЗП'!$A18,'2020'!$G:$G,4)</f>
        <v>3185732</v>
      </c>
      <c r="CB18" s="251">
        <f t="shared" si="43"/>
        <v>613670</v>
      </c>
      <c r="CC18" s="251">
        <f>SUMIFS('2020'!$BB:$BB,'2020'!$B:$B,'Для расчета ЗП'!$A18,'2020'!$G:$G,4)</f>
        <v>57240</v>
      </c>
      <c r="CD18" s="251">
        <f>SUMIFS('2020'!$BX:$BX,'2020'!$B:$B,'Для расчета ЗП'!$A18,'2020'!$G:$G,4)</f>
        <v>670910</v>
      </c>
      <c r="CE18" s="251"/>
      <c r="CF18" s="251">
        <f t="shared" si="44"/>
        <v>4747372</v>
      </c>
      <c r="CG18" s="251"/>
      <c r="CH18" s="251">
        <f>SUMIFS('2020'!$CH:$CH,'2020'!$B:$B,'Для расчета ЗП'!$A18,'2020'!$G:$G,4)</f>
        <v>4747372</v>
      </c>
      <c r="CI18" s="252">
        <f>SUMIF('2020'!$B:$B,'Для расчета ЗП'!$A18,('2020'!$P:$P))</f>
        <v>592</v>
      </c>
      <c r="CJ18" s="251">
        <f>SUMIF('2020'!$B:$B,'Для расчета ЗП'!$A18,('2020'!$BL:$BL))</f>
        <v>50438386</v>
      </c>
      <c r="CK18" s="253">
        <f>SUMIF('2020'!$B:$B,'Для расчета ЗП'!$A18,('2020'!$CH:$CH))</f>
        <v>123292199</v>
      </c>
      <c r="CL18" s="254">
        <f t="shared" si="45"/>
        <v>-118544.8</v>
      </c>
      <c r="CM18" s="239"/>
      <c r="CN18" s="255">
        <f t="shared" si="46"/>
        <v>118544.8</v>
      </c>
      <c r="CO18" s="255">
        <f t="shared" si="47"/>
        <v>0</v>
      </c>
      <c r="CP18" s="239" t="e">
        <f t="shared" si="48"/>
        <v>#DIV/0!</v>
      </c>
      <c r="CQ18" s="239" t="e">
        <f t="shared" si="49"/>
        <v>#DIV/0!</v>
      </c>
      <c r="CR18" s="255" t="e">
        <f t="shared" si="50"/>
        <v>#DIV/0!</v>
      </c>
      <c r="CS18" s="255" t="e">
        <f t="shared" si="51"/>
        <v>#DIV/0!</v>
      </c>
      <c r="CT18" s="256" t="e">
        <f t="shared" si="52"/>
        <v>#DIV/0!</v>
      </c>
      <c r="CU18" s="248" t="e">
        <f>ROUND(SUMIFS(#REF!,#REF!,'Для расчета ЗП'!$A18,#REF!,1),1)</f>
        <v>#REF!</v>
      </c>
      <c r="CV18" s="248" t="e">
        <f>ROUND(SUMIFS(#REF!,#REF!,'Для расчета ЗП'!$A18,#REF!,2),1)</f>
        <v>#REF!</v>
      </c>
      <c r="CW18" s="248" t="e">
        <f>ROUND(SUMIFS(#REF!,#REF!,'Для расчета ЗП'!$A18,#REF!,3),1)</f>
        <v>#REF!</v>
      </c>
      <c r="CX18" s="257" t="e">
        <f t="shared" si="53"/>
        <v>#REF!</v>
      </c>
      <c r="CY18" s="257" t="e">
        <f>ROUND((SUMIF('2020'!$B:$B,'Для расчета ЗП'!$A18,('2020'!$BM:$BM))-SUMIFS('2020'!$BM:$BM,'2020'!$B:$B,'Для расчета ЗП'!$A18,'2020'!$G:$G,4)),1)-CX18</f>
        <v>#REF!</v>
      </c>
      <c r="CZ18" s="246">
        <f>SUMIFS('2020'!$P:$P,'2020'!$B:$B,'Для расчета ЗП'!$A18,'2020'!$G:$G,3,'2020'!$I:$I,3)</f>
        <v>0</v>
      </c>
      <c r="DA18" s="247">
        <f>ROUND((SUMIF('2020'!$B:$B,'Для расчета ЗП'!$A18,('2020'!$BL:$BL))-SUMIFS('2020'!$BL:$BL,'2020'!$B:$B,'Для расчета ЗП'!$A18,'2020'!$G:$G,4))/1000,1)</f>
        <v>48406.1</v>
      </c>
      <c r="DB18" s="247">
        <f t="shared" si="54"/>
        <v>58656.9</v>
      </c>
      <c r="DC18" s="248">
        <f>ROUND((SUMIF('2020'!$B:$B,'Для расчета ЗП'!$A18,('2020'!$AQ:$AQ))-SUMIFS('2020'!$AQ:$AQ,'2020'!$B:$B,'Для расчета ЗП'!$A18,'2020'!$G:$G,4)+SUMIF('2020'!$B:$B,'Для расчета ЗП'!$A18,('2020'!$BH:$BH))-SUMIFS('2020'!$BH:$BH,'2020'!$B:$B,'Для расчета ЗП'!$A18,'2020'!$G:$G,4))/1000,1)</f>
        <v>30266.7</v>
      </c>
      <c r="DD18" s="248">
        <f>ROUND((SUMIF('2020'!$B:$B,'Для расчета ЗП'!$A18,('2020'!$BM:$BM))-SUMIFS('2020'!$BM:$BM,'2020'!$B:$B,'Для расчета ЗП'!$A18,'2020'!$G:$G,4)+SUMIF('2020'!$B:$B,'Для расчета ЗП'!$A18,('2020'!$CD:$CD))-SUMIFS('2020'!$CD:$CD,'2020'!$B:$B,'Для расчета ЗП'!$A18,'2020'!$G:$G,4))/1000,1)</f>
        <v>88923.6</v>
      </c>
      <c r="DE18" s="247">
        <f t="shared" si="55"/>
        <v>11481.8</v>
      </c>
      <c r="DF18" s="248">
        <f>ROUND((SUMIF('2020'!$B:$B,'Для расчета ЗП'!$A18,('2020'!$BB:$BB))-SUMIFS('2020'!$BB:$BB,'2020'!$B:$B,'Для расчета ЗП'!$A18,'2020'!$G:$G,4))/1000,1)</f>
        <v>992</v>
      </c>
      <c r="DG18" s="248">
        <f>ROUND((SUMIF('2020'!$B:$B,'Для расчета ЗП'!$A18,('2020'!$BX:$BX))-SUMIFS('2020'!$BX:$BX,'2020'!$B:$B,'Для расчета ЗП'!$A18,'2020'!$G:$G,4))/1000,1)</f>
        <v>12473.8</v>
      </c>
      <c r="DH18" s="247">
        <f t="shared" si="56"/>
        <v>118544.8</v>
      </c>
      <c r="DI18" s="247">
        <v>4027.7</v>
      </c>
      <c r="DJ18" s="249">
        <f t="shared" si="14"/>
        <v>122572.5</v>
      </c>
      <c r="DK18" s="248">
        <v>111133.3</v>
      </c>
      <c r="DL18" s="248">
        <f t="shared" si="57"/>
        <v>-11439.2</v>
      </c>
      <c r="DM18" s="249">
        <f>DH18*DH23</f>
        <v>0</v>
      </c>
      <c r="DN18" s="250">
        <f t="shared" si="58"/>
        <v>4027.7</v>
      </c>
      <c r="DO18" s="250">
        <f t="shared" si="59"/>
        <v>-118544.8</v>
      </c>
      <c r="DP18" s="251">
        <f t="shared" si="15"/>
        <v>4027.7</v>
      </c>
      <c r="DQ18" s="251">
        <f>SUMIF('2020'!$B:$B,'Для расчета ЗП'!$A18,('2020'!$CH:$CH))-SUMIFS('2020'!$CH:$CH,'2020'!$B:$B,'Для расчета ЗП'!$A18,'2020'!$G:$G,4)</f>
        <v>118544827</v>
      </c>
      <c r="DR18" s="245">
        <f>SUMIFS('2020'!$P:$P,'2020'!$B:$B,'Для расчета ЗП'!$A18,'2020'!$G:$G,4)</f>
        <v>27</v>
      </c>
      <c r="DS18" s="251">
        <f>SUMIFS('2020'!$BL:$BL,'2020'!$B:$B,'Для расчета ЗП'!$A18,'2020'!$G:$G,4)</f>
        <v>2032290</v>
      </c>
      <c r="DT18" s="251">
        <f t="shared" si="60"/>
        <v>2101412</v>
      </c>
      <c r="DU18" s="251">
        <f>SUMIFS('2020'!$AQ:$AQ,'2020'!$B:$B,'Для расчета ЗП'!$A18,'2020'!$G:$G,4)+SUMIFS('2020'!$BH:$BH,'2020'!$B:$B,'Для расчета ЗП'!$A18,'2020'!$G:$G,4)</f>
        <v>1084320</v>
      </c>
      <c r="DV18" s="251">
        <f>SUMIFS('2020'!$BM:$BM,'2020'!$B:$B,'Для расчета ЗП'!$A18,'2020'!$G:$G,4)+SUMIFS('2020'!$CD:$CD,'2020'!$B:$B,'Для расчета ЗП'!$A18,'2020'!$G:$G,4)</f>
        <v>3185732</v>
      </c>
      <c r="DW18" s="251">
        <f t="shared" si="61"/>
        <v>613670</v>
      </c>
      <c r="DX18" s="251">
        <f>SUMIFS('2020'!$BB:$BB,'2020'!$B:$B,'Для расчета ЗП'!$A18,'2020'!$G:$G,4)</f>
        <v>57240</v>
      </c>
      <c r="DY18" s="251">
        <f>SUMIFS('2020'!$BX:$BX,'2020'!$B:$B,'Для расчета ЗП'!$A18,'2020'!$G:$G,4)</f>
        <v>670910</v>
      </c>
      <c r="DZ18" s="251"/>
      <c r="EA18" s="251">
        <f>DS18+DT18+DW18</f>
        <v>4747372</v>
      </c>
      <c r="EB18" s="251"/>
      <c r="EC18" s="251">
        <f>SUMIFS('2020'!$CH:$CH,'2020'!$B:$B,'Для расчета ЗП'!$A18,'2020'!$G:$G,4)</f>
        <v>4747372</v>
      </c>
      <c r="ED18" s="252">
        <f>SUMIF('2020'!$B:$B,'Для расчета ЗП'!$A18,('2020'!$P:$P))</f>
        <v>592</v>
      </c>
      <c r="EE18" s="251">
        <f>SUMIF('2020'!$B:$B,'Для расчета ЗП'!$A18,('2020'!$BL:$BL))</f>
        <v>50438386</v>
      </c>
      <c r="EF18" s="253">
        <f>SUMIF('2020'!$B:$B,'Для расчета ЗП'!$A18,('2020'!$CH:$CH))</f>
        <v>123292199</v>
      </c>
      <c r="EG18" s="254">
        <f t="shared" si="16"/>
        <v>-118544.8</v>
      </c>
      <c r="EH18" s="239"/>
      <c r="EI18" s="239"/>
      <c r="EJ18" s="255">
        <f t="shared" si="17"/>
        <v>0</v>
      </c>
      <c r="EK18" s="239" t="e">
        <f t="shared" si="63"/>
        <v>#DIV/0!</v>
      </c>
      <c r="EL18" s="239" t="e">
        <f>ROUND(EK$22*EK18,1)-0.1</f>
        <v>#DIV/0!</v>
      </c>
      <c r="EM18" s="255" t="e">
        <f t="shared" si="18"/>
        <v>#DIV/0!</v>
      </c>
      <c r="EN18" s="255" t="e">
        <f t="shared" si="19"/>
        <v>#DIV/0!</v>
      </c>
      <c r="EO18" s="256" t="e">
        <f t="shared" si="20"/>
        <v>#DIV/0!</v>
      </c>
      <c r="EP18" s="255" t="e">
        <f>ROUND((SUMIF(#REF!,#REF!,(#REF!))-SUMIFS(#REF!,#REF!,#REF!,#REF!,4)),1)</f>
        <v>#REF!</v>
      </c>
      <c r="EQ18" s="255" t="e">
        <f>EP18*#REF!</f>
        <v>#REF!</v>
      </c>
      <c r="ER18" s="262" t="e">
        <f>ROUND(SUMIFS(#REF!,#REF!,'Для расчета ЗП'!$A18,#REF!,1),1)</f>
        <v>#REF!</v>
      </c>
      <c r="ES18" s="262" t="e">
        <f>ROUND(SUMIFS(#REF!,#REF!,'Для расчета ЗП'!$A18,#REF!,1),1)</f>
        <v>#REF!</v>
      </c>
      <c r="ET18" s="262" t="e">
        <f>ROUND(SUMIFS(#REF!,#REF!,'Для расчета ЗП'!$A18,#REF!,1),1)</f>
        <v>#REF!</v>
      </c>
      <c r="EU18" s="263" t="e">
        <f>ROUND((SUMIF(#REF!,#REF!,(#REF!))-SUMIFS(#REF!,#REF!,#REF!,#REF!,4)),1)</f>
        <v>#REF!</v>
      </c>
      <c r="EV18" s="263" t="e">
        <f>EU18*#REF!</f>
        <v>#REF!</v>
      </c>
    </row>
    <row r="19" spans="1:152" ht="15.75" x14ac:dyDescent="0.25">
      <c r="A19" s="56">
        <v>100</v>
      </c>
      <c r="B19" s="29" t="s">
        <v>28</v>
      </c>
      <c r="C19" s="38">
        <f>SUMIF('2020'!$B:$B,'Для расчета ЗП'!$A19,('2020'!$P:$P))-SUMIFS('2020'!$P:$P,'2020'!$B:$B,'Для расчета ЗП'!$A19,'2020'!$G:$G,4)</f>
        <v>19</v>
      </c>
      <c r="D19" s="38"/>
      <c r="E19" s="38"/>
      <c r="F19" s="38"/>
      <c r="G19" s="38"/>
      <c r="H19" s="38"/>
      <c r="I19" s="38"/>
      <c r="J19" s="66">
        <f>ROUND((SUMIF('2020'!$B:$B,'Для расчета ЗП'!$A19,('2020'!$BL:$BL))-SUMIFS('2020'!$BL:$BL,'2020'!$B:$B,'Для расчета ЗП'!$A19,'2020'!$G:$G,4))/1000,1)</f>
        <v>2567.8000000000002</v>
      </c>
      <c r="K19" s="66">
        <f t="shared" si="21"/>
        <v>4144.8</v>
      </c>
      <c r="L19" s="37">
        <f>ROUND((SUMIF('2020'!$B:$B,'Для расчета ЗП'!$A19,('2020'!$AQ:$AQ))-SUMIFS('2020'!$AQ:$AQ,'2020'!$B:$B,'Для расчета ЗП'!$A19,'2020'!$G:$G,4)+SUMIF('2020'!$B:$B,'Для расчета ЗП'!$A19,('2020'!$BH:$BH))-SUMIFS('2020'!$BH:$BH,'2020'!$B:$B,'Для расчета ЗП'!$A19,'2020'!$G:$G,4))/1000,1)</f>
        <v>1745.9</v>
      </c>
      <c r="M19" s="37">
        <f>ROUND((SUMIF('2020'!$B:$B,'Для расчета ЗП'!$A19,('2020'!$BM:$BM))-SUMIFS('2020'!$BM:$BM,'2020'!$B:$B,'Для расчета ЗП'!$A19,'2020'!$G:$G,4)+SUMIF('2020'!$B:$B,'Для расчета ЗП'!$A19,('2020'!$CD:$CD))-SUMIFS('2020'!$CD:$CD,'2020'!$B:$B,'Для расчета ЗП'!$A19,'2020'!$G:$G,4))/1000,1)</f>
        <v>5890.7</v>
      </c>
      <c r="N19" s="66">
        <f t="shared" si="22"/>
        <v>95.4</v>
      </c>
      <c r="O19" s="37">
        <f>ROUND((SUMIF('2020'!$B:$B,'Для расчета ЗП'!$A19,('2020'!$BB:$BB))-SUMIFS('2020'!$BB:$BB,'2020'!$B:$B,'Для расчета ЗП'!$A19,'2020'!$G:$G,4))/1000,1)</f>
        <v>50.5</v>
      </c>
      <c r="P19" s="37">
        <f>ROUND((SUMIF('2020'!$B:$B,'Для расчета ЗП'!$A19,('2020'!$BX:$BX))-SUMIFS('2020'!$BX:$BX,'2020'!$B:$B,'Для расчета ЗП'!$A19,'2020'!$G:$G,4))/1000,1)</f>
        <v>145.9</v>
      </c>
      <c r="Q19" s="163">
        <f t="shared" si="23"/>
        <v>6808</v>
      </c>
      <c r="R19" s="66">
        <v>0</v>
      </c>
      <c r="S19" s="144">
        <f t="shared" si="0"/>
        <v>6808</v>
      </c>
      <c r="T19" s="139">
        <v>3557.9</v>
      </c>
      <c r="U19" s="139">
        <f t="shared" si="24"/>
        <v>-3250.1</v>
      </c>
      <c r="V19" s="167">
        <f>Q19*Q23</f>
        <v>4476.6400000000003</v>
      </c>
      <c r="W19" s="205">
        <f t="shared" si="25"/>
        <v>4476.6400000000003</v>
      </c>
      <c r="X19" s="187">
        <f t="shared" si="26"/>
        <v>-2331.36</v>
      </c>
      <c r="Y19" s="46">
        <f t="shared" si="1"/>
        <v>4476.6000000000004</v>
      </c>
      <c r="Z19" s="46">
        <f>SUMIF('2020'!$B:$B,'Для расчета ЗП'!$A19,('2020'!$CH:$CH))-SUMIFS('2020'!$CH:$CH,'2020'!$B:$B,'Для расчета ЗП'!$A19,'2020'!$G:$G,4)</f>
        <v>6808080</v>
      </c>
      <c r="AA19" s="79">
        <f>SUMIFS('2020'!$P:$P,'2020'!$B:$B,'Для расчета ЗП'!$A19,'2020'!$G:$G,4)</f>
        <v>0</v>
      </c>
      <c r="AB19" s="46">
        <f>SUMIFS('2020'!$BL:$BL,'2020'!$B:$B,'Для расчета ЗП'!$A19,'2020'!$G:$G,4)</f>
        <v>0</v>
      </c>
      <c r="AC19" s="46">
        <f t="shared" si="27"/>
        <v>0</v>
      </c>
      <c r="AD19" s="46">
        <f>SUMIFS('2020'!$AQ:$AQ,'2020'!$B:$B,'Для расчета ЗП'!$A19,'2020'!$G:$G,4)+SUMIFS('2020'!$BH:$BH,'2020'!$B:$B,'Для расчета ЗП'!$A19,'2020'!$G:$G,4)</f>
        <v>0</v>
      </c>
      <c r="AE19" s="46">
        <f>SUMIFS('2020'!$BM:$BM,'2020'!$B:$B,'Для расчета ЗП'!$A19,'2020'!$G:$G,4)+SUMIFS('2020'!$CD:$CD,'2020'!$B:$B,'Для расчета ЗП'!$A19,'2020'!$G:$G,4)</f>
        <v>0</v>
      </c>
      <c r="AF19" s="46">
        <f t="shared" si="28"/>
        <v>0</v>
      </c>
      <c r="AG19" s="46">
        <f>SUMIFS('2020'!$BB:$BB,'2020'!$B:$B,'Для расчета ЗП'!$A19,'2020'!$G:$G,4)</f>
        <v>0</v>
      </c>
      <c r="AH19" s="46">
        <f>SUMIFS('2020'!$BX:$BX,'2020'!$B:$B,'Для расчета ЗП'!$A19,'2020'!$G:$G,4)</f>
        <v>0</v>
      </c>
      <c r="AI19" s="46"/>
      <c r="AJ19" s="46">
        <f>AB19+AC19+AF19</f>
        <v>0</v>
      </c>
      <c r="AK19" s="46"/>
      <c r="AL19" s="46">
        <f>SUMIFS('2020'!$CH:$CH,'2020'!$B:$B,'Для расчета ЗП'!$A19,'2020'!$G:$G,4)</f>
        <v>0</v>
      </c>
      <c r="AM19" s="198">
        <f>SUMIF('2020'!$B:$B,'Для расчета ЗП'!$A19,('2020'!$P:$P))</f>
        <v>19</v>
      </c>
      <c r="AN19" s="46">
        <f>SUMIF('2020'!$B:$B,'Для расчета ЗП'!$A19,('2020'!$BL:$BL))</f>
        <v>2567820</v>
      </c>
      <c r="AO19" s="199">
        <f>SUMIF('2020'!$B:$B,'Для расчета ЗП'!$A19,('2020'!$CH:$CH))</f>
        <v>6808080</v>
      </c>
      <c r="AP19" s="48">
        <f t="shared" si="2"/>
        <v>-2331.4</v>
      </c>
      <c r="AS19" s="105">
        <f t="shared" si="3"/>
        <v>4476.6000000000004</v>
      </c>
      <c r="AT19">
        <f t="shared" si="30"/>
        <v>1.8280433761542899E-3</v>
      </c>
      <c r="AU19">
        <f t="shared" si="31"/>
        <v>1433.4</v>
      </c>
      <c r="AV19" s="105">
        <f t="shared" si="4"/>
        <v>3043.2</v>
      </c>
      <c r="AW19" s="105">
        <f t="shared" si="5"/>
        <v>-3764.8</v>
      </c>
      <c r="AX19" s="111">
        <f t="shared" si="6"/>
        <v>0.44700000000000001</v>
      </c>
      <c r="AY19" s="11"/>
      <c r="AZ19" s="11"/>
      <c r="BA19" s="11"/>
      <c r="BE19" s="38"/>
      <c r="BF19" s="66">
        <f>ROUND((SUMIF('2020'!$B:$B,'Для расчета ЗП'!$A19,('2020'!$BL:$BL))-SUMIFS('2020'!$BL:$BL,'2020'!$B:$B,'Для расчета ЗП'!$A19,'2020'!$G:$G,4))/1000,1)</f>
        <v>2567.8000000000002</v>
      </c>
      <c r="BG19" s="66">
        <f t="shared" ref="BG19:BG20" si="65">BI19-BH19</f>
        <v>4144.8</v>
      </c>
      <c r="BH19" s="37">
        <f>ROUND((SUMIF('2020'!$B:$B,'Для расчета ЗП'!$A19,('2020'!$AQ:$AQ))-SUMIFS('2020'!$AQ:$AQ,'2020'!$B:$B,'Для расчета ЗП'!$A19,'2020'!$G:$G,4)+SUMIF('2020'!$B:$B,'Для расчета ЗП'!$A19,('2020'!$BH:$BH))-SUMIFS('2020'!$BH:$BH,'2020'!$B:$B,'Для расчета ЗП'!$A19,'2020'!$G:$G,4))/1000,1)</f>
        <v>1745.9</v>
      </c>
      <c r="BI19" s="37">
        <f>ROUND((SUMIF('2020'!$B:$B,'Для расчета ЗП'!$A19,('2020'!$BM:$BM))-SUMIFS('2020'!$BM:$BM,'2020'!$B:$B,'Для расчета ЗП'!$A19,'2020'!$G:$G,4)+SUMIF('2020'!$B:$B,'Для расчета ЗП'!$A19,('2020'!$CD:$CD))-SUMIFS('2020'!$CD:$CD,'2020'!$B:$B,'Для расчета ЗП'!$A19,'2020'!$G:$G,4))/1000,1)</f>
        <v>5890.7</v>
      </c>
      <c r="BJ19" s="66">
        <f t="shared" ref="BJ19:BJ20" si="66">BL19-BK19</f>
        <v>95.4</v>
      </c>
      <c r="BK19" s="37">
        <f>ROUND((SUMIF('2020'!$B:$B,'Для расчета ЗП'!$A19,('2020'!$BB:$BB))-SUMIFS('2020'!$BB:$BB,'2020'!$B:$B,'Для расчета ЗП'!$A19,'2020'!$G:$G,4))/1000,1)</f>
        <v>50.5</v>
      </c>
      <c r="BL19" s="37">
        <f>ROUND((SUMIF('2020'!$B:$B,'Для расчета ЗП'!$A19,('2020'!$BX:$BX))-SUMIFS('2020'!$BX:$BX,'2020'!$B:$B,'Для расчета ЗП'!$A19,'2020'!$G:$G,4))/1000,1)</f>
        <v>145.9</v>
      </c>
      <c r="BM19" s="163">
        <f t="shared" ref="BM19:BM21" si="67">BF19+BG19+BJ19</f>
        <v>6808</v>
      </c>
      <c r="BN19" s="66">
        <v>0</v>
      </c>
      <c r="BO19" s="144">
        <f t="shared" si="7"/>
        <v>6808</v>
      </c>
      <c r="BP19" s="139">
        <v>3557.9</v>
      </c>
      <c r="BQ19" s="139">
        <f t="shared" ref="BQ19:BQ20" si="68">BP19-BO19</f>
        <v>-3250.1</v>
      </c>
      <c r="BR19" s="167">
        <f>BM19*BM23</f>
        <v>0</v>
      </c>
      <c r="BS19" s="205">
        <f t="shared" ref="BS19:BS20" si="69">BN19+BR19</f>
        <v>0</v>
      </c>
      <c r="BT19" s="187">
        <f t="shared" ref="BT19:BT20" si="70">BS19-BO19</f>
        <v>-6808</v>
      </c>
      <c r="BU19" s="46">
        <f t="shared" si="8"/>
        <v>0</v>
      </c>
      <c r="BV19" s="46">
        <f>SUMIF('2020'!$B:$B,'Для расчета ЗП'!$A19,('2020'!$CH:$CH))-SUMIFS('2020'!$CH:$CH,'2020'!$B:$B,'Для расчета ЗП'!$A19,'2020'!$G:$G,4)</f>
        <v>6808080</v>
      </c>
      <c r="BW19" s="79">
        <f>SUMIFS('2020'!$P:$P,'2020'!$B:$B,'Для расчета ЗП'!$A19,'2020'!$G:$G,4)</f>
        <v>0</v>
      </c>
      <c r="BX19" s="46">
        <f>SUMIFS('2020'!$BL:$BL,'2020'!$B:$B,'Для расчета ЗП'!$A19,'2020'!$G:$G,4)</f>
        <v>0</v>
      </c>
      <c r="BY19" s="46">
        <f t="shared" ref="BY19:BY20" si="71">CA19-BZ19</f>
        <v>0</v>
      </c>
      <c r="BZ19" s="46">
        <f>SUMIFS('2020'!$AQ:$AQ,'2020'!$B:$B,'Для расчета ЗП'!$A19,'2020'!$G:$G,4)+SUMIFS('2020'!$BH:$BH,'2020'!$B:$B,'Для расчета ЗП'!$A19,'2020'!$G:$G,4)</f>
        <v>0</v>
      </c>
      <c r="CA19" s="46">
        <f>SUMIFS('2020'!$BM:$BM,'2020'!$B:$B,'Для расчета ЗП'!$A19,'2020'!$G:$G,4)+SUMIFS('2020'!$CD:$CD,'2020'!$B:$B,'Для расчета ЗП'!$A19,'2020'!$G:$G,4)</f>
        <v>0</v>
      </c>
      <c r="CB19" s="46">
        <f t="shared" ref="CB19:CB20" si="72">CD19-CC19</f>
        <v>0</v>
      </c>
      <c r="CC19" s="46">
        <f>SUMIFS('2020'!$BB:$BB,'2020'!$B:$B,'Для расчета ЗП'!$A19,'2020'!$G:$G,4)</f>
        <v>0</v>
      </c>
      <c r="CD19" s="46">
        <f>SUMIFS('2020'!$BX:$BX,'2020'!$B:$B,'Для расчета ЗП'!$A19,'2020'!$G:$G,4)</f>
        <v>0</v>
      </c>
      <c r="CE19" s="46"/>
      <c r="CF19" s="46">
        <f>BX19+BY19+CB19</f>
        <v>0</v>
      </c>
      <c r="CG19" s="46"/>
      <c r="CH19" s="46">
        <f>SUMIFS('2020'!$CH:$CH,'2020'!$B:$B,'Для расчета ЗП'!$A19,'2020'!$G:$G,4)</f>
        <v>0</v>
      </c>
      <c r="CI19" s="198">
        <f>SUMIF('2020'!$B:$B,'Для расчета ЗП'!$A19,('2020'!$P:$P))</f>
        <v>19</v>
      </c>
      <c r="CJ19" s="46">
        <f>SUMIF('2020'!$B:$B,'Для расчета ЗП'!$A19,('2020'!$BL:$BL))</f>
        <v>2567820</v>
      </c>
      <c r="CK19" s="199">
        <f>SUMIF('2020'!$B:$B,'Для расчета ЗП'!$A19,('2020'!$CH:$CH))</f>
        <v>6808080</v>
      </c>
      <c r="CL19" s="48">
        <f t="shared" si="9"/>
        <v>-6808</v>
      </c>
      <c r="CO19" s="105">
        <f t="shared" si="10"/>
        <v>0</v>
      </c>
      <c r="CP19" t="e">
        <f t="shared" ref="CP19:CP20" si="73">CO19/CO$21</f>
        <v>#DIV/0!</v>
      </c>
      <c r="CQ19" t="e">
        <f t="shared" ref="CQ19:CQ20" si="74">ROUND(CP$22*CP19,1)</f>
        <v>#DIV/0!</v>
      </c>
      <c r="CR19" s="105" t="e">
        <f t="shared" si="11"/>
        <v>#DIV/0!</v>
      </c>
      <c r="CS19" s="105" t="e">
        <f t="shared" si="12"/>
        <v>#DIV/0!</v>
      </c>
      <c r="CT19" s="111" t="e">
        <f t="shared" si="13"/>
        <v>#DIV/0!</v>
      </c>
      <c r="CU19" s="11"/>
      <c r="CV19" s="11"/>
      <c r="CW19" s="11"/>
      <c r="CZ19" s="38"/>
      <c r="DA19" s="66">
        <f>ROUND((SUMIF('2020'!$B:$B,'Для расчета ЗП'!$A19,('2020'!$BL:$BL))-SUMIFS('2020'!$BL:$BL,'2020'!$B:$B,'Для расчета ЗП'!$A19,'2020'!$G:$G,4))/1000,1)</f>
        <v>2567.8000000000002</v>
      </c>
      <c r="DB19" s="66">
        <f t="shared" si="54"/>
        <v>4144.8</v>
      </c>
      <c r="DC19" s="37">
        <f>ROUND((SUMIF('2020'!$B:$B,'Для расчета ЗП'!$A19,('2020'!$AQ:$AQ))-SUMIFS('2020'!$AQ:$AQ,'2020'!$B:$B,'Для расчета ЗП'!$A19,'2020'!$G:$G,4)+SUMIF('2020'!$B:$B,'Для расчета ЗП'!$A19,('2020'!$BH:$BH))-SUMIFS('2020'!$BH:$BH,'2020'!$B:$B,'Для расчета ЗП'!$A19,'2020'!$G:$G,4))/1000,1)</f>
        <v>1745.9</v>
      </c>
      <c r="DD19" s="37">
        <f>ROUND((SUMIF('2020'!$B:$B,'Для расчета ЗП'!$A19,('2020'!$BM:$BM))-SUMIFS('2020'!$BM:$BM,'2020'!$B:$B,'Для расчета ЗП'!$A19,'2020'!$G:$G,4)+SUMIF('2020'!$B:$B,'Для расчета ЗП'!$A19,('2020'!$CD:$CD))-SUMIFS('2020'!$CD:$CD,'2020'!$B:$B,'Для расчета ЗП'!$A19,'2020'!$G:$G,4))/1000,1)</f>
        <v>5890.7</v>
      </c>
      <c r="DE19" s="66">
        <f t="shared" si="55"/>
        <v>95.4</v>
      </c>
      <c r="DF19" s="37">
        <f>ROUND((SUMIF('2020'!$B:$B,'Для расчета ЗП'!$A19,('2020'!$BB:$BB))-SUMIFS('2020'!$BB:$BB,'2020'!$B:$B,'Для расчета ЗП'!$A19,'2020'!$G:$G,4))/1000,1)</f>
        <v>50.5</v>
      </c>
      <c r="DG19" s="37">
        <f>ROUND((SUMIF('2020'!$B:$B,'Для расчета ЗП'!$A19,('2020'!$BX:$BX))-SUMIFS('2020'!$BX:$BX,'2020'!$B:$B,'Для расчета ЗП'!$A19,'2020'!$G:$G,4))/1000,1)</f>
        <v>145.9</v>
      </c>
      <c r="DH19" s="163">
        <f t="shared" si="56"/>
        <v>6808</v>
      </c>
      <c r="DI19" s="66">
        <v>0</v>
      </c>
      <c r="DJ19" s="144">
        <f t="shared" si="14"/>
        <v>6808</v>
      </c>
      <c r="DK19" s="139">
        <v>3557.9</v>
      </c>
      <c r="DL19" s="139">
        <f t="shared" si="57"/>
        <v>-3250.1</v>
      </c>
      <c r="DM19" s="167">
        <f>DH19*DH23</f>
        <v>0</v>
      </c>
      <c r="DN19" s="205">
        <f t="shared" si="58"/>
        <v>0</v>
      </c>
      <c r="DO19" s="187">
        <f t="shared" si="59"/>
        <v>-6808</v>
      </c>
      <c r="DP19" s="46">
        <f t="shared" si="15"/>
        <v>0</v>
      </c>
      <c r="DQ19" s="46">
        <f>SUMIF('2020'!$B:$B,'Для расчета ЗП'!$A19,('2020'!$CH:$CH))-SUMIFS('2020'!$CH:$CH,'2020'!$B:$B,'Для расчета ЗП'!$A19,'2020'!$G:$G,4)</f>
        <v>6808080</v>
      </c>
      <c r="DR19" s="79">
        <f>SUMIFS('2020'!$P:$P,'2020'!$B:$B,'Для расчета ЗП'!$A19,'2020'!$G:$G,4)</f>
        <v>0</v>
      </c>
      <c r="DS19" s="46">
        <f>SUMIFS('2020'!$BL:$BL,'2020'!$B:$B,'Для расчета ЗП'!$A19,'2020'!$G:$G,4)</f>
        <v>0</v>
      </c>
      <c r="DT19" s="46">
        <f t="shared" si="60"/>
        <v>0</v>
      </c>
      <c r="DU19" s="46">
        <f>SUMIFS('2020'!$AQ:$AQ,'2020'!$B:$B,'Для расчета ЗП'!$A19,'2020'!$G:$G,4)+SUMIFS('2020'!$BH:$BH,'2020'!$B:$B,'Для расчета ЗП'!$A19,'2020'!$G:$G,4)</f>
        <v>0</v>
      </c>
      <c r="DV19" s="46">
        <f>SUMIFS('2020'!$BM:$BM,'2020'!$B:$B,'Для расчета ЗП'!$A19,'2020'!$G:$G,4)+SUMIFS('2020'!$CD:$CD,'2020'!$B:$B,'Для расчета ЗП'!$A19,'2020'!$G:$G,4)</f>
        <v>0</v>
      </c>
      <c r="DW19" s="46">
        <f t="shared" si="61"/>
        <v>0</v>
      </c>
      <c r="DX19" s="46">
        <f>SUMIFS('2020'!$BB:$BB,'2020'!$B:$B,'Для расчета ЗП'!$A19,'2020'!$G:$G,4)</f>
        <v>0</v>
      </c>
      <c r="DY19" s="46">
        <f>SUMIFS('2020'!$BX:$BX,'2020'!$B:$B,'Для расчета ЗП'!$A19,'2020'!$G:$G,4)</f>
        <v>0</v>
      </c>
      <c r="DZ19" s="46"/>
      <c r="EA19" s="46">
        <f>DS19+DT19+DW19</f>
        <v>0</v>
      </c>
      <c r="EB19" s="46"/>
      <c r="EC19" s="46">
        <f>SUMIFS('2020'!$CH:$CH,'2020'!$B:$B,'Для расчета ЗП'!$A19,'2020'!$G:$G,4)</f>
        <v>0</v>
      </c>
      <c r="ED19" s="198">
        <f>SUMIF('2020'!$B:$B,'Для расчета ЗП'!$A19,('2020'!$P:$P))</f>
        <v>19</v>
      </c>
      <c r="EE19" s="46">
        <f>SUMIF('2020'!$B:$B,'Для расчета ЗП'!$A19,('2020'!$BL:$BL))</f>
        <v>2567820</v>
      </c>
      <c r="EF19" s="199">
        <f>SUMIF('2020'!$B:$B,'Для расчета ЗП'!$A19,('2020'!$CH:$CH))</f>
        <v>6808080</v>
      </c>
      <c r="EG19" s="48">
        <f t="shared" si="16"/>
        <v>-6808</v>
      </c>
      <c r="EJ19" s="105">
        <f t="shared" si="17"/>
        <v>0</v>
      </c>
      <c r="EK19" t="e">
        <f t="shared" si="63"/>
        <v>#DIV/0!</v>
      </c>
      <c r="EL19" t="e">
        <f t="shared" ref="EL19:EL20" si="75">ROUND(EK$22*EK19,1)</f>
        <v>#DIV/0!</v>
      </c>
      <c r="EM19" s="105" t="e">
        <f t="shared" si="18"/>
        <v>#DIV/0!</v>
      </c>
      <c r="EN19" s="105" t="e">
        <f t="shared" si="19"/>
        <v>#DIV/0!</v>
      </c>
      <c r="EO19" s="111" t="e">
        <f t="shared" si="20"/>
        <v>#DIV/0!</v>
      </c>
      <c r="EP19" s="111"/>
      <c r="EQ19" s="111"/>
      <c r="ER19" s="11"/>
      <c r="ES19" s="11"/>
      <c r="ET19" s="11"/>
    </row>
    <row r="20" spans="1:152" ht="15.75" x14ac:dyDescent="0.25">
      <c r="A20" s="56">
        <v>0</v>
      </c>
      <c r="B20" s="29" t="s">
        <v>24</v>
      </c>
      <c r="C20" s="38">
        <f>SUMIF('2020'!$B:$B,'Для расчета ЗП'!$A20,('2020'!$P:$P))-SUMIFS('2020'!$P:$P,'2020'!$B:$B,'Для расчета ЗП'!$A20,'2020'!$G:$G,4)</f>
        <v>9</v>
      </c>
      <c r="D20" s="38"/>
      <c r="E20" s="38"/>
      <c r="F20" s="38"/>
      <c r="G20" s="38"/>
      <c r="H20" s="38"/>
      <c r="I20" s="38"/>
      <c r="J20" s="66">
        <f>ROUND((SUMIF('2020'!$B:$B,'Для расчета ЗП'!$A20,('2020'!$BL:$BL))-SUMIFS('2020'!$BL:$BL,'2020'!$B:$B,'Для расчета ЗП'!$A20,'2020'!$G:$G,4))/1000,1)</f>
        <v>1263.4000000000001</v>
      </c>
      <c r="K20" s="66">
        <f t="shared" si="21"/>
        <v>1200</v>
      </c>
      <c r="L20" s="37">
        <f>ROUND((SUMIF('2020'!$B:$B,'Для расчета ЗП'!$A20,('2020'!$AQ:$AQ))-SUMIFS('2020'!$AQ:$AQ,'2020'!$B:$B,'Для расчета ЗП'!$A20,'2020'!$G:$G,4)+SUMIF('2020'!$B:$B,'Для расчета ЗП'!$A20,('2020'!$BH:$BH))-SUMIFS('2020'!$BH:$BH,'2020'!$B:$B,'Для расчета ЗП'!$A20,'2020'!$G:$G,4))/1000,1)</f>
        <v>827</v>
      </c>
      <c r="M20" s="37">
        <f>ROUND((SUMIF('2020'!$B:$B,'Для расчета ЗП'!$A20,('2020'!$BM:$BM))-SUMIFS('2020'!$BM:$BM,'2020'!$B:$B,'Для расчета ЗП'!$A20,'2020'!$G:$G,4)+SUMIF('2020'!$B:$B,'Для расчета ЗП'!$A20,('2020'!$CD:$CD))-SUMIFS('2020'!$CD:$CD,'2020'!$B:$B,'Для расчета ЗП'!$A20,'2020'!$G:$G,4))/1000,1)</f>
        <v>2027</v>
      </c>
      <c r="N20" s="66">
        <f t="shared" si="22"/>
        <v>38.9</v>
      </c>
      <c r="O20" s="37">
        <f>ROUND((SUMIF('2020'!$B:$B,'Для расчета ЗП'!$A20,('2020'!$BB:$BB))-SUMIFS('2020'!$BB:$BB,'2020'!$B:$B,'Для расчета ЗП'!$A20,'2020'!$G:$G,4))/1000,1)</f>
        <v>24.3</v>
      </c>
      <c r="P20" s="37">
        <f>ROUND((SUMIF('2020'!$B:$B,'Для расчета ЗП'!$A20,('2020'!$BX:$BX))-SUMIFS('2020'!$BX:$BX,'2020'!$B:$B,'Для расчета ЗП'!$A20,'2020'!$G:$G,4))/1000,1)</f>
        <v>63.2</v>
      </c>
      <c r="Q20" s="163">
        <f t="shared" si="23"/>
        <v>2502.3000000000002</v>
      </c>
      <c r="R20" s="66">
        <v>0</v>
      </c>
      <c r="S20" s="144">
        <f t="shared" si="0"/>
        <v>2502.3000000000002</v>
      </c>
      <c r="T20" s="139">
        <v>2122.5</v>
      </c>
      <c r="U20" s="139">
        <f t="shared" si="24"/>
        <v>-379.8</v>
      </c>
      <c r="V20" s="167">
        <f>Q20*Q23</f>
        <v>1645.4</v>
      </c>
      <c r="W20" s="205">
        <f t="shared" si="25"/>
        <v>1645.4</v>
      </c>
      <c r="X20" s="187">
        <f t="shared" si="26"/>
        <v>-856.9</v>
      </c>
      <c r="Y20" s="46">
        <f t="shared" si="1"/>
        <v>1645.4</v>
      </c>
      <c r="Z20" s="46">
        <f>SUMIF('2020'!$B:$B,'Для расчета ЗП'!$A20,('2020'!$CH:$CH))-SUMIFS('2020'!$CH:$CH,'2020'!$B:$B,'Для расчета ЗП'!$A20,'2020'!$G:$G,4)</f>
        <v>2502292</v>
      </c>
      <c r="AA20" s="79">
        <f>SUMIFS('2020'!$P:$P,'2020'!$B:$B,'Для расчета ЗП'!$A20,'2020'!$G:$G,4)</f>
        <v>0</v>
      </c>
      <c r="AB20" s="46">
        <f>SUMIFS('2020'!$BL:$BL,'2020'!$B:$B,'Для расчета ЗП'!$A20,'2020'!$G:$G,4)</f>
        <v>0</v>
      </c>
      <c r="AC20" s="46">
        <f t="shared" si="27"/>
        <v>0</v>
      </c>
      <c r="AD20" s="46">
        <f>SUMIFS('2020'!$AQ:$AQ,'2020'!$B:$B,'Для расчета ЗП'!$A20,'2020'!$G:$G,4)+SUMIFS('2020'!$BH:$BH,'2020'!$B:$B,'Для расчета ЗП'!$A20,'2020'!$G:$G,4)</f>
        <v>0</v>
      </c>
      <c r="AE20" s="46">
        <f>SUMIFS('2020'!$BM:$BM,'2020'!$B:$B,'Для расчета ЗП'!$A20,'2020'!$G:$G,4)+SUMIFS('2020'!$CD:$CD,'2020'!$B:$B,'Для расчета ЗП'!$A20,'2020'!$G:$G,4)</f>
        <v>0</v>
      </c>
      <c r="AF20" s="46">
        <f t="shared" si="28"/>
        <v>0</v>
      </c>
      <c r="AG20" s="46">
        <f>SUMIFS('2020'!$BB:$BB,'2020'!$B:$B,'Для расчета ЗП'!$A20,'2020'!$G:$G,4)</f>
        <v>0</v>
      </c>
      <c r="AH20" s="46">
        <f>SUMIFS('2020'!$BX:$BX,'2020'!$B:$B,'Для расчета ЗП'!$A20,'2020'!$G:$G,4)</f>
        <v>0</v>
      </c>
      <c r="AI20" s="46"/>
      <c r="AJ20" s="46">
        <f>AB20+AC20+AF20</f>
        <v>0</v>
      </c>
      <c r="AK20" s="46"/>
      <c r="AL20" s="46">
        <f>SUMIFS('2020'!$CH:$CH,'2020'!$B:$B,'Для расчета ЗП'!$A20,'2020'!$G:$G,4)</f>
        <v>0</v>
      </c>
      <c r="AM20" s="198">
        <f>SUMIF('2020'!$B:$B,'Для расчета ЗП'!$A20,('2020'!$P:$P))</f>
        <v>9</v>
      </c>
      <c r="AN20" s="46">
        <f>SUMIF('2020'!$B:$B,'Для расчета ЗП'!$A20,('2020'!$BL:$BL))</f>
        <v>1263420</v>
      </c>
      <c r="AO20" s="199">
        <f>SUMIF('2020'!$B:$B,'Для расчета ЗП'!$A20,('2020'!$CH:$CH))</f>
        <v>2502292</v>
      </c>
      <c r="AP20" s="48">
        <f t="shared" si="2"/>
        <v>-856.9</v>
      </c>
      <c r="AS20" s="105">
        <f t="shared" si="3"/>
        <v>1645.4</v>
      </c>
      <c r="AT20">
        <f t="shared" si="30"/>
        <v>6.7190782538629004E-4</v>
      </c>
      <c r="AU20">
        <f t="shared" si="31"/>
        <v>526.9</v>
      </c>
      <c r="AV20" s="105">
        <f t="shared" si="4"/>
        <v>1118.5</v>
      </c>
      <c r="AW20" s="105">
        <f t="shared" si="5"/>
        <v>-1383.8</v>
      </c>
      <c r="AX20" s="111">
        <f t="shared" si="6"/>
        <v>0.44699</v>
      </c>
      <c r="AY20" s="11"/>
      <c r="AZ20" s="11"/>
      <c r="BA20" s="11"/>
      <c r="BE20" s="38"/>
      <c r="BF20" s="66">
        <f>ROUND((SUMIF('2020'!$B:$B,'Для расчета ЗП'!$A20,('2020'!$BL:$BL))-SUMIFS('2020'!$BL:$BL,'2020'!$B:$B,'Для расчета ЗП'!$A20,'2020'!$G:$G,4))/1000,1)</f>
        <v>1263.4000000000001</v>
      </c>
      <c r="BG20" s="66">
        <f t="shared" si="65"/>
        <v>1200</v>
      </c>
      <c r="BH20" s="37">
        <f>ROUND((SUMIF('2020'!$B:$B,'Для расчета ЗП'!$A20,('2020'!$AQ:$AQ))-SUMIFS('2020'!$AQ:$AQ,'2020'!$B:$B,'Для расчета ЗП'!$A20,'2020'!$G:$G,4)+SUMIF('2020'!$B:$B,'Для расчета ЗП'!$A20,('2020'!$BH:$BH))-SUMIFS('2020'!$BH:$BH,'2020'!$B:$B,'Для расчета ЗП'!$A20,'2020'!$G:$G,4))/1000,1)</f>
        <v>827</v>
      </c>
      <c r="BI20" s="37">
        <f>ROUND((SUMIF('2020'!$B:$B,'Для расчета ЗП'!$A20,('2020'!$BM:$BM))-SUMIFS('2020'!$BM:$BM,'2020'!$B:$B,'Для расчета ЗП'!$A20,'2020'!$G:$G,4)+SUMIF('2020'!$B:$B,'Для расчета ЗП'!$A20,('2020'!$CD:$CD))-SUMIFS('2020'!$CD:$CD,'2020'!$B:$B,'Для расчета ЗП'!$A20,'2020'!$G:$G,4))/1000,1)</f>
        <v>2027</v>
      </c>
      <c r="BJ20" s="66">
        <f t="shared" si="66"/>
        <v>38.9</v>
      </c>
      <c r="BK20" s="37">
        <f>ROUND((SUMIF('2020'!$B:$B,'Для расчета ЗП'!$A20,('2020'!$BB:$BB))-SUMIFS('2020'!$BB:$BB,'2020'!$B:$B,'Для расчета ЗП'!$A20,'2020'!$G:$G,4))/1000,1)</f>
        <v>24.3</v>
      </c>
      <c r="BL20" s="37">
        <f>ROUND((SUMIF('2020'!$B:$B,'Для расчета ЗП'!$A20,('2020'!$BX:$BX))-SUMIFS('2020'!$BX:$BX,'2020'!$B:$B,'Для расчета ЗП'!$A20,'2020'!$G:$G,4))/1000,1)</f>
        <v>63.2</v>
      </c>
      <c r="BM20" s="163">
        <f t="shared" si="67"/>
        <v>2502.3000000000002</v>
      </c>
      <c r="BN20" s="66">
        <v>0</v>
      </c>
      <c r="BO20" s="144">
        <f t="shared" si="7"/>
        <v>2502.3000000000002</v>
      </c>
      <c r="BP20" s="139">
        <v>2122.5</v>
      </c>
      <c r="BQ20" s="139">
        <f t="shared" si="68"/>
        <v>-379.8</v>
      </c>
      <c r="BR20" s="167">
        <f>BM20*BM23</f>
        <v>0</v>
      </c>
      <c r="BS20" s="205">
        <f t="shared" si="69"/>
        <v>0</v>
      </c>
      <c r="BT20" s="187">
        <f t="shared" si="70"/>
        <v>-2502.3000000000002</v>
      </c>
      <c r="BU20" s="46">
        <f t="shared" si="8"/>
        <v>0</v>
      </c>
      <c r="BV20" s="46">
        <f>SUMIF('2020'!$B:$B,'Для расчета ЗП'!$A20,('2020'!$CH:$CH))-SUMIFS('2020'!$CH:$CH,'2020'!$B:$B,'Для расчета ЗП'!$A20,'2020'!$G:$G,4)</f>
        <v>2502292</v>
      </c>
      <c r="BW20" s="79">
        <f>SUMIFS('2020'!$P:$P,'2020'!$B:$B,'Для расчета ЗП'!$A20,'2020'!$G:$G,4)</f>
        <v>0</v>
      </c>
      <c r="BX20" s="46">
        <f>SUMIFS('2020'!$BL:$BL,'2020'!$B:$B,'Для расчета ЗП'!$A20,'2020'!$G:$G,4)</f>
        <v>0</v>
      </c>
      <c r="BY20" s="46">
        <f t="shared" si="71"/>
        <v>0</v>
      </c>
      <c r="BZ20" s="46">
        <f>SUMIFS('2020'!$AQ:$AQ,'2020'!$B:$B,'Для расчета ЗП'!$A20,'2020'!$G:$G,4)+SUMIFS('2020'!$BH:$BH,'2020'!$B:$B,'Для расчета ЗП'!$A20,'2020'!$G:$G,4)</f>
        <v>0</v>
      </c>
      <c r="CA20" s="46">
        <f>SUMIFS('2020'!$BM:$BM,'2020'!$B:$B,'Для расчета ЗП'!$A20,'2020'!$G:$G,4)+SUMIFS('2020'!$CD:$CD,'2020'!$B:$B,'Для расчета ЗП'!$A20,'2020'!$G:$G,4)</f>
        <v>0</v>
      </c>
      <c r="CB20" s="46">
        <f t="shared" si="72"/>
        <v>0</v>
      </c>
      <c r="CC20" s="46">
        <f>SUMIFS('2020'!$BB:$BB,'2020'!$B:$B,'Для расчета ЗП'!$A20,'2020'!$G:$G,4)</f>
        <v>0</v>
      </c>
      <c r="CD20" s="46">
        <f>SUMIFS('2020'!$BX:$BX,'2020'!$B:$B,'Для расчета ЗП'!$A20,'2020'!$G:$G,4)</f>
        <v>0</v>
      </c>
      <c r="CE20" s="46"/>
      <c r="CF20" s="46">
        <f>BX20+BY20+CB20</f>
        <v>0</v>
      </c>
      <c r="CG20" s="46"/>
      <c r="CH20" s="46">
        <f>SUMIFS('2020'!$CH:$CH,'2020'!$B:$B,'Для расчета ЗП'!$A20,'2020'!$G:$G,4)</f>
        <v>0</v>
      </c>
      <c r="CI20" s="198">
        <f>SUMIF('2020'!$B:$B,'Для расчета ЗП'!$A20,('2020'!$P:$P))</f>
        <v>9</v>
      </c>
      <c r="CJ20" s="46">
        <f>SUMIF('2020'!$B:$B,'Для расчета ЗП'!$A20,('2020'!$BL:$BL))</f>
        <v>1263420</v>
      </c>
      <c r="CK20" s="199">
        <f>SUMIF('2020'!$B:$B,'Для расчета ЗП'!$A20,('2020'!$CH:$CH))</f>
        <v>2502292</v>
      </c>
      <c r="CL20" s="48">
        <f t="shared" si="9"/>
        <v>-2502.3000000000002</v>
      </c>
      <c r="CO20" s="105">
        <f t="shared" si="10"/>
        <v>0</v>
      </c>
      <c r="CP20" t="e">
        <f t="shared" si="73"/>
        <v>#DIV/0!</v>
      </c>
      <c r="CQ20" t="e">
        <f t="shared" si="74"/>
        <v>#DIV/0!</v>
      </c>
      <c r="CR20" s="105" t="e">
        <f t="shared" si="11"/>
        <v>#DIV/0!</v>
      </c>
      <c r="CS20" s="105" t="e">
        <f t="shared" si="12"/>
        <v>#DIV/0!</v>
      </c>
      <c r="CT20" s="111" t="e">
        <f t="shared" si="13"/>
        <v>#DIV/0!</v>
      </c>
      <c r="CU20" s="11"/>
      <c r="CV20" s="11"/>
      <c r="CW20" s="11"/>
      <c r="CZ20" s="38"/>
      <c r="DA20" s="66">
        <f>ROUND((SUMIF('2020'!$B:$B,'Для расчета ЗП'!$A20,('2020'!$BL:$BL))-SUMIFS('2020'!$BL:$BL,'2020'!$B:$B,'Для расчета ЗП'!$A20,'2020'!$G:$G,4))/1000,1)</f>
        <v>1263.4000000000001</v>
      </c>
      <c r="DB20" s="66">
        <f t="shared" si="54"/>
        <v>1200</v>
      </c>
      <c r="DC20" s="37">
        <f>ROUND((SUMIF('2020'!$B:$B,'Для расчета ЗП'!$A20,('2020'!$AQ:$AQ))-SUMIFS('2020'!$AQ:$AQ,'2020'!$B:$B,'Для расчета ЗП'!$A20,'2020'!$G:$G,4)+SUMIF('2020'!$B:$B,'Для расчета ЗП'!$A20,('2020'!$BH:$BH))-SUMIFS('2020'!$BH:$BH,'2020'!$B:$B,'Для расчета ЗП'!$A20,'2020'!$G:$G,4))/1000,1)</f>
        <v>827</v>
      </c>
      <c r="DD20" s="37">
        <f>ROUND((SUMIF('2020'!$B:$B,'Для расчета ЗП'!$A20,('2020'!$BM:$BM))-SUMIFS('2020'!$BM:$BM,'2020'!$B:$B,'Для расчета ЗП'!$A20,'2020'!$G:$G,4)+SUMIF('2020'!$B:$B,'Для расчета ЗП'!$A20,('2020'!$CD:$CD))-SUMIFS('2020'!$CD:$CD,'2020'!$B:$B,'Для расчета ЗП'!$A20,'2020'!$G:$G,4))/1000,1)</f>
        <v>2027</v>
      </c>
      <c r="DE20" s="66">
        <f t="shared" si="55"/>
        <v>38.9</v>
      </c>
      <c r="DF20" s="37">
        <f>ROUND((SUMIF('2020'!$B:$B,'Для расчета ЗП'!$A20,('2020'!$BB:$BB))-SUMIFS('2020'!$BB:$BB,'2020'!$B:$B,'Для расчета ЗП'!$A20,'2020'!$G:$G,4))/1000,1)</f>
        <v>24.3</v>
      </c>
      <c r="DG20" s="37">
        <f>ROUND((SUMIF('2020'!$B:$B,'Для расчета ЗП'!$A20,('2020'!$BX:$BX))-SUMIFS('2020'!$BX:$BX,'2020'!$B:$B,'Для расчета ЗП'!$A20,'2020'!$G:$G,4))/1000,1)</f>
        <v>63.2</v>
      </c>
      <c r="DH20" s="163">
        <f t="shared" si="56"/>
        <v>2502.3000000000002</v>
      </c>
      <c r="DI20" s="66">
        <v>0</v>
      </c>
      <c r="DJ20" s="144">
        <f t="shared" si="14"/>
        <v>2502.3000000000002</v>
      </c>
      <c r="DK20" s="139">
        <v>2122.5</v>
      </c>
      <c r="DL20" s="139">
        <f t="shared" si="57"/>
        <v>-379.8</v>
      </c>
      <c r="DM20" s="167">
        <f>DH20*DH23</f>
        <v>0</v>
      </c>
      <c r="DN20" s="205">
        <f t="shared" si="58"/>
        <v>0</v>
      </c>
      <c r="DO20" s="187">
        <f t="shared" si="59"/>
        <v>-2502.3000000000002</v>
      </c>
      <c r="DP20" s="46">
        <f t="shared" si="15"/>
        <v>0</v>
      </c>
      <c r="DQ20" s="46">
        <f>SUMIF('2020'!$B:$B,'Для расчета ЗП'!$A20,('2020'!$CH:$CH))-SUMIFS('2020'!$CH:$CH,'2020'!$B:$B,'Для расчета ЗП'!$A20,'2020'!$G:$G,4)</f>
        <v>2502292</v>
      </c>
      <c r="DR20" s="79">
        <f>SUMIFS('2020'!$P:$P,'2020'!$B:$B,'Для расчета ЗП'!$A20,'2020'!$G:$G,4)</f>
        <v>0</v>
      </c>
      <c r="DS20" s="46">
        <f>SUMIFS('2020'!$BL:$BL,'2020'!$B:$B,'Для расчета ЗП'!$A20,'2020'!$G:$G,4)</f>
        <v>0</v>
      </c>
      <c r="DT20" s="46">
        <f t="shared" si="60"/>
        <v>0</v>
      </c>
      <c r="DU20" s="46">
        <f>SUMIFS('2020'!$AQ:$AQ,'2020'!$B:$B,'Для расчета ЗП'!$A20,'2020'!$G:$G,4)+SUMIFS('2020'!$BH:$BH,'2020'!$B:$B,'Для расчета ЗП'!$A20,'2020'!$G:$G,4)</f>
        <v>0</v>
      </c>
      <c r="DV20" s="46">
        <f>SUMIFS('2020'!$BM:$BM,'2020'!$B:$B,'Для расчета ЗП'!$A20,'2020'!$G:$G,4)+SUMIFS('2020'!$CD:$CD,'2020'!$B:$B,'Для расчета ЗП'!$A20,'2020'!$G:$G,4)</f>
        <v>0</v>
      </c>
      <c r="DW20" s="46">
        <f t="shared" si="61"/>
        <v>0</v>
      </c>
      <c r="DX20" s="46">
        <f>SUMIFS('2020'!$BB:$BB,'2020'!$B:$B,'Для расчета ЗП'!$A20,'2020'!$G:$G,4)</f>
        <v>0</v>
      </c>
      <c r="DY20" s="46">
        <f>SUMIFS('2020'!$BX:$BX,'2020'!$B:$B,'Для расчета ЗП'!$A20,'2020'!$G:$G,4)</f>
        <v>0</v>
      </c>
      <c r="DZ20" s="46"/>
      <c r="EA20" s="46">
        <f>DS20+DT20+DW20</f>
        <v>0</v>
      </c>
      <c r="EB20" s="46"/>
      <c r="EC20" s="46">
        <f>SUMIFS('2020'!$CH:$CH,'2020'!$B:$B,'Для расчета ЗП'!$A20,'2020'!$G:$G,4)</f>
        <v>0</v>
      </c>
      <c r="ED20" s="198">
        <f>SUMIF('2020'!$B:$B,'Для расчета ЗП'!$A20,('2020'!$P:$P))</f>
        <v>9</v>
      </c>
      <c r="EE20" s="46">
        <f>SUMIF('2020'!$B:$B,'Для расчета ЗП'!$A20,('2020'!$BL:$BL))</f>
        <v>1263420</v>
      </c>
      <c r="EF20" s="199">
        <f>SUMIF('2020'!$B:$B,'Для расчета ЗП'!$A20,('2020'!$CH:$CH))</f>
        <v>2502292</v>
      </c>
      <c r="EG20" s="48">
        <f t="shared" si="16"/>
        <v>-2502.3000000000002</v>
      </c>
      <c r="EJ20" s="105">
        <f t="shared" si="17"/>
        <v>0</v>
      </c>
      <c r="EK20" t="e">
        <f t="shared" si="63"/>
        <v>#DIV/0!</v>
      </c>
      <c r="EL20" t="e">
        <f t="shared" si="75"/>
        <v>#DIV/0!</v>
      </c>
      <c r="EM20" s="105" t="e">
        <f t="shared" si="18"/>
        <v>#DIV/0!</v>
      </c>
      <c r="EN20" s="105" t="e">
        <f t="shared" si="19"/>
        <v>#DIV/0!</v>
      </c>
      <c r="EO20" s="111" t="e">
        <f t="shared" si="20"/>
        <v>#DIV/0!</v>
      </c>
      <c r="EP20" s="111"/>
      <c r="EQ20" s="111"/>
      <c r="ER20" s="11"/>
      <c r="ES20" s="11"/>
      <c r="ET20" s="11"/>
    </row>
    <row r="21" spans="1:152" x14ac:dyDescent="0.25">
      <c r="A21" s="8"/>
      <c r="B21" s="9" t="s">
        <v>57</v>
      </c>
      <c r="C21" s="38">
        <f>SUM(C5:C20)</f>
        <v>23827</v>
      </c>
      <c r="D21" s="38"/>
      <c r="E21" s="38"/>
      <c r="F21" s="38"/>
      <c r="G21" s="38"/>
      <c r="H21" s="38"/>
      <c r="I21" s="38"/>
      <c r="J21" s="66">
        <f t="shared" ref="J21:AP21" si="76">SUM(J5:J20)</f>
        <v>2326335.9</v>
      </c>
      <c r="K21" s="66">
        <f t="shared" si="76"/>
        <v>1310053.5</v>
      </c>
      <c r="L21" s="37">
        <f t="shared" si="76"/>
        <v>1454470.6</v>
      </c>
      <c r="M21" s="37">
        <f t="shared" si="76"/>
        <v>2764524.1</v>
      </c>
      <c r="N21" s="66">
        <f t="shared" si="76"/>
        <v>87776.7</v>
      </c>
      <c r="O21" s="37">
        <f t="shared" si="76"/>
        <v>47651.5</v>
      </c>
      <c r="P21" s="37">
        <f t="shared" si="76"/>
        <v>135428.20000000001</v>
      </c>
      <c r="Q21" s="163">
        <f t="shared" si="23"/>
        <v>3724166.1</v>
      </c>
      <c r="R21" s="66">
        <f t="shared" si="76"/>
        <v>638547.30000000005</v>
      </c>
      <c r="S21" s="187">
        <f t="shared" ref="S21:Y21" si="77">SUM(S5:S20)</f>
        <v>4362713.4000000004</v>
      </c>
      <c r="T21" s="187">
        <f t="shared" si="77"/>
        <v>4604008.0999999996</v>
      </c>
      <c r="U21" s="187">
        <f t="shared" si="77"/>
        <v>241294.7</v>
      </c>
      <c r="V21" s="201">
        <f t="shared" si="77"/>
        <v>2448847.9</v>
      </c>
      <c r="W21" s="205">
        <f t="shared" si="77"/>
        <v>3087395.2</v>
      </c>
      <c r="X21" s="187">
        <f t="shared" si="77"/>
        <v>-1275318.2</v>
      </c>
      <c r="Y21" s="46">
        <f t="shared" si="77"/>
        <v>3087395.1</v>
      </c>
      <c r="Z21" s="46">
        <f t="shared" si="76"/>
        <v>3724160112.52</v>
      </c>
      <c r="AA21" s="198">
        <f t="shared" si="76"/>
        <v>1427</v>
      </c>
      <c r="AB21" s="46">
        <f t="shared" si="76"/>
        <v>101155680</v>
      </c>
      <c r="AC21" s="46">
        <f t="shared" si="76"/>
        <v>23825342</v>
      </c>
      <c r="AD21" s="46">
        <f t="shared" si="76"/>
        <v>54901420</v>
      </c>
      <c r="AE21" s="46">
        <f t="shared" si="76"/>
        <v>78726762</v>
      </c>
      <c r="AF21" s="46">
        <f t="shared" si="76"/>
        <v>3864008</v>
      </c>
      <c r="AG21" s="46">
        <f t="shared" si="76"/>
        <v>2834440</v>
      </c>
      <c r="AH21" s="46">
        <f t="shared" si="76"/>
        <v>6698448</v>
      </c>
      <c r="AI21" s="46">
        <f t="shared" si="76"/>
        <v>0</v>
      </c>
      <c r="AJ21" s="46">
        <f t="shared" si="76"/>
        <v>128845030</v>
      </c>
      <c r="AK21" s="198">
        <f t="shared" si="76"/>
        <v>0</v>
      </c>
      <c r="AL21" s="46">
        <f t="shared" si="76"/>
        <v>128845030</v>
      </c>
      <c r="AM21" s="198">
        <f t="shared" si="76"/>
        <v>25254</v>
      </c>
      <c r="AN21" s="46">
        <f t="shared" si="76"/>
        <v>2427491389</v>
      </c>
      <c r="AO21" s="199">
        <f t="shared" si="76"/>
        <v>3853005142.52</v>
      </c>
      <c r="AP21" s="48">
        <f t="shared" si="76"/>
        <v>-1275318.3</v>
      </c>
      <c r="AS21" s="105">
        <f t="shared" si="3"/>
        <v>2448847.7999999998</v>
      </c>
      <c r="AU21">
        <f>SUM(AU5:AU20)</f>
        <v>784129.7</v>
      </c>
      <c r="AV21" s="105">
        <f t="shared" si="4"/>
        <v>2303265.4</v>
      </c>
      <c r="AW21" s="105">
        <f t="shared" si="5"/>
        <v>-2059448</v>
      </c>
      <c r="AX21" s="105"/>
      <c r="AY21" s="11"/>
      <c r="AZ21" s="11"/>
      <c r="BA21" s="11"/>
      <c r="BE21" s="38"/>
      <c r="BF21" s="66">
        <f t="shared" ref="BF21:BL21" si="78">SUM(BF5:BF20)</f>
        <v>2326335.9</v>
      </c>
      <c r="BG21" s="66">
        <f t="shared" si="78"/>
        <v>1310053.5</v>
      </c>
      <c r="BH21" s="37">
        <f t="shared" si="78"/>
        <v>1454470.6</v>
      </c>
      <c r="BI21" s="37">
        <f t="shared" si="78"/>
        <v>2764524.1</v>
      </c>
      <c r="BJ21" s="66">
        <f t="shared" si="78"/>
        <v>87776.7</v>
      </c>
      <c r="BK21" s="37">
        <f t="shared" si="78"/>
        <v>47651.5</v>
      </c>
      <c r="BL21" s="37">
        <f t="shared" si="78"/>
        <v>135428.20000000001</v>
      </c>
      <c r="BM21" s="163">
        <f t="shared" si="67"/>
        <v>3724166.1</v>
      </c>
      <c r="BN21" s="66">
        <f t="shared" ref="BN21:CL21" si="79">SUM(BN5:BN20)</f>
        <v>21467.599999999999</v>
      </c>
      <c r="BO21" s="187">
        <f t="shared" si="79"/>
        <v>3745633.7</v>
      </c>
      <c r="BP21" s="187">
        <f t="shared" si="79"/>
        <v>1175362.2</v>
      </c>
      <c r="BQ21" s="187">
        <f t="shared" si="79"/>
        <v>-2570271.5</v>
      </c>
      <c r="BR21" s="201">
        <f t="shared" si="79"/>
        <v>0</v>
      </c>
      <c r="BS21" s="205">
        <f t="shared" si="79"/>
        <v>21467.599999999999</v>
      </c>
      <c r="BT21" s="187">
        <f t="shared" si="79"/>
        <v>-3724166.1</v>
      </c>
      <c r="BU21" s="46">
        <f t="shared" si="79"/>
        <v>21467.599999999999</v>
      </c>
      <c r="BV21" s="46">
        <f t="shared" si="79"/>
        <v>3724160112.52</v>
      </c>
      <c r="BW21" s="198">
        <f t="shared" si="79"/>
        <v>1427</v>
      </c>
      <c r="BX21" s="46">
        <f t="shared" si="79"/>
        <v>101155680</v>
      </c>
      <c r="BY21" s="46">
        <f t="shared" si="79"/>
        <v>23825342</v>
      </c>
      <c r="BZ21" s="46">
        <f t="shared" si="79"/>
        <v>54901420</v>
      </c>
      <c r="CA21" s="46">
        <f t="shared" si="79"/>
        <v>78726762</v>
      </c>
      <c r="CB21" s="46">
        <f t="shared" si="79"/>
        <v>3864008</v>
      </c>
      <c r="CC21" s="46">
        <f t="shared" si="79"/>
        <v>2834440</v>
      </c>
      <c r="CD21" s="46">
        <f t="shared" si="79"/>
        <v>6698448</v>
      </c>
      <c r="CE21" s="46">
        <f t="shared" si="79"/>
        <v>0</v>
      </c>
      <c r="CF21" s="46">
        <f t="shared" si="79"/>
        <v>128845030</v>
      </c>
      <c r="CG21" s="198">
        <f t="shared" si="79"/>
        <v>0</v>
      </c>
      <c r="CH21" s="46">
        <f t="shared" si="79"/>
        <v>128845030</v>
      </c>
      <c r="CI21" s="198">
        <f t="shared" si="79"/>
        <v>25254</v>
      </c>
      <c r="CJ21" s="46">
        <f t="shared" si="79"/>
        <v>2427491389</v>
      </c>
      <c r="CK21" s="199">
        <f t="shared" si="79"/>
        <v>3853005142.52</v>
      </c>
      <c r="CL21" s="48">
        <f t="shared" si="79"/>
        <v>-3724166.1</v>
      </c>
      <c r="CO21" s="105">
        <f t="shared" si="10"/>
        <v>0</v>
      </c>
      <c r="CQ21" t="e">
        <f>SUM(CQ5:CQ20)</f>
        <v>#DIV/0!</v>
      </c>
      <c r="CR21" s="105" t="e">
        <f t="shared" si="11"/>
        <v>#DIV/0!</v>
      </c>
      <c r="CS21" s="105" t="e">
        <f t="shared" si="12"/>
        <v>#DIV/0!</v>
      </c>
      <c r="CT21" s="105"/>
      <c r="CU21" s="11"/>
      <c r="CV21" s="11"/>
      <c r="CW21" s="11"/>
      <c r="CZ21" s="38"/>
      <c r="DA21" s="66">
        <f t="shared" ref="DA21:DG21" si="80">SUM(DA5:DA20)</f>
        <v>2326335.9</v>
      </c>
      <c r="DB21" s="66">
        <f t="shared" si="80"/>
        <v>1310053.5</v>
      </c>
      <c r="DC21" s="37">
        <f t="shared" si="80"/>
        <v>1454470.6</v>
      </c>
      <c r="DD21" s="37">
        <f t="shared" si="80"/>
        <v>2764524.1</v>
      </c>
      <c r="DE21" s="66">
        <f t="shared" si="80"/>
        <v>87776.7</v>
      </c>
      <c r="DF21" s="37">
        <f t="shared" si="80"/>
        <v>47651.5</v>
      </c>
      <c r="DG21" s="37">
        <f t="shared" si="80"/>
        <v>135428.20000000001</v>
      </c>
      <c r="DH21" s="163">
        <f t="shared" si="56"/>
        <v>3724166.1</v>
      </c>
      <c r="DI21" s="66">
        <f t="shared" ref="DI21:EG21" si="81">SUM(DI5:DI20)</f>
        <v>638547.30000000005</v>
      </c>
      <c r="DJ21" s="187">
        <f t="shared" si="81"/>
        <v>4362713.4000000004</v>
      </c>
      <c r="DK21" s="187">
        <f t="shared" si="81"/>
        <v>4604008.0999999996</v>
      </c>
      <c r="DL21" s="187">
        <f t="shared" si="81"/>
        <v>241294.7</v>
      </c>
      <c r="DM21" s="201">
        <f t="shared" si="81"/>
        <v>0.01</v>
      </c>
      <c r="DN21" s="205">
        <f t="shared" si="81"/>
        <v>638547.31000000006</v>
      </c>
      <c r="DO21" s="187">
        <f t="shared" si="81"/>
        <v>-3724166.09</v>
      </c>
      <c r="DP21" s="46">
        <f t="shared" si="81"/>
        <v>638547.30000000005</v>
      </c>
      <c r="DQ21" s="46">
        <f t="shared" si="81"/>
        <v>3724160112.52</v>
      </c>
      <c r="DR21" s="198">
        <f t="shared" si="81"/>
        <v>1427</v>
      </c>
      <c r="DS21" s="46">
        <f t="shared" si="81"/>
        <v>101155680</v>
      </c>
      <c r="DT21" s="46">
        <f t="shared" si="81"/>
        <v>23825342</v>
      </c>
      <c r="DU21" s="46">
        <f t="shared" si="81"/>
        <v>54901420</v>
      </c>
      <c r="DV21" s="46">
        <f t="shared" si="81"/>
        <v>78726762</v>
      </c>
      <c r="DW21" s="46">
        <f t="shared" si="81"/>
        <v>3864008</v>
      </c>
      <c r="DX21" s="46">
        <f t="shared" si="81"/>
        <v>2834440</v>
      </c>
      <c r="DY21" s="46">
        <f t="shared" si="81"/>
        <v>6698448</v>
      </c>
      <c r="DZ21" s="46">
        <f t="shared" si="81"/>
        <v>0</v>
      </c>
      <c r="EA21" s="46">
        <f t="shared" si="81"/>
        <v>128845030</v>
      </c>
      <c r="EB21" s="198">
        <f t="shared" si="81"/>
        <v>0</v>
      </c>
      <c r="EC21" s="46">
        <f t="shared" si="81"/>
        <v>128845030</v>
      </c>
      <c r="ED21" s="198">
        <f t="shared" si="81"/>
        <v>25254</v>
      </c>
      <c r="EE21" s="46">
        <f t="shared" si="81"/>
        <v>2427491389</v>
      </c>
      <c r="EF21" s="199">
        <f t="shared" si="81"/>
        <v>3853005142.52</v>
      </c>
      <c r="EG21" s="48">
        <f t="shared" si="81"/>
        <v>-3724166.1</v>
      </c>
      <c r="EJ21" s="105">
        <f t="shared" si="17"/>
        <v>0</v>
      </c>
      <c r="EL21" t="e">
        <f>SUM(EL5:EL20)</f>
        <v>#DIV/0!</v>
      </c>
      <c r="EM21" s="105" t="e">
        <f t="shared" si="18"/>
        <v>#DIV/0!</v>
      </c>
      <c r="EN21" s="105" t="e">
        <f t="shared" si="19"/>
        <v>#DIV/0!</v>
      </c>
      <c r="EO21" s="105"/>
      <c r="EP21" s="105"/>
      <c r="EQ21" s="105"/>
      <c r="ER21" s="11"/>
      <c r="ES21" s="11"/>
      <c r="ET21" s="11"/>
    </row>
    <row r="22" spans="1:152" ht="30" hidden="1" x14ac:dyDescent="0.25">
      <c r="P22" s="155" t="s">
        <v>138</v>
      </c>
      <c r="Q22" s="164">
        <v>2448847.9</v>
      </c>
      <c r="R22" s="159">
        <v>638547.30000000005</v>
      </c>
      <c r="S22" s="145">
        <v>3087395.2</v>
      </c>
      <c r="T22" s="140"/>
      <c r="U22" s="140"/>
      <c r="V22" s="168">
        <v>2448847.9</v>
      </c>
      <c r="W22" s="206">
        <v>3087395.2</v>
      </c>
      <c r="X22" s="187">
        <v>-1276548.2</v>
      </c>
      <c r="Y22" s="48"/>
      <c r="Z22" s="48"/>
      <c r="AA22" s="79"/>
      <c r="AB22" s="46"/>
      <c r="AC22" s="46"/>
      <c r="AD22" s="46"/>
      <c r="AE22" s="46"/>
      <c r="AF22" s="47"/>
      <c r="AG22" s="46"/>
      <c r="AH22" s="46"/>
      <c r="AI22" s="46"/>
      <c r="AJ22" s="46"/>
      <c r="AK22" s="79"/>
      <c r="AL22" s="46"/>
      <c r="AM22" s="79"/>
      <c r="AN22" s="79"/>
      <c r="AO22" s="79"/>
      <c r="AP22" s="48"/>
      <c r="AS22" s="105"/>
      <c r="AT22">
        <v>784129.8</v>
      </c>
      <c r="AV22" s="105">
        <f t="shared" si="4"/>
        <v>0</v>
      </c>
    </row>
    <row r="23" spans="1:152" ht="30" hidden="1" x14ac:dyDescent="0.25">
      <c r="Q23" s="165">
        <f>Q22/Q21</f>
        <v>0.65755603650000005</v>
      </c>
      <c r="R23" s="158" t="s">
        <v>139</v>
      </c>
      <c r="S23" s="146">
        <f>S21-S22</f>
        <v>1275318.2</v>
      </c>
      <c r="T23" s="48"/>
      <c r="U23" s="48"/>
      <c r="V23" s="169"/>
      <c r="W23" s="207"/>
      <c r="X23" s="188"/>
      <c r="Y23" s="80">
        <f>(S22-R21)/(S21-R21)</f>
        <v>0.65755603650000005</v>
      </c>
      <c r="Z23" s="79"/>
      <c r="AA23" s="79"/>
      <c r="AB23" s="46"/>
      <c r="AC23" s="46"/>
      <c r="AD23" s="46"/>
      <c r="AE23" s="46"/>
      <c r="AF23" s="47"/>
      <c r="AG23" s="46"/>
      <c r="AH23" s="46"/>
      <c r="AI23" s="46"/>
      <c r="AJ23" s="48"/>
      <c r="AK23" s="80"/>
      <c r="AL23" s="46"/>
      <c r="AM23" s="79"/>
      <c r="AN23" s="79"/>
      <c r="AO23" s="83"/>
      <c r="AP23" s="85"/>
      <c r="AS23" s="105"/>
      <c r="AV23" s="105">
        <f t="shared" si="4"/>
        <v>0.66</v>
      </c>
    </row>
    <row r="24" spans="1:152" hidden="1" x14ac:dyDescent="0.25">
      <c r="A24" s="11">
        <v>100</v>
      </c>
      <c r="B24" s="11" t="s">
        <v>28</v>
      </c>
      <c r="C24" s="38">
        <f>SUMIF('2020'!$B:$B,'Для расчета ЗП'!$A24,('2020'!$P:$P))-SUMIFS('2020'!$P:$P,'2020'!$B:$B,'Для расчета ЗП'!$A24,'2020'!$G:$G,4)</f>
        <v>19</v>
      </c>
      <c r="D24" s="38"/>
      <c r="E24" s="38"/>
      <c r="F24" s="38"/>
      <c r="G24" s="38"/>
      <c r="H24" s="38"/>
      <c r="I24" s="38"/>
      <c r="J24" s="66">
        <f>SUMIF('2020'!$B:$B,'Для расчета ЗП'!$A24,('2020'!$BL:$BL))-SUMIFS('2020'!$BL:$BL,'2020'!$B:$B,'Для расчета ЗП'!$A24,'2020'!$G:$G,4)</f>
        <v>2567820</v>
      </c>
      <c r="K24" s="66"/>
      <c r="L24" s="37"/>
      <c r="M24" s="37"/>
      <c r="N24" s="66"/>
      <c r="O24" s="37"/>
      <c r="P24" s="37"/>
      <c r="Q24" s="37"/>
      <c r="R24" s="66"/>
      <c r="S24" s="144"/>
      <c r="T24" s="37"/>
      <c r="U24" s="37"/>
      <c r="V24" s="170"/>
      <c r="W24" s="181"/>
      <c r="X24" s="181"/>
      <c r="Y24" s="37"/>
      <c r="Z24" s="37">
        <f>SUMIF('2020'!$B:$B,'Для расчета ЗП'!$A24,('2020'!$CH:$CH))-SUMIFS('2020'!$CH:$CH,'2020'!$B:$B,'Для расчета ЗП'!$A24,'2020'!$G:$G,4)</f>
        <v>6808080</v>
      </c>
      <c r="AA24" s="11">
        <f>SUMIFS('2020'!$P:$P,'2020'!$B:$B,'Для расчета ЗП'!$A24,'2020'!$G:$G,4)</f>
        <v>0</v>
      </c>
      <c r="AB24" s="37">
        <f>SUMIFS('2020'!$BL:$BL,'2020'!$B:$B,'Для расчета ЗП'!$A24,'2020'!$G:$G,4)</f>
        <v>0</v>
      </c>
      <c r="AC24" s="37"/>
      <c r="AD24" s="37"/>
      <c r="AE24" s="37"/>
      <c r="AF24" s="37"/>
      <c r="AG24" s="37"/>
      <c r="AH24" s="37"/>
      <c r="AI24" s="37"/>
      <c r="AJ24" s="37"/>
      <c r="AK24" s="37"/>
      <c r="AL24" s="37">
        <f>SUMIFS('2020'!$CH:$CH,'2020'!$B:$B,'Для расчета ЗП'!$A24,'2020'!$G:$G,4)</f>
        <v>0</v>
      </c>
      <c r="AM24" s="38">
        <f>SUMIF('2020'!$B:$B,'Для расчета ЗП'!$A24,('2020'!$P:$P))</f>
        <v>19</v>
      </c>
      <c r="AN24" s="37">
        <f>SUMIF('2020'!$B:$B,'Для расчета ЗП'!$A24,('2020'!$BL:$BL))</f>
        <v>2567820</v>
      </c>
      <c r="AO24" s="75">
        <f>SUMIF('2020'!$B:$B,'Для расчета ЗП'!$A24,('2020'!$CH:$CH))</f>
        <v>6808080</v>
      </c>
      <c r="AP24" s="84">
        <f>Y24-S24</f>
        <v>0</v>
      </c>
      <c r="AS24" s="105"/>
      <c r="AV24" s="105">
        <f t="shared" si="4"/>
        <v>0</v>
      </c>
    </row>
    <row r="25" spans="1:152" hidden="1" x14ac:dyDescent="0.25">
      <c r="A25" s="11">
        <v>0</v>
      </c>
      <c r="B25" s="11" t="s">
        <v>24</v>
      </c>
      <c r="C25" s="38">
        <f>SUMIF('2020'!$B:$B,'Для расчета ЗП'!$A25,('2020'!$P:$P))-SUMIFS('2020'!$P:$P,'2020'!$B:$B,'Для расчета ЗП'!$A25,'2020'!$G:$G,4)</f>
        <v>9</v>
      </c>
      <c r="D25" s="38"/>
      <c r="E25" s="38"/>
      <c r="F25" s="38"/>
      <c r="G25" s="38"/>
      <c r="H25" s="38"/>
      <c r="I25" s="38"/>
      <c r="J25" s="66">
        <f>SUMIF('2020'!$B:$B,'Для расчета ЗП'!$A25,('2020'!$BL:$BL))-SUMIFS('2020'!$BL:$BL,'2020'!$B:$B,'Для расчета ЗП'!$A25,'2020'!$G:$G,4)</f>
        <v>1263420</v>
      </c>
      <c r="K25" s="66"/>
      <c r="L25" s="37"/>
      <c r="M25" s="37"/>
      <c r="N25" s="66"/>
      <c r="O25" s="37"/>
      <c r="P25" s="37"/>
      <c r="Q25" s="37"/>
      <c r="R25" s="66"/>
      <c r="S25" s="144"/>
      <c r="T25" s="37"/>
      <c r="U25" s="37"/>
      <c r="V25" s="170"/>
      <c r="W25" s="181"/>
      <c r="X25" s="181"/>
      <c r="Y25" s="37"/>
      <c r="Z25" s="37">
        <f>SUMIF('2020'!$B:$B,'Для расчета ЗП'!$A25,('2020'!$CH:$CH))-SUMIFS('2020'!$CH:$CH,'2020'!$B:$B,'Для расчета ЗП'!$A25,'2020'!$G:$G,4)</f>
        <v>2502292</v>
      </c>
      <c r="AA25" s="11">
        <f>SUMIFS('2020'!$P:$P,'2020'!$B:$B,'Для расчета ЗП'!$A25,'2020'!$G:$G,4)</f>
        <v>0</v>
      </c>
      <c r="AB25" s="37">
        <f>SUMIFS('2020'!$BL:$BL,'2020'!$B:$B,'Для расчета ЗП'!$A25,'2020'!$G:$G,4)</f>
        <v>0</v>
      </c>
      <c r="AC25" s="37"/>
      <c r="AD25" s="37"/>
      <c r="AE25" s="37"/>
      <c r="AF25" s="37"/>
      <c r="AG25" s="37"/>
      <c r="AH25" s="37"/>
      <c r="AI25" s="37"/>
      <c r="AJ25" s="37"/>
      <c r="AK25" s="37"/>
      <c r="AL25" s="37">
        <f>SUMIFS('2020'!$CH:$CH,'2020'!$B:$B,'Для расчета ЗП'!$A25,'2020'!$G:$G,4)</f>
        <v>0</v>
      </c>
      <c r="AM25" s="38">
        <f>SUMIF('2020'!$B:$B,'Для расчета ЗП'!$A25,('2020'!$P:$P))</f>
        <v>9</v>
      </c>
      <c r="AN25" s="37">
        <f>SUMIF('2020'!$B:$B,'Для расчета ЗП'!$A25,('2020'!$BL:$BL))</f>
        <v>1263420</v>
      </c>
      <c r="AO25" s="75">
        <f>SUMIF('2020'!$B:$B,'Для расчета ЗП'!$A25,('2020'!$CH:$CH))</f>
        <v>2502292</v>
      </c>
      <c r="AP25" s="78">
        <f>Y25-S25</f>
        <v>0</v>
      </c>
      <c r="AS25" s="105"/>
      <c r="AV25" s="105">
        <f t="shared" si="4"/>
        <v>0</v>
      </c>
    </row>
    <row r="26" spans="1:152" s="44" customFormat="1" hidden="1" x14ac:dyDescent="0.25">
      <c r="A26" s="41"/>
      <c r="B26" s="42" t="s">
        <v>57</v>
      </c>
      <c r="C26" s="43">
        <f>C25+C24</f>
        <v>28</v>
      </c>
      <c r="D26" s="43"/>
      <c r="E26" s="43"/>
      <c r="F26" s="43"/>
      <c r="G26" s="43"/>
      <c r="H26" s="43"/>
      <c r="I26" s="43"/>
      <c r="J26" s="43">
        <f>J25+J24</f>
        <v>3831240</v>
      </c>
      <c r="K26" s="43"/>
      <c r="L26" s="43"/>
      <c r="M26" s="43"/>
      <c r="N26" s="43"/>
      <c r="O26" s="43"/>
      <c r="P26" s="43"/>
      <c r="Q26" s="43"/>
      <c r="R26" s="43"/>
      <c r="S26" s="134"/>
      <c r="T26" s="43"/>
      <c r="U26" s="43"/>
      <c r="V26" s="43"/>
      <c r="W26" s="175"/>
      <c r="X26" s="175"/>
      <c r="Y26" s="43"/>
      <c r="Z26" s="43">
        <f>Z25+Z24</f>
        <v>9310372</v>
      </c>
      <c r="AA26" s="43">
        <f>AA25+AA24</f>
        <v>0</v>
      </c>
      <c r="AB26" s="43">
        <f>AB25+AB24</f>
        <v>0</v>
      </c>
      <c r="AC26" s="43"/>
      <c r="AD26" s="43"/>
      <c r="AE26" s="43"/>
      <c r="AF26" s="43"/>
      <c r="AG26" s="43"/>
      <c r="AH26" s="43"/>
      <c r="AI26" s="43"/>
      <c r="AJ26" s="43"/>
      <c r="AK26" s="43"/>
      <c r="AL26" s="43">
        <f>AL25+AL24</f>
        <v>0</v>
      </c>
      <c r="AM26" s="43">
        <f>AM25+AM24</f>
        <v>28</v>
      </c>
      <c r="AN26" s="43">
        <f>AN25+AN24</f>
        <v>3831240</v>
      </c>
      <c r="AO26" s="76">
        <f>AO25+AO24</f>
        <v>9310372</v>
      </c>
      <c r="AP26" s="81">
        <f>Y26-S26</f>
        <v>0</v>
      </c>
      <c r="AS26" s="105"/>
      <c r="AV26" s="105">
        <f t="shared" si="4"/>
        <v>0</v>
      </c>
    </row>
    <row r="27" spans="1:152" hidden="1" x14ac:dyDescent="0.25">
      <c r="AP27" s="82"/>
      <c r="AS27" s="105"/>
      <c r="AT27" s="109">
        <f>Y21-AT22</f>
        <v>2303265.2999999998</v>
      </c>
      <c r="AV27" s="105">
        <f t="shared" si="4"/>
        <v>0</v>
      </c>
    </row>
    <row r="28" spans="1:152" hidden="1" x14ac:dyDescent="0.25">
      <c r="AP28" s="82"/>
      <c r="AS28" s="105"/>
      <c r="AV28" s="105">
        <f t="shared" si="4"/>
        <v>0</v>
      </c>
    </row>
    <row r="29" spans="1:152" hidden="1" x14ac:dyDescent="0.25">
      <c r="C29" s="780" t="s">
        <v>62</v>
      </c>
      <c r="D29" s="780"/>
      <c r="E29" s="780"/>
      <c r="F29" s="780"/>
      <c r="G29" s="780"/>
      <c r="H29" s="780"/>
      <c r="I29" s="780"/>
      <c r="J29" s="780"/>
      <c r="K29" s="780"/>
      <c r="L29" s="780"/>
      <c r="M29" s="780"/>
      <c r="N29" s="780"/>
      <c r="O29" s="780"/>
      <c r="P29" s="780"/>
      <c r="Q29" s="780"/>
      <c r="R29" s="780"/>
      <c r="S29" s="780"/>
      <c r="T29" s="780"/>
      <c r="U29" s="780"/>
      <c r="V29" s="780"/>
      <c r="W29" s="780"/>
      <c r="X29" s="780"/>
      <c r="Y29" s="780"/>
      <c r="Z29" s="780"/>
      <c r="AA29" s="780"/>
      <c r="AB29" s="780"/>
      <c r="AC29" s="780"/>
      <c r="AD29" s="780"/>
      <c r="AE29" s="780"/>
      <c r="AF29" s="780"/>
      <c r="AG29" s="780"/>
      <c r="AH29" s="780"/>
      <c r="AI29" s="780"/>
      <c r="AJ29" s="780"/>
      <c r="AK29" s="780"/>
      <c r="AL29" s="780"/>
      <c r="AM29" s="780"/>
      <c r="AN29" s="780"/>
      <c r="AO29" s="780"/>
      <c r="AP29" s="781"/>
      <c r="AS29" s="105"/>
      <c r="AV29" s="105">
        <f t="shared" si="4"/>
        <v>0</v>
      </c>
    </row>
    <row r="30" spans="1:152" ht="135" hidden="1" x14ac:dyDescent="0.25">
      <c r="A30" s="765" t="s">
        <v>41</v>
      </c>
      <c r="B30" s="765" t="s">
        <v>42</v>
      </c>
      <c r="C30" s="214" t="s">
        <v>58</v>
      </c>
      <c r="D30" s="220"/>
      <c r="E30" s="220"/>
      <c r="F30" s="220"/>
      <c r="G30" s="220"/>
      <c r="H30" s="220"/>
      <c r="I30" s="220"/>
      <c r="J30" s="213" t="s">
        <v>129</v>
      </c>
      <c r="K30" s="10" t="s">
        <v>130</v>
      </c>
      <c r="L30" s="214" t="s">
        <v>133</v>
      </c>
      <c r="M30" s="214" t="s">
        <v>132</v>
      </c>
      <c r="N30" s="10" t="s">
        <v>131</v>
      </c>
      <c r="O30" s="214" t="s">
        <v>134</v>
      </c>
      <c r="P30" s="214" t="s">
        <v>135</v>
      </c>
      <c r="Q30" s="214"/>
      <c r="R30" s="10" t="s">
        <v>136</v>
      </c>
      <c r="S30" s="133" t="s">
        <v>137</v>
      </c>
      <c r="T30" s="45"/>
      <c r="U30" s="45"/>
      <c r="V30" s="45"/>
      <c r="W30" s="176"/>
      <c r="X30" s="176"/>
      <c r="Y30" s="45" t="s">
        <v>140</v>
      </c>
      <c r="AP30" s="78"/>
      <c r="AS30" s="105"/>
      <c r="AV30" s="105"/>
    </row>
    <row r="31" spans="1:152" hidden="1" x14ac:dyDescent="0.25">
      <c r="A31" s="766"/>
      <c r="B31" s="766"/>
      <c r="C31" s="11"/>
      <c r="D31" s="61"/>
      <c r="E31" s="61"/>
      <c r="F31" s="61"/>
      <c r="G31" s="61"/>
      <c r="H31" s="61"/>
      <c r="I31" s="61"/>
      <c r="J31" s="213" t="s">
        <v>141</v>
      </c>
      <c r="K31" s="10" t="s">
        <v>141</v>
      </c>
      <c r="L31" s="214" t="s">
        <v>141</v>
      </c>
      <c r="M31" s="214" t="s">
        <v>141</v>
      </c>
      <c r="N31" s="10" t="s">
        <v>141</v>
      </c>
      <c r="O31" s="214" t="s">
        <v>141</v>
      </c>
      <c r="P31" s="214" t="s">
        <v>141</v>
      </c>
      <c r="Q31" s="214"/>
      <c r="R31" s="10" t="s">
        <v>141</v>
      </c>
      <c r="S31" s="143" t="s">
        <v>141</v>
      </c>
      <c r="T31" s="214"/>
      <c r="U31" s="214"/>
      <c r="V31" s="172"/>
      <c r="W31" s="180"/>
      <c r="X31" s="180"/>
      <c r="Y31" s="214" t="s">
        <v>141</v>
      </c>
      <c r="Z31" s="214" t="s">
        <v>141</v>
      </c>
      <c r="AA31" s="214" t="s">
        <v>141</v>
      </c>
      <c r="AB31" s="214" t="s">
        <v>141</v>
      </c>
      <c r="AC31" s="214" t="s">
        <v>141</v>
      </c>
      <c r="AD31" s="214" t="s">
        <v>141</v>
      </c>
      <c r="AE31" s="214" t="s">
        <v>141</v>
      </c>
      <c r="AF31" s="214" t="s">
        <v>141</v>
      </c>
      <c r="AG31" s="214" t="s">
        <v>141</v>
      </c>
      <c r="AH31" s="214" t="s">
        <v>141</v>
      </c>
      <c r="AI31" s="214" t="s">
        <v>141</v>
      </c>
      <c r="AJ31" s="214" t="s">
        <v>141</v>
      </c>
      <c r="AK31" s="214" t="s">
        <v>141</v>
      </c>
      <c r="AL31" s="214" t="s">
        <v>141</v>
      </c>
      <c r="AM31" s="214" t="s">
        <v>141</v>
      </c>
      <c r="AN31" s="214" t="s">
        <v>141</v>
      </c>
      <c r="AO31" s="214" t="s">
        <v>141</v>
      </c>
      <c r="AP31" s="214" t="s">
        <v>141</v>
      </c>
      <c r="AS31" s="105"/>
      <c r="AV31" s="105"/>
    </row>
    <row r="32" spans="1:152" hidden="1" x14ac:dyDescent="0.25">
      <c r="A32" s="766"/>
      <c r="B32" s="766"/>
      <c r="C32" s="11"/>
      <c r="D32" s="221"/>
      <c r="E32" s="221"/>
      <c r="F32" s="221"/>
      <c r="G32" s="221"/>
      <c r="H32" s="221"/>
      <c r="I32" s="221"/>
      <c r="AP32" s="78"/>
      <c r="AS32" s="105">
        <f t="shared" ref="AS32:AS49" si="82">Y32-R32</f>
        <v>0</v>
      </c>
      <c r="AV32" s="105"/>
    </row>
    <row r="33" spans="1:48" ht="45" hidden="1" x14ac:dyDescent="0.25">
      <c r="A33" s="6">
        <v>3</v>
      </c>
      <c r="B33" s="7" t="s">
        <v>45</v>
      </c>
      <c r="C33" s="38">
        <f>SUMIFS('2020'!$P:$P,'2020'!$B:$B,'Для расчета ЗП'!$A33,'2020'!$G:$G,4)</f>
        <v>160</v>
      </c>
      <c r="D33" s="38"/>
      <c r="E33" s="38"/>
      <c r="F33" s="38"/>
      <c r="G33" s="38"/>
      <c r="H33" s="38"/>
      <c r="I33" s="38"/>
      <c r="J33" s="66">
        <f>ROUND((SUMIFS('2020'!$BL:$BL,'2020'!$B:$B,'Для расчета ЗП'!$A33,'2020'!$G:$G,4))/1000,1)</f>
        <v>12131</v>
      </c>
      <c r="K33" s="66">
        <f>M33-L33</f>
        <v>1834.7</v>
      </c>
      <c r="L33" s="37">
        <f>ROUND((SUMIFS('2020'!$AQ:$AQ,'2020'!$B:$B,'Для расчета ЗП'!$A33,'2020'!$G:$G,4)+SUMIFS('2020'!$BH:$BH,'2020'!$B:$B,'Для расчета ЗП'!$A33,'2020'!$G:$G,4))/1000,1)</f>
        <v>6505.9</v>
      </c>
      <c r="M33" s="37">
        <f>ROUND((SUMIFS('2020'!$BM:$BM,'2020'!$B:$B,'Для расчета ЗП'!$A33,'2020'!$G:$G,4)+SUMIFS('2020'!$CD:$CD,'2020'!$B:$B,'Для расчета ЗП'!$A33,'2020'!$G:$G,4))/1000,1)</f>
        <v>8340.6</v>
      </c>
      <c r="N33" s="66">
        <f>P33-O33</f>
        <v>375.2</v>
      </c>
      <c r="O33" s="37">
        <f>ROUND(SUMIFS('2020'!$BB:$BB,'2020'!$B:$B,'Для расчета ЗП'!$A33,'2020'!$G:$G,4)/1000,1)</f>
        <v>339.2</v>
      </c>
      <c r="P33" s="37">
        <f>ROUND(SUMIFS('2020'!$BX:$BX,'2020'!$B:$B,'Для расчета ЗП'!$A33,'2020'!$G:$G,4)/1000,1)</f>
        <v>714.4</v>
      </c>
      <c r="Q33" s="37"/>
      <c r="R33" s="41">
        <v>0</v>
      </c>
      <c r="S33" s="144">
        <f t="shared" ref="S33:S46" si="83">J33+K33+N33+R33</f>
        <v>14340.9</v>
      </c>
      <c r="T33" s="37"/>
      <c r="U33" s="37"/>
      <c r="V33" s="170"/>
      <c r="W33" s="181"/>
      <c r="X33" s="181"/>
      <c r="Y33" s="37">
        <f t="shared" ref="Y33:Y46" si="84">ROUND((J33+K33+N33)*Y$52,1)+R33</f>
        <v>10440.299999999999</v>
      </c>
      <c r="Z33" s="11"/>
      <c r="AP33" s="78">
        <f t="shared" ref="AP33:AP49" si="85">Y33-S33</f>
        <v>-3900.6</v>
      </c>
      <c r="AQ33" s="111">
        <f t="shared" ref="AQ33:AQ46" si="86">(Y33-R33)/(S33-R33)</f>
        <v>0.72801000000000005</v>
      </c>
      <c r="AR33" s="110">
        <f t="shared" ref="AR33:AR49" si="87">AS33/(S33-R33)</f>
        <v>0.72801000000000005</v>
      </c>
      <c r="AS33" s="105">
        <f t="shared" si="82"/>
        <v>10440.299999999999</v>
      </c>
      <c r="AV33" s="105">
        <f t="shared" ref="AV33:AV47" si="88">Y33-AU33</f>
        <v>10440.299999999999</v>
      </c>
    </row>
    <row r="34" spans="1:48" ht="60" hidden="1" x14ac:dyDescent="0.25">
      <c r="A34" s="6">
        <v>5</v>
      </c>
      <c r="B34" s="7" t="s">
        <v>47</v>
      </c>
      <c r="C34" s="38">
        <f>SUMIFS('2020'!$P:$P,'2020'!$B:$B,'Для расчета ЗП'!$A34,'2020'!$G:$G,4)</f>
        <v>418</v>
      </c>
      <c r="D34" s="38"/>
      <c r="E34" s="38"/>
      <c r="F34" s="38"/>
      <c r="G34" s="38"/>
      <c r="H34" s="38"/>
      <c r="I34" s="38"/>
      <c r="J34" s="66">
        <f>ROUND((SUMIFS('2020'!$BL:$BL,'2020'!$B:$B,'Для расчета ЗП'!$A34,'2020'!$G:$G,4))/1000,1)</f>
        <v>31627.8</v>
      </c>
      <c r="K34" s="66">
        <f t="shared" ref="K34:K46" si="89">M34-L34</f>
        <v>6824.7</v>
      </c>
      <c r="L34" s="37">
        <f>ROUND((SUMIFS('2020'!$AQ:$AQ,'2020'!$B:$B,'Для расчета ЗП'!$A34,'2020'!$G:$G,4)+SUMIFS('2020'!$BH:$BH,'2020'!$B:$B,'Для расчета ЗП'!$A34,'2020'!$G:$G,4))/1000,1)</f>
        <v>17277.599999999999</v>
      </c>
      <c r="M34" s="37">
        <f>ROUND((SUMIFS('2020'!$BM:$BM,'2020'!$B:$B,'Для расчета ЗП'!$A34,'2020'!$G:$G,4)+SUMIFS('2020'!$CD:$CD,'2020'!$B:$B,'Для расчета ЗП'!$A34,'2020'!$G:$G,4))/1000,1)</f>
        <v>24102.3</v>
      </c>
      <c r="N34" s="66">
        <f t="shared" ref="N34:N46" si="90">P34-O34</f>
        <v>876.4</v>
      </c>
      <c r="O34" s="37">
        <f>ROUND(SUMIFS('2020'!$BB:$BB,'2020'!$B:$B,'Для расчета ЗП'!$A34,'2020'!$G:$G,4)/1000,1)</f>
        <v>886.2</v>
      </c>
      <c r="P34" s="37">
        <f>ROUND(SUMIFS('2020'!$BX:$BX,'2020'!$B:$B,'Для расчета ЗП'!$A34,'2020'!$G:$G,4)/1000,1)</f>
        <v>1762.6</v>
      </c>
      <c r="Q34" s="37"/>
      <c r="R34" s="41">
        <v>0</v>
      </c>
      <c r="S34" s="144">
        <f t="shared" si="83"/>
        <v>39328.9</v>
      </c>
      <c r="T34" s="37"/>
      <c r="U34" s="37"/>
      <c r="V34" s="170"/>
      <c r="W34" s="181"/>
      <c r="X34" s="181"/>
      <c r="Y34" s="37">
        <f t="shared" si="84"/>
        <v>28631.9</v>
      </c>
      <c r="Z34" s="11"/>
      <c r="AP34" s="78">
        <f t="shared" si="85"/>
        <v>-10697</v>
      </c>
      <c r="AQ34" s="111">
        <f t="shared" si="86"/>
        <v>0.72801000000000005</v>
      </c>
      <c r="AR34" s="110">
        <f t="shared" si="87"/>
        <v>0.72801000000000005</v>
      </c>
      <c r="AS34" s="105">
        <f t="shared" si="82"/>
        <v>28631.9</v>
      </c>
      <c r="AV34" s="105">
        <f t="shared" si="88"/>
        <v>28631.9</v>
      </c>
    </row>
    <row r="35" spans="1:48" ht="60" hidden="1" x14ac:dyDescent="0.25">
      <c r="A35" s="6">
        <v>8</v>
      </c>
      <c r="B35" s="7" t="s">
        <v>50</v>
      </c>
      <c r="C35" s="38">
        <f>SUMIFS('2020'!$P:$P,'2020'!$B:$B,'Для расчета ЗП'!$A35,'2020'!$G:$G,4)</f>
        <v>0</v>
      </c>
      <c r="D35" s="38"/>
      <c r="E35" s="38"/>
      <c r="F35" s="38"/>
      <c r="G35" s="38"/>
      <c r="H35" s="38"/>
      <c r="I35" s="38"/>
      <c r="J35" s="66">
        <f>ROUND((SUMIFS('2020'!$BL:$BL,'2020'!$B:$B,'Для расчета ЗП'!$A35,'2020'!$G:$G,4))/1000,1)</f>
        <v>0</v>
      </c>
      <c r="K35" s="66">
        <f t="shared" si="89"/>
        <v>0</v>
      </c>
      <c r="L35" s="37">
        <f>ROUND((SUMIFS('2020'!$AQ:$AQ,'2020'!$B:$B,'Для расчета ЗП'!$A35,'2020'!$G:$G,4)+SUMIFS('2020'!$BH:$BH,'2020'!$B:$B,'Для расчета ЗП'!$A35,'2020'!$G:$G,4))/1000,1)</f>
        <v>0</v>
      </c>
      <c r="M35" s="37">
        <f>ROUND((SUMIFS('2020'!$BM:$BM,'2020'!$B:$B,'Для расчета ЗП'!$A35,'2020'!$G:$G,4)+SUMIFS('2020'!$CD:$CD,'2020'!$B:$B,'Для расчета ЗП'!$A35,'2020'!$G:$G,4))/1000,1)</f>
        <v>0</v>
      </c>
      <c r="N35" s="66">
        <f t="shared" si="90"/>
        <v>0</v>
      </c>
      <c r="O35" s="37">
        <f>ROUND(SUMIFS('2020'!$BB:$BB,'2020'!$B:$B,'Для расчета ЗП'!$A35,'2020'!$G:$G,4)/1000,1)</f>
        <v>0</v>
      </c>
      <c r="P35" s="37">
        <f>ROUND(SUMIFS('2020'!$BX:$BX,'2020'!$B:$B,'Для расчета ЗП'!$A35,'2020'!$G:$G,4)/1000,1)</f>
        <v>0</v>
      </c>
      <c r="Q35" s="37"/>
      <c r="R35" s="41">
        <v>0</v>
      </c>
      <c r="S35" s="144">
        <f t="shared" si="83"/>
        <v>0</v>
      </c>
      <c r="T35" s="37"/>
      <c r="U35" s="37"/>
      <c r="V35" s="170"/>
      <c r="W35" s="181"/>
      <c r="X35" s="181"/>
      <c r="Y35" s="37">
        <f t="shared" si="84"/>
        <v>0</v>
      </c>
      <c r="Z35" s="11"/>
      <c r="AP35" s="78">
        <f t="shared" si="85"/>
        <v>0</v>
      </c>
      <c r="AQ35" s="111" t="e">
        <f t="shared" si="86"/>
        <v>#DIV/0!</v>
      </c>
      <c r="AR35" s="110" t="e">
        <f t="shared" si="87"/>
        <v>#DIV/0!</v>
      </c>
      <c r="AS35" s="105">
        <f t="shared" si="82"/>
        <v>0</v>
      </c>
      <c r="AV35" s="105">
        <f t="shared" si="88"/>
        <v>0</v>
      </c>
    </row>
    <row r="36" spans="1:48" ht="45" hidden="1" x14ac:dyDescent="0.25">
      <c r="A36" s="6">
        <v>12</v>
      </c>
      <c r="B36" s="7" t="s">
        <v>54</v>
      </c>
      <c r="C36" s="38">
        <f>SUMIFS('2020'!$P:$P,'2020'!$B:$B,'Для расчета ЗП'!$A36,'2020'!$G:$G,4)</f>
        <v>822</v>
      </c>
      <c r="D36" s="38"/>
      <c r="E36" s="38"/>
      <c r="F36" s="38"/>
      <c r="G36" s="38"/>
      <c r="H36" s="38"/>
      <c r="I36" s="38"/>
      <c r="J36" s="66">
        <f>ROUND((SUMIFS('2020'!$BL:$BL,'2020'!$B:$B,'Для расчета ЗП'!$A36,'2020'!$G:$G,4))/1000,1)</f>
        <v>55364.6</v>
      </c>
      <c r="K36" s="66">
        <f t="shared" si="89"/>
        <v>13064.6</v>
      </c>
      <c r="L36" s="37">
        <f>ROUND((SUMIFS('2020'!$AQ:$AQ,'2020'!$B:$B,'Для расчета ЗП'!$A36,'2020'!$G:$G,4)+SUMIFS('2020'!$BH:$BH,'2020'!$B:$B,'Для расчета ЗП'!$A36,'2020'!$G:$G,4))/1000,1)</f>
        <v>30033.599999999999</v>
      </c>
      <c r="M36" s="37">
        <f>ROUND((SUMIFS('2020'!$BM:$BM,'2020'!$B:$B,'Для расчета ЗП'!$A36,'2020'!$G:$G,4)+SUMIFS('2020'!$CD:$CD,'2020'!$B:$B,'Для расчета ЗП'!$A36,'2020'!$G:$G,4))/1000,1)</f>
        <v>43098.2</v>
      </c>
      <c r="N36" s="66">
        <f t="shared" si="90"/>
        <v>1998.8</v>
      </c>
      <c r="O36" s="37">
        <f>ROUND(SUMIFS('2020'!$BB:$BB,'2020'!$B:$B,'Для расчета ЗП'!$A36,'2020'!$G:$G,4)/1000,1)</f>
        <v>1551.8</v>
      </c>
      <c r="P36" s="37">
        <f>ROUND(SUMIFS('2020'!$BX:$BX,'2020'!$B:$B,'Для расчета ЗП'!$A36,'2020'!$G:$G,4)/1000,1)</f>
        <v>3550.6</v>
      </c>
      <c r="Q36" s="37"/>
      <c r="R36" s="41">
        <v>0</v>
      </c>
      <c r="S36" s="144">
        <f t="shared" si="83"/>
        <v>70428</v>
      </c>
      <c r="T36" s="37"/>
      <c r="U36" s="37"/>
      <c r="V36" s="170"/>
      <c r="W36" s="181"/>
      <c r="X36" s="181"/>
      <c r="Y36" s="37">
        <f t="shared" si="84"/>
        <v>51272.4</v>
      </c>
      <c r="Z36" s="11"/>
      <c r="AP36" s="78">
        <f t="shared" si="85"/>
        <v>-19155.599999999999</v>
      </c>
      <c r="AQ36" s="111">
        <f t="shared" si="86"/>
        <v>0.72801000000000005</v>
      </c>
      <c r="AR36" s="110">
        <f t="shared" si="87"/>
        <v>0.72801000000000005</v>
      </c>
      <c r="AS36" s="105">
        <f t="shared" si="82"/>
        <v>51272.4</v>
      </c>
      <c r="AV36" s="105">
        <f t="shared" si="88"/>
        <v>51272.4</v>
      </c>
    </row>
    <row r="37" spans="1:48" ht="45.75" hidden="1" x14ac:dyDescent="0.3">
      <c r="A37" s="40">
        <v>21</v>
      </c>
      <c r="B37" s="58" t="s">
        <v>158</v>
      </c>
      <c r="C37" s="38">
        <f>SUMIFS('2020'!$P:$P,'2020'!$B:$B,'Для расчета ЗП'!$A37,'2020'!$G:$G,4)</f>
        <v>434</v>
      </c>
      <c r="D37" s="38"/>
      <c r="E37" s="38"/>
      <c r="F37" s="38"/>
      <c r="G37" s="38"/>
      <c r="H37" s="38"/>
      <c r="I37" s="38"/>
      <c r="J37" s="66">
        <f>ROUND((SUMIFS('2020'!$BL:$BL,'2020'!$B:$B,'Для расчета ЗП'!$A37,'2020'!$G:$G,4))/1000,1)</f>
        <v>32886.6</v>
      </c>
      <c r="K37" s="66">
        <f t="shared" si="89"/>
        <v>2697.5</v>
      </c>
      <c r="L37" s="37">
        <f>ROUND((SUMIFS('2020'!$AQ:$AQ,'2020'!$B:$B,'Для расчета ЗП'!$A37,'2020'!$G:$G,4)+SUMIFS('2020'!$BH:$BH,'2020'!$B:$B,'Для расчета ЗП'!$A37,'2020'!$G:$G,4))/1000,1)</f>
        <v>17630.2</v>
      </c>
      <c r="M37" s="37">
        <f>ROUND((SUMIFS('2020'!$BM:$BM,'2020'!$B:$B,'Для расчета ЗП'!$A37,'2020'!$G:$G,4)+SUMIFS('2020'!$CD:$CD,'2020'!$B:$B,'Для расчета ЗП'!$A37,'2020'!$G:$G,4))/1000,1)</f>
        <v>20327.7</v>
      </c>
      <c r="N37" s="66">
        <f t="shared" si="90"/>
        <v>1363.5</v>
      </c>
      <c r="O37" s="37">
        <f>ROUND(SUMIFS('2020'!$BB:$BB,'2020'!$B:$B,'Для расчета ЗП'!$A37,'2020'!$G:$G,4)/1000,1)</f>
        <v>920.1</v>
      </c>
      <c r="P37" s="37">
        <f>ROUND(SUMIFS('2020'!$BX:$BX,'2020'!$B:$B,'Для расчета ЗП'!$A37,'2020'!$G:$G,4)/1000,1)</f>
        <v>2283.6</v>
      </c>
      <c r="Q37" s="217"/>
      <c r="R37" s="156">
        <v>2000</v>
      </c>
      <c r="S37" s="144">
        <f t="shared" si="83"/>
        <v>38947.599999999999</v>
      </c>
      <c r="T37" s="37"/>
      <c r="U37" s="37"/>
      <c r="V37" s="170"/>
      <c r="W37" s="181"/>
      <c r="X37" s="181"/>
      <c r="Y37" s="37">
        <f t="shared" si="84"/>
        <v>28898.3</v>
      </c>
      <c r="Z37" s="37">
        <f>SUMIF('2020'!$B:$B,'Для расчета ЗП'!$A37,('2020'!$CH:$CH))-SUMIFS('2020'!$CH:$CH,'2020'!$B:$B,'Для расчета ЗП'!$A37,'2020'!$G:$G,4)</f>
        <v>0</v>
      </c>
      <c r="AA37" s="11">
        <f>SUMIFS('2020'!$P:$P,'2020'!$B:$B,'Для расчета ЗП'!$A37,'2020'!$G:$G,4)</f>
        <v>434</v>
      </c>
      <c r="AB37" s="37">
        <f>SUMIFS('2020'!$BL:$BL,'2020'!$B:$B,'Для расчета ЗП'!$A37,'2020'!$G:$G,4)</f>
        <v>32886630</v>
      </c>
      <c r="AC37" s="37">
        <f t="shared" ref="AC37:AC46" si="91">AE37-AD37</f>
        <v>2697428</v>
      </c>
      <c r="AD37" s="37">
        <f>SUMIFS('2020'!$AQ:$AQ,'2020'!$B:$B,'Для расчета ЗП'!$A37,'2020'!$G:$G,4)+SUMIFS('2020'!$BH:$BH,'2020'!$B:$B,'Для расчета ЗП'!$A37,'2020'!$G:$G,4)</f>
        <v>17630240</v>
      </c>
      <c r="AE37" s="37">
        <f>SUMIFS('2020'!$BM:$BM,'2020'!$B:$B,'Для расчета ЗП'!$A37,'2020'!$G:$G,4)+SUMIFS('2020'!$CD:$CD,'2020'!$B:$B,'Для расчета ЗП'!$A37,'2020'!$G:$G,4)</f>
        <v>20327668</v>
      </c>
      <c r="AF37" s="37">
        <f t="shared" ref="AF37:AF46" si="92">AH37-AG37</f>
        <v>1363560</v>
      </c>
      <c r="AG37" s="37">
        <f>SUMIFS('2020'!$BB:$BB,'2020'!$B:$B,'Для расчета ЗП'!$A37,'2020'!$G:$G,4)</f>
        <v>920080</v>
      </c>
      <c r="AH37" s="37">
        <f>SUMIFS('2020'!$BX:$BX,'2020'!$B:$B,'Для расчета ЗП'!$A37,'2020'!$G:$G,4)</f>
        <v>2283640</v>
      </c>
      <c r="AI37" s="37"/>
      <c r="AJ37" s="37">
        <f>AB37+AC37+AF37</f>
        <v>36947618</v>
      </c>
      <c r="AK37" s="37"/>
      <c r="AL37" s="37">
        <f>SUMIFS('2020'!$CH:$CH,'2020'!$B:$B,'Для расчета ЗП'!$A37,'2020'!$G:$G,4)</f>
        <v>36947618</v>
      </c>
      <c r="AM37" s="38">
        <f>SUMIF('2020'!$B:$B,'Для расчета ЗП'!$A37,('2020'!$P:$P))</f>
        <v>434</v>
      </c>
      <c r="AN37" s="37">
        <f>SUMIF('2020'!$B:$B,'Для расчета ЗП'!$A37,('2020'!$BL:$BL))</f>
        <v>32886630</v>
      </c>
      <c r="AO37" s="75">
        <f>SUMIF('2020'!$B:$B,'Для расчета ЗП'!$A37,('2020'!$CH:$CH))</f>
        <v>36947618</v>
      </c>
      <c r="AP37" s="78">
        <f t="shared" si="85"/>
        <v>-10049.299999999999</v>
      </c>
      <c r="AQ37" s="111">
        <f t="shared" si="86"/>
        <v>0.72801000000000005</v>
      </c>
      <c r="AR37" s="110">
        <f t="shared" si="87"/>
        <v>0.72801000000000005</v>
      </c>
      <c r="AS37" s="105">
        <f t="shared" si="82"/>
        <v>26898.3</v>
      </c>
      <c r="AV37" s="105">
        <f t="shared" si="88"/>
        <v>28898.3</v>
      </c>
    </row>
    <row r="38" spans="1:48" ht="45.75" hidden="1" x14ac:dyDescent="0.3">
      <c r="A38" s="40">
        <v>22</v>
      </c>
      <c r="B38" s="59" t="s">
        <v>167</v>
      </c>
      <c r="C38" s="38">
        <f>SUMIFS('2020'!$P:$P,'2020'!$B:$B,'Для расчета ЗП'!$A38,'2020'!$G:$G,4)</f>
        <v>499</v>
      </c>
      <c r="D38" s="38"/>
      <c r="E38" s="38"/>
      <c r="F38" s="38"/>
      <c r="G38" s="38"/>
      <c r="H38" s="38"/>
      <c r="I38" s="38"/>
      <c r="J38" s="66">
        <f>ROUND((SUMIFS('2020'!$BL:$BL,'2020'!$B:$B,'Для расчета ЗП'!$A38,'2020'!$G:$G,4))/1000,1)</f>
        <v>33830.300000000003</v>
      </c>
      <c r="K38" s="66">
        <f t="shared" si="89"/>
        <v>14369.3</v>
      </c>
      <c r="L38" s="37">
        <f>ROUND((SUMIFS('2020'!$AQ:$AQ,'2020'!$B:$B,'Для расчета ЗП'!$A38,'2020'!$G:$G,4)+SUMIFS('2020'!$BH:$BH,'2020'!$B:$B,'Для расчета ЗП'!$A38,'2020'!$G:$G,4))/1000,1)</f>
        <v>18051.900000000001</v>
      </c>
      <c r="M38" s="37">
        <f>ROUND((SUMIFS('2020'!$BM:$BM,'2020'!$B:$B,'Для расчета ЗП'!$A38,'2020'!$G:$G,4)+SUMIFS('2020'!$CD:$CD,'2020'!$B:$B,'Для расчета ЗП'!$A38,'2020'!$G:$G,4))/1000,1)</f>
        <v>32421.200000000001</v>
      </c>
      <c r="N38" s="66">
        <f t="shared" si="90"/>
        <v>1481.9</v>
      </c>
      <c r="O38" s="37">
        <f>ROUND(SUMIFS('2020'!$BB:$BB,'2020'!$B:$B,'Для расчета ЗП'!$A38,'2020'!$G:$G,4)/1000,1)</f>
        <v>952.9</v>
      </c>
      <c r="P38" s="37">
        <f>ROUND(SUMIFS('2020'!$BX:$BX,'2020'!$B:$B,'Для расчета ЗП'!$A38,'2020'!$G:$G,4)/1000,1)</f>
        <v>2434.8000000000002</v>
      </c>
      <c r="Q38" s="217"/>
      <c r="R38" s="156">
        <v>23449.599999999999</v>
      </c>
      <c r="S38" s="144">
        <f t="shared" si="83"/>
        <v>73131.100000000006</v>
      </c>
      <c r="T38" s="37"/>
      <c r="U38" s="37"/>
      <c r="V38" s="170"/>
      <c r="W38" s="181"/>
      <c r="X38" s="181"/>
      <c r="Y38" s="37">
        <f t="shared" si="84"/>
        <v>59618.3</v>
      </c>
      <c r="Z38" s="11"/>
      <c r="AA38" s="11">
        <f>SUMIFS('2020'!$P:$P,'2020'!$B:$B,'Для расчета ЗП'!$A38,'2020'!$G:$G,4)</f>
        <v>499</v>
      </c>
      <c r="AB38" s="37">
        <f>SUMIFS('2020'!$BL:$BL,'2020'!$B:$B,'Для расчета ЗП'!$A38,'2020'!$G:$G,4)</f>
        <v>33830290</v>
      </c>
      <c r="AC38" s="37">
        <f t="shared" si="91"/>
        <v>14369327</v>
      </c>
      <c r="AD38" s="37">
        <f>SUMIFS('2020'!$AQ:$AQ,'2020'!$B:$B,'Для расчета ЗП'!$A38,'2020'!$G:$G,4)+SUMIFS('2020'!$BH:$BH,'2020'!$B:$B,'Для расчета ЗП'!$A38,'2020'!$G:$G,4)</f>
        <v>18051920</v>
      </c>
      <c r="AE38" s="37">
        <f>SUMIFS('2020'!$BM:$BM,'2020'!$B:$B,'Для расчета ЗП'!$A38,'2020'!$G:$G,4)+SUMIFS('2020'!$CD:$CD,'2020'!$B:$B,'Для расчета ЗП'!$A38,'2020'!$G:$G,4)</f>
        <v>32421247</v>
      </c>
      <c r="AF38" s="37">
        <f t="shared" si="92"/>
        <v>1481821</v>
      </c>
      <c r="AG38" s="37">
        <f>SUMIFS('2020'!$BB:$BB,'2020'!$B:$B,'Для расчета ЗП'!$A38,'2020'!$G:$G,4)</f>
        <v>952940</v>
      </c>
      <c r="AH38" s="37">
        <f>SUMIFS('2020'!$BX:$BX,'2020'!$B:$B,'Для расчета ЗП'!$A38,'2020'!$G:$G,4)</f>
        <v>2434761</v>
      </c>
      <c r="AI38" s="37"/>
      <c r="AJ38" s="37"/>
      <c r="AK38" s="37"/>
      <c r="AL38" s="37"/>
      <c r="AM38" s="11"/>
      <c r="AN38" s="11"/>
      <c r="AO38" s="77"/>
      <c r="AP38" s="78">
        <f t="shared" si="85"/>
        <v>-13512.8</v>
      </c>
      <c r="AQ38" s="111">
        <f t="shared" si="86"/>
        <v>0.72801000000000005</v>
      </c>
      <c r="AR38" s="110">
        <f t="shared" si="87"/>
        <v>0.72801000000000005</v>
      </c>
      <c r="AS38" s="105">
        <f t="shared" si="82"/>
        <v>36168.699999999997</v>
      </c>
      <c r="AV38" s="105">
        <f t="shared" si="88"/>
        <v>59618.3</v>
      </c>
    </row>
    <row r="39" spans="1:48" ht="45.75" hidden="1" x14ac:dyDescent="0.3">
      <c r="A39" s="40">
        <v>23</v>
      </c>
      <c r="B39" s="58" t="s">
        <v>160</v>
      </c>
      <c r="C39" s="38">
        <f>SUMIFS('2020'!$P:$P,'2020'!$B:$B,'Для расчета ЗП'!$A39,'2020'!$G:$G,4)</f>
        <v>112</v>
      </c>
      <c r="D39" s="38"/>
      <c r="E39" s="38"/>
      <c r="F39" s="38"/>
      <c r="G39" s="38"/>
      <c r="H39" s="38"/>
      <c r="I39" s="38"/>
      <c r="J39" s="66">
        <f>ROUND((SUMIFS('2020'!$BL:$BL,'2020'!$B:$B,'Для расчета ЗП'!$A39,'2020'!$G:$G,4))/1000,1)</f>
        <v>8430.2000000000007</v>
      </c>
      <c r="K39" s="66">
        <f t="shared" si="89"/>
        <v>1970.1</v>
      </c>
      <c r="L39" s="37">
        <f>ROUND((SUMIFS('2020'!$AQ:$AQ,'2020'!$B:$B,'Для расчета ЗП'!$A39,'2020'!$G:$G,4)+SUMIFS('2020'!$BH:$BH,'2020'!$B:$B,'Для расчета ЗП'!$A39,'2020'!$G:$G,4))/1000,1)</f>
        <v>4497.8999999999996</v>
      </c>
      <c r="M39" s="37">
        <f>ROUND((SUMIFS('2020'!$BM:$BM,'2020'!$B:$B,'Для расчета ЗП'!$A39,'2020'!$G:$G,4)+SUMIFS('2020'!$CD:$CD,'2020'!$B:$B,'Для расчета ЗП'!$A39,'2020'!$G:$G,4))/1000,1)</f>
        <v>6468</v>
      </c>
      <c r="N39" s="66">
        <f t="shared" si="90"/>
        <v>312</v>
      </c>
      <c r="O39" s="37">
        <f>ROUND(SUMIFS('2020'!$BB:$BB,'2020'!$B:$B,'Для расчета ЗП'!$A39,'2020'!$G:$G,4)/1000,1)</f>
        <v>237.4</v>
      </c>
      <c r="P39" s="37">
        <f>ROUND(SUMIFS('2020'!$BX:$BX,'2020'!$B:$B,'Для расчета ЗП'!$A39,'2020'!$G:$G,4)/1000,1)</f>
        <v>549.4</v>
      </c>
      <c r="Q39" s="217"/>
      <c r="R39" s="156">
        <v>8343.6</v>
      </c>
      <c r="S39" s="144">
        <f t="shared" si="83"/>
        <v>19055.900000000001</v>
      </c>
      <c r="T39" s="37"/>
      <c r="U39" s="37"/>
      <c r="V39" s="170"/>
      <c r="W39" s="181"/>
      <c r="X39" s="181"/>
      <c r="Y39" s="37">
        <f t="shared" si="84"/>
        <v>16142.3</v>
      </c>
      <c r="Z39" s="11"/>
      <c r="AA39" s="11">
        <f>SUMIFS('2020'!$P:$P,'2020'!$B:$B,'Для расчета ЗП'!$A39,'2020'!$G:$G,4)</f>
        <v>112</v>
      </c>
      <c r="AB39" s="37">
        <f>SUMIFS('2020'!$BL:$BL,'2020'!$B:$B,'Для расчета ЗП'!$A39,'2020'!$G:$G,4)</f>
        <v>8430240</v>
      </c>
      <c r="AC39" s="37">
        <f t="shared" si="91"/>
        <v>1970089</v>
      </c>
      <c r="AD39" s="37">
        <f>SUMIFS('2020'!$AQ:$AQ,'2020'!$B:$B,'Для расчета ЗП'!$A39,'2020'!$G:$G,4)+SUMIFS('2020'!$BH:$BH,'2020'!$B:$B,'Для расчета ЗП'!$A39,'2020'!$G:$G,4)</f>
        <v>4497920</v>
      </c>
      <c r="AE39" s="37">
        <f>SUMIFS('2020'!$BM:$BM,'2020'!$B:$B,'Для расчета ЗП'!$A39,'2020'!$G:$G,4)+SUMIFS('2020'!$CD:$CD,'2020'!$B:$B,'Для расчета ЗП'!$A39,'2020'!$G:$G,4)</f>
        <v>6468009</v>
      </c>
      <c r="AF39" s="37">
        <f t="shared" si="92"/>
        <v>311996</v>
      </c>
      <c r="AG39" s="37">
        <f>SUMIFS('2020'!$BB:$BB,'2020'!$B:$B,'Для расчета ЗП'!$A39,'2020'!$G:$G,4)</f>
        <v>237440</v>
      </c>
      <c r="AH39" s="37">
        <f>SUMIFS('2020'!$BX:$BX,'2020'!$B:$B,'Для расчета ЗП'!$A39,'2020'!$G:$G,4)</f>
        <v>549436</v>
      </c>
      <c r="AI39" s="37"/>
      <c r="AJ39" s="37"/>
      <c r="AK39" s="37"/>
      <c r="AL39" s="37"/>
      <c r="AM39" s="11"/>
      <c r="AN39" s="11"/>
      <c r="AO39" s="77"/>
      <c r="AP39" s="78">
        <f t="shared" si="85"/>
        <v>-2913.6</v>
      </c>
      <c r="AQ39" s="111">
        <f t="shared" si="86"/>
        <v>0.72801000000000005</v>
      </c>
      <c r="AR39" s="110">
        <f t="shared" si="87"/>
        <v>0.72801000000000005</v>
      </c>
      <c r="AS39" s="105">
        <f t="shared" si="82"/>
        <v>7798.7</v>
      </c>
      <c r="AV39" s="105">
        <f t="shared" si="88"/>
        <v>16142.3</v>
      </c>
    </row>
    <row r="40" spans="1:48" ht="37.5" hidden="1" customHeight="1" x14ac:dyDescent="0.3">
      <c r="A40" s="40">
        <v>24</v>
      </c>
      <c r="B40" s="58" t="s">
        <v>164</v>
      </c>
      <c r="C40" s="38">
        <f>SUMIFS('2020'!$P:$P,'2020'!$B:$B,'Для расчета ЗП'!$A40,'2020'!$G:$G,4)</f>
        <v>139</v>
      </c>
      <c r="D40" s="38"/>
      <c r="E40" s="38"/>
      <c r="F40" s="38"/>
      <c r="G40" s="38"/>
      <c r="H40" s="38"/>
      <c r="I40" s="38"/>
      <c r="J40" s="66">
        <f>ROUND((SUMIFS('2020'!$BL:$BL,'2020'!$B:$B,'Для расчета ЗП'!$A40,'2020'!$G:$G,4))/1000,1)</f>
        <v>10550.3</v>
      </c>
      <c r="K40" s="66">
        <f t="shared" si="89"/>
        <v>6653.5</v>
      </c>
      <c r="L40" s="37">
        <f>ROUND((SUMIFS('2020'!$AQ:$AQ,'2020'!$B:$B,'Для расчета ЗП'!$A40,'2020'!$G:$G,4)+SUMIFS('2020'!$BH:$BH,'2020'!$B:$B,'Для расчета ЗП'!$A40,'2020'!$G:$G,4))/1000,1)</f>
        <v>5662.6</v>
      </c>
      <c r="M40" s="37">
        <f>ROUND((SUMIFS('2020'!$BM:$BM,'2020'!$B:$B,'Для расчета ЗП'!$A40,'2020'!$G:$G,4)+SUMIFS('2020'!$CD:$CD,'2020'!$B:$B,'Для расчета ЗП'!$A40,'2020'!$G:$G,4))/1000,1)</f>
        <v>12316.1</v>
      </c>
      <c r="N40" s="66">
        <f t="shared" si="90"/>
        <v>569.29999999999995</v>
      </c>
      <c r="O40" s="37">
        <f>ROUND(SUMIFS('2020'!$BB:$BB,'2020'!$B:$B,'Для расчета ЗП'!$A40,'2020'!$G:$G,4)/1000,1)</f>
        <v>294.7</v>
      </c>
      <c r="P40" s="37">
        <f>ROUND(SUMIFS('2020'!$BX:$BX,'2020'!$B:$B,'Для расчета ЗП'!$A40,'2020'!$G:$G,4)/1000,1)</f>
        <v>864</v>
      </c>
      <c r="Q40" s="217"/>
      <c r="R40" s="156">
        <v>1429.3</v>
      </c>
      <c r="S40" s="144">
        <f t="shared" si="83"/>
        <v>19202.400000000001</v>
      </c>
      <c r="T40" s="37"/>
      <c r="U40" s="37"/>
      <c r="V40" s="170"/>
      <c r="W40" s="181"/>
      <c r="X40" s="181"/>
      <c r="Y40" s="37">
        <f t="shared" si="84"/>
        <v>14368.3</v>
      </c>
      <c r="Z40" s="11"/>
      <c r="AA40" s="11">
        <f>SUMIFS('2020'!$P:$P,'2020'!$B:$B,'Для расчета ЗП'!$A40,'2020'!$G:$G,4)</f>
        <v>139</v>
      </c>
      <c r="AB40" s="37">
        <f>SUMIFS('2020'!$BL:$BL,'2020'!$B:$B,'Для расчета ЗП'!$A40,'2020'!$G:$G,4)</f>
        <v>10550310</v>
      </c>
      <c r="AC40" s="37">
        <f t="shared" si="91"/>
        <v>6653508</v>
      </c>
      <c r="AD40" s="37">
        <f>SUMIFS('2020'!$AQ:$AQ,'2020'!$B:$B,'Для расчета ЗП'!$A40,'2020'!$G:$G,4)+SUMIFS('2020'!$BH:$BH,'2020'!$B:$B,'Для расчета ЗП'!$A40,'2020'!$G:$G,4)</f>
        <v>5662560</v>
      </c>
      <c r="AE40" s="37">
        <f>SUMIFS('2020'!$BM:$BM,'2020'!$B:$B,'Для расчета ЗП'!$A40,'2020'!$G:$G,4)+SUMIFS('2020'!$CD:$CD,'2020'!$B:$B,'Для расчета ЗП'!$A40,'2020'!$G:$G,4)</f>
        <v>12316068</v>
      </c>
      <c r="AF40" s="37">
        <f t="shared" si="92"/>
        <v>569322</v>
      </c>
      <c r="AG40" s="37">
        <f>SUMIFS('2020'!$BB:$BB,'2020'!$B:$B,'Для расчета ЗП'!$A40,'2020'!$G:$G,4)</f>
        <v>294680</v>
      </c>
      <c r="AH40" s="37">
        <f>SUMIFS('2020'!$BX:$BX,'2020'!$B:$B,'Для расчета ЗП'!$A40,'2020'!$G:$G,4)</f>
        <v>864002</v>
      </c>
      <c r="AI40" s="37"/>
      <c r="AJ40" s="37"/>
      <c r="AK40" s="37"/>
      <c r="AL40" s="37"/>
      <c r="AM40" s="11"/>
      <c r="AN40" s="11"/>
      <c r="AO40" s="77"/>
      <c r="AP40" s="78">
        <f t="shared" si="85"/>
        <v>-4834.1000000000004</v>
      </c>
      <c r="AQ40" s="111">
        <f t="shared" si="86"/>
        <v>0.72801000000000005</v>
      </c>
      <c r="AR40" s="110">
        <f t="shared" si="87"/>
        <v>0.72801000000000005</v>
      </c>
      <c r="AS40" s="105">
        <f t="shared" si="82"/>
        <v>12939</v>
      </c>
      <c r="AV40" s="105">
        <f t="shared" si="88"/>
        <v>14368.3</v>
      </c>
    </row>
    <row r="41" spans="1:48" ht="45.75" hidden="1" x14ac:dyDescent="0.3">
      <c r="A41" s="40">
        <v>25</v>
      </c>
      <c r="B41" s="58" t="s">
        <v>166</v>
      </c>
      <c r="C41" s="38">
        <f>SUMIFS('2020'!$P:$P,'2020'!$B:$B,'Для расчета ЗП'!$A41,'2020'!$G:$G,4)</f>
        <v>310</v>
      </c>
      <c r="D41" s="38"/>
      <c r="E41" s="38"/>
      <c r="F41" s="38"/>
      <c r="G41" s="38"/>
      <c r="H41" s="38"/>
      <c r="I41" s="38"/>
      <c r="J41" s="66">
        <f>ROUND((SUMIFS('2020'!$BL:$BL,'2020'!$B:$B,'Для расчета ЗП'!$A41,'2020'!$G:$G,4))/1000,1)</f>
        <v>20503.2</v>
      </c>
      <c r="K41" s="66">
        <f t="shared" si="89"/>
        <v>4672.8999999999996</v>
      </c>
      <c r="L41" s="37">
        <f>ROUND((SUMIFS('2020'!$AQ:$AQ,'2020'!$B:$B,'Для расчета ЗП'!$A41,'2020'!$G:$G,4)+SUMIFS('2020'!$BH:$BH,'2020'!$B:$B,'Для расчета ЗП'!$A41,'2020'!$G:$G,4))/1000,1)</f>
        <v>10943.7</v>
      </c>
      <c r="M41" s="37">
        <f>ROUND((SUMIFS('2020'!$BM:$BM,'2020'!$B:$B,'Для расчета ЗП'!$A41,'2020'!$G:$G,4)+SUMIFS('2020'!$CD:$CD,'2020'!$B:$B,'Для расчета ЗП'!$A41,'2020'!$G:$G,4))/1000,1)</f>
        <v>15616.6</v>
      </c>
      <c r="N41" s="66">
        <f t="shared" si="90"/>
        <v>962.4</v>
      </c>
      <c r="O41" s="37">
        <f>ROUND(SUMIFS('2020'!$BB:$BB,'2020'!$B:$B,'Для расчета ЗП'!$A41,'2020'!$G:$G,4)/1000,1)</f>
        <v>577.70000000000005</v>
      </c>
      <c r="P41" s="37">
        <f>ROUND(SUMIFS('2020'!$BX:$BX,'2020'!$B:$B,'Для расчета ЗП'!$A41,'2020'!$G:$G,4)/1000,1)</f>
        <v>1540.1</v>
      </c>
      <c r="Q41" s="217"/>
      <c r="R41" s="156">
        <v>6695.6</v>
      </c>
      <c r="S41" s="144">
        <f t="shared" si="83"/>
        <v>32834.1</v>
      </c>
      <c r="T41" s="37"/>
      <c r="U41" s="37"/>
      <c r="V41" s="170"/>
      <c r="W41" s="181"/>
      <c r="X41" s="181"/>
      <c r="Y41" s="37">
        <f t="shared" si="84"/>
        <v>25724.7</v>
      </c>
      <c r="Z41" s="11"/>
      <c r="AA41" s="11">
        <f>SUMIFS('2020'!$P:$P,'2020'!$B:$B,'Для расчета ЗП'!$A41,'2020'!$G:$G,4)</f>
        <v>310</v>
      </c>
      <c r="AB41" s="37">
        <f>SUMIFS('2020'!$BL:$BL,'2020'!$B:$B,'Для расчета ЗП'!$A41,'2020'!$G:$G,4)</f>
        <v>20503150</v>
      </c>
      <c r="AC41" s="37">
        <f t="shared" si="91"/>
        <v>4672938</v>
      </c>
      <c r="AD41" s="37">
        <f>SUMIFS('2020'!$AQ:$AQ,'2020'!$B:$B,'Для расчета ЗП'!$A41,'2020'!$G:$G,4)+SUMIFS('2020'!$BH:$BH,'2020'!$B:$B,'Для расчета ЗП'!$A41,'2020'!$G:$G,4)</f>
        <v>10943650</v>
      </c>
      <c r="AE41" s="37">
        <f>SUMIFS('2020'!$BM:$BM,'2020'!$B:$B,'Для расчета ЗП'!$A41,'2020'!$G:$G,4)+SUMIFS('2020'!$CD:$CD,'2020'!$B:$B,'Для расчета ЗП'!$A41,'2020'!$G:$G,4)</f>
        <v>15616588</v>
      </c>
      <c r="AF41" s="37">
        <f t="shared" si="92"/>
        <v>962448</v>
      </c>
      <c r="AG41" s="37">
        <f>SUMIFS('2020'!$BB:$BB,'2020'!$B:$B,'Для расчета ЗП'!$A41,'2020'!$G:$G,4)</f>
        <v>577700</v>
      </c>
      <c r="AH41" s="37">
        <f>SUMIFS('2020'!$BX:$BX,'2020'!$B:$B,'Для расчета ЗП'!$A41,'2020'!$G:$G,4)</f>
        <v>1540148</v>
      </c>
      <c r="AI41" s="37"/>
      <c r="AJ41" s="37"/>
      <c r="AK41" s="37"/>
      <c r="AL41" s="37"/>
      <c r="AM41" s="11"/>
      <c r="AN41" s="11"/>
      <c r="AO41" s="77"/>
      <c r="AP41" s="78">
        <f t="shared" si="85"/>
        <v>-7109.4</v>
      </c>
      <c r="AQ41" s="111">
        <f t="shared" si="86"/>
        <v>0.72801000000000005</v>
      </c>
      <c r="AR41" s="110">
        <f t="shared" si="87"/>
        <v>0.72801000000000005</v>
      </c>
      <c r="AS41" s="105">
        <f t="shared" si="82"/>
        <v>19029.099999999999</v>
      </c>
      <c r="AV41" s="105">
        <f t="shared" si="88"/>
        <v>25724.7</v>
      </c>
    </row>
    <row r="42" spans="1:48" ht="45.75" hidden="1" x14ac:dyDescent="0.3">
      <c r="A42" s="40">
        <v>26</v>
      </c>
      <c r="B42" s="58" t="s">
        <v>161</v>
      </c>
      <c r="C42" s="38">
        <f>SUMIFS('2020'!$P:$P,'2020'!$B:$B,'Для расчета ЗП'!$A42,'2020'!$G:$G,4)</f>
        <v>70</v>
      </c>
      <c r="D42" s="38"/>
      <c r="E42" s="38"/>
      <c r="F42" s="38"/>
      <c r="G42" s="38"/>
      <c r="H42" s="38"/>
      <c r="I42" s="38"/>
      <c r="J42" s="66">
        <f>ROUND((SUMIFS('2020'!$BL:$BL,'2020'!$B:$B,'Для расчета ЗП'!$A42,'2020'!$G:$G,4))/1000,1)</f>
        <v>5356.7</v>
      </c>
      <c r="K42" s="66">
        <f t="shared" si="89"/>
        <v>581.20000000000005</v>
      </c>
      <c r="L42" s="37">
        <f>ROUND((SUMIFS('2020'!$AQ:$AQ,'2020'!$B:$B,'Для расчета ЗП'!$A42,'2020'!$G:$G,4)+SUMIFS('2020'!$BH:$BH,'2020'!$B:$B,'Для расчета ЗП'!$A42,'2020'!$G:$G,4))/1000,1)</f>
        <v>2891.5</v>
      </c>
      <c r="M42" s="37">
        <f>ROUND((SUMIFS('2020'!$BM:$BM,'2020'!$B:$B,'Для расчета ЗП'!$A42,'2020'!$G:$G,4)+SUMIFS('2020'!$CD:$CD,'2020'!$B:$B,'Для расчета ЗП'!$A42,'2020'!$G:$G,4))/1000,1)</f>
        <v>3472.7</v>
      </c>
      <c r="N42" s="66">
        <f t="shared" si="90"/>
        <v>210.1</v>
      </c>
      <c r="O42" s="37">
        <f>ROUND(SUMIFS('2020'!$BB:$BB,'2020'!$B:$B,'Для расчета ЗП'!$A42,'2020'!$G:$G,4)/1000,1)</f>
        <v>148.4</v>
      </c>
      <c r="P42" s="37">
        <f>ROUND(SUMIFS('2020'!$BX:$BX,'2020'!$B:$B,'Для расчета ЗП'!$A42,'2020'!$G:$G,4)/1000,1)</f>
        <v>358.5</v>
      </c>
      <c r="Q42" s="217"/>
      <c r="R42" s="156">
        <v>3.4</v>
      </c>
      <c r="S42" s="144">
        <f t="shared" si="83"/>
        <v>6151.4</v>
      </c>
      <c r="T42" s="37"/>
      <c r="U42" s="37"/>
      <c r="V42" s="170"/>
      <c r="W42" s="181"/>
      <c r="X42" s="181"/>
      <c r="Y42" s="37">
        <f t="shared" si="84"/>
        <v>4479.2</v>
      </c>
      <c r="Z42" s="11"/>
      <c r="AA42" s="11">
        <f>SUMIFS('2020'!$P:$P,'2020'!$B:$B,'Для расчета ЗП'!$A42,'2020'!$G:$G,4)</f>
        <v>70</v>
      </c>
      <c r="AB42" s="37">
        <f>SUMIFS('2020'!$BL:$BL,'2020'!$B:$B,'Для расчета ЗП'!$A42,'2020'!$G:$G,4)</f>
        <v>5356680</v>
      </c>
      <c r="AC42" s="37">
        <f t="shared" si="91"/>
        <v>581195</v>
      </c>
      <c r="AD42" s="37">
        <f>SUMIFS('2020'!$AQ:$AQ,'2020'!$B:$B,'Для расчета ЗП'!$A42,'2020'!$G:$G,4)+SUMIFS('2020'!$BH:$BH,'2020'!$B:$B,'Для расчета ЗП'!$A42,'2020'!$G:$G,4)</f>
        <v>2891520</v>
      </c>
      <c r="AE42" s="37">
        <f>SUMIFS('2020'!$BM:$BM,'2020'!$B:$B,'Для расчета ЗП'!$A42,'2020'!$G:$G,4)+SUMIFS('2020'!$CD:$CD,'2020'!$B:$B,'Для расчета ЗП'!$A42,'2020'!$G:$G,4)</f>
        <v>3472715</v>
      </c>
      <c r="AF42" s="37">
        <f t="shared" si="92"/>
        <v>210135</v>
      </c>
      <c r="AG42" s="37">
        <f>SUMIFS('2020'!$BB:$BB,'2020'!$B:$B,'Для расчета ЗП'!$A42,'2020'!$G:$G,4)</f>
        <v>148400</v>
      </c>
      <c r="AH42" s="37">
        <f>SUMIFS('2020'!$BX:$BX,'2020'!$B:$B,'Для расчета ЗП'!$A42,'2020'!$G:$G,4)</f>
        <v>358535</v>
      </c>
      <c r="AI42" s="37"/>
      <c r="AJ42" s="37"/>
      <c r="AK42" s="37"/>
      <c r="AL42" s="37"/>
      <c r="AM42" s="11"/>
      <c r="AN42" s="11"/>
      <c r="AO42" s="77"/>
      <c r="AP42" s="78">
        <f t="shared" si="85"/>
        <v>-1672.2</v>
      </c>
      <c r="AQ42" s="111">
        <f t="shared" si="86"/>
        <v>0.72801000000000005</v>
      </c>
      <c r="AR42" s="110">
        <f t="shared" si="87"/>
        <v>0.72801000000000005</v>
      </c>
      <c r="AS42" s="105">
        <f t="shared" si="82"/>
        <v>4475.8</v>
      </c>
      <c r="AV42" s="105">
        <f t="shared" si="88"/>
        <v>4479.2</v>
      </c>
    </row>
    <row r="43" spans="1:48" ht="45.75" hidden="1" x14ac:dyDescent="0.3">
      <c r="A43" s="40">
        <v>27</v>
      </c>
      <c r="B43" s="58" t="s">
        <v>162</v>
      </c>
      <c r="C43" s="38">
        <f>SUMIFS('2020'!$P:$P,'2020'!$B:$B,'Для расчета ЗП'!$A43,'2020'!$G:$G,4)</f>
        <v>132</v>
      </c>
      <c r="D43" s="38"/>
      <c r="E43" s="38"/>
      <c r="F43" s="38"/>
      <c r="G43" s="38"/>
      <c r="H43" s="38"/>
      <c r="I43" s="38"/>
      <c r="J43" s="66">
        <f>ROUND((SUMIFS('2020'!$BL:$BL,'2020'!$B:$B,'Для расчета ЗП'!$A43,'2020'!$G:$G,4))/1000,1)</f>
        <v>9935.6</v>
      </c>
      <c r="K43" s="66">
        <f t="shared" si="89"/>
        <v>2041</v>
      </c>
      <c r="L43" s="37">
        <f>ROUND((SUMIFS('2020'!$AQ:$AQ,'2020'!$B:$B,'Для расчета ЗП'!$A43,'2020'!$G:$G,4)+SUMIFS('2020'!$BH:$BH,'2020'!$B:$B,'Для расчета ЗП'!$A43,'2020'!$G:$G,4))/1000,1)</f>
        <v>5301.1</v>
      </c>
      <c r="M43" s="37">
        <f>ROUND((SUMIFS('2020'!$BM:$BM,'2020'!$B:$B,'Для расчета ЗП'!$A43,'2020'!$G:$G,4)+SUMIFS('2020'!$CD:$CD,'2020'!$B:$B,'Для расчета ЗП'!$A43,'2020'!$G:$G,4))/1000,1)</f>
        <v>7342.1</v>
      </c>
      <c r="N43" s="66">
        <f t="shared" si="90"/>
        <v>510.2</v>
      </c>
      <c r="O43" s="37">
        <f>ROUND(SUMIFS('2020'!$BB:$BB,'2020'!$B:$B,'Для расчета ЗП'!$A43,'2020'!$G:$G,4)/1000,1)</f>
        <v>279.8</v>
      </c>
      <c r="P43" s="37">
        <f>ROUND(SUMIFS('2020'!$BX:$BX,'2020'!$B:$B,'Для расчета ЗП'!$A43,'2020'!$G:$G,4)/1000,1)</f>
        <v>790</v>
      </c>
      <c r="Q43" s="217"/>
      <c r="R43" s="156">
        <v>256.89999999999998</v>
      </c>
      <c r="S43" s="144">
        <f t="shared" si="83"/>
        <v>12743.7</v>
      </c>
      <c r="T43" s="37"/>
      <c r="U43" s="37"/>
      <c r="V43" s="170"/>
      <c r="W43" s="181"/>
      <c r="X43" s="181"/>
      <c r="Y43" s="37">
        <f t="shared" si="84"/>
        <v>9347.4</v>
      </c>
      <c r="Z43" s="11"/>
      <c r="AA43" s="11">
        <f>SUMIFS('2020'!$P:$P,'2020'!$B:$B,'Для расчета ЗП'!$A43,'2020'!$G:$G,4)</f>
        <v>132</v>
      </c>
      <c r="AB43" s="37">
        <f>SUMIFS('2020'!$BL:$BL,'2020'!$B:$B,'Для расчета ЗП'!$A43,'2020'!$G:$G,4)</f>
        <v>9935640</v>
      </c>
      <c r="AC43" s="37">
        <f t="shared" si="91"/>
        <v>2040931</v>
      </c>
      <c r="AD43" s="37">
        <f>SUMIFS('2020'!$AQ:$AQ,'2020'!$B:$B,'Для расчета ЗП'!$A43,'2020'!$G:$G,4)+SUMIFS('2020'!$BH:$BH,'2020'!$B:$B,'Для расчета ЗП'!$A43,'2020'!$G:$G,4)</f>
        <v>5301120</v>
      </c>
      <c r="AE43" s="37">
        <f>SUMIFS('2020'!$BM:$BM,'2020'!$B:$B,'Для расчета ЗП'!$A43,'2020'!$G:$G,4)+SUMIFS('2020'!$CD:$CD,'2020'!$B:$B,'Для расчета ЗП'!$A43,'2020'!$G:$G,4)</f>
        <v>7342051</v>
      </c>
      <c r="AF43" s="37">
        <f t="shared" si="92"/>
        <v>510148</v>
      </c>
      <c r="AG43" s="37">
        <f>SUMIFS('2020'!$BB:$BB,'2020'!$B:$B,'Для расчета ЗП'!$A43,'2020'!$G:$G,4)</f>
        <v>279840</v>
      </c>
      <c r="AH43" s="37">
        <f>SUMIFS('2020'!$BX:$BX,'2020'!$B:$B,'Для расчета ЗП'!$A43,'2020'!$G:$G,4)</f>
        <v>789988</v>
      </c>
      <c r="AI43" s="37"/>
      <c r="AJ43" s="37"/>
      <c r="AK43" s="37"/>
      <c r="AL43" s="37"/>
      <c r="AM43" s="11"/>
      <c r="AN43" s="11"/>
      <c r="AO43" s="77"/>
      <c r="AP43" s="78">
        <f t="shared" si="85"/>
        <v>-3396.3</v>
      </c>
      <c r="AQ43" s="111">
        <f t="shared" si="86"/>
        <v>0.72801000000000005</v>
      </c>
      <c r="AR43" s="110">
        <f t="shared" si="87"/>
        <v>0.72801000000000005</v>
      </c>
      <c r="AS43" s="105">
        <f t="shared" si="82"/>
        <v>9090.5</v>
      </c>
      <c r="AV43" s="105">
        <f t="shared" si="88"/>
        <v>9347.4</v>
      </c>
    </row>
    <row r="44" spans="1:48" ht="45.75" hidden="1" x14ac:dyDescent="0.3">
      <c r="A44" s="40">
        <v>28</v>
      </c>
      <c r="B44" s="58" t="s">
        <v>165</v>
      </c>
      <c r="C44" s="38">
        <f>SUMIFS('2020'!$P:$P,'2020'!$B:$B,'Для расчета ЗП'!$A44,'2020'!$G:$G,4)</f>
        <v>127</v>
      </c>
      <c r="D44" s="38"/>
      <c r="E44" s="38"/>
      <c r="F44" s="38"/>
      <c r="G44" s="38"/>
      <c r="H44" s="38"/>
      <c r="I44" s="38"/>
      <c r="J44" s="66">
        <f>ROUND((SUMIFS('2020'!$BL:$BL,'2020'!$B:$B,'Для расчета ЗП'!$A44,'2020'!$G:$G,4))/1000,1)</f>
        <v>9559.2999999999993</v>
      </c>
      <c r="K44" s="66">
        <f t="shared" si="89"/>
        <v>3830.4</v>
      </c>
      <c r="L44" s="37">
        <f>ROUND((SUMIFS('2020'!$AQ:$AQ,'2020'!$B:$B,'Для расчета ЗП'!$A44,'2020'!$G:$G,4)+SUMIFS('2020'!$BH:$BH,'2020'!$B:$B,'Для расчета ЗП'!$A44,'2020'!$G:$G,4))/1000,1)</f>
        <v>5100.3</v>
      </c>
      <c r="M44" s="37">
        <f>ROUND((SUMIFS('2020'!$BM:$BM,'2020'!$B:$B,'Для расчета ЗП'!$A44,'2020'!$G:$G,4)+SUMIFS('2020'!$CD:$CD,'2020'!$B:$B,'Для расчета ЗП'!$A44,'2020'!$G:$G,4))/1000,1)</f>
        <v>8930.7000000000007</v>
      </c>
      <c r="N44" s="66">
        <f t="shared" si="90"/>
        <v>1024.8</v>
      </c>
      <c r="O44" s="37">
        <f>ROUND(SUMIFS('2020'!$BB:$BB,'2020'!$B:$B,'Для расчета ЗП'!$A44,'2020'!$G:$G,4)/1000,1)</f>
        <v>269.2</v>
      </c>
      <c r="P44" s="37">
        <f>ROUND(SUMIFS('2020'!$BX:$BX,'2020'!$B:$B,'Для расчета ЗП'!$A44,'2020'!$G:$G,4)/1000,1)</f>
        <v>1294</v>
      </c>
      <c r="Q44" s="217"/>
      <c r="R44" s="156">
        <v>7900</v>
      </c>
      <c r="S44" s="144">
        <f t="shared" si="83"/>
        <v>22314.5</v>
      </c>
      <c r="T44" s="37"/>
      <c r="U44" s="37"/>
      <c r="V44" s="170"/>
      <c r="W44" s="181"/>
      <c r="X44" s="181"/>
      <c r="Y44" s="37">
        <f t="shared" si="84"/>
        <v>18393.900000000001</v>
      </c>
      <c r="Z44" s="11"/>
      <c r="AA44" s="11">
        <f>SUMIFS('2020'!$P:$P,'2020'!$B:$B,'Для расчета ЗП'!$A44,'2020'!$G:$G,4)</f>
        <v>127</v>
      </c>
      <c r="AB44" s="37">
        <f>SUMIFS('2020'!$BL:$BL,'2020'!$B:$B,'Для расчета ЗП'!$A44,'2020'!$G:$G,4)</f>
        <v>9559290</v>
      </c>
      <c r="AC44" s="37">
        <f t="shared" si="91"/>
        <v>3830340</v>
      </c>
      <c r="AD44" s="37">
        <f>SUMIFS('2020'!$AQ:$AQ,'2020'!$B:$B,'Для расчета ЗП'!$A44,'2020'!$G:$G,4)+SUMIFS('2020'!$BH:$BH,'2020'!$B:$B,'Для расчета ЗП'!$A44,'2020'!$G:$G,4)</f>
        <v>5100320</v>
      </c>
      <c r="AE44" s="37">
        <f>SUMIFS('2020'!$BM:$BM,'2020'!$B:$B,'Для расчета ЗП'!$A44,'2020'!$G:$G,4)+SUMIFS('2020'!$CD:$CD,'2020'!$B:$B,'Для расчета ЗП'!$A44,'2020'!$G:$G,4)</f>
        <v>8930660</v>
      </c>
      <c r="AF44" s="37">
        <f t="shared" si="92"/>
        <v>1024727</v>
      </c>
      <c r="AG44" s="37">
        <f>SUMIFS('2020'!$BB:$BB,'2020'!$B:$B,'Для расчета ЗП'!$A44,'2020'!$G:$G,4)</f>
        <v>269240</v>
      </c>
      <c r="AH44" s="37">
        <f>SUMIFS('2020'!$BX:$BX,'2020'!$B:$B,'Для расчета ЗП'!$A44,'2020'!$G:$G,4)</f>
        <v>1293967</v>
      </c>
      <c r="AI44" s="37"/>
      <c r="AJ44" s="37"/>
      <c r="AK44" s="37"/>
      <c r="AL44" s="37"/>
      <c r="AM44" s="11"/>
      <c r="AN44" s="11"/>
      <c r="AO44" s="77"/>
      <c r="AP44" s="78">
        <f t="shared" si="85"/>
        <v>-3920.6</v>
      </c>
      <c r="AQ44" s="111">
        <f t="shared" si="86"/>
        <v>0.72801000000000005</v>
      </c>
      <c r="AR44" s="110">
        <f t="shared" si="87"/>
        <v>0.72801000000000005</v>
      </c>
      <c r="AS44" s="105">
        <f t="shared" si="82"/>
        <v>10493.9</v>
      </c>
      <c r="AV44" s="105">
        <f t="shared" si="88"/>
        <v>18393.900000000001</v>
      </c>
    </row>
    <row r="45" spans="1:48" ht="45" hidden="1" x14ac:dyDescent="0.25">
      <c r="A45" s="40">
        <v>29</v>
      </c>
      <c r="B45" s="59" t="s">
        <v>159</v>
      </c>
      <c r="C45" s="62">
        <f>SUMIFS('2020'!$P:$P,'2020'!$B:$B,'Для расчета ЗП'!$A45,'2020'!$G:$G,4)</f>
        <v>119</v>
      </c>
      <c r="D45" s="62"/>
      <c r="E45" s="62"/>
      <c r="F45" s="62"/>
      <c r="G45" s="62"/>
      <c r="H45" s="62"/>
      <c r="I45" s="62"/>
      <c r="J45" s="66">
        <f>ROUND((SUMIFS('2020'!$BL:$BL,'2020'!$B:$B,'Для расчета ЗП'!$A45,'2020'!$G:$G,4))/1000,1)</f>
        <v>8957.1</v>
      </c>
      <c r="K45" s="72">
        <f t="shared" si="89"/>
        <v>1084.9000000000001</v>
      </c>
      <c r="L45" s="37">
        <f>ROUND((SUMIFS('2020'!$AQ:$AQ,'2020'!$B:$B,'Для расчета ЗП'!$A45,'2020'!$G:$G,4)+SUMIFS('2020'!$BH:$BH,'2020'!$B:$B,'Для расчета ЗП'!$A45,'2020'!$G:$G,4))/1000,1)</f>
        <v>4779</v>
      </c>
      <c r="M45" s="37">
        <f>ROUND((SUMIFS('2020'!$BM:$BM,'2020'!$B:$B,'Для расчета ЗП'!$A45,'2020'!$G:$G,4)+SUMIFS('2020'!$CD:$CD,'2020'!$B:$B,'Для расчета ЗП'!$A45,'2020'!$G:$G,4))/1000,1)</f>
        <v>5863.9</v>
      </c>
      <c r="N45" s="72">
        <f t="shared" si="90"/>
        <v>516.4</v>
      </c>
      <c r="O45" s="37">
        <f>ROUND(SUMIFS('2020'!$BB:$BB,'2020'!$B:$B,'Для расчета ЗП'!$A45,'2020'!$G:$G,4)/1000,1)</f>
        <v>252.3</v>
      </c>
      <c r="P45" s="37">
        <f>ROUND(SUMIFS('2020'!$BX:$BX,'2020'!$B:$B,'Для расчета ЗП'!$A45,'2020'!$G:$G,4)/1000,1)</f>
        <v>768.7</v>
      </c>
      <c r="Q45" s="63"/>
      <c r="R45" s="157">
        <v>0</v>
      </c>
      <c r="S45" s="148">
        <f t="shared" si="83"/>
        <v>10558.4</v>
      </c>
      <c r="T45" s="63"/>
      <c r="U45" s="63"/>
      <c r="V45" s="173"/>
      <c r="W45" s="185"/>
      <c r="X45" s="185"/>
      <c r="Y45" s="37">
        <f t="shared" si="84"/>
        <v>7686.6</v>
      </c>
      <c r="Z45" s="11"/>
      <c r="AA45" s="11">
        <f>SUMIFS('2020'!$P:$P,'2020'!$B:$B,'Для расчета ЗП'!$A45,'2020'!$G:$G,4)</f>
        <v>119</v>
      </c>
      <c r="AB45" s="37">
        <f>SUMIFS('2020'!$BL:$BL,'2020'!$B:$B,'Для расчета ЗП'!$A45,'2020'!$G:$G,4)</f>
        <v>8957130</v>
      </c>
      <c r="AC45" s="37">
        <f t="shared" si="91"/>
        <v>1084842</v>
      </c>
      <c r="AD45" s="37">
        <f>SUMIFS('2020'!$AQ:$AQ,'2020'!$B:$B,'Для расчета ЗП'!$A45,'2020'!$G:$G,4)+SUMIFS('2020'!$BH:$BH,'2020'!$B:$B,'Для расчета ЗП'!$A45,'2020'!$G:$G,4)</f>
        <v>4779040</v>
      </c>
      <c r="AE45" s="37">
        <f>SUMIFS('2020'!$BM:$BM,'2020'!$B:$B,'Для расчета ЗП'!$A45,'2020'!$G:$G,4)+SUMIFS('2020'!$CD:$CD,'2020'!$B:$B,'Для расчета ЗП'!$A45,'2020'!$G:$G,4)</f>
        <v>5863882</v>
      </c>
      <c r="AF45" s="37">
        <f t="shared" si="92"/>
        <v>516417</v>
      </c>
      <c r="AG45" s="37">
        <f>SUMIFS('2020'!$BB:$BB,'2020'!$B:$B,'Для расчета ЗП'!$A45,'2020'!$G:$G,4)</f>
        <v>252280</v>
      </c>
      <c r="AH45" s="37">
        <f>SUMIFS('2020'!$BX:$BX,'2020'!$B:$B,'Для расчета ЗП'!$A45,'2020'!$G:$G,4)</f>
        <v>768697</v>
      </c>
      <c r="AI45" s="37"/>
      <c r="AJ45" s="37"/>
      <c r="AK45" s="37"/>
      <c r="AL45" s="37"/>
      <c r="AM45" s="11"/>
      <c r="AN45" s="11"/>
      <c r="AO45" s="77"/>
      <c r="AP45" s="78">
        <f t="shared" si="85"/>
        <v>-2871.8</v>
      </c>
      <c r="AQ45" s="111">
        <f t="shared" si="86"/>
        <v>0.72801000000000005</v>
      </c>
      <c r="AR45" s="110">
        <f t="shared" si="87"/>
        <v>0.72801000000000005</v>
      </c>
      <c r="AS45" s="105">
        <f t="shared" si="82"/>
        <v>7686.6</v>
      </c>
      <c r="AV45" s="105">
        <f t="shared" si="88"/>
        <v>7686.6</v>
      </c>
    </row>
    <row r="46" spans="1:48" ht="60.75" hidden="1" x14ac:dyDescent="0.3">
      <c r="A46" s="57">
        <v>30</v>
      </c>
      <c r="B46" s="64" t="s">
        <v>163</v>
      </c>
      <c r="C46" s="38">
        <f>SUMIFS('2020'!$P:$P,'2020'!$B:$B,'Для расчета ЗП'!$A46,'2020'!$G:$G,4)</f>
        <v>187</v>
      </c>
      <c r="D46" s="38"/>
      <c r="E46" s="38"/>
      <c r="F46" s="38"/>
      <c r="G46" s="38"/>
      <c r="H46" s="38"/>
      <c r="I46" s="38"/>
      <c r="J46" s="66">
        <f>ROUND((SUMIFS('2020'!$BL:$BL,'2020'!$B:$B,'Для расчета ЗП'!$A46,'2020'!$G:$G,4))/1000,1)</f>
        <v>14075.5</v>
      </c>
      <c r="K46" s="66">
        <f t="shared" si="89"/>
        <v>8824.2000000000007</v>
      </c>
      <c r="L46" s="37">
        <f>ROUND((SUMIFS('2020'!$AQ:$AQ,'2020'!$B:$B,'Для расчета ЗП'!$A46,'2020'!$G:$G,4)+SUMIFS('2020'!$BH:$BH,'2020'!$B:$B,'Для расчета ЗП'!$A46,'2020'!$G:$G,4))/1000,1)</f>
        <v>7509.9</v>
      </c>
      <c r="M46" s="37">
        <f>ROUND((SUMIFS('2020'!$BM:$BM,'2020'!$B:$B,'Для расчета ЗП'!$A46,'2020'!$G:$G,4)+SUMIFS('2020'!$CD:$CD,'2020'!$B:$B,'Для расчета ЗП'!$A46,'2020'!$G:$G,4))/1000,1)</f>
        <v>16334.1</v>
      </c>
      <c r="N46" s="66">
        <f t="shared" si="90"/>
        <v>766</v>
      </c>
      <c r="O46" s="37">
        <f>ROUND(SUMIFS('2020'!$BB:$BB,'2020'!$B:$B,'Для расчета ЗП'!$A46,'2020'!$G:$G,4)/1000,1)</f>
        <v>396.4</v>
      </c>
      <c r="P46" s="37">
        <f>ROUND(SUMIFS('2020'!$BX:$BX,'2020'!$B:$B,'Для расчета ЗП'!$A46,'2020'!$G:$G,4)/1000,1)</f>
        <v>1162.4000000000001</v>
      </c>
      <c r="Q46" s="217"/>
      <c r="R46" s="156">
        <v>9244.4</v>
      </c>
      <c r="S46" s="144">
        <f t="shared" si="83"/>
        <v>32910.1</v>
      </c>
      <c r="T46" s="37"/>
      <c r="U46" s="37"/>
      <c r="V46" s="170"/>
      <c r="W46" s="181"/>
      <c r="X46" s="181"/>
      <c r="Y46" s="37">
        <f t="shared" si="84"/>
        <v>26473.3</v>
      </c>
      <c r="Z46" s="61"/>
      <c r="AA46" s="11">
        <f>SUMIFS('2020'!$P:$P,'2020'!$B:$B,'Для расчета ЗП'!$A46,'2020'!$G:$G,4)</f>
        <v>187</v>
      </c>
      <c r="AB46" s="37">
        <f>SUMIFS('2020'!$BL:$BL,'2020'!$B:$B,'Для расчета ЗП'!$A46,'2020'!$G:$G,4)</f>
        <v>14075490</v>
      </c>
      <c r="AC46" s="37">
        <f t="shared" si="91"/>
        <v>8824156</v>
      </c>
      <c r="AD46" s="37">
        <f>SUMIFS('2020'!$AQ:$AQ,'2020'!$B:$B,'Для расчета ЗП'!$A46,'2020'!$G:$G,4)+SUMIFS('2020'!$BH:$BH,'2020'!$B:$B,'Для расчета ЗП'!$A46,'2020'!$G:$G,4)</f>
        <v>7509920</v>
      </c>
      <c r="AE46" s="37">
        <f>SUMIFS('2020'!$BM:$BM,'2020'!$B:$B,'Для расчета ЗП'!$A46,'2020'!$G:$G,4)+SUMIFS('2020'!$CD:$CD,'2020'!$B:$B,'Для расчета ЗП'!$A46,'2020'!$G:$G,4)</f>
        <v>16334076</v>
      </c>
      <c r="AF46" s="37">
        <f t="shared" si="92"/>
        <v>765922</v>
      </c>
      <c r="AG46" s="37">
        <f>SUMIFS('2020'!$BB:$BB,'2020'!$B:$B,'Для расчета ЗП'!$A46,'2020'!$G:$G,4)</f>
        <v>396440</v>
      </c>
      <c r="AH46" s="37">
        <f>SUMIFS('2020'!$BX:$BX,'2020'!$B:$B,'Для расчета ЗП'!$A46,'2020'!$G:$G,4)</f>
        <v>1162362</v>
      </c>
      <c r="AI46" s="37"/>
      <c r="AJ46" s="37"/>
      <c r="AK46" s="37"/>
      <c r="AL46" s="37"/>
      <c r="AM46" s="11"/>
      <c r="AN46" s="11"/>
      <c r="AO46" s="77"/>
      <c r="AP46" s="78">
        <f t="shared" si="85"/>
        <v>-6436.8</v>
      </c>
      <c r="AQ46" s="111">
        <f t="shared" si="86"/>
        <v>0.72801000000000005</v>
      </c>
      <c r="AR46" s="110">
        <f t="shared" si="87"/>
        <v>0.72801000000000005</v>
      </c>
      <c r="AS46" s="105">
        <f t="shared" si="82"/>
        <v>17228.900000000001</v>
      </c>
      <c r="AV46" s="105">
        <f t="shared" si="88"/>
        <v>26473.3</v>
      </c>
    </row>
    <row r="47" spans="1:48" s="44" customFormat="1" hidden="1" x14ac:dyDescent="0.25">
      <c r="B47" s="73" t="s">
        <v>168</v>
      </c>
      <c r="C47" s="71">
        <f>SUM(C33:C46)</f>
        <v>3529</v>
      </c>
      <c r="D47" s="71"/>
      <c r="E47" s="71"/>
      <c r="F47" s="71"/>
      <c r="G47" s="71"/>
      <c r="H47" s="71"/>
      <c r="I47" s="71"/>
      <c r="J47" s="72">
        <f t="shared" ref="J47:Y47" si="93">SUM(J33:J46)</f>
        <v>253208.2</v>
      </c>
      <c r="K47" s="72">
        <f t="shared" si="93"/>
        <v>68449</v>
      </c>
      <c r="L47" s="72">
        <f t="shared" si="93"/>
        <v>136185.20000000001</v>
      </c>
      <c r="M47" s="72">
        <f t="shared" si="93"/>
        <v>204634.2</v>
      </c>
      <c r="N47" s="72">
        <f t="shared" si="93"/>
        <v>10967</v>
      </c>
      <c r="O47" s="72">
        <f t="shared" si="93"/>
        <v>7106.1</v>
      </c>
      <c r="P47" s="72">
        <f t="shared" si="93"/>
        <v>18073.099999999999</v>
      </c>
      <c r="Q47" s="72"/>
      <c r="R47" s="72">
        <f>SUM(R33:R46)</f>
        <v>59322.8</v>
      </c>
      <c r="S47" s="135">
        <f>SUM(S33:S46)</f>
        <v>391947</v>
      </c>
      <c r="T47" s="72"/>
      <c r="U47" s="72"/>
      <c r="V47" s="72"/>
      <c r="W47" s="177"/>
      <c r="X47" s="177"/>
      <c r="Y47" s="72">
        <f t="shared" si="93"/>
        <v>301476.90000000002</v>
      </c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P47" s="78">
        <f t="shared" si="85"/>
        <v>-90470.1</v>
      </c>
      <c r="AR47" s="110">
        <f t="shared" si="87"/>
        <v>0.72801000000000005</v>
      </c>
      <c r="AS47" s="105">
        <f t="shared" si="82"/>
        <v>242154.1</v>
      </c>
      <c r="AV47" s="105">
        <f t="shared" si="88"/>
        <v>301476.90000000002</v>
      </c>
    </row>
    <row r="48" spans="1:48" s="44" customFormat="1" hidden="1" x14ac:dyDescent="0.25">
      <c r="A48" s="41"/>
      <c r="B48" s="74" t="s">
        <v>170</v>
      </c>
      <c r="C48" s="65">
        <f>SUM(C37:C46)</f>
        <v>2129</v>
      </c>
      <c r="D48" s="65"/>
      <c r="E48" s="65"/>
      <c r="F48" s="65"/>
      <c r="G48" s="65"/>
      <c r="H48" s="65"/>
      <c r="I48" s="65"/>
      <c r="J48" s="66">
        <f t="shared" ref="J48:Y48" si="94">SUM(J37:J46)</f>
        <v>154084.79999999999</v>
      </c>
      <c r="K48" s="66">
        <f t="shared" si="94"/>
        <v>46725</v>
      </c>
      <c r="L48" s="66">
        <f t="shared" si="94"/>
        <v>82368.100000000006</v>
      </c>
      <c r="M48" s="66">
        <f t="shared" si="94"/>
        <v>129093.1</v>
      </c>
      <c r="N48" s="66">
        <f t="shared" si="94"/>
        <v>7716.6</v>
      </c>
      <c r="O48" s="66">
        <f t="shared" si="94"/>
        <v>4328.8999999999996</v>
      </c>
      <c r="P48" s="66">
        <f t="shared" si="94"/>
        <v>12045.5</v>
      </c>
      <c r="Q48" s="66"/>
      <c r="R48" s="66">
        <f t="shared" si="94"/>
        <v>59322.8</v>
      </c>
      <c r="S48" s="136">
        <f t="shared" si="94"/>
        <v>267849.2</v>
      </c>
      <c r="T48" s="66"/>
      <c r="U48" s="66"/>
      <c r="V48" s="66"/>
      <c r="W48" s="178"/>
      <c r="X48" s="178"/>
      <c r="Y48" s="66">
        <f t="shared" si="94"/>
        <v>211132.3</v>
      </c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37">
        <f t="shared" si="85"/>
        <v>-56716.9</v>
      </c>
      <c r="AR48" s="110">
        <f t="shared" si="87"/>
        <v>0.72801000000000005</v>
      </c>
      <c r="AS48" s="105">
        <f t="shared" si="82"/>
        <v>151809.5</v>
      </c>
    </row>
    <row r="49" spans="1:45" s="44" customFormat="1" hidden="1" x14ac:dyDescent="0.25">
      <c r="A49" s="41"/>
      <c r="B49" s="74" t="s">
        <v>169</v>
      </c>
      <c r="C49" s="65">
        <f>SUM(C33:C36)</f>
        <v>1400</v>
      </c>
      <c r="D49" s="65"/>
      <c r="E49" s="65"/>
      <c r="F49" s="65"/>
      <c r="G49" s="65"/>
      <c r="H49" s="65"/>
      <c r="I49" s="65"/>
      <c r="J49" s="66">
        <f t="shared" ref="J49:Y49" si="95">SUM(J33:J36)</f>
        <v>99123.4</v>
      </c>
      <c r="K49" s="66">
        <f t="shared" si="95"/>
        <v>21724</v>
      </c>
      <c r="L49" s="66">
        <f t="shared" si="95"/>
        <v>53817.1</v>
      </c>
      <c r="M49" s="66">
        <f t="shared" si="95"/>
        <v>75541.100000000006</v>
      </c>
      <c r="N49" s="66">
        <f t="shared" si="95"/>
        <v>3250.4</v>
      </c>
      <c r="O49" s="66">
        <f t="shared" si="95"/>
        <v>2777.2</v>
      </c>
      <c r="P49" s="66">
        <f t="shared" si="95"/>
        <v>6027.6</v>
      </c>
      <c r="Q49" s="66"/>
      <c r="R49" s="66">
        <f>SUM(R33:R36)</f>
        <v>0</v>
      </c>
      <c r="S49" s="136">
        <f t="shared" si="95"/>
        <v>124097.8</v>
      </c>
      <c r="T49" s="66"/>
      <c r="U49" s="66"/>
      <c r="V49" s="66"/>
      <c r="W49" s="178"/>
      <c r="X49" s="178"/>
      <c r="Y49" s="66">
        <f t="shared" si="95"/>
        <v>90344.6</v>
      </c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37">
        <f t="shared" si="85"/>
        <v>-33753.199999999997</v>
      </c>
      <c r="AR49" s="110">
        <f t="shared" si="87"/>
        <v>0.72801000000000005</v>
      </c>
      <c r="AS49" s="105">
        <f t="shared" si="82"/>
        <v>90344.6</v>
      </c>
    </row>
    <row r="50" spans="1:45" s="44" customFormat="1" hidden="1" x14ac:dyDescent="0.25">
      <c r="B50" s="67"/>
      <c r="C50" s="68"/>
      <c r="D50" s="68"/>
      <c r="E50" s="68"/>
      <c r="F50" s="68"/>
      <c r="G50" s="68"/>
      <c r="H50" s="68"/>
      <c r="I50" s="68"/>
      <c r="J50" s="69"/>
      <c r="K50" s="69"/>
      <c r="L50" s="69"/>
      <c r="M50" s="69"/>
      <c r="N50" s="69"/>
      <c r="O50" s="69"/>
      <c r="P50" s="69"/>
      <c r="Q50" s="69"/>
      <c r="R50" s="70"/>
      <c r="S50" s="137"/>
      <c r="T50" s="69"/>
      <c r="U50" s="69"/>
      <c r="V50" s="69"/>
      <c r="W50" s="179"/>
      <c r="X50" s="179"/>
      <c r="Y50" s="69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P50" s="81"/>
    </row>
    <row r="51" spans="1:45" ht="30" hidden="1" x14ac:dyDescent="0.25">
      <c r="R51" s="158" t="s">
        <v>138</v>
      </c>
      <c r="S51" s="145">
        <f>242154.2+R47</f>
        <v>301477</v>
      </c>
      <c r="T51" s="46"/>
      <c r="U51" s="46"/>
      <c r="V51" s="174"/>
      <c r="W51" s="182"/>
      <c r="X51" s="182"/>
      <c r="Y51" s="78"/>
      <c r="Z51" s="11"/>
      <c r="AA51" s="11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11"/>
      <c r="AN51" s="11"/>
      <c r="AO51" s="11"/>
      <c r="AP51" s="78"/>
    </row>
    <row r="52" spans="1:45" ht="30" x14ac:dyDescent="0.25">
      <c r="R52" s="155" t="s">
        <v>139</v>
      </c>
      <c r="S52" s="146">
        <f>S47-S51</f>
        <v>90470</v>
      </c>
      <c r="T52" s="48"/>
      <c r="U52" s="48"/>
      <c r="V52" s="169"/>
      <c r="W52" s="183"/>
      <c r="X52" s="183"/>
      <c r="Y52" s="80">
        <f>(S51-R47)/(S47-R47)</f>
        <v>0.72801137139000005</v>
      </c>
      <c r="Z52" s="11"/>
      <c r="AA52" s="11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11"/>
      <c r="AN52" s="11"/>
      <c r="AO52" s="11"/>
      <c r="AP52" s="78"/>
    </row>
    <row r="55" spans="1:45" x14ac:dyDescent="0.25">
      <c r="R55" s="216">
        <f>R48-59322.8</f>
        <v>0</v>
      </c>
    </row>
  </sheetData>
  <mergeCells count="10">
    <mergeCell ref="ER1:EV1"/>
    <mergeCell ref="BE1:EQ1"/>
    <mergeCell ref="C29:AP29"/>
    <mergeCell ref="A30:A32"/>
    <mergeCell ref="B30:B32"/>
    <mergeCell ref="D2:E2"/>
    <mergeCell ref="F2:G2"/>
    <mergeCell ref="H2:I2"/>
    <mergeCell ref="A1:A4"/>
    <mergeCell ref="C1:BD1"/>
  </mergeCells>
  <pageMargins left="0.7" right="0.7" top="0.75" bottom="0.75" header="0.3" footer="0.3"/>
  <pageSetup paperSize="8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O5" sqref="O5"/>
    </sheetView>
  </sheetViews>
  <sheetFormatPr defaultColWidth="9.140625" defaultRowHeight="12.75" x14ac:dyDescent="0.2"/>
  <cols>
    <col min="1" max="1" width="5.7109375" style="120" customWidth="1"/>
    <col min="2" max="2" width="6.42578125" style="120" customWidth="1"/>
    <col min="3" max="3" width="5" style="120" customWidth="1"/>
    <col min="4" max="5" width="4.5703125" style="120" customWidth="1"/>
    <col min="6" max="6" width="6" style="120" customWidth="1"/>
    <col min="7" max="7" width="4.85546875" style="120" customWidth="1"/>
    <col min="8" max="8" width="12.28515625" style="120" customWidth="1"/>
    <col min="9" max="9" width="44.85546875" style="120" customWidth="1"/>
    <col min="10" max="10" width="12.28515625" style="120" customWidth="1"/>
    <col min="11" max="11" width="10.140625" style="120" customWidth="1"/>
    <col min="12" max="14" width="9.140625" style="120"/>
    <col min="15" max="15" width="11.85546875" style="120" customWidth="1"/>
    <col min="16" max="16" width="13.5703125" style="120" customWidth="1"/>
    <col min="17" max="17" width="12.85546875" style="120" customWidth="1"/>
    <col min="18" max="18" width="9.140625" style="120"/>
    <col min="19" max="19" width="17" style="120" customWidth="1"/>
    <col min="20" max="20" width="15.7109375" style="120" bestFit="1" customWidth="1"/>
    <col min="21" max="21" width="15.28515625" style="120" customWidth="1"/>
    <col min="22" max="16384" width="9.140625" style="120"/>
  </cols>
  <sheetData>
    <row r="1" spans="1:21" ht="15" x14ac:dyDescent="0.2">
      <c r="A1" s="787" t="s">
        <v>190</v>
      </c>
      <c r="B1" s="787"/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7"/>
      <c r="O1" s="787"/>
      <c r="P1" s="787"/>
      <c r="Q1" s="787"/>
    </row>
    <row r="2" spans="1:21" x14ac:dyDescent="0.2">
      <c r="A2" s="786" t="s">
        <v>191</v>
      </c>
      <c r="B2" s="786"/>
      <c r="C2" s="786"/>
      <c r="D2" s="786"/>
      <c r="E2" s="786"/>
      <c r="F2" s="786"/>
      <c r="G2" s="786"/>
      <c r="H2" s="786" t="s">
        <v>192</v>
      </c>
      <c r="I2" s="786" t="s">
        <v>193</v>
      </c>
      <c r="J2" s="786" t="s">
        <v>194</v>
      </c>
      <c r="K2" s="786" t="s">
        <v>195</v>
      </c>
      <c r="L2" s="786" t="s">
        <v>196</v>
      </c>
      <c r="M2" s="786"/>
      <c r="N2" s="786"/>
      <c r="O2" s="786" t="s">
        <v>197</v>
      </c>
      <c r="P2" s="786"/>
      <c r="Q2" s="786"/>
      <c r="S2" s="786" t="s">
        <v>197</v>
      </c>
      <c r="T2" s="786"/>
      <c r="U2" s="786"/>
    </row>
    <row r="3" spans="1:21" x14ac:dyDescent="0.2">
      <c r="A3" s="121" t="s">
        <v>198</v>
      </c>
      <c r="B3" s="122" t="s">
        <v>199</v>
      </c>
      <c r="C3" s="121" t="s">
        <v>200</v>
      </c>
      <c r="D3" s="121" t="s">
        <v>201</v>
      </c>
      <c r="E3" s="121" t="s">
        <v>202</v>
      </c>
      <c r="F3" s="121" t="s">
        <v>203</v>
      </c>
      <c r="G3" s="121" t="s">
        <v>204</v>
      </c>
      <c r="H3" s="786"/>
      <c r="I3" s="786"/>
      <c r="J3" s="786"/>
      <c r="K3" s="786"/>
      <c r="L3" s="122">
        <v>2018</v>
      </c>
      <c r="M3" s="122">
        <v>2019</v>
      </c>
      <c r="N3" s="122">
        <v>2020</v>
      </c>
      <c r="O3" s="122">
        <v>2018</v>
      </c>
      <c r="P3" s="122">
        <v>2019</v>
      </c>
      <c r="Q3" s="122">
        <v>2020</v>
      </c>
      <c r="S3" s="122">
        <v>2018</v>
      </c>
      <c r="T3" s="122">
        <v>2019</v>
      </c>
      <c r="U3" s="122">
        <v>2020</v>
      </c>
    </row>
    <row r="4" spans="1:21" ht="38.25" x14ac:dyDescent="0.2">
      <c r="A4" s="123" t="s">
        <v>205</v>
      </c>
      <c r="B4" s="124" t="s">
        <v>206</v>
      </c>
      <c r="C4" s="123" t="s">
        <v>207</v>
      </c>
      <c r="D4" s="123">
        <v>1</v>
      </c>
      <c r="E4" s="123" t="s">
        <v>208</v>
      </c>
      <c r="F4" s="123">
        <v>90059</v>
      </c>
      <c r="G4" s="123">
        <v>611</v>
      </c>
      <c r="H4" s="125" t="s">
        <v>209</v>
      </c>
      <c r="I4" s="125" t="s">
        <v>7</v>
      </c>
      <c r="J4" s="125" t="s">
        <v>210</v>
      </c>
      <c r="K4" s="125" t="s">
        <v>211</v>
      </c>
      <c r="L4" s="126">
        <v>20053</v>
      </c>
      <c r="M4" s="126">
        <v>20053</v>
      </c>
      <c r="N4" s="126">
        <v>20053</v>
      </c>
      <c r="O4" s="131" t="e">
        <f>ROUND(S4/1000*'Свод 2020'!#REF!,1)+0.2</f>
        <v>#REF!</v>
      </c>
      <c r="P4" s="131" t="e">
        <f>ROUND(T4/1000*#REF!,1)+3.1</f>
        <v>#REF!</v>
      </c>
      <c r="Q4" s="131" t="e">
        <f>ROUND(U4/1000*#REF!,1)+0.2</f>
        <v>#REF!</v>
      </c>
      <c r="R4" s="128">
        <f>SUMIF('2020'!G:G,1,'2020'!P:P)</f>
        <v>20845</v>
      </c>
      <c r="S4" s="130">
        <f>SUMIF('2020'!G:G,1,'2020'!CH:CH)</f>
        <v>3211760504.1199999</v>
      </c>
      <c r="T4" s="130" t="e">
        <f>SUMIF(#REF!,1,#REF!)</f>
        <v>#REF!</v>
      </c>
      <c r="U4" s="130" t="e">
        <f>SUMIF(#REF!,1,#REF!)</f>
        <v>#REF!</v>
      </c>
    </row>
    <row r="5" spans="1:21" ht="38.25" x14ac:dyDescent="0.2">
      <c r="A5" s="123" t="s">
        <v>205</v>
      </c>
      <c r="B5" s="124" t="s">
        <v>206</v>
      </c>
      <c r="C5" s="123" t="s">
        <v>207</v>
      </c>
      <c r="D5" s="123">
        <v>1</v>
      </c>
      <c r="E5" s="123" t="s">
        <v>208</v>
      </c>
      <c r="F5" s="123">
        <v>90059</v>
      </c>
      <c r="G5" s="123">
        <v>611</v>
      </c>
      <c r="H5" s="125" t="s">
        <v>212</v>
      </c>
      <c r="I5" s="125" t="s">
        <v>12</v>
      </c>
      <c r="J5" s="125" t="s">
        <v>210</v>
      </c>
      <c r="K5" s="125" t="s">
        <v>211</v>
      </c>
      <c r="L5" s="126">
        <v>2599</v>
      </c>
      <c r="M5" s="126">
        <v>2599</v>
      </c>
      <c r="N5" s="126">
        <v>2599</v>
      </c>
      <c r="O5" s="131" t="e">
        <f>ROUND(S5/1000*'Свод 2020'!#REF!,1)</f>
        <v>#REF!</v>
      </c>
      <c r="P5" s="131" t="e">
        <f>ROUND(T5/1000*#REF!,1)</f>
        <v>#REF!</v>
      </c>
      <c r="Q5" s="131" t="e">
        <f>ROUND(U5/1000*#REF!,1)+0.1</f>
        <v>#REF!</v>
      </c>
      <c r="R5" s="128">
        <f>SUMIF('2020'!G:G,2,'2020'!P:P)</f>
        <v>2690</v>
      </c>
      <c r="S5" s="130">
        <f>SUMIF('2020'!G:G,2,'2020'!CH:CH)</f>
        <v>442490466.39999998</v>
      </c>
      <c r="T5" s="130" t="e">
        <f>SUMIF(#REF!,2,#REF!)</f>
        <v>#REF!</v>
      </c>
      <c r="U5" s="130" t="e">
        <f>SUMIF(#REF!,2,#REF!)</f>
        <v>#REF!</v>
      </c>
    </row>
    <row r="6" spans="1:21" ht="51" x14ac:dyDescent="0.2">
      <c r="A6" s="123" t="s">
        <v>205</v>
      </c>
      <c r="B6" s="124" t="s">
        <v>206</v>
      </c>
      <c r="C6" s="123" t="s">
        <v>207</v>
      </c>
      <c r="D6" s="123">
        <v>1</v>
      </c>
      <c r="E6" s="123" t="s">
        <v>208</v>
      </c>
      <c r="F6" s="123">
        <v>90059</v>
      </c>
      <c r="G6" s="123">
        <v>611</v>
      </c>
      <c r="H6" s="125" t="s">
        <v>213</v>
      </c>
      <c r="I6" s="125" t="s">
        <v>14</v>
      </c>
      <c r="J6" s="125" t="s">
        <v>210</v>
      </c>
      <c r="K6" s="125" t="s">
        <v>211</v>
      </c>
      <c r="L6" s="126">
        <v>291</v>
      </c>
      <c r="M6" s="126">
        <v>291</v>
      </c>
      <c r="N6" s="126">
        <v>291</v>
      </c>
      <c r="O6" s="131" t="e">
        <f>ROUND(S6/1000*'Свод 2020'!#REF!,1)</f>
        <v>#REF!</v>
      </c>
      <c r="P6" s="131" t="e">
        <f>ROUND(T6/1000*#REF!,1)</f>
        <v>#REF!</v>
      </c>
      <c r="Q6" s="131" t="e">
        <f>ROUND(U6/1000*#REF!,1)+0.2</f>
        <v>#REF!</v>
      </c>
      <c r="R6" s="128">
        <f>SUMIF('2020'!G:G,3,'2020'!P:P)</f>
        <v>292</v>
      </c>
      <c r="S6" s="130">
        <f>SUMIF('2020'!G:G,3,'2020'!CH:CH)</f>
        <v>69909142</v>
      </c>
      <c r="T6" s="130" t="e">
        <f>SUMIF(#REF!,3,#REF!)</f>
        <v>#REF!</v>
      </c>
      <c r="U6" s="130" t="e">
        <f>SUMIF(#REF!,3,#REF!)</f>
        <v>#REF!</v>
      </c>
    </row>
    <row r="7" spans="1:21" ht="51" x14ac:dyDescent="0.2">
      <c r="A7" s="123" t="s">
        <v>205</v>
      </c>
      <c r="B7" s="124" t="s">
        <v>214</v>
      </c>
      <c r="C7" s="123" t="s">
        <v>207</v>
      </c>
      <c r="D7" s="123">
        <v>1</v>
      </c>
      <c r="E7" s="123" t="s">
        <v>207</v>
      </c>
      <c r="F7" s="123">
        <v>90059</v>
      </c>
      <c r="G7" s="123">
        <v>611</v>
      </c>
      <c r="H7" s="125" t="s">
        <v>215</v>
      </c>
      <c r="I7" s="125" t="s">
        <v>216</v>
      </c>
      <c r="J7" s="125" t="s">
        <v>210</v>
      </c>
      <c r="K7" s="125" t="s">
        <v>211</v>
      </c>
      <c r="L7" s="126">
        <v>1241</v>
      </c>
      <c r="M7" s="126">
        <v>1241</v>
      </c>
      <c r="N7" s="126">
        <v>1241</v>
      </c>
      <c r="O7" s="131">
        <f>ROUND(S7/1000*'Свод 2020'!AA$63,1)+0.1</f>
        <v>93220.4</v>
      </c>
      <c r="P7" s="131" t="e">
        <f>ROUND(T7/1000*#REF!,1)-0.3</f>
        <v>#REF!</v>
      </c>
      <c r="Q7" s="131" t="e">
        <f>ROUND(U7/1000*#REF!,1)+0.1</f>
        <v>#REF!</v>
      </c>
      <c r="R7" s="128">
        <f>SUMIFS('2020'!P:P,'2020'!G:G,4,'2020'!A:A,1)</f>
        <v>1427</v>
      </c>
      <c r="S7" s="130">
        <f>SUMIFS('2020'!CH:CH,'2020'!G:G,4,'2020'!A:A,1)</f>
        <v>128845030</v>
      </c>
      <c r="T7" s="130" t="e">
        <f>SUMIFS(#REF!,#REF!,4,#REF!,1)</f>
        <v>#REF!</v>
      </c>
      <c r="U7" s="130" t="e">
        <f>SUMIFS(#REF!,#REF!,4,#REF!,1)</f>
        <v>#REF!</v>
      </c>
    </row>
    <row r="8" spans="1:21" x14ac:dyDescent="0.2">
      <c r="A8" s="123" t="s">
        <v>205</v>
      </c>
      <c r="B8" s="124" t="s">
        <v>206</v>
      </c>
      <c r="C8" s="123" t="s">
        <v>207</v>
      </c>
      <c r="D8" s="123">
        <v>1</v>
      </c>
      <c r="E8" s="123" t="s">
        <v>208</v>
      </c>
      <c r="F8" s="123">
        <v>90059</v>
      </c>
      <c r="G8" s="123">
        <v>611</v>
      </c>
      <c r="H8" s="125"/>
      <c r="I8" s="125" t="s">
        <v>217</v>
      </c>
      <c r="J8" s="125"/>
      <c r="K8" s="125"/>
      <c r="L8" s="126"/>
      <c r="M8" s="126"/>
      <c r="N8" s="126"/>
      <c r="O8" s="127">
        <v>638547.30000000005</v>
      </c>
      <c r="P8" s="127">
        <v>638547.30000000005</v>
      </c>
      <c r="Q8" s="127">
        <v>638547.30000000005</v>
      </c>
      <c r="R8" s="128"/>
      <c r="S8" s="130"/>
      <c r="T8" s="130"/>
      <c r="U8" s="130"/>
    </row>
    <row r="9" spans="1:21" ht="51" x14ac:dyDescent="0.2">
      <c r="A9" s="123" t="s">
        <v>205</v>
      </c>
      <c r="B9" s="124" t="s">
        <v>218</v>
      </c>
      <c r="C9" s="123" t="s">
        <v>207</v>
      </c>
      <c r="D9" s="123">
        <v>1</v>
      </c>
      <c r="E9" s="123" t="s">
        <v>208</v>
      </c>
      <c r="F9" s="123">
        <v>90059</v>
      </c>
      <c r="G9" s="123">
        <v>611</v>
      </c>
      <c r="H9" s="125" t="s">
        <v>219</v>
      </c>
      <c r="I9" s="125" t="s">
        <v>220</v>
      </c>
      <c r="J9" s="125" t="s">
        <v>221</v>
      </c>
      <c r="K9" s="125" t="s">
        <v>222</v>
      </c>
      <c r="L9" s="126">
        <v>56</v>
      </c>
      <c r="M9" s="126">
        <v>56</v>
      </c>
      <c r="N9" s="126">
        <v>56</v>
      </c>
      <c r="O9" s="127">
        <v>71145.600000000006</v>
      </c>
      <c r="P9" s="127">
        <v>68820.899999999994</v>
      </c>
      <c r="Q9" s="127">
        <v>71428.399999999994</v>
      </c>
      <c r="R9" s="128"/>
      <c r="S9" s="130"/>
      <c r="T9" s="130"/>
      <c r="U9" s="130"/>
    </row>
    <row r="10" spans="1:21" ht="51" x14ac:dyDescent="0.2">
      <c r="A10" s="123" t="s">
        <v>205</v>
      </c>
      <c r="B10" s="124" t="s">
        <v>214</v>
      </c>
      <c r="C10" s="123" t="s">
        <v>207</v>
      </c>
      <c r="D10" s="123">
        <v>1</v>
      </c>
      <c r="E10" s="123" t="s">
        <v>207</v>
      </c>
      <c r="F10" s="123">
        <v>90059</v>
      </c>
      <c r="G10" s="123">
        <v>611</v>
      </c>
      <c r="H10" s="125" t="s">
        <v>215</v>
      </c>
      <c r="I10" s="125" t="s">
        <v>223</v>
      </c>
      <c r="J10" s="125" t="s">
        <v>210</v>
      </c>
      <c r="K10" s="125" t="s">
        <v>211</v>
      </c>
      <c r="L10" s="126">
        <v>2265</v>
      </c>
      <c r="M10" s="126">
        <v>2265</v>
      </c>
      <c r="N10" s="126">
        <v>2265</v>
      </c>
      <c r="O10" s="131">
        <f>ROUND(S10/1000*'Свод 2020'!AA$63,1)</f>
        <v>0</v>
      </c>
      <c r="P10" s="131" t="e">
        <f>ROUND(T10/1000*#REF!,1)</f>
        <v>#REF!</v>
      </c>
      <c r="Q10" s="131" t="e">
        <f>ROUND(U10/1000*#REF!,1)</f>
        <v>#REF!</v>
      </c>
      <c r="R10" s="128">
        <f>SUMIFS('2020'!P:P,'2020'!G:G,4,'2020'!A:A,0)</f>
        <v>0</v>
      </c>
      <c r="S10" s="130">
        <f>SUMIFS('2020'!CH:CH,'2020'!G:G,4,'2020'!A:A,0)</f>
        <v>0</v>
      </c>
      <c r="T10" s="130" t="e">
        <f>SUMIFS(#REF!,#REF!,4,#REF!,0)</f>
        <v>#REF!</v>
      </c>
      <c r="U10" s="130" t="e">
        <f>SUMIFS(#REF!,#REF!,4,#REF!,0)</f>
        <v>#REF!</v>
      </c>
    </row>
    <row r="11" spans="1:21" x14ac:dyDescent="0.2">
      <c r="A11" s="123" t="s">
        <v>205</v>
      </c>
      <c r="B11" s="124" t="s">
        <v>214</v>
      </c>
      <c r="C11" s="123" t="s">
        <v>207</v>
      </c>
      <c r="D11" s="123">
        <v>1</v>
      </c>
      <c r="E11" s="123" t="s">
        <v>207</v>
      </c>
      <c r="F11" s="123">
        <v>90059</v>
      </c>
      <c r="G11" s="123">
        <v>611</v>
      </c>
      <c r="H11" s="128"/>
      <c r="I11" s="125" t="s">
        <v>217</v>
      </c>
      <c r="J11" s="128"/>
      <c r="K11" s="128"/>
      <c r="L11" s="128"/>
      <c r="M11" s="128"/>
      <c r="N11" s="128"/>
      <c r="O11" s="129">
        <v>59322.8</v>
      </c>
      <c r="P11" s="129">
        <v>59322.8</v>
      </c>
      <c r="Q11" s="129">
        <v>59322.8</v>
      </c>
      <c r="R11" s="128"/>
    </row>
    <row r="13" spans="1:21" x14ac:dyDescent="0.2">
      <c r="O13" s="120" t="e">
        <f>'Свод 2020'!#REF!</f>
        <v>#REF!</v>
      </c>
      <c r="P13" s="132" t="e">
        <f>#REF!</f>
        <v>#REF!</v>
      </c>
      <c r="Q13" s="132" t="e">
        <f>#REF!</f>
        <v>#REF!</v>
      </c>
    </row>
  </sheetData>
  <mergeCells count="9">
    <mergeCell ref="S2:U2"/>
    <mergeCell ref="A1:Q1"/>
    <mergeCell ref="A2:G2"/>
    <mergeCell ref="H2:H3"/>
    <mergeCell ref="I2:I3"/>
    <mergeCell ref="J2:J3"/>
    <mergeCell ref="K2:K3"/>
    <mergeCell ref="L2:N2"/>
    <mergeCell ref="O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</vt:i4>
      </vt:variant>
    </vt:vector>
  </HeadingPairs>
  <TitlesOfParts>
    <vt:vector size="17" baseType="lpstr">
      <vt:lpstr>XML</vt:lpstr>
      <vt:lpstr>RegNumbers</vt:lpstr>
      <vt:lpstr>OKEI</vt:lpstr>
      <vt:lpstr>Учр</vt:lpstr>
      <vt:lpstr>Свод 2020</vt:lpstr>
      <vt:lpstr>Свод 2021 </vt:lpstr>
      <vt:lpstr>Свод 2022</vt:lpstr>
      <vt:lpstr>Для расчета ЗП</vt:lpstr>
      <vt:lpstr>Лист1</vt:lpstr>
      <vt:lpstr>2020</vt:lpstr>
      <vt:lpstr>Коэф. выравнивания</vt:lpstr>
      <vt:lpstr>выравнивание</vt:lpstr>
      <vt:lpstr>Нормативы</vt:lpstr>
      <vt:lpstr>Территориальный кк</vt:lpstr>
      <vt:lpstr>'Свод 2020'!Область_печати</vt:lpstr>
      <vt:lpstr>'Свод 2021 '!Область_печати</vt:lpstr>
      <vt:lpstr>'Свод 2022'!Область_печати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furaev</dc:creator>
  <cp:lastModifiedBy>Ilya</cp:lastModifiedBy>
  <cp:lastPrinted>2019-07-02T08:55:02Z</cp:lastPrinted>
  <dcterms:created xsi:type="dcterms:W3CDTF">2017-07-12T08:44:50Z</dcterms:created>
  <dcterms:modified xsi:type="dcterms:W3CDTF">2019-07-03T10:15:01Z</dcterms:modified>
</cp:coreProperties>
</file>