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jdgh\OneDrive\바탕 화면\"/>
    </mc:Choice>
  </mc:AlternateContent>
  <xr:revisionPtr revIDLastSave="0" documentId="13_ncr:1_{07C38A77-E768-4F3D-A48C-8CE56F93696C}" xr6:coauthVersionLast="47" xr6:coauthVersionMax="47" xr10:uidLastSave="{00000000-0000-0000-0000-000000000000}"/>
  <bookViews>
    <workbookView xWindow="-98" yWindow="-98" windowWidth="21795" windowHeight="12975" activeTab="3" xr2:uid="{8848114F-38B8-0049-95DD-94B59CDC2462}"/>
  </bookViews>
  <sheets>
    <sheet name="sim1" sheetId="2" r:id="rId1"/>
    <sheet name="sim2" sheetId="5" r:id="rId2"/>
    <sheet name="sim3" sheetId="6" r:id="rId3"/>
    <sheet name="sim4" sheetId="7" r:id="rId4"/>
  </sheets>
  <definedNames>
    <definedName name="_xlnm.Print_Area" localSheetId="1">'sim2'!$A$1:$S$32</definedName>
    <definedName name="_xlnm.Print_Area" localSheetId="3">'sim4'!$A$1:$K$28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5" l="1"/>
  <c r="M14" i="6"/>
  <c r="M18" i="6"/>
  <c r="M17" i="6"/>
  <c r="M21" i="6"/>
  <c r="M20" i="6"/>
  <c r="J21" i="6"/>
  <c r="J20" i="6"/>
  <c r="L20" i="6" s="1"/>
  <c r="J17" i="6"/>
  <c r="L17" i="6" s="1"/>
  <c r="F7" i="6"/>
  <c r="F10" i="6"/>
  <c r="F13" i="6"/>
  <c r="F16" i="6"/>
  <c r="F6" i="6"/>
  <c r="F5" i="6"/>
  <c r="F20" i="6"/>
  <c r="F22" i="6"/>
  <c r="F21" i="6"/>
  <c r="F17" i="6"/>
  <c r="I5" i="6"/>
  <c r="I14" i="6"/>
  <c r="I6" i="6"/>
  <c r="L6" i="6"/>
  <c r="I8" i="6"/>
  <c r="L8" i="6"/>
  <c r="I9" i="6"/>
  <c r="I10" i="6"/>
  <c r="L10" i="6"/>
  <c r="I11" i="6"/>
  <c r="L11" i="6"/>
  <c r="O11" i="6"/>
  <c r="I12" i="6"/>
  <c r="I13" i="6"/>
  <c r="L13" i="6"/>
  <c r="O13" i="6"/>
  <c r="I15" i="6"/>
  <c r="L15" i="6"/>
  <c r="O15" i="6"/>
  <c r="I16" i="6"/>
  <c r="I17" i="6"/>
  <c r="I19" i="6"/>
  <c r="I20" i="6"/>
  <c r="I21" i="6"/>
  <c r="I22" i="6"/>
  <c r="L22" i="6"/>
  <c r="O22" i="6"/>
  <c r="F19" i="6"/>
  <c r="F18" i="6"/>
  <c r="F14" i="6"/>
  <c r="F15" i="6"/>
  <c r="F11" i="6"/>
  <c r="F12" i="6"/>
  <c r="F8" i="6"/>
  <c r="F9" i="6"/>
  <c r="G9" i="2"/>
  <c r="H9" i="2"/>
  <c r="E10" i="2"/>
  <c r="D24" i="2"/>
  <c r="D23" i="2"/>
  <c r="D22" i="2"/>
  <c r="D21" i="2"/>
  <c r="D18" i="2"/>
  <c r="D17" i="2"/>
  <c r="D16" i="2"/>
  <c r="D15" i="2"/>
  <c r="D12" i="2"/>
  <c r="D11" i="2"/>
  <c r="D10" i="2"/>
  <c r="D9" i="2"/>
  <c r="E9" i="2"/>
  <c r="F9" i="2" s="1"/>
  <c r="L9" i="2"/>
  <c r="H6" i="7"/>
  <c r="H7" i="7"/>
  <c r="H8" i="7"/>
  <c r="H9" i="7"/>
  <c r="H12" i="7"/>
  <c r="H13" i="7"/>
  <c r="H14" i="7"/>
  <c r="H15" i="7"/>
  <c r="H16" i="7"/>
  <c r="H19" i="7"/>
  <c r="H20" i="7"/>
  <c r="H21" i="7"/>
  <c r="H22" i="7"/>
  <c r="H23" i="7"/>
  <c r="H5" i="7"/>
  <c r="G6" i="7"/>
  <c r="G7" i="7"/>
  <c r="G8" i="7"/>
  <c r="G9" i="7"/>
  <c r="G12" i="7"/>
  <c r="G13" i="7"/>
  <c r="G14" i="7"/>
  <c r="G15" i="7"/>
  <c r="G16" i="7"/>
  <c r="G19" i="7"/>
  <c r="G20" i="7"/>
  <c r="G21" i="7"/>
  <c r="G22" i="7"/>
  <c r="G23" i="7"/>
  <c r="G5" i="7"/>
  <c r="F19" i="7"/>
  <c r="F21" i="7"/>
  <c r="F22" i="7"/>
  <c r="F23" i="7"/>
  <c r="F20" i="7"/>
  <c r="F14" i="7"/>
  <c r="F15" i="7"/>
  <c r="F16" i="7"/>
  <c r="F13" i="7"/>
  <c r="F8" i="7"/>
  <c r="F9" i="7"/>
  <c r="F7" i="7"/>
  <c r="C22" i="7"/>
  <c r="C19" i="7"/>
  <c r="C15" i="7"/>
  <c r="C12" i="7"/>
  <c r="C8" i="7"/>
  <c r="C5" i="7"/>
  <c r="H24" i="5"/>
  <c r="H17" i="5"/>
  <c r="H10" i="5"/>
  <c r="H14" i="5"/>
  <c r="H20" i="5"/>
  <c r="H6" i="5"/>
  <c r="G21" i="5"/>
  <c r="H21" i="5" s="1"/>
  <c r="G22" i="5"/>
  <c r="H22" i="5" s="1"/>
  <c r="G23" i="5"/>
  <c r="H23" i="5" s="1"/>
  <c r="G20" i="5"/>
  <c r="F20" i="5"/>
  <c r="E20" i="5"/>
  <c r="E14" i="5"/>
  <c r="F14" i="5"/>
  <c r="G14" i="5"/>
  <c r="E15" i="5"/>
  <c r="F15" i="5"/>
  <c r="H15" i="5"/>
  <c r="E16" i="5"/>
  <c r="F16" i="5"/>
  <c r="G16" i="5"/>
  <c r="H16" i="5" s="1"/>
  <c r="E17" i="5"/>
  <c r="F17" i="5"/>
  <c r="G13" i="5"/>
  <c r="H13" i="5" s="1"/>
  <c r="F13" i="5"/>
  <c r="E13" i="5"/>
  <c r="E7" i="5"/>
  <c r="F7" i="5"/>
  <c r="G7" i="5"/>
  <c r="H7" i="5" s="1"/>
  <c r="E8" i="5"/>
  <c r="F8" i="5"/>
  <c r="G8" i="5"/>
  <c r="H8" i="5" s="1"/>
  <c r="E9" i="5"/>
  <c r="F9" i="5"/>
  <c r="G9" i="5"/>
  <c r="H9" i="5" s="1"/>
  <c r="E10" i="5"/>
  <c r="F10" i="5"/>
  <c r="G6" i="5"/>
  <c r="F6" i="5"/>
  <c r="E6" i="5"/>
  <c r="E21" i="5"/>
  <c r="E22" i="5"/>
  <c r="E23" i="5"/>
  <c r="E24" i="5"/>
  <c r="F21" i="5"/>
  <c r="F22" i="5"/>
  <c r="F23" i="5"/>
  <c r="F24" i="5"/>
  <c r="E24" i="2"/>
  <c r="F24" i="2" s="1"/>
  <c r="E22" i="2"/>
  <c r="F22" i="2" s="1"/>
  <c r="E23" i="2"/>
  <c r="F23" i="2" s="1"/>
  <c r="E15" i="2"/>
  <c r="F15" i="2" s="1"/>
  <c r="F10" i="2"/>
  <c r="E11" i="2"/>
  <c r="F11" i="2" s="1"/>
  <c r="E12" i="2"/>
  <c r="F12" i="2" s="1"/>
  <c r="E16" i="2"/>
  <c r="F16" i="2" s="1"/>
  <c r="E17" i="2"/>
  <c r="F17" i="2" s="1"/>
  <c r="E18" i="2"/>
  <c r="F18" i="2" s="1"/>
  <c r="E21" i="2"/>
  <c r="F21" i="2" s="1"/>
  <c r="H11" i="2"/>
  <c r="V24" i="2"/>
  <c r="H24" i="2" s="1"/>
  <c r="V23" i="2"/>
  <c r="H23" i="2" s="1"/>
  <c r="V22" i="2"/>
  <c r="H22" i="2" s="1"/>
  <c r="V21" i="2"/>
  <c r="H21" i="2" s="1"/>
  <c r="V18" i="2"/>
  <c r="H18" i="2" s="1"/>
  <c r="V17" i="2"/>
  <c r="H17" i="2" s="1"/>
  <c r="V16" i="2"/>
  <c r="H16" i="2" s="1"/>
  <c r="V15" i="2"/>
  <c r="H15" i="2" s="1"/>
  <c r="V12" i="2"/>
  <c r="H12" i="2" s="1"/>
  <c r="V11" i="2"/>
  <c r="V10" i="2"/>
  <c r="H10" i="2" s="1"/>
  <c r="V9" i="2"/>
  <c r="S22" i="2"/>
  <c r="S23" i="2"/>
  <c r="S24" i="2"/>
  <c r="S21" i="2"/>
  <c r="S16" i="2"/>
  <c r="S17" i="2"/>
  <c r="S18" i="2"/>
  <c r="S15" i="2"/>
  <c r="S10" i="2"/>
  <c r="G10" i="2" s="1"/>
  <c r="S11" i="2"/>
  <c r="G11" i="2" s="1"/>
  <c r="S12" i="2"/>
  <c r="G12" i="2" s="1"/>
  <c r="S9" i="2"/>
  <c r="Q24" i="2"/>
  <c r="Q23" i="2"/>
  <c r="Q22" i="2"/>
  <c r="Q21" i="2"/>
  <c r="Q18" i="2"/>
  <c r="Q17" i="2"/>
  <c r="Q16" i="2"/>
  <c r="Q15" i="2"/>
  <c r="Q12" i="2"/>
  <c r="Q11" i="2"/>
  <c r="Q10" i="2"/>
  <c r="Q9" i="2"/>
  <c r="L18" i="2"/>
  <c r="L17" i="2"/>
  <c r="L16" i="2"/>
  <c r="L15" i="2"/>
  <c r="L24" i="2"/>
  <c r="L23" i="2"/>
  <c r="L22" i="2"/>
  <c r="L21" i="2"/>
  <c r="L12" i="2"/>
  <c r="L11" i="2"/>
  <c r="L10" i="2"/>
  <c r="O20" i="6" l="1"/>
  <c r="O6" i="6"/>
  <c r="O8" i="6"/>
  <c r="L12" i="6"/>
  <c r="L19" i="6"/>
  <c r="L14" i="6"/>
  <c r="O17" i="6"/>
  <c r="L21" i="6"/>
  <c r="L16" i="6"/>
  <c r="I18" i="6"/>
  <c r="I7" i="6"/>
  <c r="I21" i="2"/>
  <c r="I18" i="2"/>
  <c r="I17" i="2"/>
  <c r="I16" i="2"/>
  <c r="I24" i="2"/>
  <c r="I23" i="2"/>
  <c r="I22" i="2"/>
  <c r="G21" i="2"/>
  <c r="G18" i="2"/>
  <c r="G17" i="2"/>
  <c r="G16" i="2"/>
  <c r="I15" i="2"/>
  <c r="G24" i="2"/>
  <c r="I12" i="2"/>
  <c r="I11" i="2"/>
  <c r="G15" i="2"/>
  <c r="I10" i="2"/>
  <c r="I9" i="2"/>
  <c r="G23" i="2"/>
  <c r="G22" i="2"/>
  <c r="O14" i="6" l="1"/>
  <c r="O10" i="6"/>
  <c r="O19" i="6"/>
  <c r="L18" i="6"/>
  <c r="L5" i="6"/>
  <c r="L9" i="6"/>
  <c r="O12" i="6" l="1"/>
  <c r="L7" i="6"/>
  <c r="O16" i="6"/>
  <c r="O21" i="6"/>
  <c r="O9" i="6" l="1"/>
  <c r="O5" i="6"/>
  <c r="O18" i="6"/>
  <c r="O7" i="6" l="1"/>
</calcChain>
</file>

<file path=xl/sharedStrings.xml><?xml version="1.0" encoding="utf-8"?>
<sst xmlns="http://schemas.openxmlformats.org/spreadsheetml/2006/main" count="238" uniqueCount="62">
  <si>
    <t>Associativity</t>
  </si>
  <si>
    <t>name</t>
    <phoneticPr fontId="1" type="noConversion"/>
  </si>
  <si>
    <t>Unified Cache
Miss rate</t>
    <phoneticPr fontId="1" type="noConversion"/>
  </si>
  <si>
    <t>Unified Cache AMAT</t>
    <phoneticPr fontId="1" type="noConversion"/>
  </si>
  <si>
    <t>Split Cache</t>
    <phoneticPr fontId="1" type="noConversion"/>
  </si>
  <si>
    <t xml:space="preserve">Inst. Miss rate </t>
    <phoneticPr fontId="1" type="noConversion"/>
  </si>
  <si>
    <t>Data Miss rate</t>
  </si>
  <si>
    <t>access</t>
    <phoneticPr fontId="1" type="noConversion"/>
  </si>
  <si>
    <t>miss</t>
    <phoneticPr fontId="1" type="noConversion"/>
  </si>
  <si>
    <t>hit time</t>
    <phoneticPr fontId="1" type="noConversion"/>
  </si>
  <si>
    <t>li</t>
    <phoneticPr fontId="1" type="noConversion"/>
  </si>
  <si>
    <t>vortex</t>
    <phoneticPr fontId="1" type="noConversion"/>
  </si>
  <si>
    <t>tomcat</t>
    <phoneticPr fontId="1" type="noConversion"/>
  </si>
  <si>
    <t>tomcat</t>
    <phoneticPr fontId="1" type="noConversion"/>
  </si>
  <si>
    <t>vortex</t>
    <phoneticPr fontId="1" type="noConversion"/>
  </si>
  <si>
    <t>BLOCKSIZE</t>
    <phoneticPr fontId="1" type="noConversion"/>
  </si>
  <si>
    <t>li</t>
    <phoneticPr fontId="1" type="noConversion"/>
  </si>
  <si>
    <t>d1 access</t>
    <phoneticPr fontId="1" type="noConversion"/>
  </si>
  <si>
    <t>d1 miss</t>
    <phoneticPr fontId="1" type="noConversion"/>
  </si>
  <si>
    <t>d1 hit time</t>
    <phoneticPr fontId="1" type="noConversion"/>
  </si>
  <si>
    <t>l1 hit time</t>
    <phoneticPr fontId="1" type="noConversion"/>
  </si>
  <si>
    <t>l1 access</t>
    <phoneticPr fontId="1" type="noConversion"/>
  </si>
  <si>
    <t>l1 miss</t>
    <phoneticPr fontId="1" type="noConversion"/>
  </si>
  <si>
    <t>dl1 hit time</t>
    <phoneticPr fontId="1" type="noConversion"/>
  </si>
  <si>
    <t>AMAT</t>
  </si>
  <si>
    <t>SplitCache
AMAT</t>
    <phoneticPr fontId="1" type="noConversion"/>
  </si>
  <si>
    <t>L1L2L3</t>
    <phoneticPr fontId="1" type="noConversion"/>
  </si>
  <si>
    <t>Unified Cache Miss rate</t>
  </si>
  <si>
    <t>8 / 8 / 1024</t>
  </si>
  <si>
    <t>16 / 16 / 512</t>
  </si>
  <si>
    <t>32 / 32 / 256</t>
  </si>
  <si>
    <t>64 / 64 / 128</t>
  </si>
  <si>
    <t>128 / 128 / 0</t>
  </si>
  <si>
    <t>8/8/1024</t>
    <phoneticPr fontId="1" type="noConversion"/>
  </si>
  <si>
    <t>L1/L1D/L2U</t>
  </si>
  <si>
    <t>L1</t>
    <phoneticPr fontId="1" type="noConversion"/>
  </si>
  <si>
    <t>L1D</t>
    <phoneticPr fontId="1" type="noConversion"/>
  </si>
  <si>
    <t>L2U</t>
    <phoneticPr fontId="1" type="noConversion"/>
  </si>
  <si>
    <t>Inst. Miss rate</t>
    <phoneticPr fontId="1" type="noConversion"/>
  </si>
  <si>
    <t>data. Miss rate</t>
    <phoneticPr fontId="1" type="noConversion"/>
  </si>
  <si>
    <t>L1 miss</t>
    <phoneticPr fontId="1" type="noConversion"/>
  </si>
  <si>
    <t>L1Dmiss</t>
    <phoneticPr fontId="1" type="noConversion"/>
  </si>
  <si>
    <t>L2Umiss</t>
    <phoneticPr fontId="1" type="noConversion"/>
  </si>
  <si>
    <t>-</t>
    <phoneticPr fontId="1" type="noConversion"/>
  </si>
  <si>
    <t>AMAT</t>
    <phoneticPr fontId="1" type="noConversion"/>
  </si>
  <si>
    <t>RESULT</t>
    <phoneticPr fontId="1" type="noConversion"/>
  </si>
  <si>
    <t># of Sets</t>
  </si>
  <si>
    <t>Split Cache Miss rate / AMAT</t>
    <phoneticPr fontId="1" type="noConversion"/>
  </si>
  <si>
    <t>1-way</t>
  </si>
  <si>
    <t>2-way</t>
    <phoneticPr fontId="1" type="noConversion"/>
  </si>
  <si>
    <t>3-way</t>
    <phoneticPr fontId="1" type="noConversion"/>
  </si>
  <si>
    <t>vertax</t>
  </si>
  <si>
    <t>vertax</t>
    <phoneticPr fontId="1" type="noConversion"/>
  </si>
  <si>
    <t>Block size</t>
    <phoneticPr fontId="1" type="noConversion"/>
  </si>
  <si>
    <t>4-way</t>
    <phoneticPr fontId="1" type="noConversion"/>
  </si>
  <si>
    <t>l1 miss rate</t>
    <phoneticPr fontId="1" type="noConversion"/>
  </si>
  <si>
    <t>d1 miss rate</t>
    <phoneticPr fontId="1" type="noConversion"/>
  </si>
  <si>
    <t># of Sets</t>
    <phoneticPr fontId="1" type="noConversion"/>
  </si>
  <si>
    <t>name</t>
  </si>
  <si>
    <t>li</t>
    <phoneticPr fontId="1" type="noConversion"/>
  </si>
  <si>
    <t>tomcat</t>
    <phoneticPr fontId="1" type="noConversion"/>
  </si>
  <si>
    <t>vertex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</si>
</sst>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,##0.0000000_ "/>
    <numFmt numFmtId="177" formatCode="#,##0_ "/>
    <numFmt numFmtId="178" formatCode="####0.######"/>
    <numFmt numFmtId="179" formatCode="0.00_ "/>
  </numFmts>
  <fonts count="4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wrapText="1"/>
    </xf>
    <xf numFmtId="0" fontId="3" fillId="0" borderId="10" xfId="0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2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vertical="center"/>
    </xf>
    <xf numFmtId="177" fontId="0" fillId="0" borderId="6" xfId="0" applyNumberFormat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177" fontId="0" fillId="0" borderId="3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10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 wrapText="1"/>
    </xf>
    <xf numFmtId="177" fontId="0" fillId="0" borderId="8" xfId="0" applyNumberFormat="1" applyBorder="1" applyAlignment="1">
      <alignment horizontal="center" vertical="center" wrapText="1"/>
    </xf>
    <xf numFmtId="177" fontId="0" fillId="0" borderId="9" xfId="0" applyNumberFormat="1" applyBorder="1" applyAlignment="1">
      <alignment horizontal="center" vertical="center" wrapText="1"/>
    </xf>
    <xf numFmtId="177" fontId="0" fillId="0" borderId="5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0" fontId="0" fillId="0" borderId="24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78" fontId="0" fillId="0" borderId="6" xfId="0" applyNumberFormat="1" applyBorder="1" applyAlignment="1">
      <alignment horizontal="center"/>
    </xf>
    <xf numFmtId="178" fontId="0" fillId="0" borderId="8" xfId="0" applyNumberFormat="1" applyBorder="1" applyAlignment="1">
      <alignment horizontal="center" vertical="center"/>
    </xf>
    <xf numFmtId="178" fontId="0" fillId="0" borderId="9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0" fillId="0" borderId="6" xfId="0" applyNumberFormat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 wrapText="1"/>
    </xf>
    <xf numFmtId="178" fontId="0" fillId="0" borderId="20" xfId="0" applyNumberFormat="1" applyBorder="1" applyAlignment="1">
      <alignment horizontal="center"/>
    </xf>
    <xf numFmtId="178" fontId="0" fillId="0" borderId="7" xfId="0" applyNumberForma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6A568-F301-4E4D-A039-2B7959D96641}">
  <dimension ref="A3:W30"/>
  <sheetViews>
    <sheetView showGridLines="0" zoomScale="85" zoomScaleNormal="85" workbookViewId="0">
      <selection activeCell="I23" sqref="I23"/>
    </sheetView>
  </sheetViews>
  <sheetFormatPr defaultRowHeight="19.149999999999999" x14ac:dyDescent="0.7"/>
  <cols>
    <col min="1" max="2" width="8.88671875" style="2"/>
    <col min="3" max="3" width="10.94140625" style="2" bestFit="1" customWidth="1"/>
    <col min="4" max="4" width="10.94140625" style="2" customWidth="1"/>
    <col min="5" max="5" width="13.21875" style="2" customWidth="1"/>
    <col min="6" max="6" width="18.109375" style="2" bestFit="1" customWidth="1"/>
    <col min="7" max="7" width="13.0546875" style="2" bestFit="1" customWidth="1"/>
    <col min="8" max="8" width="12.88671875" style="2" bestFit="1" customWidth="1"/>
    <col min="9" max="9" width="14.5546875" style="2" bestFit="1" customWidth="1"/>
    <col min="10" max="10" width="4.5546875" style="2" customWidth="1"/>
    <col min="11" max="11" width="6.5" style="2" customWidth="1"/>
    <col min="12" max="12" width="9.88671875" style="2" bestFit="1" customWidth="1"/>
    <col min="13" max="15" width="11.5" style="2" bestFit="1" customWidth="1"/>
    <col min="16" max="16" width="2.1640625" style="2" customWidth="1"/>
    <col min="17" max="17" width="9.88671875" style="2" bestFit="1" customWidth="1"/>
    <col min="18" max="19" width="10.44140625" style="2" bestFit="1" customWidth="1"/>
    <col min="20" max="20" width="10.5" style="2" bestFit="1" customWidth="1"/>
    <col min="21" max="21" width="11.5" style="2" bestFit="1" customWidth="1"/>
    <col min="22" max="22" width="10.44140625" style="2" bestFit="1" customWidth="1"/>
    <col min="23" max="23" width="11.5" style="2" bestFit="1" customWidth="1"/>
    <col min="24" max="16384" width="8.88671875" style="2"/>
  </cols>
  <sheetData>
    <row r="3" spans="1:23" ht="19.5" thickBot="1" x14ac:dyDescent="0.75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23" x14ac:dyDescent="0.7">
      <c r="C4" s="15" t="s">
        <v>53</v>
      </c>
      <c r="D4" s="17">
        <v>16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23" ht="19.5" thickBot="1" x14ac:dyDescent="0.75">
      <c r="C5" s="11" t="s">
        <v>0</v>
      </c>
      <c r="D5" s="14">
        <v>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23" ht="19.5" thickBot="1" x14ac:dyDescent="0.75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23" ht="19.5" thickBot="1" x14ac:dyDescent="0.75">
      <c r="A7" s="1"/>
      <c r="B7" s="20"/>
      <c r="C7" s="65" t="s">
        <v>1</v>
      </c>
      <c r="D7" s="49" t="s">
        <v>46</v>
      </c>
      <c r="E7" s="66" t="s">
        <v>2</v>
      </c>
      <c r="F7" s="57" t="s">
        <v>3</v>
      </c>
      <c r="G7" s="57" t="s">
        <v>4</v>
      </c>
      <c r="H7" s="57"/>
      <c r="I7" s="58" t="s">
        <v>25</v>
      </c>
      <c r="J7" s="7"/>
      <c r="K7" s="1"/>
      <c r="L7" s="1"/>
      <c r="M7" s="1"/>
      <c r="N7" s="1"/>
      <c r="O7" s="1"/>
      <c r="P7" s="1"/>
    </row>
    <row r="8" spans="1:23" x14ac:dyDescent="0.7">
      <c r="A8" s="1"/>
      <c r="B8" s="20"/>
      <c r="C8" s="62"/>
      <c r="D8" s="50"/>
      <c r="E8" s="67"/>
      <c r="F8" s="68"/>
      <c r="G8" s="21" t="s">
        <v>5</v>
      </c>
      <c r="H8" s="22" t="s">
        <v>6</v>
      </c>
      <c r="I8" s="59"/>
      <c r="J8" s="7"/>
      <c r="K8" s="51" t="s">
        <v>16</v>
      </c>
      <c r="L8" s="40" t="s">
        <v>46</v>
      </c>
      <c r="M8" s="29" t="s">
        <v>7</v>
      </c>
      <c r="N8" s="29" t="s">
        <v>8</v>
      </c>
      <c r="O8" s="30" t="s">
        <v>9</v>
      </c>
      <c r="P8" s="31"/>
      <c r="Q8" s="41" t="s">
        <v>46</v>
      </c>
      <c r="R8" s="29" t="s">
        <v>17</v>
      </c>
      <c r="S8" s="29" t="s">
        <v>18</v>
      </c>
      <c r="T8" s="29" t="s">
        <v>19</v>
      </c>
      <c r="U8" s="29" t="s">
        <v>21</v>
      </c>
      <c r="V8" s="29" t="s">
        <v>22</v>
      </c>
      <c r="W8" s="30" t="s">
        <v>20</v>
      </c>
    </row>
    <row r="9" spans="1:23" x14ac:dyDescent="0.7">
      <c r="B9" s="23"/>
      <c r="C9" s="62" t="s">
        <v>10</v>
      </c>
      <c r="D9" s="32">
        <f>2^6</f>
        <v>64</v>
      </c>
      <c r="E9" s="21">
        <f>N9/M9</f>
        <v>0.31084231409904378</v>
      </c>
      <c r="F9" s="21">
        <f>(1-E9)+E9*(1+200)</f>
        <v>63.168462819808759</v>
      </c>
      <c r="G9" s="21">
        <f>S9/R9</f>
        <v>0.16703337925044348</v>
      </c>
      <c r="H9" s="21">
        <f>V9/U9</f>
        <v>0.36093933353686475</v>
      </c>
      <c r="I9" s="24">
        <f>1-(S9+V9)/(R9+U9)+(S9+V9)/(R9+U9)*(1+200)</f>
        <v>61.629166393270793</v>
      </c>
      <c r="J9" s="1"/>
      <c r="K9" s="52"/>
      <c r="L9" s="32">
        <f>2^6</f>
        <v>64</v>
      </c>
      <c r="M9" s="32">
        <v>261190238</v>
      </c>
      <c r="N9" s="32">
        <v>81188978</v>
      </c>
      <c r="O9" s="33">
        <v>180001260</v>
      </c>
      <c r="P9" s="31"/>
      <c r="Q9" s="34">
        <f>2^6</f>
        <v>64</v>
      </c>
      <c r="R9" s="32">
        <v>77847524</v>
      </c>
      <c r="S9" s="32">
        <f>R9-T9</f>
        <v>13003135</v>
      </c>
      <c r="T9" s="32">
        <v>64844389</v>
      </c>
      <c r="U9" s="32">
        <v>183342714</v>
      </c>
      <c r="V9" s="32">
        <f>U9-W9</f>
        <v>66175597</v>
      </c>
      <c r="W9" s="33">
        <v>117167117</v>
      </c>
    </row>
    <row r="10" spans="1:23" x14ac:dyDescent="0.7">
      <c r="B10" s="23"/>
      <c r="C10" s="62"/>
      <c r="D10" s="32">
        <f>2^7</f>
        <v>128</v>
      </c>
      <c r="E10" s="21">
        <f>N10/M10</f>
        <v>0.26869062771021329</v>
      </c>
      <c r="F10" s="21">
        <f>(1-E10)+E10*(1+200)</f>
        <v>54.73812554204266</v>
      </c>
      <c r="G10" s="21">
        <f t="shared" ref="G10:G12" si="0">S10/R10</f>
        <v>0.12051567625965856</v>
      </c>
      <c r="H10" s="21">
        <f t="shared" ref="H10:H12" si="1">V10/U10</f>
        <v>0.2989923777391012</v>
      </c>
      <c r="I10" s="24">
        <f t="shared" ref="I10:I12" si="2">1-(S10+V10)/(R10+U10)+(S10+V10)/(R10+U10)*(1+200)</f>
        <v>50.159510318299112</v>
      </c>
      <c r="J10" s="1"/>
      <c r="K10" s="52"/>
      <c r="L10" s="32">
        <f>2^7</f>
        <v>128</v>
      </c>
      <c r="M10" s="32">
        <v>261190238</v>
      </c>
      <c r="N10" s="32">
        <v>70179369</v>
      </c>
      <c r="O10" s="33">
        <v>191010869</v>
      </c>
      <c r="P10" s="31"/>
      <c r="Q10" s="34">
        <f>2^7</f>
        <v>128</v>
      </c>
      <c r="R10" s="32">
        <v>77847524</v>
      </c>
      <c r="S10" s="32">
        <f t="shared" ref="S10:S12" si="3">R10-T10</f>
        <v>9381847</v>
      </c>
      <c r="T10" s="32">
        <v>68465677</v>
      </c>
      <c r="U10" s="32">
        <v>183342714</v>
      </c>
      <c r="V10" s="32">
        <f t="shared" ref="V10:V12" si="4">U10-W10</f>
        <v>54818074</v>
      </c>
      <c r="W10" s="33">
        <v>128524640</v>
      </c>
    </row>
    <row r="11" spans="1:23" x14ac:dyDescent="0.7">
      <c r="B11" s="23"/>
      <c r="C11" s="62"/>
      <c r="D11" s="32">
        <f>2^8</f>
        <v>256</v>
      </c>
      <c r="E11" s="21">
        <f>N11/M11</f>
        <v>0.13251797335549731</v>
      </c>
      <c r="F11" s="21">
        <f>(1-E11)+E11*(1+200)</f>
        <v>27.50359467109946</v>
      </c>
      <c r="G11" s="21">
        <f t="shared" si="0"/>
        <v>8.6189472127591371E-2</v>
      </c>
      <c r="H11" s="21">
        <f t="shared" si="1"/>
        <v>0.27426410847174432</v>
      </c>
      <c r="I11" s="24">
        <f t="shared" si="2"/>
        <v>44.641725231706396</v>
      </c>
      <c r="J11" s="1"/>
      <c r="K11" s="52"/>
      <c r="L11" s="32">
        <f>2^8</f>
        <v>256</v>
      </c>
      <c r="M11" s="32">
        <v>261190238</v>
      </c>
      <c r="N11" s="32">
        <v>34612401</v>
      </c>
      <c r="O11" s="33">
        <v>226577837</v>
      </c>
      <c r="P11" s="31"/>
      <c r="Q11" s="34">
        <f>2^8</f>
        <v>256</v>
      </c>
      <c r="R11" s="32">
        <v>77847524</v>
      </c>
      <c r="S11" s="32">
        <f t="shared" si="3"/>
        <v>6709637</v>
      </c>
      <c r="T11" s="32">
        <v>71137887</v>
      </c>
      <c r="U11" s="32">
        <v>183342714</v>
      </c>
      <c r="V11" s="32">
        <f t="shared" si="4"/>
        <v>50284326</v>
      </c>
      <c r="W11" s="33">
        <v>133058388</v>
      </c>
    </row>
    <row r="12" spans="1:23" ht="19.5" thickBot="1" x14ac:dyDescent="0.75">
      <c r="B12" s="23"/>
      <c r="C12" s="64"/>
      <c r="D12" s="35">
        <f>2^9</f>
        <v>512</v>
      </c>
      <c r="E12" s="25">
        <f>N12/M12</f>
        <v>6.7878180041322983E-2</v>
      </c>
      <c r="F12" s="25">
        <f>(1-E12)+E12*(1+200)</f>
        <v>14.575636008264597</v>
      </c>
      <c r="G12" s="25">
        <f t="shared" si="0"/>
        <v>6.4306194247102835E-2</v>
      </c>
      <c r="H12" s="25">
        <f t="shared" si="1"/>
        <v>0.10195810126384405</v>
      </c>
      <c r="I12" s="26">
        <f t="shared" si="2"/>
        <v>19.147196603879202</v>
      </c>
      <c r="J12" s="1"/>
      <c r="K12" s="53"/>
      <c r="L12" s="35">
        <f>2^9</f>
        <v>512</v>
      </c>
      <c r="M12" s="35">
        <v>261190238</v>
      </c>
      <c r="N12" s="35">
        <v>17729118</v>
      </c>
      <c r="O12" s="36">
        <v>243461120</v>
      </c>
      <c r="P12" s="31"/>
      <c r="Q12" s="37">
        <f>2^9</f>
        <v>512</v>
      </c>
      <c r="R12" s="35">
        <v>77847524</v>
      </c>
      <c r="S12" s="35">
        <f t="shared" si="3"/>
        <v>5006078</v>
      </c>
      <c r="T12" s="35">
        <v>72841446</v>
      </c>
      <c r="U12" s="35">
        <v>183342714</v>
      </c>
      <c r="V12" s="35">
        <f t="shared" si="4"/>
        <v>18693275</v>
      </c>
      <c r="W12" s="36">
        <v>164649439</v>
      </c>
    </row>
    <row r="13" spans="1:23" ht="19.5" thickBot="1" x14ac:dyDescent="0.75">
      <c r="B13" s="23"/>
      <c r="C13" s="65" t="s">
        <v>1</v>
      </c>
      <c r="D13" s="49" t="s">
        <v>46</v>
      </c>
      <c r="E13" s="66" t="s">
        <v>2</v>
      </c>
      <c r="F13" s="57" t="s">
        <v>3</v>
      </c>
      <c r="G13" s="57" t="s">
        <v>4</v>
      </c>
      <c r="H13" s="57"/>
      <c r="I13" s="58" t="s">
        <v>25</v>
      </c>
      <c r="J13" s="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</row>
    <row r="14" spans="1:23" x14ac:dyDescent="0.7">
      <c r="B14" s="23"/>
      <c r="C14" s="63"/>
      <c r="D14" s="50"/>
      <c r="E14" s="69"/>
      <c r="F14" s="70"/>
      <c r="G14" s="27" t="s">
        <v>5</v>
      </c>
      <c r="H14" s="28" t="s">
        <v>6</v>
      </c>
      <c r="I14" s="71"/>
      <c r="J14" s="1"/>
      <c r="K14" s="54" t="s">
        <v>13</v>
      </c>
      <c r="L14" s="40" t="s">
        <v>46</v>
      </c>
      <c r="M14" s="29" t="s">
        <v>7</v>
      </c>
      <c r="N14" s="29" t="s">
        <v>8</v>
      </c>
      <c r="O14" s="30" t="s">
        <v>9</v>
      </c>
      <c r="P14" s="31"/>
      <c r="Q14" s="41" t="s">
        <v>46</v>
      </c>
      <c r="R14" s="29" t="s">
        <v>17</v>
      </c>
      <c r="S14" s="29" t="s">
        <v>18</v>
      </c>
      <c r="T14" s="29" t="s">
        <v>19</v>
      </c>
      <c r="U14" s="29" t="s">
        <v>21</v>
      </c>
      <c r="V14" s="29" t="s">
        <v>22</v>
      </c>
      <c r="W14" s="30" t="s">
        <v>20</v>
      </c>
    </row>
    <row r="15" spans="1:23" x14ac:dyDescent="0.7">
      <c r="B15" s="23"/>
      <c r="C15" s="62" t="s">
        <v>12</v>
      </c>
      <c r="D15" s="32">
        <f>2^6</f>
        <v>64</v>
      </c>
      <c r="E15" s="21">
        <f>N15/M15</f>
        <v>0.36327621863230408</v>
      </c>
      <c r="F15" s="21">
        <f t="shared" ref="F15:F24" si="5">(1-E15)+E15*(1+200)</f>
        <v>73.65524372646081</v>
      </c>
      <c r="G15" s="21">
        <f>S15/R15</f>
        <v>0.23155588785104575</v>
      </c>
      <c r="H15" s="21">
        <f>V15/U15</f>
        <v>0.38490112955517319</v>
      </c>
      <c r="I15" s="24">
        <f>1-(S15+V15)/(R15+U15)+(S15+V15)/(R15+U15)*(1+200)</f>
        <v>70.104589664271245</v>
      </c>
      <c r="J15" s="1"/>
      <c r="K15" s="55"/>
      <c r="L15" s="32">
        <f>2^6</f>
        <v>64</v>
      </c>
      <c r="M15" s="32">
        <v>332199527</v>
      </c>
      <c r="N15" s="32">
        <v>120680188</v>
      </c>
      <c r="O15" s="33">
        <v>211519344</v>
      </c>
      <c r="P15" s="31"/>
      <c r="Q15" s="34">
        <f>2^6</f>
        <v>64</v>
      </c>
      <c r="R15" s="32">
        <v>85306939</v>
      </c>
      <c r="S15" s="32">
        <f>R15-T15</f>
        <v>19753324</v>
      </c>
      <c r="T15" s="32">
        <v>65553615</v>
      </c>
      <c r="U15" s="32">
        <v>246892588</v>
      </c>
      <c r="V15" s="32">
        <f>U15-W15</f>
        <v>95029236</v>
      </c>
      <c r="W15" s="33">
        <v>151863352</v>
      </c>
    </row>
    <row r="16" spans="1:23" x14ac:dyDescent="0.7">
      <c r="B16" s="23"/>
      <c r="C16" s="62"/>
      <c r="D16" s="32">
        <f>2^7</f>
        <v>128</v>
      </c>
      <c r="E16" s="21">
        <f t="shared" ref="E16:E18" si="6">N16/M16</f>
        <v>0.27739720412064284</v>
      </c>
      <c r="F16" s="21">
        <f t="shared" si="5"/>
        <v>56.479440824128567</v>
      </c>
      <c r="G16" s="21">
        <f t="shared" ref="G16:G18" si="7">S16/R16</f>
        <v>0.17124481514921078</v>
      </c>
      <c r="H16" s="21">
        <f t="shared" ref="H16:H18" si="8">V16/U16</f>
        <v>0.34776933846227898</v>
      </c>
      <c r="I16" s="24">
        <f t="shared" ref="I16:I18" si="9">1-(S16+V16)/(R16+U16)+(S16+V16)/(R16+U16)*(1+200)</f>
        <v>61.487770050316783</v>
      </c>
      <c r="J16" s="1"/>
      <c r="K16" s="55"/>
      <c r="L16" s="32">
        <f>2^7</f>
        <v>128</v>
      </c>
      <c r="M16" s="32">
        <v>332199527</v>
      </c>
      <c r="N16" s="32">
        <v>92151220</v>
      </c>
      <c r="O16" s="33">
        <v>240048307</v>
      </c>
      <c r="P16" s="31"/>
      <c r="Q16" s="34">
        <f>2^7</f>
        <v>128</v>
      </c>
      <c r="R16" s="32">
        <v>85306939</v>
      </c>
      <c r="S16" s="32">
        <f t="shared" ref="S16:S18" si="10">R16-T16</f>
        <v>14608371</v>
      </c>
      <c r="T16" s="32">
        <v>70698568</v>
      </c>
      <c r="U16" s="32">
        <v>246892588</v>
      </c>
      <c r="V16" s="32">
        <f t="shared" ref="V16:V18" si="11">U16-W16</f>
        <v>85861672</v>
      </c>
      <c r="W16" s="33">
        <v>161030916</v>
      </c>
    </row>
    <row r="17" spans="2:23" x14ac:dyDescent="0.7">
      <c r="B17" s="23"/>
      <c r="C17" s="62"/>
      <c r="D17" s="32">
        <f>2^8</f>
        <v>256</v>
      </c>
      <c r="E17" s="21">
        <f t="shared" si="6"/>
        <v>0.22238907944020039</v>
      </c>
      <c r="F17" s="21">
        <f t="shared" si="5"/>
        <v>45.477815888040084</v>
      </c>
      <c r="G17" s="21">
        <f t="shared" si="7"/>
        <v>0.10789579497161421</v>
      </c>
      <c r="H17" s="21">
        <f t="shared" si="8"/>
        <v>0.28247312957001364</v>
      </c>
      <c r="I17" s="24">
        <f t="shared" si="9"/>
        <v>48.528533657424504</v>
      </c>
      <c r="J17" s="1"/>
      <c r="K17" s="55"/>
      <c r="L17" s="32">
        <f>2^8</f>
        <v>256</v>
      </c>
      <c r="M17" s="32">
        <v>332199527</v>
      </c>
      <c r="N17" s="32">
        <v>73877547</v>
      </c>
      <c r="O17" s="33">
        <v>258321980</v>
      </c>
      <c r="P17" s="31"/>
      <c r="Q17" s="34">
        <f>2^8</f>
        <v>256</v>
      </c>
      <c r="R17" s="32">
        <v>85306939</v>
      </c>
      <c r="S17" s="32">
        <f t="shared" si="10"/>
        <v>9204260</v>
      </c>
      <c r="T17" s="32">
        <v>76102679</v>
      </c>
      <c r="U17" s="32">
        <v>246892588</v>
      </c>
      <c r="V17" s="32">
        <f t="shared" si="11"/>
        <v>69740522</v>
      </c>
      <c r="W17" s="33">
        <v>177152066</v>
      </c>
    </row>
    <row r="18" spans="2:23" ht="19.5" thickBot="1" x14ac:dyDescent="0.75">
      <c r="B18" s="23"/>
      <c r="C18" s="63"/>
      <c r="D18" s="42">
        <f>2^9</f>
        <v>512</v>
      </c>
      <c r="E18" s="27">
        <f t="shared" si="6"/>
        <v>0.17825768909056874</v>
      </c>
      <c r="F18" s="27">
        <f t="shared" si="5"/>
        <v>36.651537818113745</v>
      </c>
      <c r="G18" s="27">
        <f t="shared" si="7"/>
        <v>7.8283092539517804E-2</v>
      </c>
      <c r="H18" s="27">
        <f t="shared" si="8"/>
        <v>0.22905110055389755</v>
      </c>
      <c r="I18" s="43">
        <f t="shared" si="9"/>
        <v>39.0669476389712</v>
      </c>
      <c r="J18" s="1"/>
      <c r="K18" s="56"/>
      <c r="L18" s="35">
        <f>2^9</f>
        <v>512</v>
      </c>
      <c r="M18" s="35">
        <v>332199527</v>
      </c>
      <c r="N18" s="35">
        <v>59217120</v>
      </c>
      <c r="O18" s="36">
        <v>272982407</v>
      </c>
      <c r="P18" s="31"/>
      <c r="Q18" s="37">
        <f>2^9</f>
        <v>512</v>
      </c>
      <c r="R18" s="35">
        <v>85306939</v>
      </c>
      <c r="S18" s="35">
        <f t="shared" si="10"/>
        <v>6678091</v>
      </c>
      <c r="T18" s="35">
        <v>78628848</v>
      </c>
      <c r="U18" s="35">
        <v>246892588</v>
      </c>
      <c r="V18" s="35">
        <f t="shared" si="11"/>
        <v>56551019</v>
      </c>
      <c r="W18" s="36">
        <v>190341569</v>
      </c>
    </row>
    <row r="19" spans="2:23" ht="19.5" thickBot="1" x14ac:dyDescent="0.75">
      <c r="B19" s="23"/>
      <c r="C19" s="65" t="s">
        <v>1</v>
      </c>
      <c r="D19" s="60" t="s">
        <v>46</v>
      </c>
      <c r="E19" s="66" t="s">
        <v>2</v>
      </c>
      <c r="F19" s="57" t="s">
        <v>3</v>
      </c>
      <c r="G19" s="57" t="s">
        <v>4</v>
      </c>
      <c r="H19" s="57"/>
      <c r="I19" s="58" t="s">
        <v>25</v>
      </c>
      <c r="J19" s="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</row>
    <row r="20" spans="2:23" x14ac:dyDescent="0.7">
      <c r="B20" s="23"/>
      <c r="C20" s="62"/>
      <c r="D20" s="61"/>
      <c r="E20" s="67"/>
      <c r="F20" s="68"/>
      <c r="G20" s="21" t="s">
        <v>5</v>
      </c>
      <c r="H20" s="22" t="s">
        <v>6</v>
      </c>
      <c r="I20" s="59"/>
      <c r="J20" s="1"/>
      <c r="K20" s="54" t="s">
        <v>14</v>
      </c>
      <c r="L20" s="40" t="s">
        <v>46</v>
      </c>
      <c r="M20" s="29" t="s">
        <v>7</v>
      </c>
      <c r="N20" s="29" t="s">
        <v>8</v>
      </c>
      <c r="O20" s="30" t="s">
        <v>9</v>
      </c>
      <c r="P20" s="31"/>
      <c r="Q20" s="41" t="s">
        <v>46</v>
      </c>
      <c r="R20" s="29" t="s">
        <v>17</v>
      </c>
      <c r="S20" s="29" t="s">
        <v>18</v>
      </c>
      <c r="T20" s="29" t="s">
        <v>23</v>
      </c>
      <c r="U20" s="29" t="s">
        <v>21</v>
      </c>
      <c r="V20" s="29" t="s">
        <v>22</v>
      </c>
      <c r="W20" s="30" t="s">
        <v>20</v>
      </c>
    </row>
    <row r="21" spans="2:23" x14ac:dyDescent="0.7">
      <c r="B21" s="23"/>
      <c r="C21" s="62" t="s">
        <v>14</v>
      </c>
      <c r="D21" s="32">
        <f>2^6</f>
        <v>64</v>
      </c>
      <c r="E21" s="21">
        <f>N21/M21</f>
        <v>0.20565299075327728</v>
      </c>
      <c r="F21" s="21">
        <f t="shared" si="5"/>
        <v>42.130598150655452</v>
      </c>
      <c r="G21" s="21">
        <f>S21/R21</f>
        <v>0.12577306441672156</v>
      </c>
      <c r="H21" s="21">
        <f>V21/U21</f>
        <v>0.21066752148068654</v>
      </c>
      <c r="I21" s="24">
        <f>1-(S21+V21)/(R21+U21)+(S21+V21)/(R21+U21)*(1+200)</f>
        <v>38.940951121466881</v>
      </c>
      <c r="J21" s="1"/>
      <c r="K21" s="55"/>
      <c r="L21" s="32">
        <f>2^6</f>
        <v>64</v>
      </c>
      <c r="M21" s="32">
        <v>190554</v>
      </c>
      <c r="N21" s="32">
        <v>39188</v>
      </c>
      <c r="O21" s="33">
        <v>151366</v>
      </c>
      <c r="P21" s="31"/>
      <c r="Q21" s="34">
        <f>2^6</f>
        <v>64</v>
      </c>
      <c r="R21" s="32">
        <v>47053</v>
      </c>
      <c r="S21" s="32">
        <f>R21-T21</f>
        <v>5918</v>
      </c>
      <c r="T21" s="32">
        <v>41135</v>
      </c>
      <c r="U21" s="32">
        <v>143501</v>
      </c>
      <c r="V21" s="32">
        <f>U21-W21</f>
        <v>30231</v>
      </c>
      <c r="W21" s="33">
        <v>113270</v>
      </c>
    </row>
    <row r="22" spans="2:23" x14ac:dyDescent="0.7">
      <c r="B22" s="23"/>
      <c r="C22" s="62"/>
      <c r="D22" s="32">
        <f>2^7</f>
        <v>128</v>
      </c>
      <c r="E22" s="21">
        <f t="shared" ref="E22:E24" si="12">N22/M22</f>
        <v>0.17964461517470112</v>
      </c>
      <c r="F22" s="21">
        <f t="shared" si="5"/>
        <v>36.928923034940226</v>
      </c>
      <c r="G22" s="21">
        <f t="shared" ref="G22:G24" si="13">S22/R22</f>
        <v>9.1705098505940108E-2</v>
      </c>
      <c r="H22" s="21">
        <f t="shared" ref="H22:H24" si="14">V22/U22</f>
        <v>0.18891157552909038</v>
      </c>
      <c r="I22" s="24">
        <f t="shared" ref="I22:I24" si="15">1-(S22+V22)/(R22+U22)+(S22+V22)/(R22+U22)*(1+200)</f>
        <v>33.981726964534985</v>
      </c>
      <c r="J22" s="1"/>
      <c r="K22" s="55"/>
      <c r="L22" s="32">
        <f>2^7</f>
        <v>128</v>
      </c>
      <c r="M22" s="32">
        <v>190554</v>
      </c>
      <c r="N22" s="32">
        <v>34232</v>
      </c>
      <c r="O22" s="33">
        <v>156322</v>
      </c>
      <c r="P22" s="31"/>
      <c r="Q22" s="34">
        <f>2^7</f>
        <v>128</v>
      </c>
      <c r="R22" s="32">
        <v>47053</v>
      </c>
      <c r="S22" s="32">
        <f t="shared" ref="S22:S24" si="16">R22-T22</f>
        <v>4315</v>
      </c>
      <c r="T22" s="32">
        <v>42738</v>
      </c>
      <c r="U22" s="32">
        <v>143501</v>
      </c>
      <c r="V22" s="32">
        <f t="shared" ref="V22:V24" si="17">U22-W22</f>
        <v>27109</v>
      </c>
      <c r="W22" s="33">
        <v>116392</v>
      </c>
    </row>
    <row r="23" spans="2:23" x14ac:dyDescent="0.7">
      <c r="B23" s="23"/>
      <c r="C23" s="62"/>
      <c r="D23" s="32">
        <f>2^8</f>
        <v>256</v>
      </c>
      <c r="E23" s="21">
        <f t="shared" si="12"/>
        <v>0.14259475004460678</v>
      </c>
      <c r="F23" s="21">
        <f t="shared" si="5"/>
        <v>29.518950008921358</v>
      </c>
      <c r="G23" s="21">
        <f t="shared" si="13"/>
        <v>4.556563874779504E-2</v>
      </c>
      <c r="H23" s="21">
        <f t="shared" si="14"/>
        <v>0.17452143190639788</v>
      </c>
      <c r="I23" s="24">
        <f t="shared" si="15"/>
        <v>29.535743148923665</v>
      </c>
      <c r="J23" s="1"/>
      <c r="K23" s="55"/>
      <c r="L23" s="32">
        <f>2^8</f>
        <v>256</v>
      </c>
      <c r="M23" s="32">
        <v>190554</v>
      </c>
      <c r="N23" s="32">
        <v>27172</v>
      </c>
      <c r="O23" s="33">
        <v>163382</v>
      </c>
      <c r="P23" s="31"/>
      <c r="Q23" s="34">
        <f>2^8</f>
        <v>256</v>
      </c>
      <c r="R23" s="32">
        <v>47053</v>
      </c>
      <c r="S23" s="32">
        <f t="shared" si="16"/>
        <v>2144</v>
      </c>
      <c r="T23" s="32">
        <v>44909</v>
      </c>
      <c r="U23" s="32">
        <v>143501</v>
      </c>
      <c r="V23" s="32">
        <f t="shared" si="17"/>
        <v>25044</v>
      </c>
      <c r="W23" s="33">
        <v>118457</v>
      </c>
    </row>
    <row r="24" spans="2:23" ht="19.5" thickBot="1" x14ac:dyDescent="0.75">
      <c r="B24" s="23"/>
      <c r="C24" s="64"/>
      <c r="D24" s="35">
        <f>2^9</f>
        <v>512</v>
      </c>
      <c r="E24" s="25">
        <f t="shared" si="12"/>
        <v>0.10179791555149721</v>
      </c>
      <c r="F24" s="25">
        <f t="shared" si="5"/>
        <v>21.359583110299443</v>
      </c>
      <c r="G24" s="25">
        <f t="shared" si="13"/>
        <v>3.9317365523983593E-2</v>
      </c>
      <c r="H24" s="25">
        <f t="shared" si="14"/>
        <v>0.13168549348088165</v>
      </c>
      <c r="I24" s="26">
        <f t="shared" si="15"/>
        <v>22.775454726744126</v>
      </c>
      <c r="K24" s="56"/>
      <c r="L24" s="35">
        <f>2^9</f>
        <v>512</v>
      </c>
      <c r="M24" s="35">
        <v>190554</v>
      </c>
      <c r="N24" s="35">
        <v>19398</v>
      </c>
      <c r="O24" s="36">
        <v>171156</v>
      </c>
      <c r="P24" s="31"/>
      <c r="Q24" s="37">
        <f>2^9</f>
        <v>512</v>
      </c>
      <c r="R24" s="35">
        <v>47053</v>
      </c>
      <c r="S24" s="35">
        <f t="shared" si="16"/>
        <v>1850</v>
      </c>
      <c r="T24" s="35">
        <v>45203</v>
      </c>
      <c r="U24" s="35">
        <v>143501</v>
      </c>
      <c r="V24" s="35">
        <f t="shared" si="17"/>
        <v>18897</v>
      </c>
      <c r="W24" s="36">
        <v>124604</v>
      </c>
    </row>
    <row r="25" spans="2:23" x14ac:dyDescent="0.7">
      <c r="C25" s="1"/>
      <c r="D25" s="1"/>
      <c r="E25" s="1"/>
      <c r="F25" s="1"/>
      <c r="G25" s="1"/>
      <c r="H25" s="1"/>
      <c r="I25" s="1"/>
    </row>
    <row r="26" spans="2:23" x14ac:dyDescent="0.7">
      <c r="C26" s="1"/>
      <c r="D26" s="1"/>
      <c r="E26" s="1"/>
      <c r="F26" s="1"/>
      <c r="G26" s="1"/>
      <c r="H26" s="1"/>
      <c r="I26" s="1"/>
      <c r="L26" s="1"/>
      <c r="M26" s="1"/>
      <c r="N26" s="1"/>
      <c r="O26" s="1"/>
      <c r="P26" s="1"/>
    </row>
    <row r="27" spans="2:23" x14ac:dyDescent="0.7">
      <c r="C27" s="1"/>
      <c r="D27" s="1"/>
      <c r="E27" s="1"/>
      <c r="F27" s="1"/>
      <c r="G27" s="1"/>
      <c r="H27" s="1"/>
      <c r="I27" s="1"/>
      <c r="L27" s="1"/>
      <c r="M27" s="1"/>
      <c r="N27" s="1"/>
      <c r="O27" s="1"/>
      <c r="P27" s="1"/>
    </row>
    <row r="28" spans="2:23" x14ac:dyDescent="0.7">
      <c r="L28" s="1"/>
      <c r="M28" s="1"/>
      <c r="N28" s="1"/>
      <c r="O28" s="1"/>
      <c r="P28" s="1"/>
    </row>
    <row r="29" spans="2:23" x14ac:dyDescent="0.7">
      <c r="L29" s="1"/>
      <c r="M29" s="1"/>
      <c r="N29" s="1"/>
      <c r="O29" s="1"/>
      <c r="P29" s="1"/>
    </row>
    <row r="30" spans="2:23" x14ac:dyDescent="0.7">
      <c r="L30" s="1"/>
      <c r="M30" s="1"/>
      <c r="N30" s="1"/>
      <c r="O30" s="1"/>
      <c r="P30" s="1"/>
    </row>
  </sheetData>
  <mergeCells count="24">
    <mergeCell ref="C15:C18"/>
    <mergeCell ref="C21:C24"/>
    <mergeCell ref="I7:I8"/>
    <mergeCell ref="C7:C8"/>
    <mergeCell ref="C9:C12"/>
    <mergeCell ref="G7:H7"/>
    <mergeCell ref="E7:E8"/>
    <mergeCell ref="F7:F8"/>
    <mergeCell ref="C13:C14"/>
    <mergeCell ref="E13:E14"/>
    <mergeCell ref="F13:F14"/>
    <mergeCell ref="G13:H13"/>
    <mergeCell ref="I13:I14"/>
    <mergeCell ref="C19:C20"/>
    <mergeCell ref="E19:E20"/>
    <mergeCell ref="F19:F20"/>
    <mergeCell ref="D13:D14"/>
    <mergeCell ref="D7:D8"/>
    <mergeCell ref="K8:K12"/>
    <mergeCell ref="K14:K18"/>
    <mergeCell ref="K20:K24"/>
    <mergeCell ref="G19:H19"/>
    <mergeCell ref="I19:I20"/>
    <mergeCell ref="D19:D2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D81BA-647B-480B-B2F5-12B9FD57D0F3}">
  <dimension ref="C3:Q24"/>
  <sheetViews>
    <sheetView showGridLines="0" topLeftCell="A5" zoomScale="91" zoomScaleNormal="91" workbookViewId="0">
      <pane xSplit="3" topLeftCell="D1" activePane="topRight" state="frozen"/>
      <selection pane="topRight" activeCell="M16" sqref="M16"/>
    </sheetView>
  </sheetViews>
  <sheetFormatPr defaultRowHeight="19.149999999999999" x14ac:dyDescent="0.7"/>
  <cols>
    <col min="4" max="4" width="12" bestFit="1" customWidth="1"/>
    <col min="5" max="6" width="14.38671875" bestFit="1" customWidth="1"/>
    <col min="7" max="7" width="12.38671875" bestFit="1" customWidth="1"/>
    <col min="8" max="8" width="8.94140625" bestFit="1" customWidth="1"/>
    <col min="10" max="10" width="6.5" style="2" customWidth="1"/>
    <col min="11" max="11" width="12" style="2" bestFit="1" customWidth="1"/>
    <col min="12" max="15" width="10.0546875" style="2" bestFit="1" customWidth="1"/>
    <col min="16" max="16" width="9" style="2" bestFit="1" customWidth="1"/>
    <col min="17" max="17" width="10.0546875" bestFit="1" customWidth="1"/>
  </cols>
  <sheetData>
    <row r="3" spans="3:17" ht="19.5" thickBot="1" x14ac:dyDescent="0.75">
      <c r="J3" s="1"/>
      <c r="K3" s="1"/>
      <c r="L3" s="1"/>
      <c r="M3" s="1"/>
    </row>
    <row r="4" spans="3:17" ht="19.5" thickBot="1" x14ac:dyDescent="0.75">
      <c r="C4" s="84" t="s">
        <v>45</v>
      </c>
      <c r="D4" s="85"/>
      <c r="E4" s="85"/>
      <c r="F4" s="85"/>
      <c r="G4" s="85"/>
      <c r="H4" s="86"/>
      <c r="I4" s="1"/>
      <c r="J4" s="81"/>
      <c r="K4" s="82"/>
      <c r="L4" s="82"/>
      <c r="M4" s="82"/>
      <c r="N4" s="83"/>
      <c r="O4" s="75" t="s">
        <v>7</v>
      </c>
      <c r="P4" s="75"/>
      <c r="Q4" s="75"/>
    </row>
    <row r="5" spans="3:17" ht="38.25" x14ac:dyDescent="0.7">
      <c r="C5" s="72" t="s">
        <v>10</v>
      </c>
      <c r="D5" s="8" t="s">
        <v>26</v>
      </c>
      <c r="E5" s="8" t="s">
        <v>38</v>
      </c>
      <c r="F5" s="8" t="s">
        <v>39</v>
      </c>
      <c r="G5" s="16" t="s">
        <v>2</v>
      </c>
      <c r="H5" s="17" t="s">
        <v>44</v>
      </c>
      <c r="I5" s="1"/>
      <c r="J5" s="78" t="s">
        <v>10</v>
      </c>
      <c r="K5" s="8" t="s">
        <v>34</v>
      </c>
      <c r="L5" s="8" t="s">
        <v>40</v>
      </c>
      <c r="M5" s="8" t="s">
        <v>41</v>
      </c>
      <c r="N5" s="8" t="s">
        <v>42</v>
      </c>
      <c r="O5" s="8" t="s">
        <v>35</v>
      </c>
      <c r="P5" s="8" t="s">
        <v>36</v>
      </c>
      <c r="Q5" s="17" t="s">
        <v>37</v>
      </c>
    </row>
    <row r="6" spans="3:17" x14ac:dyDescent="0.7">
      <c r="C6" s="73"/>
      <c r="D6" s="3" t="s">
        <v>28</v>
      </c>
      <c r="E6" s="3">
        <f>L6/O6</f>
        <v>0.51536251939632571</v>
      </c>
      <c r="F6" s="3">
        <f>M6/P6</f>
        <v>0.31480387224646988</v>
      </c>
      <c r="G6" s="3">
        <f>N6/Q6</f>
        <v>7.1197111808803934E-2</v>
      </c>
      <c r="H6" s="4">
        <f>1-(L6+M6)/(O6+P6)+(L6+M6)/(O6+P6)*(20*(1-G6)+G6*(1+200))</f>
        <v>15.527129746046507</v>
      </c>
      <c r="I6" s="1"/>
      <c r="J6" s="79"/>
      <c r="K6" s="5" t="s">
        <v>33</v>
      </c>
      <c r="L6" s="3">
        <v>94487963</v>
      </c>
      <c r="M6" s="3">
        <v>24506702</v>
      </c>
      <c r="N6" s="3">
        <v>9361406</v>
      </c>
      <c r="O6" s="3">
        <v>183342714</v>
      </c>
      <c r="P6" s="3">
        <v>77847524</v>
      </c>
      <c r="Q6" s="4">
        <v>131485755</v>
      </c>
    </row>
    <row r="7" spans="3:17" x14ac:dyDescent="0.7">
      <c r="C7" s="73"/>
      <c r="D7" s="3" t="s">
        <v>29</v>
      </c>
      <c r="E7" s="3">
        <f t="shared" ref="E7:E10" si="0">L7/O7</f>
        <v>0.43600089284158844</v>
      </c>
      <c r="F7" s="3">
        <f t="shared" ref="F7:F10" si="1">M7/P7</f>
        <v>0.23502473887287667</v>
      </c>
      <c r="G7" s="3">
        <f t="shared" ref="G7:G9" si="2">N7/Q7</f>
        <v>0.16050909856044063</v>
      </c>
      <c r="H7" s="4">
        <f t="shared" ref="H7:H23" si="3">1-(L7+M7)/(O7+P7)+(L7+M7)/(O7+P7)*(20*(1-G7)+G7*(1+200))</f>
        <v>19.072418403289188</v>
      </c>
      <c r="I7" s="1"/>
      <c r="J7" s="79"/>
      <c r="K7" s="6" t="s">
        <v>29</v>
      </c>
      <c r="L7" s="3">
        <v>79937587</v>
      </c>
      <c r="M7" s="3">
        <v>18296094</v>
      </c>
      <c r="N7" s="3">
        <v>17291876</v>
      </c>
      <c r="O7" s="3">
        <v>183342714</v>
      </c>
      <c r="P7" s="3">
        <v>77847524</v>
      </c>
      <c r="Q7" s="4">
        <v>107731438</v>
      </c>
    </row>
    <row r="8" spans="3:17" x14ac:dyDescent="0.7">
      <c r="C8" s="73"/>
      <c r="D8" s="3" t="s">
        <v>30</v>
      </c>
      <c r="E8" s="3">
        <f t="shared" si="0"/>
        <v>0.36093933353686475</v>
      </c>
      <c r="F8" s="3">
        <f t="shared" si="1"/>
        <v>0.16703337925044348</v>
      </c>
      <c r="G8" s="3">
        <f t="shared" si="2"/>
        <v>0.36680262016348347</v>
      </c>
      <c r="H8" s="4">
        <f t="shared" si="3"/>
        <v>26.886008875059208</v>
      </c>
      <c r="I8" s="1"/>
      <c r="J8" s="79"/>
      <c r="K8" s="6" t="s">
        <v>30</v>
      </c>
      <c r="L8" s="3">
        <v>66175597</v>
      </c>
      <c r="M8" s="3">
        <v>13003135</v>
      </c>
      <c r="N8" s="3">
        <v>31653483</v>
      </c>
      <c r="O8" s="3">
        <v>183342714</v>
      </c>
      <c r="P8" s="3">
        <v>77847524</v>
      </c>
      <c r="Q8" s="4">
        <v>86295684</v>
      </c>
    </row>
    <row r="9" spans="3:17" x14ac:dyDescent="0.7">
      <c r="C9" s="73"/>
      <c r="D9" s="3" t="s">
        <v>31</v>
      </c>
      <c r="E9" s="3">
        <f t="shared" si="0"/>
        <v>0.2989923777391012</v>
      </c>
      <c r="F9" s="3">
        <f t="shared" si="1"/>
        <v>0.12051567625965856</v>
      </c>
      <c r="G9" s="3">
        <f t="shared" si="2"/>
        <v>0.87002377456786451</v>
      </c>
      <c r="H9" s="4">
        <f t="shared" si="3"/>
        <v>44.376951644584615</v>
      </c>
      <c r="I9" s="1"/>
      <c r="J9" s="79"/>
      <c r="K9" s="6" t="s">
        <v>31</v>
      </c>
      <c r="L9" s="3">
        <v>54818074</v>
      </c>
      <c r="M9" s="3">
        <v>9381847</v>
      </c>
      <c r="N9" s="3">
        <v>60515599</v>
      </c>
      <c r="O9" s="3">
        <v>183342714</v>
      </c>
      <c r="P9" s="3">
        <v>77847524</v>
      </c>
      <c r="Q9" s="4">
        <v>69556259</v>
      </c>
    </row>
    <row r="10" spans="3:17" ht="19.5" thickBot="1" x14ac:dyDescent="0.75">
      <c r="C10" s="74"/>
      <c r="D10" s="12" t="s">
        <v>32</v>
      </c>
      <c r="E10" s="12">
        <f t="shared" si="0"/>
        <v>0.27426410847174432</v>
      </c>
      <c r="F10" s="12">
        <f t="shared" si="1"/>
        <v>8.6189472127591371E-2</v>
      </c>
      <c r="G10" s="12" t="s">
        <v>43</v>
      </c>
      <c r="H10" s="14">
        <f>1-(L9+M9)/(O9+P9)+(L9+M9)/(O9+P9)*(1+200)</f>
        <v>50.159510318299112</v>
      </c>
      <c r="I10" s="1"/>
      <c r="J10" s="80"/>
      <c r="K10" s="19" t="s">
        <v>32</v>
      </c>
      <c r="L10" s="12">
        <v>50284326</v>
      </c>
      <c r="M10" s="12">
        <v>6709637</v>
      </c>
      <c r="N10" s="12" t="s">
        <v>43</v>
      </c>
      <c r="O10" s="12">
        <v>183342714</v>
      </c>
      <c r="P10" s="12">
        <v>77847524</v>
      </c>
      <c r="Q10" s="14" t="s">
        <v>43</v>
      </c>
    </row>
    <row r="11" spans="3:17" s="18" customFormat="1" ht="19.5" thickBot="1" x14ac:dyDescent="0.75">
      <c r="C11" s="7"/>
      <c r="D11" s="7"/>
      <c r="E11" s="7"/>
      <c r="F11" s="7"/>
      <c r="G11" s="7"/>
      <c r="H11" s="7"/>
      <c r="I11" s="7"/>
      <c r="J11" s="76"/>
      <c r="K11" s="76"/>
      <c r="L11" s="76"/>
      <c r="M11" s="76"/>
      <c r="N11" s="76"/>
      <c r="O11" s="76" t="s">
        <v>7</v>
      </c>
      <c r="P11" s="76"/>
      <c r="Q11" s="76"/>
    </row>
    <row r="12" spans="3:17" ht="38.25" x14ac:dyDescent="0.7">
      <c r="C12" s="72" t="s">
        <v>12</v>
      </c>
      <c r="D12" s="8" t="s">
        <v>26</v>
      </c>
      <c r="E12" s="8" t="s">
        <v>38</v>
      </c>
      <c r="F12" s="8" t="s">
        <v>39</v>
      </c>
      <c r="G12" s="16" t="s">
        <v>2</v>
      </c>
      <c r="H12" s="17" t="s">
        <v>44</v>
      </c>
      <c r="I12" s="1"/>
      <c r="J12" s="72" t="s">
        <v>13</v>
      </c>
      <c r="K12" s="8" t="s">
        <v>34</v>
      </c>
      <c r="L12" s="8" t="s">
        <v>8</v>
      </c>
      <c r="M12" s="8" t="s">
        <v>8</v>
      </c>
      <c r="N12" s="8" t="s">
        <v>8</v>
      </c>
      <c r="O12" s="8" t="s">
        <v>35</v>
      </c>
      <c r="P12" s="8" t="s">
        <v>36</v>
      </c>
      <c r="Q12" s="17" t="s">
        <v>37</v>
      </c>
    </row>
    <row r="13" spans="3:17" x14ac:dyDescent="0.7">
      <c r="C13" s="73"/>
      <c r="D13" s="3" t="s">
        <v>28</v>
      </c>
      <c r="E13" s="3">
        <f>L13/O13</f>
        <v>0.53135114368034408</v>
      </c>
      <c r="F13" s="3">
        <f>M13/P13</f>
        <v>0.32468600238955941</v>
      </c>
      <c r="G13" s="3">
        <f>N13/Q13</f>
        <v>0.24493508725375548</v>
      </c>
      <c r="H13" s="4">
        <f t="shared" si="3"/>
        <v>31.291072606690822</v>
      </c>
      <c r="I13" s="1"/>
      <c r="J13" s="73"/>
      <c r="K13" s="6" t="s">
        <v>33</v>
      </c>
      <c r="L13" s="3">
        <v>131186659</v>
      </c>
      <c r="M13" s="3">
        <v>27697969</v>
      </c>
      <c r="N13" s="3">
        <v>41563190</v>
      </c>
      <c r="O13" s="3">
        <v>246892588</v>
      </c>
      <c r="P13" s="3">
        <v>85306939</v>
      </c>
      <c r="Q13" s="4">
        <v>169690633</v>
      </c>
    </row>
    <row r="14" spans="3:17" x14ac:dyDescent="0.7">
      <c r="C14" s="73"/>
      <c r="D14" s="3" t="s">
        <v>29</v>
      </c>
      <c r="E14" s="3">
        <f t="shared" ref="E14:E17" si="4">L14/O14</f>
        <v>0.48871233833880828</v>
      </c>
      <c r="F14" s="3">
        <f t="shared" ref="F14:F17" si="5">M14/P14</f>
        <v>0.27838178556611909</v>
      </c>
      <c r="G14" s="3">
        <f t="shared" ref="G14:G16" si="6">N14/Q14</f>
        <v>0.61535602465311923</v>
      </c>
      <c r="H14" s="4">
        <f t="shared" si="3"/>
        <v>57.676028176253432</v>
      </c>
      <c r="I14" s="1"/>
      <c r="J14" s="73"/>
      <c r="K14" s="6" t="s">
        <v>29</v>
      </c>
      <c r="L14" s="3">
        <v>120659454</v>
      </c>
      <c r="M14" s="3">
        <v>23747898</v>
      </c>
      <c r="N14" s="3">
        <v>94614756</v>
      </c>
      <c r="O14" s="3">
        <v>246892588</v>
      </c>
      <c r="P14" s="3">
        <v>85306939</v>
      </c>
      <c r="Q14" s="4">
        <v>153756122</v>
      </c>
    </row>
    <row r="15" spans="3:17" x14ac:dyDescent="0.7">
      <c r="C15" s="73"/>
      <c r="D15" s="3" t="s">
        <v>30</v>
      </c>
      <c r="E15" s="3">
        <f t="shared" si="4"/>
        <v>0.38490112955517319</v>
      </c>
      <c r="F15" s="3">
        <f t="shared" si="5"/>
        <v>0.23155588785104575</v>
      </c>
      <c r="G15" s="3">
        <f>N15/Q15</f>
        <v>0.59080227106305072</v>
      </c>
      <c r="H15" s="4">
        <f t="shared" si="3"/>
        <v>44.513505423756939</v>
      </c>
      <c r="I15" s="1"/>
      <c r="J15" s="73"/>
      <c r="K15" s="6" t="s">
        <v>30</v>
      </c>
      <c r="L15" s="3">
        <v>95029236</v>
      </c>
      <c r="M15" s="3">
        <v>19753324</v>
      </c>
      <c r="N15" s="3">
        <v>72054128</v>
      </c>
      <c r="O15" s="3">
        <v>246892588</v>
      </c>
      <c r="P15" s="3">
        <v>85306939</v>
      </c>
      <c r="Q15" s="4">
        <v>121959802</v>
      </c>
    </row>
    <row r="16" spans="3:17" x14ac:dyDescent="0.7">
      <c r="C16" s="73"/>
      <c r="D16" s="3" t="s">
        <v>31</v>
      </c>
      <c r="E16" s="3">
        <f t="shared" si="4"/>
        <v>0.34776933846227898</v>
      </c>
      <c r="F16" s="3">
        <f t="shared" si="5"/>
        <v>0.17124481514921078</v>
      </c>
      <c r="G16" s="3">
        <f t="shared" si="6"/>
        <v>0.80056845340373983</v>
      </c>
      <c r="H16" s="4">
        <f t="shared" si="3"/>
        <v>50.570601624496049</v>
      </c>
      <c r="I16" s="1"/>
      <c r="J16" s="73"/>
      <c r="K16" s="6" t="s">
        <v>31</v>
      </c>
      <c r="L16" s="3">
        <v>85861672</v>
      </c>
      <c r="M16" s="3">
        <v>14608371</v>
      </c>
      <c r="N16" s="3">
        <v>84339371</v>
      </c>
      <c r="O16" s="3">
        <v>246892588</v>
      </c>
      <c r="P16" s="3">
        <v>85306939</v>
      </c>
      <c r="Q16" s="4">
        <v>105349356</v>
      </c>
    </row>
    <row r="17" spans="3:17" ht="19.5" thickBot="1" x14ac:dyDescent="0.75">
      <c r="C17" s="74"/>
      <c r="D17" s="12" t="s">
        <v>32</v>
      </c>
      <c r="E17" s="12">
        <f t="shared" si="4"/>
        <v>0.28247312957001364</v>
      </c>
      <c r="F17" s="12">
        <f t="shared" si="5"/>
        <v>0.10789579497161421</v>
      </c>
      <c r="G17" s="12" t="s">
        <v>43</v>
      </c>
      <c r="H17" s="14">
        <f>1-(L17+M17)/(O17+P17)+(L17+M17)/(O17+P17)*(1+200)</f>
        <v>48.528533657424504</v>
      </c>
      <c r="I17" s="1"/>
      <c r="J17" s="74"/>
      <c r="K17" s="19" t="s">
        <v>32</v>
      </c>
      <c r="L17" s="12">
        <v>69740522</v>
      </c>
      <c r="M17" s="12">
        <v>9204260</v>
      </c>
      <c r="N17" s="12" t="s">
        <v>43</v>
      </c>
      <c r="O17" s="12">
        <v>246892588</v>
      </c>
      <c r="P17" s="12">
        <v>85306939</v>
      </c>
      <c r="Q17" s="14" t="s">
        <v>43</v>
      </c>
    </row>
    <row r="18" spans="3:17" ht="19.5" thickBot="1" x14ac:dyDescent="0.75">
      <c r="C18" s="1"/>
      <c r="D18" s="1"/>
      <c r="E18" s="1"/>
      <c r="F18" s="1"/>
      <c r="G18" s="1"/>
      <c r="H18" s="1"/>
      <c r="I18" s="1"/>
      <c r="J18" s="77"/>
      <c r="K18" s="77"/>
      <c r="L18" s="77"/>
      <c r="M18" s="77"/>
      <c r="N18" s="77"/>
      <c r="O18" s="77" t="s">
        <v>7</v>
      </c>
      <c r="P18" s="77"/>
      <c r="Q18" s="77"/>
    </row>
    <row r="19" spans="3:17" ht="38.25" x14ac:dyDescent="0.7">
      <c r="C19" s="72" t="s">
        <v>11</v>
      </c>
      <c r="D19" s="8" t="s">
        <v>26</v>
      </c>
      <c r="E19" s="8" t="s">
        <v>38</v>
      </c>
      <c r="F19" s="8" t="s">
        <v>39</v>
      </c>
      <c r="G19" s="16" t="s">
        <v>2</v>
      </c>
      <c r="H19" s="17" t="s">
        <v>44</v>
      </c>
      <c r="I19" s="1"/>
      <c r="J19" s="72" t="s">
        <v>14</v>
      </c>
      <c r="K19" s="8" t="s">
        <v>34</v>
      </c>
      <c r="L19" s="8" t="s">
        <v>8</v>
      </c>
      <c r="M19" s="8" t="s">
        <v>8</v>
      </c>
      <c r="N19" s="8" t="s">
        <v>8</v>
      </c>
      <c r="O19" s="8" t="s">
        <v>35</v>
      </c>
      <c r="P19" s="8" t="s">
        <v>36</v>
      </c>
      <c r="Q19" s="17" t="s">
        <v>37</v>
      </c>
    </row>
    <row r="20" spans="3:17" x14ac:dyDescent="0.7">
      <c r="C20" s="73"/>
      <c r="D20" s="3" t="s">
        <v>28</v>
      </c>
      <c r="E20" s="3">
        <f>L20/O20</f>
        <v>0.27828377502595802</v>
      </c>
      <c r="F20" s="3">
        <f>M20/P20</f>
        <v>0.21269632116974477</v>
      </c>
      <c r="G20" s="3">
        <f>N20/Q20</f>
        <v>0.20182473695828121</v>
      </c>
      <c r="H20" s="4">
        <f t="shared" si="3"/>
        <v>15.553843600154586</v>
      </c>
      <c r="I20" s="1"/>
      <c r="J20" s="73"/>
      <c r="K20" s="6" t="s">
        <v>33</v>
      </c>
      <c r="L20" s="3">
        <v>39934</v>
      </c>
      <c r="M20" s="3">
        <v>10008</v>
      </c>
      <c r="N20" s="3">
        <v>10972</v>
      </c>
      <c r="O20" s="3">
        <v>143501</v>
      </c>
      <c r="P20" s="3">
        <v>47053</v>
      </c>
      <c r="Q20" s="4">
        <v>54364</v>
      </c>
    </row>
    <row r="21" spans="3:17" x14ac:dyDescent="0.7">
      <c r="C21" s="73"/>
      <c r="D21" s="3" t="s">
        <v>29</v>
      </c>
      <c r="E21" s="3">
        <f t="shared" ref="E21:E24" si="7">L21/$O$20</f>
        <v>0.22505766510337907</v>
      </c>
      <c r="F21" s="3">
        <f t="shared" ref="F21:F24" si="8">M21/$O$22</f>
        <v>5.2257475557661616E-2</v>
      </c>
      <c r="G21" s="3">
        <f t="shared" ref="G21:G23" si="9">N21/Q21</f>
        <v>0.42639500311153111</v>
      </c>
      <c r="H21" s="4">
        <f t="shared" si="3"/>
        <v>21.085558088190393</v>
      </c>
      <c r="I21" s="1"/>
      <c r="J21" s="73"/>
      <c r="K21" s="6" t="s">
        <v>29</v>
      </c>
      <c r="L21" s="3">
        <v>32296</v>
      </c>
      <c r="M21" s="3">
        <v>7499</v>
      </c>
      <c r="N21" s="3">
        <v>18500</v>
      </c>
      <c r="O21" s="3">
        <v>143501</v>
      </c>
      <c r="P21" s="3">
        <v>47053</v>
      </c>
      <c r="Q21" s="4">
        <v>43387</v>
      </c>
    </row>
    <row r="22" spans="3:17" x14ac:dyDescent="0.7">
      <c r="C22" s="73"/>
      <c r="D22" s="3" t="s">
        <v>30</v>
      </c>
      <c r="E22" s="3">
        <f t="shared" si="7"/>
        <v>0.21066752148068654</v>
      </c>
      <c r="F22" s="3">
        <f t="shared" si="8"/>
        <v>4.1240130730796298E-2</v>
      </c>
      <c r="G22" s="3">
        <f t="shared" si="9"/>
        <v>0.63960466838623997</v>
      </c>
      <c r="H22" s="4">
        <f t="shared" si="3"/>
        <v>26.566214918114806</v>
      </c>
      <c r="I22" s="1"/>
      <c r="J22" s="73"/>
      <c r="K22" s="6" t="s">
        <v>30</v>
      </c>
      <c r="L22" s="3">
        <v>30231</v>
      </c>
      <c r="M22" s="3">
        <v>5918</v>
      </c>
      <c r="N22" s="3">
        <v>25045</v>
      </c>
      <c r="O22" s="3">
        <v>143501</v>
      </c>
      <c r="P22" s="3">
        <v>47053</v>
      </c>
      <c r="Q22" s="4">
        <v>39157</v>
      </c>
    </row>
    <row r="23" spans="3:17" x14ac:dyDescent="0.7">
      <c r="C23" s="73"/>
      <c r="D23" s="3" t="s">
        <v>31</v>
      </c>
      <c r="E23" s="3">
        <f t="shared" si="7"/>
        <v>0.18891157552909038</v>
      </c>
      <c r="F23" s="3">
        <f t="shared" si="8"/>
        <v>3.006947686775702E-2</v>
      </c>
      <c r="G23" s="3">
        <f t="shared" si="9"/>
        <v>0.87303978027819618</v>
      </c>
      <c r="H23" s="4">
        <f t="shared" si="3"/>
        <v>30.192159556024166</v>
      </c>
      <c r="I23" s="1"/>
      <c r="J23" s="73"/>
      <c r="K23" s="6" t="s">
        <v>31</v>
      </c>
      <c r="L23" s="3">
        <v>27109</v>
      </c>
      <c r="M23" s="3">
        <v>4315</v>
      </c>
      <c r="N23" s="3">
        <v>29562</v>
      </c>
      <c r="O23" s="3">
        <v>143501</v>
      </c>
      <c r="P23" s="3">
        <v>47053</v>
      </c>
      <c r="Q23" s="4">
        <v>33861</v>
      </c>
    </row>
    <row r="24" spans="3:17" ht="19.5" thickBot="1" x14ac:dyDescent="0.75">
      <c r="C24" s="74"/>
      <c r="D24" s="12" t="s">
        <v>32</v>
      </c>
      <c r="E24" s="12">
        <f t="shared" si="7"/>
        <v>0.17452143190639788</v>
      </c>
      <c r="F24" s="12">
        <f t="shared" si="8"/>
        <v>1.4940662434408123E-2</v>
      </c>
      <c r="G24" s="12" t="s">
        <v>43</v>
      </c>
      <c r="H24" s="14">
        <f>1-(L24+M24)/(O24+P24)+(L24+M24)/(O24+P24)*(1+200)</f>
        <v>29.535743148923665</v>
      </c>
      <c r="I24" s="1"/>
      <c r="J24" s="74"/>
      <c r="K24" s="19" t="s">
        <v>32</v>
      </c>
      <c r="L24" s="12">
        <v>25044</v>
      </c>
      <c r="M24" s="12">
        <v>2144</v>
      </c>
      <c r="N24" s="12" t="s">
        <v>43</v>
      </c>
      <c r="O24" s="12">
        <v>143501</v>
      </c>
      <c r="P24" s="12">
        <v>47053</v>
      </c>
      <c r="Q24" s="14" t="s">
        <v>43</v>
      </c>
    </row>
  </sheetData>
  <mergeCells count="13">
    <mergeCell ref="C19:C24"/>
    <mergeCell ref="O4:Q4"/>
    <mergeCell ref="O11:Q11"/>
    <mergeCell ref="O18:Q18"/>
    <mergeCell ref="C5:C10"/>
    <mergeCell ref="C12:C17"/>
    <mergeCell ref="J5:J10"/>
    <mergeCell ref="J12:J17"/>
    <mergeCell ref="J19:J24"/>
    <mergeCell ref="J4:N4"/>
    <mergeCell ref="J11:N11"/>
    <mergeCell ref="J18:N18"/>
    <mergeCell ref="C4:H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F8338-FCEC-4ED7-BDDF-6B4BED4C3377}">
  <dimension ref="B1:S51"/>
  <sheetViews>
    <sheetView zoomScale="85" zoomScaleNormal="85" workbookViewId="0">
      <pane xSplit="3" topLeftCell="D1" activePane="topRight" state="frozen"/>
      <selection pane="topRight" activeCell="N29" sqref="N29"/>
    </sheetView>
  </sheetViews>
  <sheetFormatPr defaultRowHeight="19.149999999999999" x14ac:dyDescent="0.7"/>
  <cols>
    <col min="2" max="2" width="8.94140625" bestFit="1" customWidth="1"/>
    <col min="4" max="5" width="12.1640625" bestFit="1" customWidth="1"/>
    <col min="6" max="6" width="11.5" bestFit="1" customWidth="1"/>
    <col min="7" max="7" width="10.44140625" bestFit="1" customWidth="1"/>
    <col min="8" max="8" width="11.0546875" bestFit="1" customWidth="1"/>
    <col min="9" max="9" width="11.5" bestFit="1" customWidth="1"/>
    <col min="10" max="10" width="10.44140625" bestFit="1" customWidth="1"/>
    <col min="11" max="11" width="11.0546875" bestFit="1" customWidth="1"/>
    <col min="12" max="12" width="11.5" bestFit="1" customWidth="1"/>
    <col min="13" max="13" width="14.6640625" bestFit="1" customWidth="1"/>
    <col min="14" max="14" width="11.0546875" bestFit="1" customWidth="1"/>
    <col min="15" max="15" width="10.5" bestFit="1" customWidth="1"/>
    <col min="18" max="18" width="10.44140625" bestFit="1" customWidth="1"/>
    <col min="19" max="19" width="11.5" bestFit="1" customWidth="1"/>
  </cols>
  <sheetData>
    <row r="1" spans="2:19" x14ac:dyDescent="0.7">
      <c r="B1" s="38"/>
      <c r="C1" s="38"/>
    </row>
    <row r="2" spans="2:19" ht="19.149999999999999" customHeight="1" thickBot="1" x14ac:dyDescent="0.75">
      <c r="B2" s="89" t="s">
        <v>47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18"/>
      <c r="Q2" s="18"/>
    </row>
    <row r="3" spans="2:19" ht="19.149999999999999" customHeight="1" x14ac:dyDescent="0.7">
      <c r="B3" s="96" t="s">
        <v>57</v>
      </c>
      <c r="C3" s="97" t="s">
        <v>1</v>
      </c>
      <c r="D3" s="93" t="s">
        <v>48</v>
      </c>
      <c r="E3" s="93"/>
      <c r="F3" s="93"/>
      <c r="G3" s="93" t="s">
        <v>49</v>
      </c>
      <c r="H3" s="93"/>
      <c r="I3" s="93"/>
      <c r="J3" s="93" t="s">
        <v>50</v>
      </c>
      <c r="K3" s="93"/>
      <c r="L3" s="93"/>
      <c r="M3" s="93" t="s">
        <v>54</v>
      </c>
      <c r="N3" s="99"/>
      <c r="O3" s="100"/>
      <c r="P3" s="39"/>
      <c r="Q3" s="91" t="s">
        <v>46</v>
      </c>
      <c r="R3" s="29" t="s">
        <v>17</v>
      </c>
      <c r="S3" s="30" t="s">
        <v>21</v>
      </c>
    </row>
    <row r="4" spans="2:19" ht="19.5" thickBot="1" x14ac:dyDescent="0.75">
      <c r="B4" s="94"/>
      <c r="C4" s="98"/>
      <c r="D4" s="44" t="s">
        <v>55</v>
      </c>
      <c r="E4" s="44" t="s">
        <v>56</v>
      </c>
      <c r="F4" s="44" t="s">
        <v>44</v>
      </c>
      <c r="G4" s="44" t="s">
        <v>55</v>
      </c>
      <c r="H4" s="44" t="s">
        <v>56</v>
      </c>
      <c r="I4" s="44" t="s">
        <v>44</v>
      </c>
      <c r="J4" s="44" t="s">
        <v>55</v>
      </c>
      <c r="K4" s="44" t="s">
        <v>56</v>
      </c>
      <c r="L4" s="44" t="s">
        <v>44</v>
      </c>
      <c r="M4" s="44" t="s">
        <v>55</v>
      </c>
      <c r="N4" s="44" t="s">
        <v>56</v>
      </c>
      <c r="O4" s="44" t="s">
        <v>44</v>
      </c>
      <c r="Q4" s="92"/>
      <c r="R4" s="35">
        <v>77847524</v>
      </c>
      <c r="S4" s="36">
        <v>183342714</v>
      </c>
    </row>
    <row r="5" spans="2:19" x14ac:dyDescent="0.7">
      <c r="B5" s="94">
        <v>64</v>
      </c>
      <c r="C5" s="44" t="s">
        <v>10</v>
      </c>
      <c r="D5" s="44">
        <v>0.16703337925044348</v>
      </c>
      <c r="E5" s="44">
        <v>0.36093933353686475</v>
      </c>
      <c r="F5" s="47">
        <f>1-(D5*$R$4+E5*$S$4)/($R$4+$S$4)+((D5*$R$4+E5*$S$4)/($R$4+$S$4))*201</f>
        <v>61.629166393270793</v>
      </c>
      <c r="G5" s="44">
        <v>0.22140000000000001</v>
      </c>
      <c r="H5" s="44">
        <v>8.3599999999999994E-2</v>
      </c>
      <c r="I5" s="47">
        <f t="shared" ref="I5:O5" si="0">1-(G5*$R$4+H5*$S$4)/($R$4+$S$4)+((G5*$R$4+H5*$S$4)/($R$4+$S$4))*201</f>
        <v>25.934234107172102</v>
      </c>
      <c r="J5" s="44">
        <v>0.1452</v>
      </c>
      <c r="K5" s="44">
        <v>5.6099999999999997E-2</v>
      </c>
      <c r="L5" s="47">
        <f t="shared" si="0"/>
        <v>17.531235551154097</v>
      </c>
      <c r="M5" s="44">
        <v>5.3699999999999998E-2</v>
      </c>
      <c r="N5" s="44">
        <v>4.53E-2</v>
      </c>
      <c r="O5" s="47">
        <f t="shared" si="0"/>
        <v>10.560722543543147</v>
      </c>
      <c r="Q5" s="31"/>
      <c r="R5" s="31"/>
      <c r="S5" s="31"/>
    </row>
    <row r="6" spans="2:19" x14ac:dyDescent="0.7">
      <c r="B6" s="94"/>
      <c r="C6" s="44" t="s">
        <v>12</v>
      </c>
      <c r="D6" s="44">
        <v>0.23155588785104575</v>
      </c>
      <c r="E6" s="44">
        <v>0.38490112955517319</v>
      </c>
      <c r="F6" s="47">
        <f>1-(D6*$R$10+E6*$S$10)/($R$10+$S$10)+((D6*$R$10+E6*$S$10)/($R$10+$S$10))*201</f>
        <v>70.104589664271245</v>
      </c>
      <c r="G6" s="44">
        <v>0.34289999999999998</v>
      </c>
      <c r="H6" s="44">
        <v>0.12870000000000001</v>
      </c>
      <c r="I6" s="47">
        <f t="shared" ref="I6:O6" si="1">1-(G6*$R$10+H6*$S$10)/($R$10+$S$10)+((G6*$R$10+H6*$S$10)/($R$10+$S$10))*201</f>
        <v>37.741067038725795</v>
      </c>
      <c r="J6" s="44">
        <v>0.30769999999999997</v>
      </c>
      <c r="K6" s="44">
        <v>5.5800000000000002E-2</v>
      </c>
      <c r="L6" s="47">
        <f t="shared" si="1"/>
        <v>25.097295924626646</v>
      </c>
      <c r="M6" s="44">
        <v>0.21199999999999999</v>
      </c>
      <c r="N6" s="44">
        <v>2.3300000000000001E-2</v>
      </c>
      <c r="O6" s="47">
        <f t="shared" si="1"/>
        <v>15.35141620078225</v>
      </c>
      <c r="Q6" s="31"/>
      <c r="R6" s="31"/>
      <c r="S6" s="31"/>
    </row>
    <row r="7" spans="2:19" x14ac:dyDescent="0.7">
      <c r="B7" s="94"/>
      <c r="C7" s="44" t="s">
        <v>52</v>
      </c>
      <c r="D7" s="44">
        <v>0.12577306441672156</v>
      </c>
      <c r="E7" s="44">
        <v>0.21066752148068654</v>
      </c>
      <c r="F7" s="47">
        <f>1-(D7*$R$16+E7*$S$16)/($R$16+$S$16)+((D7*$R$16+E7*$S$16)/($R$16+$S$16))*201</f>
        <v>38.940951121466881</v>
      </c>
      <c r="G7" s="44">
        <v>0.19040000000000001</v>
      </c>
      <c r="H7" s="44">
        <v>6.6199999999999995E-2</v>
      </c>
      <c r="I7" s="47">
        <f t="shared" ref="I7:O7" si="2">1-(G7*$R$16+H7*$S$16)/($R$16+$S$16)+((G7*$R$16+H7*$S$16)/($R$16+$S$16))*201</f>
        <v>20.373676123303632</v>
      </c>
      <c r="J7" s="44">
        <v>0.1714</v>
      </c>
      <c r="K7" s="44">
        <v>3.3599999999999998E-2</v>
      </c>
      <c r="L7" s="47">
        <f t="shared" si="2"/>
        <v>14.525318597352982</v>
      </c>
      <c r="M7" s="44">
        <v>0.15049999999999999</v>
      </c>
      <c r="N7" s="44">
        <v>2.5999999999999999E-2</v>
      </c>
      <c r="O7" s="47">
        <f t="shared" si="2"/>
        <v>12.348491766113542</v>
      </c>
      <c r="Q7" s="31"/>
      <c r="R7" s="31"/>
      <c r="S7" s="31"/>
    </row>
    <row r="8" spans="2:19" ht="19.5" thickBot="1" x14ac:dyDescent="0.75">
      <c r="B8" s="94">
        <v>128</v>
      </c>
      <c r="C8" s="44" t="s">
        <v>10</v>
      </c>
      <c r="D8" s="44">
        <v>0.12051567625965856</v>
      </c>
      <c r="E8" s="44">
        <v>0.2989923777391012</v>
      </c>
      <c r="F8" s="47">
        <f t="shared" ref="F8:F11" si="3">1-(D8*$R$4+E8*$S$4)/($R$4+$S$4)+((D8*$R$4+E8*$S$4)/($R$4+$S$4))*201</f>
        <v>50.159510318299112</v>
      </c>
      <c r="G8" s="44">
        <v>0.15579999999999999</v>
      </c>
      <c r="H8" s="44">
        <v>6.2399999999999997E-2</v>
      </c>
      <c r="I8" s="47">
        <f t="shared" ref="I8" si="4">1-(G8*$R$4+H8*$S$4)/($R$4+$S$4)+((G8*$R$4+H8*$S$4)/($R$4+$S$4))*201</f>
        <v>19.047557805586898</v>
      </c>
      <c r="J8" s="44">
        <v>6.4299999999999996E-2</v>
      </c>
      <c r="K8" s="44">
        <v>4.5900000000000003E-2</v>
      </c>
      <c r="L8" s="47">
        <f t="shared" ref="L8" si="5">1-(J8*$R$4+K8*$S$4)/($R$4+$S$4)+((J8*$R$4+K8*$S$4)/($R$4+$S$4))*201</f>
        <v>11.276820809665942</v>
      </c>
      <c r="M8" s="44">
        <v>5.4999999999999997E-3</v>
      </c>
      <c r="N8" s="44">
        <v>3.6900000000000002E-2</v>
      </c>
      <c r="O8" s="47">
        <f t="shared" ref="O8" si="6">1-(M8*$R$4+N8*$S$4)/($R$4+$S$4)+((M8*$R$4+N8*$S$4)/($R$4+$S$4))*201</f>
        <v>6.5082514443744257</v>
      </c>
      <c r="Q8" s="31"/>
      <c r="R8" s="31"/>
      <c r="S8" s="31"/>
    </row>
    <row r="9" spans="2:19" x14ac:dyDescent="0.7">
      <c r="B9" s="94"/>
      <c r="C9" s="44" t="s">
        <v>12</v>
      </c>
      <c r="D9" s="44">
        <v>0.17124481514921078</v>
      </c>
      <c r="E9" s="44">
        <v>0.34776933846227898</v>
      </c>
      <c r="F9" s="47">
        <f>1-(D9*$R$10+E9*$S$10)/($R$10+$S$10)+((D9*$R$10+E9*$S$10)/($R$10+$S$10))*201</f>
        <v>61.487770050316783</v>
      </c>
      <c r="G9" s="44">
        <v>0.2858</v>
      </c>
      <c r="H9" s="44">
        <v>7.3899999999999993E-2</v>
      </c>
      <c r="I9" s="47">
        <f t="shared" ref="I9:O9" si="7">1-(G9*$R$10+H9*$S$10)/($R$10+$S$10)+((G9*$R$10+H9*$S$10)/($R$10+$S$10))*201</f>
        <v>26.662941669028928</v>
      </c>
      <c r="J9" s="44">
        <v>0.2157</v>
      </c>
      <c r="K9" s="44">
        <v>3.5999999999999997E-2</v>
      </c>
      <c r="L9" s="47">
        <f t="shared" si="7"/>
        <v>17.429186493272763</v>
      </c>
      <c r="M9" s="44">
        <v>0.19120000000000001</v>
      </c>
      <c r="N9" s="44">
        <v>2.0400000000000001E-2</v>
      </c>
      <c r="O9" s="47">
        <f t="shared" si="7"/>
        <v>13.85209267140227</v>
      </c>
      <c r="Q9" s="91" t="s">
        <v>46</v>
      </c>
      <c r="R9" s="29" t="s">
        <v>17</v>
      </c>
      <c r="S9" s="30" t="s">
        <v>21</v>
      </c>
    </row>
    <row r="10" spans="2:19" ht="19.5" thickBot="1" x14ac:dyDescent="0.75">
      <c r="B10" s="94"/>
      <c r="C10" s="44" t="s">
        <v>52</v>
      </c>
      <c r="D10" s="44">
        <v>9.1705098505940108E-2</v>
      </c>
      <c r="E10" s="44">
        <v>0.18891157552909038</v>
      </c>
      <c r="F10" s="47">
        <f>1-(D10*$R$16+E10*$S$16)/($R$16+$S$16)+((D10*$R$16+E10*$S$16)/($R$16+$S$16))*201</f>
        <v>33.981726964534985</v>
      </c>
      <c r="G10" s="44">
        <v>0.17330000000000001</v>
      </c>
      <c r="H10" s="44">
        <v>3.9300000000000002E-2</v>
      </c>
      <c r="I10" s="47">
        <f t="shared" ref="I10:O10" si="8">1-(G10*$R$16+H10*$S$16)/($R$16+$S$16)+((G10*$R$16+H10*$S$16)/($R$16+$S$16))*201</f>
        <v>15.477653788427432</v>
      </c>
      <c r="J10" s="44">
        <v>0.1401</v>
      </c>
      <c r="K10" s="44">
        <v>2.6100000000000002E-2</v>
      </c>
      <c r="L10" s="47">
        <f t="shared" si="8"/>
        <v>11.849944267766618</v>
      </c>
      <c r="M10" s="44">
        <v>4.9399999999999999E-2</v>
      </c>
      <c r="N10" s="44">
        <v>2.5600000000000001E-2</v>
      </c>
      <c r="O10" s="47">
        <f t="shared" si="8"/>
        <v>7.2953743295863642</v>
      </c>
      <c r="Q10" s="92"/>
      <c r="R10" s="35">
        <v>85306939</v>
      </c>
      <c r="S10" s="36">
        <v>246892588</v>
      </c>
    </row>
    <row r="11" spans="2:19" x14ac:dyDescent="0.7">
      <c r="B11" s="94">
        <v>256</v>
      </c>
      <c r="C11" s="44" t="s">
        <v>10</v>
      </c>
      <c r="D11" s="44">
        <v>8.6189472127591371E-2</v>
      </c>
      <c r="E11" s="44">
        <v>0.27426410847174432</v>
      </c>
      <c r="F11" s="47">
        <f t="shared" si="3"/>
        <v>44.641725231706396</v>
      </c>
      <c r="G11" s="44">
        <v>0.1113</v>
      </c>
      <c r="H11" s="44">
        <v>4.87E-2</v>
      </c>
      <c r="I11" s="47">
        <f t="shared" ref="I11" si="9">1-(G11*$R$4+H11*$S$4)/($R$4+$S$4)+((G11*$R$4+H11*$S$4)/($R$4+$S$4))*201</f>
        <v>14.471575145928695</v>
      </c>
      <c r="J11" s="44">
        <v>1.9199999999999998E-2</v>
      </c>
      <c r="K11" s="44">
        <v>3.7400000000000003E-2</v>
      </c>
      <c r="L11" s="47">
        <f t="shared" ref="L11" si="10">1-(J11*$R$4+K11*$S$4)/($R$4+$S$4)+((J11*$R$4+K11*$S$4)/($R$4+$S$4))*201</f>
        <v>7.3951011556565147</v>
      </c>
      <c r="M11" s="44">
        <v>1E-4</v>
      </c>
      <c r="N11" s="44">
        <v>3.1600000000000003E-2</v>
      </c>
      <c r="O11" s="47">
        <f t="shared" ref="O11" si="11">1-(M11*$R$4+N11*$S$4)/($R$4+$S$4)+((M11*$R$4+N11*$S$4)/($R$4+$S$4))*201</f>
        <v>5.4422904617131973</v>
      </c>
      <c r="Q11" s="31"/>
      <c r="R11" s="31"/>
      <c r="S11" s="31"/>
    </row>
    <row r="12" spans="2:19" x14ac:dyDescent="0.7">
      <c r="B12" s="94"/>
      <c r="C12" s="44" t="s">
        <v>12</v>
      </c>
      <c r="D12" s="44">
        <v>0.10789579497161421</v>
      </c>
      <c r="E12" s="44">
        <v>0.28247312957001364</v>
      </c>
      <c r="F12" s="47">
        <f>1-(D12*$R$10+E12*$S$10)/($R$10+$S$10)+((D12*$R$10+E12*$S$10)/($R$10+$S$10))*201</f>
        <v>48.528533657424504</v>
      </c>
      <c r="G12" s="44">
        <v>0.21529999999999999</v>
      </c>
      <c r="H12" s="44">
        <v>5.5199999999999999E-2</v>
      </c>
      <c r="I12" s="47">
        <f t="shared" ref="I12:O12" si="12">1-(G12*$R$10+H12*$S$10)/($R$10+$S$10)+((G12*$R$10+H12*$S$10)/($R$10+$S$10))*201</f>
        <v>20.262552908029882</v>
      </c>
      <c r="J12" s="44">
        <v>0.18779999999999999</v>
      </c>
      <c r="K12" s="44">
        <v>3.0599999999999999E-2</v>
      </c>
      <c r="L12" s="47">
        <f>1-(J12*$R$10+K12*$S$10)/($R$10+$S$10)+((J12*$R$10+K12*$S$10)/($R$10+$S$10))*201</f>
        <v>15.193612224499041</v>
      </c>
      <c r="M12" s="44">
        <v>9.06E-2</v>
      </c>
      <c r="N12" s="44">
        <v>1.9599999999999999E-2</v>
      </c>
      <c r="O12" s="47">
        <f t="shared" si="12"/>
        <v>8.5664788036859534</v>
      </c>
      <c r="Q12" s="31"/>
      <c r="R12" s="31"/>
      <c r="S12" s="31"/>
    </row>
    <row r="13" spans="2:19" x14ac:dyDescent="0.7">
      <c r="B13" s="94"/>
      <c r="C13" s="44" t="s">
        <v>52</v>
      </c>
      <c r="D13" s="45">
        <v>4.556563874779504E-2</v>
      </c>
      <c r="E13" s="45">
        <v>0.17452143190639788</v>
      </c>
      <c r="F13" s="47">
        <f>1-(D13*$R$16+E13*$S$16)/($R$16+$S$16)+((D13*$R$16+E13*$S$16)/($R$16+$S$16))*201</f>
        <v>29.535743148923668</v>
      </c>
      <c r="G13" s="44">
        <v>0.13539999999999999</v>
      </c>
      <c r="H13" s="44">
        <v>2.7099999999999999E-2</v>
      </c>
      <c r="I13" s="47">
        <f t="shared" ref="I13:O13" si="13">1-(G13*$R$16+H13*$S$16)/($R$16+$S$16)+((G13*$R$16+H13*$S$16)/($R$16+$S$16))*201</f>
        <v>11.768447054378285</v>
      </c>
      <c r="J13" s="44">
        <v>5.7099999999999998E-2</v>
      </c>
      <c r="K13" s="44">
        <v>2.5700000000000001E-2</v>
      </c>
      <c r="L13" s="47">
        <f t="shared" si="13"/>
        <v>7.6907039474374708</v>
      </c>
      <c r="M13" s="44">
        <v>1.54E-2</v>
      </c>
      <c r="N13" s="44">
        <v>2.5000000000000001E-2</v>
      </c>
      <c r="O13" s="47">
        <f t="shared" si="13"/>
        <v>5.5258994300828101</v>
      </c>
      <c r="Q13" s="31"/>
      <c r="R13" s="31"/>
      <c r="S13" s="31"/>
    </row>
    <row r="14" spans="2:19" ht="19.5" thickBot="1" x14ac:dyDescent="0.75">
      <c r="B14" s="94">
        <v>512</v>
      </c>
      <c r="C14" s="44" t="s">
        <v>10</v>
      </c>
      <c r="D14" s="44">
        <v>6.4306194247102835E-2</v>
      </c>
      <c r="E14" s="44">
        <v>0.10195810126384405</v>
      </c>
      <c r="F14" s="47">
        <f>1-(D6*$R$10+E6*$S$10)/($R$10+$S$10)+((D6*$R$10+E6*$S$10)/($R$10+$S$10))*201</f>
        <v>70.104589664271245</v>
      </c>
      <c r="G14" s="44">
        <v>2.6100000000000002E-2</v>
      </c>
      <c r="H14" s="44">
        <v>3.9600000000000003E-2</v>
      </c>
      <c r="I14" s="47">
        <f t="shared" ref="I14:O14" si="14">1-(G6*$R$10+H6*$S$10)/($R$10+$S$10)+((G6*$R$10+H6*$S$10)/($R$10+$S$10))*201</f>
        <v>37.741067038725795</v>
      </c>
      <c r="J14" s="44">
        <v>2.9999999999999997E-4</v>
      </c>
      <c r="K14" s="44">
        <v>3.2099999999999997E-2</v>
      </c>
      <c r="L14" s="47">
        <f t="shared" si="14"/>
        <v>25.097295924626646</v>
      </c>
      <c r="M14" s="44">
        <f>3646/183342714</f>
        <v>1.9886255201829293E-5</v>
      </c>
      <c r="N14" s="44">
        <v>2.8000000000000001E-2</v>
      </c>
      <c r="O14" s="47">
        <f t="shared" si="14"/>
        <v>15.35141620078225</v>
      </c>
      <c r="Q14" s="31"/>
      <c r="R14" s="31"/>
      <c r="S14" s="31"/>
    </row>
    <row r="15" spans="2:19" x14ac:dyDescent="0.7">
      <c r="B15" s="94"/>
      <c r="C15" s="44" t="s">
        <v>12</v>
      </c>
      <c r="D15" s="44">
        <v>7.8283092539517804E-2</v>
      </c>
      <c r="E15" s="44">
        <v>0.22905110055389755</v>
      </c>
      <c r="F15" s="47">
        <f>1-(D15*$R$10+E15*$S$10)/($R$10+$S$10)+((D15*$R$10+E15*$S$10)/($R$10+$S$10))*201</f>
        <v>39.0669476389712</v>
      </c>
      <c r="G15" s="44">
        <v>0.186</v>
      </c>
      <c r="H15" s="44">
        <v>4.8899999999999999E-2</v>
      </c>
      <c r="I15" s="47">
        <f t="shared" ref="I15:O15" si="15">1-(G15*$R$10+H15*$S$10)/($R$10+$S$10)+((G15*$R$10+H15*$S$10)/($R$10+$S$10))*201</f>
        <v>17.821299211061188</v>
      </c>
      <c r="J15" s="44">
        <v>9.5100000000000004E-2</v>
      </c>
      <c r="K15" s="44">
        <v>2.9700000000000001E-2</v>
      </c>
      <c r="L15" s="47">
        <f t="shared" si="15"/>
        <v>10.298869207902273</v>
      </c>
      <c r="M15" s="44">
        <v>8.0000000000000004E-4</v>
      </c>
      <c r="N15" s="44">
        <v>1.9599999999999999E-2</v>
      </c>
      <c r="O15" s="47">
        <f t="shared" si="15"/>
        <v>3.9544534998690715</v>
      </c>
      <c r="Q15" s="91" t="s">
        <v>46</v>
      </c>
      <c r="R15" s="29" t="s">
        <v>17</v>
      </c>
      <c r="S15" s="30" t="s">
        <v>21</v>
      </c>
    </row>
    <row r="16" spans="2:19" ht="19.5" thickBot="1" x14ac:dyDescent="0.75">
      <c r="B16" s="94"/>
      <c r="C16" s="44" t="s">
        <v>52</v>
      </c>
      <c r="D16" s="44">
        <v>3.9317365523983593E-2</v>
      </c>
      <c r="E16" s="44">
        <v>0.13168549348088165</v>
      </c>
      <c r="F16" s="47">
        <f>1-(D16*$R$16+E16*$S$16)/($R$16+$S$16)+((D16*$R$16+E16*$S$16)/($R$16+$S$16))*201</f>
        <v>22.775454726744126</v>
      </c>
      <c r="G16" s="44">
        <v>7.1900000000000006E-2</v>
      </c>
      <c r="H16" s="44">
        <v>2.58E-2</v>
      </c>
      <c r="I16" s="47">
        <f t="shared" ref="I16:O16" si="16">1-(G16*$R$16+H16*$S$16)/($R$16+$S$16)+((G16*$R$16+H16*$S$16)/($R$16+$S$16))*201</f>
        <v>8.4366704451231662</v>
      </c>
      <c r="J16" s="44">
        <v>1.66E-2</v>
      </c>
      <c r="K16" s="44">
        <v>2.5000000000000001E-2</v>
      </c>
      <c r="L16" s="47">
        <f t="shared" si="16"/>
        <v>5.585162001322459</v>
      </c>
      <c r="M16" s="44">
        <v>1.4200000000000001E-2</v>
      </c>
      <c r="N16" s="44">
        <v>2.47E-2</v>
      </c>
      <c r="O16" s="47">
        <f t="shared" si="16"/>
        <v>5.421452501653075</v>
      </c>
      <c r="Q16" s="92"/>
      <c r="R16" s="35">
        <v>47053</v>
      </c>
      <c r="S16" s="36">
        <v>143501</v>
      </c>
    </row>
    <row r="17" spans="2:19" x14ac:dyDescent="0.7">
      <c r="B17" s="94">
        <v>1024</v>
      </c>
      <c r="C17" s="44" t="s">
        <v>10</v>
      </c>
      <c r="D17" s="44">
        <v>3.7900000000000003E-2</v>
      </c>
      <c r="E17" s="44">
        <v>0.05</v>
      </c>
      <c r="F17" s="47">
        <f>1-(D17*$R$4+E17*$S$4)/($R$4+$S$4)+((D17*$R$4+E17*$S$4)/($R$4+$S$4))*201</f>
        <v>10.27872109799142</v>
      </c>
      <c r="G17" s="44">
        <v>1.5E-3</v>
      </c>
      <c r="H17" s="44">
        <v>3.3300000000000003E-2</v>
      </c>
      <c r="I17" s="47">
        <f t="shared" ref="I17" si="17">1-(G17*$R$4+H17*$S$4)/($R$4+$S$4)+((G17*$R$4+H17*$S$4)/($R$4+$S$4))*201</f>
        <v>5.7644075137295143</v>
      </c>
      <c r="J17" s="44">
        <f>4856/183337858</f>
        <v>2.6486619037514883E-5</v>
      </c>
      <c r="K17" s="44">
        <v>2.8000000000000001E-2</v>
      </c>
      <c r="L17" s="47">
        <f t="shared" ref="L17" si="18">1-(J17*$R$4+K17*$S$4)/($R$4+$S$4)+((J17*$R$4+K17*$S$4)/($R$4+$S$4))*201</f>
        <v>4.9325037176245488</v>
      </c>
      <c r="M17" s="44">
        <f>3343/183342714</f>
        <v>1.8233612490322359E-5</v>
      </c>
      <c r="N17" s="44">
        <v>2.06E-2</v>
      </c>
      <c r="O17" s="47">
        <f t="shared" ref="O17" si="19">1-(M17*$R$4+N17*$S$4)/($R$4+$S$4)+((M17*$R$4+N17*$S$4)/($R$4+$S$4))*201</f>
        <v>3.8931244742661075</v>
      </c>
      <c r="Q17" s="31"/>
      <c r="R17" s="31"/>
      <c r="S17" s="31"/>
    </row>
    <row r="18" spans="2:19" x14ac:dyDescent="0.7">
      <c r="B18" s="94"/>
      <c r="C18" s="44" t="s">
        <v>12</v>
      </c>
      <c r="D18" s="44">
        <v>0.1812</v>
      </c>
      <c r="E18" s="44">
        <v>6.6000000000000003E-2</v>
      </c>
      <c r="F18" s="47">
        <f>1-(D18*$R$10+E18*$S$10)/($R$10+$S$10)+((D18*$R$10+E18*$S$10)/($R$10+$S$10))*201</f>
        <v>20.116540256121432</v>
      </c>
      <c r="G18" s="44">
        <v>0.1139</v>
      </c>
      <c r="H18" s="44">
        <v>3.1899999999999998E-2</v>
      </c>
      <c r="I18" s="47">
        <f t="shared" ref="I18:O18" si="20">1-(G18*$R$10+H18*$S$10)/($R$10+$S$10)+((G18*$R$10+H18*$S$10)/($R$10+$S$10))*201</f>
        <v>11.591426223975327</v>
      </c>
      <c r="J18" s="44">
        <v>1.34E-2</v>
      </c>
      <c r="K18" s="44">
        <v>1.6899999999999998E-2</v>
      </c>
      <c r="L18" s="47">
        <f t="shared" si="20"/>
        <v>4.2002440026351993</v>
      </c>
      <c r="M18" s="44">
        <f>4669/246892588</f>
        <v>1.8911057791657967E-5</v>
      </c>
      <c r="N18" s="44">
        <v>1.43E-2</v>
      </c>
      <c r="O18" s="47">
        <f t="shared" si="20"/>
        <v>3.1265396039251181</v>
      </c>
      <c r="Q18" s="31"/>
      <c r="R18" s="31"/>
      <c r="S18" s="31"/>
    </row>
    <row r="19" spans="2:19" x14ac:dyDescent="0.7">
      <c r="B19" s="94"/>
      <c r="C19" s="44" t="s">
        <v>51</v>
      </c>
      <c r="D19" s="44">
        <v>8.6400000000000005E-2</v>
      </c>
      <c r="E19" s="44">
        <v>3.1699999999999999E-2</v>
      </c>
      <c r="F19" s="47">
        <f>1-(D19*$R$16+E19*$S$16)/($R$16+$S$16)+((D19*$R$16+E19*$S$16)/($R$16+$S$16))*201</f>
        <v>10.041385539007317</v>
      </c>
      <c r="G19" s="44">
        <v>2.7799999999999998E-2</v>
      </c>
      <c r="H19" s="44">
        <v>2.5100000000000001E-2</v>
      </c>
      <c r="I19" s="47">
        <f t="shared" ref="I19:O19" si="21">1-(G19*$R$16+H19*$S$16)/($R$16+$S$16)+((G19*$R$16+H19*$S$16)/($R$16+$S$16))*201</f>
        <v>6.1533407852892097</v>
      </c>
      <c r="J19" s="44">
        <v>1.4800000000000001E-2</v>
      </c>
      <c r="K19" s="44">
        <v>2.4799999999999999E-2</v>
      </c>
      <c r="L19" s="47">
        <f t="shared" si="21"/>
        <v>5.4661452396695953</v>
      </c>
      <c r="M19" s="44">
        <v>1.41E-2</v>
      </c>
      <c r="N19" s="44">
        <v>2.47E-2</v>
      </c>
      <c r="O19" s="47">
        <f t="shared" si="21"/>
        <v>5.41651395404977</v>
      </c>
      <c r="Q19" s="31"/>
      <c r="R19" s="31"/>
      <c r="S19" s="31"/>
    </row>
    <row r="20" spans="2:19" x14ac:dyDescent="0.7">
      <c r="B20" s="94">
        <v>2048</v>
      </c>
      <c r="C20" s="44" t="s">
        <v>10</v>
      </c>
      <c r="D20" s="44">
        <v>8.6999999999999994E-3</v>
      </c>
      <c r="E20" s="44">
        <v>4.0099999999999997E-2</v>
      </c>
      <c r="F20" s="47">
        <f>1-(D20*$R$4+E20*$S$4)/($R$4+$S$4)+((D20*$R$4+E20*$S$4)/($R$4+$S$4))*201</f>
        <v>7.1482514443744254</v>
      </c>
      <c r="G20" s="44">
        <v>1E-4</v>
      </c>
      <c r="H20" s="44">
        <v>2.8400000000000002E-2</v>
      </c>
      <c r="I20" s="47">
        <f t="shared" ref="I20" si="22">1-(G20*$R$4+H20*$S$4)/($R$4+$S$4)+((G20*$R$4+H20*$S$4)/($R$4+$S$4))*201</f>
        <v>4.9930419068724916</v>
      </c>
      <c r="J20" s="44">
        <f>3443/183342714</f>
        <v>1.8779039127783391E-5</v>
      </c>
      <c r="K20" s="44">
        <v>1.9800000000000002E-2</v>
      </c>
      <c r="L20" s="47">
        <f t="shared" ref="L20" si="23">1-(J20*$R$4+K20*$S$4)/($R$4+$S$4)+((J20*$R$4+K20*$S$4)/($R$4+$S$4))*201</f>
        <v>3.7808448483432198</v>
      </c>
      <c r="M20" s="44">
        <f>3334/183342714</f>
        <v>1.8184524092950865E-5</v>
      </c>
      <c r="N20" s="44">
        <v>6.9999999999999999E-4</v>
      </c>
      <c r="O20" s="47">
        <f t="shared" ref="O20" si="24">1-(M20*$R$4+N20*$S$4)/($R$4+$S$4)+((M20*$R$4+N20*$S$4)/($R$4+$S$4))*201</f>
        <v>1.0993570976996121</v>
      </c>
    </row>
    <row r="21" spans="2:19" x14ac:dyDescent="0.7">
      <c r="B21" s="94"/>
      <c r="C21" s="44" t="s">
        <v>12</v>
      </c>
      <c r="D21" s="44">
        <v>0.1236</v>
      </c>
      <c r="E21" s="44">
        <v>3.0700000000000002E-2</v>
      </c>
      <c r="F21" s="47">
        <f>1-(D21*$R$10+E21*$S$10)/($R$10+$S$10)+((D21*$R$10+E21*$S$10)/($R$10+$S$10))*201</f>
        <v>11.911237758625706</v>
      </c>
      <c r="G21" s="44">
        <v>3.49E-2</v>
      </c>
      <c r="H21" s="44">
        <v>1.6299999999999999E-2</v>
      </c>
      <c r="I21" s="47">
        <f t="shared" ref="I21:O21" si="25">1-(G21*$R$10+H21*$S$10)/($R$10+$S$10)+((G21*$R$10+H21*$S$10)/($R$10+$S$10))*201</f>
        <v>5.2152747288529397</v>
      </c>
      <c r="J21" s="44">
        <f>4926/246892588</f>
        <v>1.9951996290791849E-5</v>
      </c>
      <c r="K21" s="44">
        <v>1.43E-2</v>
      </c>
      <c r="L21" s="47">
        <f t="shared" si="25"/>
        <v>3.1265930653360061</v>
      </c>
      <c r="M21" s="44">
        <f>4653/246892588</f>
        <v>1.8846252281984263E-5</v>
      </c>
      <c r="N21" s="44">
        <v>1.41E-2</v>
      </c>
      <c r="O21" s="47">
        <f t="shared" si="25"/>
        <v>3.0968080468662418</v>
      </c>
    </row>
    <row r="22" spans="2:19" ht="19.5" thickBot="1" x14ac:dyDescent="0.75">
      <c r="B22" s="95"/>
      <c r="C22" s="46" t="s">
        <v>51</v>
      </c>
      <c r="D22" s="46">
        <v>4.3099999999999999E-2</v>
      </c>
      <c r="E22" s="46">
        <v>2.75E-2</v>
      </c>
      <c r="F22" s="47">
        <f>1-(D22*$R$16+E22*$S$16)/($R$16+$S$16)+((D22*$R$16+E22*$S$16)/($R$16+$S$16))*201</f>
        <v>7.2704134261154323</v>
      </c>
      <c r="G22" s="44">
        <v>1.7100000000000001E-2</v>
      </c>
      <c r="H22" s="44">
        <v>2.4799999999999999E-2</v>
      </c>
      <c r="I22" s="47">
        <f t="shared" ref="I22:O22" si="26">1-(G22*$R$4+H22*$S$4)/($R$4+$S$4)+((G22*$R$4+H22*$S$4)/($R$4+$S$4))*201</f>
        <v>5.5010043350854474</v>
      </c>
      <c r="J22" s="44">
        <v>1.41E-2</v>
      </c>
      <c r="K22" s="44">
        <v>2.47E-2</v>
      </c>
      <c r="L22" s="47">
        <f t="shared" si="26"/>
        <v>5.3081358379098385</v>
      </c>
      <c r="M22" s="44">
        <v>1.41E-2</v>
      </c>
      <c r="N22" s="44">
        <v>2.47E-2</v>
      </c>
      <c r="O22" s="47">
        <f t="shared" si="26"/>
        <v>5.3081358379098385</v>
      </c>
    </row>
    <row r="28" spans="2:19" x14ac:dyDescent="0.7">
      <c r="D28" s="61" t="s">
        <v>58</v>
      </c>
      <c r="E28" s="61" t="s">
        <v>46</v>
      </c>
      <c r="F28" s="87" t="s">
        <v>48</v>
      </c>
      <c r="G28" s="87" t="s">
        <v>49</v>
      </c>
      <c r="H28" s="87" t="s">
        <v>50</v>
      </c>
      <c r="I28" s="87" t="s">
        <v>54</v>
      </c>
    </row>
    <row r="29" spans="2:19" x14ac:dyDescent="0.7">
      <c r="D29" s="61"/>
      <c r="E29" s="61"/>
      <c r="F29" s="88"/>
      <c r="G29" s="88"/>
      <c r="H29" s="88"/>
      <c r="I29" s="88"/>
    </row>
    <row r="30" spans="2:19" x14ac:dyDescent="0.7">
      <c r="D30" s="61" t="s">
        <v>59</v>
      </c>
      <c r="E30" s="48">
        <v>64</v>
      </c>
      <c r="F30" s="47">
        <v>61.629166393270793</v>
      </c>
      <c r="G30" s="47">
        <v>25.934234107172102</v>
      </c>
      <c r="H30" s="47">
        <v>17.531235551154097</v>
      </c>
      <c r="I30" s="47">
        <v>10.560722543543147</v>
      </c>
    </row>
    <row r="31" spans="2:19" x14ac:dyDescent="0.7">
      <c r="D31" s="61"/>
      <c r="E31" s="48">
        <v>128</v>
      </c>
      <c r="F31" s="47">
        <v>50.159510318299112</v>
      </c>
      <c r="G31" s="47">
        <v>19.047557805586898</v>
      </c>
      <c r="H31" s="47">
        <v>11.276820809665942</v>
      </c>
      <c r="I31" s="47">
        <v>6.5082514443744257</v>
      </c>
    </row>
    <row r="32" spans="2:19" x14ac:dyDescent="0.7">
      <c r="D32" s="61"/>
      <c r="E32" s="48">
        <v>256</v>
      </c>
      <c r="F32" s="47">
        <v>44.641725231706396</v>
      </c>
      <c r="G32" s="47">
        <v>14.471575145928695</v>
      </c>
      <c r="H32" s="47">
        <v>7.3951011556565147</v>
      </c>
      <c r="I32" s="47">
        <v>5.4422904617131973</v>
      </c>
    </row>
    <row r="33" spans="4:9" x14ac:dyDescent="0.7">
      <c r="D33" s="61"/>
      <c r="E33" s="48">
        <v>512</v>
      </c>
      <c r="F33" s="47">
        <v>70.104589664271245</v>
      </c>
      <c r="G33" s="47">
        <v>37.741067038725795</v>
      </c>
      <c r="H33" s="47">
        <v>25.097295924626646</v>
      </c>
      <c r="I33" s="47">
        <v>15.35141620078225</v>
      </c>
    </row>
    <row r="34" spans="4:9" x14ac:dyDescent="0.7">
      <c r="D34" s="61"/>
      <c r="E34" s="48">
        <v>1024</v>
      </c>
      <c r="F34" s="47">
        <v>10.27872109799142</v>
      </c>
      <c r="G34" s="47">
        <v>5.7644075137295143</v>
      </c>
      <c r="H34" s="47">
        <v>4.9325037176245488</v>
      </c>
      <c r="I34" s="47">
        <v>3.8931244742661075</v>
      </c>
    </row>
    <row r="35" spans="4:9" x14ac:dyDescent="0.7">
      <c r="D35" s="61"/>
      <c r="E35" s="48">
        <v>2048</v>
      </c>
      <c r="F35" s="47">
        <v>7.1482514443744254</v>
      </c>
      <c r="G35" s="47">
        <v>4.9930419068724916</v>
      </c>
      <c r="H35" s="47">
        <v>3.7808448483432198</v>
      </c>
      <c r="I35" s="47">
        <v>1.0993570976996121</v>
      </c>
    </row>
    <row r="36" spans="4:9" x14ac:dyDescent="0.7">
      <c r="D36" s="61" t="s">
        <v>58</v>
      </c>
      <c r="E36" s="61" t="s">
        <v>46</v>
      </c>
      <c r="F36" s="87" t="s">
        <v>48</v>
      </c>
      <c r="G36" s="87" t="s">
        <v>49</v>
      </c>
      <c r="H36" s="87" t="s">
        <v>50</v>
      </c>
      <c r="I36" s="87" t="s">
        <v>54</v>
      </c>
    </row>
    <row r="37" spans="4:9" x14ac:dyDescent="0.7">
      <c r="D37" s="61"/>
      <c r="E37" s="61"/>
      <c r="F37" s="88"/>
      <c r="G37" s="88"/>
      <c r="H37" s="88"/>
      <c r="I37" s="88"/>
    </row>
    <row r="38" spans="4:9" x14ac:dyDescent="0.7">
      <c r="D38" s="61" t="s">
        <v>60</v>
      </c>
      <c r="E38" s="48">
        <v>64</v>
      </c>
      <c r="F38" s="47">
        <v>70.104589664271245</v>
      </c>
      <c r="G38" s="47">
        <v>37.741067038725795</v>
      </c>
      <c r="H38" s="47">
        <v>25.097295924626646</v>
      </c>
      <c r="I38" s="47">
        <v>15.35141620078225</v>
      </c>
    </row>
    <row r="39" spans="4:9" x14ac:dyDescent="0.7">
      <c r="D39" s="61"/>
      <c r="E39" s="48">
        <v>128</v>
      </c>
      <c r="F39" s="47">
        <v>61.487770050316783</v>
      </c>
      <c r="G39" s="47">
        <v>26.662941669028928</v>
      </c>
      <c r="H39" s="47">
        <v>17.429186493272763</v>
      </c>
      <c r="I39" s="47">
        <v>13.85209267140227</v>
      </c>
    </row>
    <row r="40" spans="4:9" x14ac:dyDescent="0.7">
      <c r="D40" s="61"/>
      <c r="E40" s="48">
        <v>256</v>
      </c>
      <c r="F40" s="47">
        <v>48.528533657424504</v>
      </c>
      <c r="G40" s="47">
        <v>20.262552908029882</v>
      </c>
      <c r="H40" s="47">
        <v>15.193612224499041</v>
      </c>
      <c r="I40" s="47">
        <v>8.5664788036859534</v>
      </c>
    </row>
    <row r="41" spans="4:9" x14ac:dyDescent="0.7">
      <c r="D41" s="61"/>
      <c r="E41" s="48">
        <v>512</v>
      </c>
      <c r="F41" s="47">
        <v>39.0669476389712</v>
      </c>
      <c r="G41" s="47">
        <v>17.821299211061188</v>
      </c>
      <c r="H41" s="47">
        <v>10.298869207902273</v>
      </c>
      <c r="I41" s="47">
        <v>3.9544534998690715</v>
      </c>
    </row>
    <row r="42" spans="4:9" x14ac:dyDescent="0.7">
      <c r="D42" s="61"/>
      <c r="E42" s="48">
        <v>1024</v>
      </c>
      <c r="F42" s="47">
        <v>20.116540256121432</v>
      </c>
      <c r="G42" s="47">
        <v>11.591426223975327</v>
      </c>
      <c r="H42" s="47">
        <v>4.2002440026351993</v>
      </c>
      <c r="I42" s="47">
        <v>3.1265396039251181</v>
      </c>
    </row>
    <row r="43" spans="4:9" x14ac:dyDescent="0.7">
      <c r="D43" s="61"/>
      <c r="E43" s="48">
        <v>2048</v>
      </c>
      <c r="F43" s="47">
        <v>11.911237758625706</v>
      </c>
      <c r="G43" s="47">
        <v>5.2152747288529397</v>
      </c>
      <c r="H43" s="47">
        <v>3.1265930653360061</v>
      </c>
      <c r="I43" s="47">
        <v>3.0968080468662418</v>
      </c>
    </row>
    <row r="44" spans="4:9" x14ac:dyDescent="0.7">
      <c r="D44" s="61" t="s">
        <v>58</v>
      </c>
      <c r="E44" s="61" t="s">
        <v>46</v>
      </c>
      <c r="F44" s="87" t="s">
        <v>48</v>
      </c>
      <c r="G44" s="87" t="s">
        <v>49</v>
      </c>
      <c r="H44" s="87" t="s">
        <v>50</v>
      </c>
      <c r="I44" s="87" t="s">
        <v>54</v>
      </c>
    </row>
    <row r="45" spans="4:9" x14ac:dyDescent="0.7">
      <c r="D45" s="61"/>
      <c r="E45" s="61"/>
      <c r="F45" s="88"/>
      <c r="G45" s="88"/>
      <c r="H45" s="88"/>
      <c r="I45" s="88"/>
    </row>
    <row r="46" spans="4:9" x14ac:dyDescent="0.7">
      <c r="D46" s="61" t="s">
        <v>61</v>
      </c>
      <c r="E46" s="48">
        <v>64</v>
      </c>
      <c r="F46" s="47">
        <v>38.940951121466881</v>
      </c>
      <c r="G46" s="47">
        <v>20.373676123303632</v>
      </c>
      <c r="H46" s="47">
        <v>14.525318597352982</v>
      </c>
      <c r="I46" s="47">
        <v>12.348491766113542</v>
      </c>
    </row>
    <row r="47" spans="4:9" x14ac:dyDescent="0.7">
      <c r="D47" s="61"/>
      <c r="E47" s="48">
        <v>128</v>
      </c>
      <c r="F47" s="47">
        <v>33.981726964534985</v>
      </c>
      <c r="G47" s="47">
        <v>15.477653788427432</v>
      </c>
      <c r="H47" s="47">
        <v>11.849944267766618</v>
      </c>
      <c r="I47" s="47">
        <v>7.2953743295863642</v>
      </c>
    </row>
    <row r="48" spans="4:9" x14ac:dyDescent="0.7">
      <c r="D48" s="61"/>
      <c r="E48" s="48">
        <v>256</v>
      </c>
      <c r="F48" s="47">
        <v>29.535743148923668</v>
      </c>
      <c r="G48" s="47">
        <v>11.768447054378285</v>
      </c>
      <c r="H48" s="47">
        <v>7.6907039474374708</v>
      </c>
      <c r="I48" s="47">
        <v>5.5258994300828101</v>
      </c>
    </row>
    <row r="49" spans="4:9" x14ac:dyDescent="0.7">
      <c r="D49" s="61"/>
      <c r="E49" s="48">
        <v>512</v>
      </c>
      <c r="F49" s="47">
        <v>22.775454726744126</v>
      </c>
      <c r="G49" s="47">
        <v>8.4366704451231662</v>
      </c>
      <c r="H49" s="47">
        <v>5.585162001322459</v>
      </c>
      <c r="I49" s="47">
        <v>5.421452501653075</v>
      </c>
    </row>
    <row r="50" spans="4:9" x14ac:dyDescent="0.7">
      <c r="D50" s="61"/>
      <c r="E50" s="48">
        <v>1024</v>
      </c>
      <c r="F50" s="47">
        <v>10.041385539007317</v>
      </c>
      <c r="G50" s="47">
        <v>6.1533407852892097</v>
      </c>
      <c r="H50" s="47">
        <v>5.4661452396695953</v>
      </c>
      <c r="I50" s="47">
        <v>5.41651395404977</v>
      </c>
    </row>
    <row r="51" spans="4:9" x14ac:dyDescent="0.7">
      <c r="D51" s="61"/>
      <c r="E51" s="48">
        <v>2048</v>
      </c>
      <c r="F51" s="47">
        <v>7.2704134261154323</v>
      </c>
      <c r="G51" s="47">
        <v>5.5010043350854474</v>
      </c>
      <c r="H51" s="47">
        <v>5.3081358379098385</v>
      </c>
      <c r="I51" s="47">
        <v>5.3081358379098385</v>
      </c>
    </row>
  </sheetData>
  <mergeCells count="37">
    <mergeCell ref="B17:B19"/>
    <mergeCell ref="B20:B22"/>
    <mergeCell ref="B3:B4"/>
    <mergeCell ref="C3:C4"/>
    <mergeCell ref="M3:O3"/>
    <mergeCell ref="B5:B7"/>
    <mergeCell ref="B8:B10"/>
    <mergeCell ref="B11:B13"/>
    <mergeCell ref="J3:L3"/>
    <mergeCell ref="B2:O2"/>
    <mergeCell ref="Q3:Q4"/>
    <mergeCell ref="D3:F3"/>
    <mergeCell ref="G3:I3"/>
    <mergeCell ref="Q15:Q16"/>
    <mergeCell ref="B14:B16"/>
    <mergeCell ref="Q9:Q10"/>
    <mergeCell ref="D28:D29"/>
    <mergeCell ref="D30:D35"/>
    <mergeCell ref="I28:I29"/>
    <mergeCell ref="H28:H29"/>
    <mergeCell ref="G28:G29"/>
    <mergeCell ref="F28:F29"/>
    <mergeCell ref="E28:E29"/>
    <mergeCell ref="D46:D51"/>
    <mergeCell ref="I36:I37"/>
    <mergeCell ref="D38:D43"/>
    <mergeCell ref="D44:D45"/>
    <mergeCell ref="E44:E45"/>
    <mergeCell ref="F44:F45"/>
    <mergeCell ref="G44:G45"/>
    <mergeCell ref="H44:H45"/>
    <mergeCell ref="I44:I45"/>
    <mergeCell ref="D36:D37"/>
    <mergeCell ref="E36:E37"/>
    <mergeCell ref="F36:F37"/>
    <mergeCell ref="G36:G37"/>
    <mergeCell ref="H36:H3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F143C-7B5C-493A-A3DB-CAB80F79409C}">
  <dimension ref="B3:N23"/>
  <sheetViews>
    <sheetView showGridLines="0" tabSelected="1" zoomScale="110" zoomScaleNormal="100" workbookViewId="0">
      <selection activeCell="J6" sqref="J6"/>
    </sheetView>
  </sheetViews>
  <sheetFormatPr defaultRowHeight="19.149999999999999" x14ac:dyDescent="0.7"/>
  <cols>
    <col min="3" max="3" width="9.88671875" bestFit="1" customWidth="1"/>
    <col min="4" max="6" width="10" bestFit="1" customWidth="1"/>
    <col min="7" max="7" width="20.6640625" bestFit="1" customWidth="1"/>
    <col min="8" max="8" width="5.88671875" bestFit="1" customWidth="1"/>
    <col min="9" max="9" width="9" bestFit="1" customWidth="1"/>
    <col min="11" max="11" width="10.44140625" bestFit="1" customWidth="1"/>
    <col min="12" max="12" width="10" bestFit="1" customWidth="1"/>
    <col min="14" max="14" width="10" bestFit="1" customWidth="1"/>
  </cols>
  <sheetData>
    <row r="3" spans="2:14" ht="19.5" thickBot="1" x14ac:dyDescent="0.75"/>
    <row r="4" spans="2:14" x14ac:dyDescent="0.7">
      <c r="B4" s="78" t="s">
        <v>16</v>
      </c>
      <c r="C4" s="8" t="s">
        <v>15</v>
      </c>
      <c r="D4" s="8" t="s">
        <v>7</v>
      </c>
      <c r="E4" s="8" t="s">
        <v>8</v>
      </c>
      <c r="F4" s="8" t="s">
        <v>9</v>
      </c>
      <c r="G4" s="9" t="s">
        <v>27</v>
      </c>
      <c r="H4" s="10" t="s">
        <v>24</v>
      </c>
      <c r="I4" s="1"/>
      <c r="J4" s="1"/>
      <c r="K4" s="1"/>
      <c r="L4" s="1"/>
      <c r="M4" s="1"/>
      <c r="N4" s="1"/>
    </row>
    <row r="5" spans="2:14" x14ac:dyDescent="0.7">
      <c r="B5" s="79"/>
      <c r="C5" s="3">
        <f>16</f>
        <v>16</v>
      </c>
      <c r="D5" s="3">
        <v>261190238</v>
      </c>
      <c r="E5" s="3">
        <v>17729118</v>
      </c>
      <c r="F5" s="3">
        <v>243461120</v>
      </c>
      <c r="G5" s="3">
        <f>E5/D5</f>
        <v>6.7878180041322983E-2</v>
      </c>
      <c r="H5" s="4">
        <f>1-F5/D5+E5/D5*201</f>
        <v>13.711392368347243</v>
      </c>
      <c r="I5" s="1"/>
      <c r="J5" s="1"/>
      <c r="K5" s="1"/>
      <c r="L5" s="1"/>
      <c r="M5" s="1"/>
      <c r="N5" s="1"/>
    </row>
    <row r="6" spans="2:14" x14ac:dyDescent="0.7">
      <c r="B6" s="79"/>
      <c r="C6" s="3">
        <v>64</v>
      </c>
      <c r="D6" s="3">
        <v>261190238</v>
      </c>
      <c r="E6" s="3">
        <v>3808785</v>
      </c>
      <c r="F6" s="3">
        <v>257381453</v>
      </c>
      <c r="G6" s="3">
        <f t="shared" ref="G6:G23" si="0">E6/D6</f>
        <v>1.4582417126937187E-2</v>
      </c>
      <c r="H6" s="4">
        <f t="shared" ref="H6:H23" si="1">1-F6/D6+E6/D6*201</f>
        <v>2.9456482596413118</v>
      </c>
      <c r="I6" s="1"/>
      <c r="J6" s="1"/>
      <c r="K6" s="1"/>
      <c r="L6" s="1"/>
      <c r="M6" s="1"/>
      <c r="N6" s="1"/>
    </row>
    <row r="7" spans="2:14" x14ac:dyDescent="0.7">
      <c r="B7" s="79"/>
      <c r="C7" s="3">
        <v>128</v>
      </c>
      <c r="D7" s="3">
        <v>261190238</v>
      </c>
      <c r="E7" s="3">
        <v>1619200</v>
      </c>
      <c r="F7" s="3">
        <f>D7-E7</f>
        <v>259571038</v>
      </c>
      <c r="G7" s="3">
        <f t="shared" si="0"/>
        <v>6.1993128548701731E-3</v>
      </c>
      <c r="H7" s="4">
        <f t="shared" si="1"/>
        <v>1.2522611966837749</v>
      </c>
      <c r="I7" s="1"/>
      <c r="J7" s="1"/>
      <c r="K7" s="1"/>
      <c r="L7" s="1"/>
      <c r="M7" s="1"/>
      <c r="N7" s="1"/>
    </row>
    <row r="8" spans="2:14" x14ac:dyDescent="0.7">
      <c r="B8" s="79"/>
      <c r="C8" s="3">
        <f>256</f>
        <v>256</v>
      </c>
      <c r="D8" s="3">
        <v>261190238</v>
      </c>
      <c r="E8" s="3">
        <v>803579</v>
      </c>
      <c r="F8" s="3">
        <f t="shared" ref="F8:F9" si="2">D8-E8</f>
        <v>260386659</v>
      </c>
      <c r="G8" s="3">
        <f t="shared" si="0"/>
        <v>3.0766042642068423E-3</v>
      </c>
      <c r="H8" s="4">
        <f t="shared" si="1"/>
        <v>0.62147406136978212</v>
      </c>
      <c r="I8" s="1"/>
      <c r="J8" s="1"/>
      <c r="K8" s="1"/>
      <c r="L8" s="1"/>
      <c r="M8" s="1"/>
      <c r="N8" s="1"/>
    </row>
    <row r="9" spans="2:14" ht="19.5" thickBot="1" x14ac:dyDescent="0.75">
      <c r="B9" s="80"/>
      <c r="C9" s="12">
        <v>512</v>
      </c>
      <c r="D9" s="12">
        <v>261190238</v>
      </c>
      <c r="E9" s="12">
        <v>70519</v>
      </c>
      <c r="F9" s="12">
        <f t="shared" si="2"/>
        <v>261119719</v>
      </c>
      <c r="G9" s="12">
        <f t="shared" si="0"/>
        <v>2.6999094813030491E-4</v>
      </c>
      <c r="H9" s="14">
        <f t="shared" si="1"/>
        <v>5.4538171522321578E-2</v>
      </c>
      <c r="I9" s="1"/>
      <c r="J9" s="1"/>
      <c r="K9" s="1"/>
      <c r="L9" s="1"/>
      <c r="M9" s="1"/>
      <c r="N9" s="1"/>
    </row>
    <row r="10" spans="2:14" ht="19.5" thickBot="1" x14ac:dyDescent="0.7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2:14" x14ac:dyDescent="0.7">
      <c r="B11" s="72" t="s">
        <v>13</v>
      </c>
      <c r="C11" s="8" t="s">
        <v>15</v>
      </c>
      <c r="D11" s="8" t="s">
        <v>7</v>
      </c>
      <c r="E11" s="8" t="s">
        <v>8</v>
      </c>
      <c r="F11" s="8" t="s">
        <v>9</v>
      </c>
      <c r="G11" s="9" t="s">
        <v>27</v>
      </c>
      <c r="H11" s="10" t="s">
        <v>24</v>
      </c>
      <c r="I11" s="1"/>
      <c r="J11" s="1"/>
      <c r="K11" s="1"/>
      <c r="L11" s="1"/>
      <c r="M11" s="1"/>
      <c r="N11" s="1"/>
    </row>
    <row r="12" spans="2:14" x14ac:dyDescent="0.7">
      <c r="B12" s="73"/>
      <c r="C12" s="3">
        <f>16</f>
        <v>16</v>
      </c>
      <c r="D12" s="3">
        <v>332199527</v>
      </c>
      <c r="E12" s="3">
        <v>59217120</v>
      </c>
      <c r="F12" s="3">
        <v>272982407</v>
      </c>
      <c r="G12" s="3">
        <f t="shared" si="0"/>
        <v>0.17825768909056874</v>
      </c>
      <c r="H12" s="4">
        <f t="shared" si="1"/>
        <v>36.008053196294888</v>
      </c>
      <c r="I12" s="1"/>
      <c r="J12" s="1"/>
      <c r="K12" s="1"/>
      <c r="L12" s="1"/>
      <c r="M12" s="1"/>
      <c r="N12" s="1"/>
    </row>
    <row r="13" spans="2:14" x14ac:dyDescent="0.7">
      <c r="B13" s="73"/>
      <c r="C13" s="3">
        <v>64</v>
      </c>
      <c r="D13" s="3">
        <v>332199527</v>
      </c>
      <c r="E13" s="3">
        <v>13224822</v>
      </c>
      <c r="F13" s="3">
        <f>D13-E13</f>
        <v>318974705</v>
      </c>
      <c r="G13" s="3">
        <f t="shared" si="0"/>
        <v>3.9809876068848227E-2</v>
      </c>
      <c r="H13" s="4">
        <f t="shared" si="1"/>
        <v>8.0415949659073416</v>
      </c>
      <c r="I13" s="1"/>
      <c r="J13" s="1"/>
      <c r="K13" s="1"/>
      <c r="L13" s="1"/>
      <c r="M13" s="1"/>
      <c r="N13" s="1"/>
    </row>
    <row r="14" spans="2:14" x14ac:dyDescent="0.7">
      <c r="B14" s="73"/>
      <c r="C14" s="3">
        <v>128</v>
      </c>
      <c r="D14" s="3">
        <v>332199527</v>
      </c>
      <c r="E14" s="3">
        <v>4847282</v>
      </c>
      <c r="F14" s="3">
        <f t="shared" ref="F14:F16" si="3">D14-E14</f>
        <v>327352245</v>
      </c>
      <c r="G14" s="3">
        <f t="shared" si="0"/>
        <v>1.4591477729587497E-2</v>
      </c>
      <c r="H14" s="4">
        <f t="shared" si="1"/>
        <v>2.9474785013766747</v>
      </c>
      <c r="I14" s="1"/>
      <c r="J14" s="1"/>
      <c r="K14" s="1"/>
      <c r="L14" s="1"/>
      <c r="M14" s="1"/>
      <c r="N14" s="1"/>
    </row>
    <row r="15" spans="2:14" x14ac:dyDescent="0.7">
      <c r="B15" s="73"/>
      <c r="C15" s="3">
        <f>256</f>
        <v>256</v>
      </c>
      <c r="D15" s="3">
        <v>332199527</v>
      </c>
      <c r="E15" s="3">
        <v>1897351</v>
      </c>
      <c r="F15" s="3">
        <f t="shared" si="3"/>
        <v>330302176</v>
      </c>
      <c r="G15" s="3">
        <f t="shared" si="0"/>
        <v>5.7114801370563061E-3</v>
      </c>
      <c r="H15" s="4">
        <f t="shared" si="1"/>
        <v>1.153718987685374</v>
      </c>
      <c r="I15" s="1"/>
      <c r="J15" s="1"/>
      <c r="K15" s="1"/>
      <c r="L15" s="1"/>
      <c r="M15" s="1"/>
      <c r="N15" s="1"/>
    </row>
    <row r="16" spans="2:14" ht="19.5" thickBot="1" x14ac:dyDescent="0.75">
      <c r="B16" s="74"/>
      <c r="C16" s="12">
        <v>512</v>
      </c>
      <c r="D16" s="12">
        <v>332199527</v>
      </c>
      <c r="E16" s="12">
        <v>896670</v>
      </c>
      <c r="F16" s="12">
        <f t="shared" si="3"/>
        <v>331302857</v>
      </c>
      <c r="G16" s="12">
        <f t="shared" si="0"/>
        <v>2.6991910798235424E-3</v>
      </c>
      <c r="H16" s="14">
        <f t="shared" si="1"/>
        <v>0.54523659812435554</v>
      </c>
      <c r="I16" s="1"/>
      <c r="J16" s="1"/>
      <c r="K16" s="1"/>
      <c r="L16" s="1"/>
      <c r="M16" s="1"/>
      <c r="N16" s="1"/>
    </row>
    <row r="17" spans="2:14" ht="19.5" thickBot="1" x14ac:dyDescent="0.7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x14ac:dyDescent="0.7">
      <c r="B18" s="72" t="s">
        <v>14</v>
      </c>
      <c r="C18" s="8" t="s">
        <v>15</v>
      </c>
      <c r="D18" s="8" t="s">
        <v>7</v>
      </c>
      <c r="E18" s="8" t="s">
        <v>8</v>
      </c>
      <c r="F18" s="8" t="s">
        <v>9</v>
      </c>
      <c r="G18" s="9" t="s">
        <v>27</v>
      </c>
      <c r="H18" s="10" t="s">
        <v>24</v>
      </c>
      <c r="I18" s="1"/>
      <c r="J18" s="1"/>
      <c r="K18" s="1"/>
      <c r="L18" s="1"/>
      <c r="M18" s="1"/>
      <c r="N18" s="1"/>
    </row>
    <row r="19" spans="2:14" x14ac:dyDescent="0.7">
      <c r="B19" s="73"/>
      <c r="C19" s="3">
        <f>16</f>
        <v>16</v>
      </c>
      <c r="D19" s="3">
        <v>190554</v>
      </c>
      <c r="E19" s="3">
        <v>19398</v>
      </c>
      <c r="F19" s="3">
        <f>D19-E19</f>
        <v>171156</v>
      </c>
      <c r="G19" s="3">
        <f t="shared" si="0"/>
        <v>0.10179791555149721</v>
      </c>
      <c r="H19" s="4">
        <f t="shared" si="1"/>
        <v>20.563178941402438</v>
      </c>
      <c r="I19" s="1"/>
      <c r="J19" s="1"/>
      <c r="K19" s="1"/>
      <c r="L19" s="1"/>
      <c r="M19" s="1"/>
      <c r="N19" s="1"/>
    </row>
    <row r="20" spans="2:14" x14ac:dyDescent="0.7">
      <c r="B20" s="73"/>
      <c r="C20" s="3">
        <v>64</v>
      </c>
      <c r="D20" s="3">
        <v>190554</v>
      </c>
      <c r="E20" s="3">
        <v>4653</v>
      </c>
      <c r="F20" s="3">
        <f>D20-E20</f>
        <v>185901</v>
      </c>
      <c r="G20" s="3">
        <f t="shared" si="0"/>
        <v>2.4418275134607512E-2</v>
      </c>
      <c r="H20" s="4">
        <f t="shared" si="1"/>
        <v>4.9324915771907172</v>
      </c>
      <c r="I20" s="1"/>
      <c r="J20" s="1"/>
      <c r="K20" s="1"/>
      <c r="L20" s="1"/>
      <c r="M20" s="1"/>
      <c r="N20" s="1"/>
    </row>
    <row r="21" spans="2:14" x14ac:dyDescent="0.7">
      <c r="B21" s="73"/>
      <c r="C21" s="3">
        <v>128</v>
      </c>
      <c r="D21" s="3">
        <v>190554</v>
      </c>
      <c r="E21" s="3">
        <v>1820</v>
      </c>
      <c r="F21" s="3">
        <f t="shared" ref="F21:F23" si="4">D21-E21</f>
        <v>188734</v>
      </c>
      <c r="G21" s="3">
        <f t="shared" si="0"/>
        <v>9.5510983763132766E-3</v>
      </c>
      <c r="H21" s="4">
        <f t="shared" si="1"/>
        <v>1.929321872015282</v>
      </c>
      <c r="I21" s="1"/>
      <c r="J21" s="1"/>
      <c r="K21" s="1"/>
      <c r="L21" s="1"/>
      <c r="M21" s="1"/>
      <c r="N21" s="1"/>
    </row>
    <row r="22" spans="2:14" x14ac:dyDescent="0.7">
      <c r="B22" s="73"/>
      <c r="C22" s="3">
        <f>256</f>
        <v>256</v>
      </c>
      <c r="D22" s="3">
        <v>190554</v>
      </c>
      <c r="E22" s="3">
        <v>1261</v>
      </c>
      <c r="F22" s="3">
        <f t="shared" si="4"/>
        <v>189293</v>
      </c>
      <c r="G22" s="3">
        <f t="shared" si="0"/>
        <v>6.6175467321599128E-3</v>
      </c>
      <c r="H22" s="4">
        <f t="shared" si="1"/>
        <v>1.3367444398963024</v>
      </c>
      <c r="I22" s="1"/>
      <c r="J22" s="1"/>
      <c r="K22" s="1"/>
      <c r="L22" s="1"/>
      <c r="M22" s="1"/>
      <c r="N22" s="1"/>
    </row>
    <row r="23" spans="2:14" ht="19.5" thickBot="1" x14ac:dyDescent="0.75">
      <c r="B23" s="74"/>
      <c r="C23" s="12">
        <v>512</v>
      </c>
      <c r="D23" s="12">
        <v>190554</v>
      </c>
      <c r="E23" s="13">
        <v>488</v>
      </c>
      <c r="F23" s="12">
        <f t="shared" si="4"/>
        <v>190066</v>
      </c>
      <c r="G23" s="12">
        <f t="shared" si="0"/>
        <v>2.5609538503521311E-3</v>
      </c>
      <c r="H23" s="14">
        <f t="shared" si="1"/>
        <v>0.51731267777113055</v>
      </c>
    </row>
  </sheetData>
  <mergeCells count="3">
    <mergeCell ref="B18:B23"/>
    <mergeCell ref="B4:B9"/>
    <mergeCell ref="B11:B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</vt:i4>
      </vt:variant>
    </vt:vector>
  </HeadingPairs>
  <TitlesOfParts>
    <vt:vector size="6" baseType="lpstr">
      <vt:lpstr>sim1</vt:lpstr>
      <vt:lpstr>sim2</vt:lpstr>
      <vt:lpstr>sim3</vt:lpstr>
      <vt:lpstr>sim4</vt:lpstr>
      <vt:lpstr>'sim2'!Print_Area</vt:lpstr>
      <vt:lpstr>'sim4'!Print_Area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이보민</dc:creator>
  <cp:lastModifiedBy>염정호</cp:lastModifiedBy>
  <dcterms:created xsi:type="dcterms:W3CDTF">2024-06-02T18:18:10Z</dcterms:created>
  <dcterms:modified xsi:type="dcterms:W3CDTF">2024-06-14T14:36:54Z</dcterms:modified>
</cp:coreProperties>
</file>